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AD" lockStructure="1"/>
  <bookViews>
    <workbookView xWindow="36" yWindow="48" windowWidth="11040" windowHeight="12816" tabRatio="644" firstSheet="1" activeTab="1"/>
  </bookViews>
  <sheets>
    <sheet name="Data Comparisons Original" sheetId="8" state="hidden" r:id="rId1"/>
    <sheet name="Data Comparisons" sheetId="16" r:id="rId2"/>
    <sheet name="MYP" sheetId="6" r:id="rId3"/>
    <sheet name="LCFF" sheetId="7" r:id="rId4"/>
    <sheet name="Other Revenue" sheetId="4" r:id="rId5"/>
    <sheet name="Unrestricted-RS &amp; 4-7XXX" sheetId="3" r:id="rId6"/>
    <sheet name="Salaries" sheetId="2" r:id="rId7"/>
    <sheet name="Other Funds" sheetId="19" r:id="rId8"/>
  </sheets>
  <calcPr calcId="145621"/>
</workbook>
</file>

<file path=xl/calcChain.xml><?xml version="1.0" encoding="utf-8"?>
<calcChain xmlns="http://schemas.openxmlformats.org/spreadsheetml/2006/main">
  <c r="L49" i="6" l="1"/>
  <c r="E42" i="6"/>
  <c r="J50" i="6" l="1"/>
  <c r="C27" i="16"/>
  <c r="C48" i="6" s="1"/>
  <c r="D126" i="19" l="1"/>
  <c r="D127" i="19"/>
  <c r="D128" i="19"/>
  <c r="D124" i="19"/>
  <c r="D83" i="19"/>
  <c r="E15" i="19"/>
  <c r="F15" i="19"/>
  <c r="E16" i="19"/>
  <c r="F16" i="19" s="1"/>
  <c r="E17" i="19"/>
  <c r="F17" i="19"/>
  <c r="E18" i="19"/>
  <c r="F18" i="19" s="1"/>
  <c r="E19" i="19"/>
  <c r="F19" i="19"/>
  <c r="F14" i="19"/>
  <c r="E14" i="19"/>
  <c r="F13" i="19"/>
  <c r="E13" i="19"/>
  <c r="D16" i="19"/>
  <c r="D15" i="19"/>
  <c r="D13" i="19"/>
  <c r="G62" i="2"/>
  <c r="L36" i="6"/>
  <c r="M36" i="6" s="1"/>
  <c r="L39" i="6"/>
  <c r="E62" i="2"/>
  <c r="C34" i="6"/>
  <c r="C33" i="6"/>
  <c r="C18" i="6"/>
  <c r="L15" i="6"/>
  <c r="M15" i="6" s="1"/>
  <c r="K13" i="6"/>
  <c r="M6" i="6"/>
  <c r="L6" i="6"/>
  <c r="J6" i="6"/>
  <c r="K6" i="6"/>
  <c r="H231" i="3"/>
  <c r="I231" i="3" s="1"/>
  <c r="H230" i="3"/>
  <c r="I230" i="3" s="1"/>
  <c r="H229" i="3"/>
  <c r="I229" i="3" s="1"/>
  <c r="I222" i="3"/>
  <c r="H222" i="3"/>
  <c r="H105" i="3" l="1"/>
  <c r="I105" i="3" s="1"/>
  <c r="H55" i="3"/>
  <c r="I55" i="3" s="1"/>
  <c r="H21" i="3"/>
  <c r="I21" i="3" s="1"/>
  <c r="H5" i="3"/>
  <c r="I5" i="3" s="1"/>
  <c r="G38" i="4"/>
  <c r="F38" i="4"/>
  <c r="C28" i="6"/>
  <c r="D28" i="6"/>
  <c r="K12" i="6" l="1"/>
  <c r="J12" i="6"/>
  <c r="K11" i="6"/>
  <c r="J11" i="6"/>
  <c r="K7" i="6"/>
  <c r="J7" i="6"/>
  <c r="K5" i="6"/>
  <c r="K25" i="6" s="1"/>
  <c r="J5" i="6"/>
  <c r="M3" i="6"/>
  <c r="M23" i="6" s="1"/>
  <c r="L3" i="6"/>
  <c r="K3" i="6"/>
  <c r="K23" i="6" s="1"/>
  <c r="J3" i="6"/>
  <c r="F33" i="6"/>
  <c r="E33" i="6"/>
  <c r="D33" i="6"/>
  <c r="F31" i="6"/>
  <c r="E31" i="6"/>
  <c r="D15" i="6"/>
  <c r="C15" i="6"/>
  <c r="D9" i="6"/>
  <c r="C9" i="6"/>
  <c r="E31" i="7"/>
  <c r="C3" i="6"/>
  <c r="F25" i="4"/>
  <c r="F23" i="4"/>
  <c r="G23" i="4" s="1"/>
  <c r="F9" i="6" s="1"/>
  <c r="E9" i="6" l="1"/>
  <c r="G25" i="4"/>
  <c r="M11" i="6" s="1"/>
  <c r="F69" i="4"/>
  <c r="L11" i="6"/>
  <c r="L23" i="6"/>
  <c r="F6" i="6"/>
  <c r="F3" i="6"/>
  <c r="D3" i="6"/>
  <c r="E63" i="2"/>
  <c r="K59" i="2"/>
  <c r="I59" i="2"/>
  <c r="G59" i="2"/>
  <c r="E59" i="2"/>
  <c r="G50" i="2"/>
  <c r="G38" i="2"/>
  <c r="I38" i="2"/>
  <c r="K38" i="2" s="1"/>
  <c r="G32" i="2"/>
  <c r="I32" i="2" s="1"/>
  <c r="K32" i="2" s="1"/>
  <c r="D31" i="2" l="1"/>
  <c r="E34" i="2" l="1"/>
  <c r="F34" i="2" s="1"/>
  <c r="I16" i="2"/>
  <c r="J15" i="2" s="1"/>
  <c r="K15" i="2" s="1"/>
  <c r="N12" i="2"/>
  <c r="N10" i="2"/>
  <c r="O8" i="2"/>
  <c r="P8" i="2" s="1"/>
  <c r="R8" i="2" s="1"/>
  <c r="O7" i="2"/>
  <c r="P7" i="2" s="1"/>
  <c r="R7" i="2" s="1"/>
  <c r="O6" i="2"/>
  <c r="O10" i="2" s="1"/>
  <c r="O5" i="2"/>
  <c r="O12" i="2" l="1"/>
  <c r="I41" i="2"/>
  <c r="O13" i="2"/>
  <c r="I39" i="2"/>
  <c r="O11" i="2"/>
  <c r="I17" i="2"/>
  <c r="P6" i="2"/>
  <c r="P5" i="2"/>
  <c r="G43" i="2"/>
  <c r="I43" i="2" s="1"/>
  <c r="K43" i="2" s="1"/>
  <c r="G41" i="2"/>
  <c r="G42" i="2"/>
  <c r="I42" i="2" s="1"/>
  <c r="K42" i="2" s="1"/>
  <c r="G39" i="2"/>
  <c r="P2" i="2"/>
  <c r="O2" i="2"/>
  <c r="N2" i="2"/>
  <c r="E12" i="2"/>
  <c r="G15" i="2"/>
  <c r="G12" i="2" s="1"/>
  <c r="R56" i="2" s="1"/>
  <c r="E15" i="2"/>
  <c r="R6" i="2" l="1"/>
  <c r="R10" i="2" s="1"/>
  <c r="P10" i="2"/>
  <c r="P56" i="2"/>
  <c r="R5" i="2"/>
  <c r="P12" i="2"/>
  <c r="G8" i="2"/>
  <c r="E41" i="2"/>
  <c r="E38" i="2"/>
  <c r="E5" i="2" s="1"/>
  <c r="R12" i="2" l="1"/>
  <c r="K41" i="2"/>
  <c r="P13" i="2"/>
  <c r="K39" i="2"/>
  <c r="P11" i="2"/>
  <c r="E26" i="2"/>
  <c r="E29" i="2"/>
  <c r="E25" i="2"/>
  <c r="E6" i="2"/>
  <c r="F5" i="2" s="1"/>
  <c r="R13" i="2"/>
  <c r="R11" i="2"/>
  <c r="P55" i="2"/>
  <c r="P57" i="2" s="1"/>
  <c r="E28" i="2"/>
  <c r="E27" i="2"/>
  <c r="E39" i="2"/>
  <c r="G5" i="2"/>
  <c r="E50" i="2"/>
  <c r="F50" i="2" s="1"/>
  <c r="F34" i="6"/>
  <c r="E43" i="2"/>
  <c r="E42" i="2"/>
  <c r="E31" i="2" l="1"/>
  <c r="E56" i="2" s="1"/>
  <c r="G29" i="2"/>
  <c r="H29" i="2" s="1"/>
  <c r="I29" i="2" s="1"/>
  <c r="G25" i="2"/>
  <c r="R55" i="2"/>
  <c r="R57" i="2" s="1"/>
  <c r="G27" i="2"/>
  <c r="H27" i="2" s="1"/>
  <c r="I27" i="2" s="1"/>
  <c r="G28" i="2"/>
  <c r="G26" i="2"/>
  <c r="H26" i="2" l="1"/>
  <c r="I26" i="2" s="1"/>
  <c r="J29" i="2"/>
  <c r="K29" i="2" s="1"/>
  <c r="H28" i="2"/>
  <c r="I28" i="2" s="1"/>
  <c r="J27" i="2"/>
  <c r="K27" i="2" s="1"/>
  <c r="H25" i="2"/>
  <c r="I25" i="2" s="1"/>
  <c r="J28" i="2" l="1"/>
  <c r="K28" i="2" s="1"/>
  <c r="J25" i="2"/>
  <c r="K25" i="2" s="1"/>
  <c r="J26" i="2"/>
  <c r="K26" i="2" s="1"/>
  <c r="H197" i="3"/>
  <c r="I197" i="3" s="1"/>
  <c r="G192" i="3"/>
  <c r="H221" i="3"/>
  <c r="I221" i="3" s="1"/>
  <c r="H220" i="3"/>
  <c r="I220" i="3" s="1"/>
  <c r="H219" i="3"/>
  <c r="I219" i="3" s="1"/>
  <c r="H218" i="3"/>
  <c r="I218" i="3" s="1"/>
  <c r="H217" i="3"/>
  <c r="I217" i="3" s="1"/>
  <c r="H216" i="3"/>
  <c r="I216" i="3" s="1"/>
  <c r="H215" i="3"/>
  <c r="I215" i="3" s="1"/>
  <c r="H214" i="3"/>
  <c r="I214" i="3" s="1"/>
  <c r="H213" i="3"/>
  <c r="I213" i="3" s="1"/>
  <c r="H212" i="3"/>
  <c r="I212" i="3" s="1"/>
  <c r="H211" i="3"/>
  <c r="I211" i="3" s="1"/>
  <c r="H210" i="3"/>
  <c r="I210" i="3" s="1"/>
  <c r="H209" i="3"/>
  <c r="I209" i="3" s="1"/>
  <c r="I208" i="3"/>
  <c r="H208" i="3"/>
  <c r="H207" i="3"/>
  <c r="I207" i="3" s="1"/>
  <c r="H206" i="3"/>
  <c r="I206" i="3" s="1"/>
  <c r="H205" i="3"/>
  <c r="I205" i="3" s="1"/>
  <c r="H204" i="3"/>
  <c r="I204" i="3" s="1"/>
  <c r="H203" i="3"/>
  <c r="I203" i="3" s="1"/>
  <c r="H202" i="3"/>
  <c r="I202" i="3" s="1"/>
  <c r="H201" i="3"/>
  <c r="I201" i="3" s="1"/>
  <c r="H200" i="3"/>
  <c r="I200" i="3" s="1"/>
  <c r="H199" i="3"/>
  <c r="I199" i="3" s="1"/>
  <c r="H198" i="3"/>
  <c r="I198" i="3" s="1"/>
  <c r="H196" i="3"/>
  <c r="I196" i="3" s="1"/>
  <c r="H195" i="3"/>
  <c r="I195" i="3" s="1"/>
  <c r="H194" i="3"/>
  <c r="I194" i="3" s="1"/>
  <c r="H193" i="3"/>
  <c r="I193" i="3" s="1"/>
  <c r="H192" i="3"/>
  <c r="I192" i="3" s="1"/>
  <c r="H191" i="3"/>
  <c r="I191" i="3" s="1"/>
  <c r="H190" i="3"/>
  <c r="I190" i="3" s="1"/>
  <c r="H189" i="3"/>
  <c r="I189" i="3" s="1"/>
  <c r="H188" i="3"/>
  <c r="I188" i="3" s="1"/>
  <c r="H187" i="3"/>
  <c r="I187" i="3" s="1"/>
  <c r="H186" i="3"/>
  <c r="I186" i="3" s="1"/>
  <c r="H185" i="3"/>
  <c r="I185" i="3" s="1"/>
  <c r="H184" i="3"/>
  <c r="I184" i="3" s="1"/>
  <c r="H183" i="3"/>
  <c r="I183" i="3" s="1"/>
  <c r="H182" i="3"/>
  <c r="I182" i="3" s="1"/>
  <c r="H181" i="3"/>
  <c r="I181" i="3" s="1"/>
  <c r="H180" i="3"/>
  <c r="I180" i="3" s="1"/>
  <c r="H179" i="3"/>
  <c r="I179" i="3" s="1"/>
  <c r="H178" i="3"/>
  <c r="I178" i="3" s="1"/>
  <c r="H177" i="3"/>
  <c r="I177" i="3" s="1"/>
  <c r="H176" i="3"/>
  <c r="I176" i="3" s="1"/>
  <c r="I175" i="3"/>
  <c r="H175" i="3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I165" i="3" s="1"/>
  <c r="H163" i="3"/>
  <c r="I163" i="3" s="1"/>
  <c r="H162" i="3"/>
  <c r="I162" i="3" s="1"/>
  <c r="H161" i="3"/>
  <c r="I161" i="3" s="1"/>
  <c r="H160" i="3"/>
  <c r="I160" i="3" s="1"/>
  <c r="H159" i="3"/>
  <c r="I159" i="3" s="1"/>
  <c r="H158" i="3"/>
  <c r="I158" i="3" s="1"/>
  <c r="H157" i="3"/>
  <c r="I157" i="3" s="1"/>
  <c r="H156" i="3"/>
  <c r="I156" i="3" s="1"/>
  <c r="H155" i="3"/>
  <c r="I155" i="3" s="1"/>
  <c r="H154" i="3"/>
  <c r="I154" i="3" s="1"/>
  <c r="H153" i="3"/>
  <c r="I153" i="3" s="1"/>
  <c r="H150" i="3"/>
  <c r="I150" i="3" s="1"/>
  <c r="H133" i="3"/>
  <c r="I133" i="3" s="1"/>
  <c r="H132" i="3"/>
  <c r="I132" i="3" s="1"/>
  <c r="H131" i="3"/>
  <c r="I131" i="3" s="1"/>
  <c r="H130" i="3"/>
  <c r="I130" i="3" s="1"/>
  <c r="H129" i="3"/>
  <c r="I129" i="3" s="1"/>
  <c r="H124" i="3"/>
  <c r="I124" i="3" s="1"/>
  <c r="I123" i="3"/>
  <c r="H123" i="3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F127" i="3"/>
  <c r="G128" i="3"/>
  <c r="G127" i="3" s="1"/>
  <c r="H127" i="3" s="1"/>
  <c r="I127" i="3" s="1"/>
  <c r="F128" i="3"/>
  <c r="G126" i="3"/>
  <c r="H126" i="3" s="1"/>
  <c r="I126" i="3" s="1"/>
  <c r="F125" i="3"/>
  <c r="F126" i="3" s="1"/>
  <c r="G125" i="3"/>
  <c r="H125" i="3" s="1"/>
  <c r="I125" i="3" s="1"/>
  <c r="F123" i="3"/>
  <c r="H144" i="3"/>
  <c r="I144" i="3" s="1"/>
  <c r="H143" i="3"/>
  <c r="I143" i="3" s="1"/>
  <c r="H142" i="3"/>
  <c r="I142" i="3" s="1"/>
  <c r="H141" i="3"/>
  <c r="I141" i="3" s="1"/>
  <c r="H140" i="3"/>
  <c r="I140" i="3" s="1"/>
  <c r="H139" i="3"/>
  <c r="I139" i="3" s="1"/>
  <c r="H138" i="3"/>
  <c r="I138" i="3" s="1"/>
  <c r="H137" i="3"/>
  <c r="I137" i="3" s="1"/>
  <c r="G145" i="3"/>
  <c r="D25" i="6" s="1"/>
  <c r="H239" i="3"/>
  <c r="I239" i="3" s="1"/>
  <c r="H238" i="3"/>
  <c r="G230" i="3"/>
  <c r="G226" i="3"/>
  <c r="G164" i="3"/>
  <c r="H164" i="3" s="1"/>
  <c r="I164" i="3" s="1"/>
  <c r="I238" i="3" l="1"/>
  <c r="F28" i="6" s="1"/>
  <c r="E28" i="6"/>
  <c r="H128" i="3"/>
  <c r="I128" i="3" s="1"/>
  <c r="G225" i="3"/>
  <c r="H149" i="3"/>
  <c r="I149" i="3" s="1"/>
  <c r="H148" i="3"/>
  <c r="I148" i="3" s="1"/>
  <c r="H147" i="3"/>
  <c r="I147" i="3" s="1"/>
  <c r="H103" i="3"/>
  <c r="I103" i="3" s="1"/>
  <c r="H102" i="3"/>
  <c r="I102" i="3" s="1"/>
  <c r="H101" i="3"/>
  <c r="I101" i="3" s="1"/>
  <c r="G105" i="3" l="1"/>
  <c r="G36" i="3"/>
  <c r="H36" i="3" s="1"/>
  <c r="I36" i="3" s="1"/>
  <c r="F83" i="3"/>
  <c r="G82" i="3"/>
  <c r="H82" i="3" s="1"/>
  <c r="I82" i="3" s="1"/>
  <c r="F82" i="3"/>
  <c r="G80" i="3"/>
  <c r="H80" i="3" s="1"/>
  <c r="I80" i="3" s="1"/>
  <c r="F80" i="3"/>
  <c r="F75" i="3"/>
  <c r="F74" i="3" s="1"/>
  <c r="H73" i="3"/>
  <c r="I73" i="3" s="1"/>
  <c r="G70" i="3"/>
  <c r="H70" i="3" s="1"/>
  <c r="I70" i="3" s="1"/>
  <c r="F70" i="3"/>
  <c r="G62" i="3"/>
  <c r="H62" i="3" s="1"/>
  <c r="I62" i="3" s="1"/>
  <c r="G58" i="3"/>
  <c r="H58" i="3" s="1"/>
  <c r="I58" i="3" s="1"/>
  <c r="F58" i="3"/>
  <c r="H59" i="3"/>
  <c r="I59" i="3" s="1"/>
  <c r="F57" i="3"/>
  <c r="G57" i="3"/>
  <c r="H57" i="3" s="1"/>
  <c r="I57" i="3" s="1"/>
  <c r="G54" i="3"/>
  <c r="H54" i="3" s="1"/>
  <c r="I54" i="3" s="1"/>
  <c r="F54" i="3"/>
  <c r="G51" i="3"/>
  <c r="H51" i="3" s="1"/>
  <c r="I51" i="3" s="1"/>
  <c r="G49" i="3"/>
  <c r="H49" i="3" s="1"/>
  <c r="I49" i="3" s="1"/>
  <c r="G46" i="3"/>
  <c r="H46" i="3" s="1"/>
  <c r="I46" i="3" s="1"/>
  <c r="H40" i="3"/>
  <c r="I40" i="3" s="1"/>
  <c r="F35" i="3"/>
  <c r="G37" i="3"/>
  <c r="H37" i="3" s="1"/>
  <c r="I37" i="3" s="1"/>
  <c r="F37" i="3"/>
  <c r="F36" i="3"/>
  <c r="H86" i="3"/>
  <c r="I86" i="3" s="1"/>
  <c r="H85" i="3"/>
  <c r="I85" i="3" s="1"/>
  <c r="H84" i="3"/>
  <c r="I84" i="3" s="1"/>
  <c r="H83" i="3"/>
  <c r="I83" i="3" s="1"/>
  <c r="H79" i="3"/>
  <c r="I79" i="3" s="1"/>
  <c r="H81" i="3"/>
  <c r="I81" i="3" s="1"/>
  <c r="H78" i="3"/>
  <c r="I78" i="3" s="1"/>
  <c r="H77" i="3"/>
  <c r="I77" i="3" s="1"/>
  <c r="H76" i="3"/>
  <c r="I76" i="3" s="1"/>
  <c r="H75" i="3"/>
  <c r="I75" i="3" s="1"/>
  <c r="H74" i="3"/>
  <c r="I74" i="3" s="1"/>
  <c r="H72" i="3"/>
  <c r="I72" i="3" s="1"/>
  <c r="H71" i="3"/>
  <c r="I71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1" i="3"/>
  <c r="I61" i="3" s="1"/>
  <c r="H60" i="3"/>
  <c r="I60" i="3" s="1"/>
  <c r="H56" i="3"/>
  <c r="I56" i="3" s="1"/>
  <c r="H53" i="3"/>
  <c r="I53" i="3" s="1"/>
  <c r="H52" i="3"/>
  <c r="I52" i="3" s="1"/>
  <c r="H44" i="3"/>
  <c r="I44" i="3" s="1"/>
  <c r="H45" i="3"/>
  <c r="I45" i="3" s="1"/>
  <c r="H47" i="3"/>
  <c r="I47" i="3" s="1"/>
  <c r="H48" i="3"/>
  <c r="I48" i="3" s="1"/>
  <c r="H50" i="3"/>
  <c r="I50" i="3" s="1"/>
  <c r="H43" i="3"/>
  <c r="I43" i="3" s="1"/>
  <c r="H42" i="3"/>
  <c r="I42" i="3" s="1"/>
  <c r="H41" i="3"/>
  <c r="I41" i="3" s="1"/>
  <c r="H39" i="3"/>
  <c r="I39" i="3" s="1"/>
  <c r="H38" i="3"/>
  <c r="I38" i="3" s="1"/>
  <c r="H35" i="3"/>
  <c r="I35" i="3" s="1"/>
  <c r="H34" i="3"/>
  <c r="I34" i="3" s="1"/>
  <c r="H33" i="3"/>
  <c r="I33" i="3" s="1"/>
  <c r="H32" i="3"/>
  <c r="I32" i="3" s="1"/>
  <c r="H31" i="3"/>
  <c r="I31" i="3" s="1"/>
  <c r="H28" i="3"/>
  <c r="I28" i="3" s="1"/>
  <c r="H27" i="3"/>
  <c r="I27" i="3" s="1"/>
  <c r="H26" i="3"/>
  <c r="I26" i="3" s="1"/>
  <c r="H25" i="3"/>
  <c r="I25" i="3" s="1"/>
  <c r="H24" i="3"/>
  <c r="I24" i="3" s="1"/>
  <c r="H17" i="3"/>
  <c r="I17" i="3" s="1"/>
  <c r="H16" i="3"/>
  <c r="I16" i="3" s="1"/>
  <c r="H15" i="3"/>
  <c r="I15" i="3" s="1"/>
  <c r="H14" i="3"/>
  <c r="I14" i="3" s="1"/>
  <c r="H9" i="3"/>
  <c r="I9" i="3" s="1"/>
  <c r="H10" i="3"/>
  <c r="I10" i="3" s="1"/>
  <c r="H11" i="3"/>
  <c r="I11" i="3" s="1"/>
  <c r="H12" i="3"/>
  <c r="I12" i="3" s="1"/>
  <c r="H8" i="3"/>
  <c r="H4" i="3"/>
  <c r="I4" i="3" s="1"/>
  <c r="H3" i="3"/>
  <c r="I3" i="3" s="1"/>
  <c r="I8" i="3" l="1"/>
  <c r="G104" i="3"/>
  <c r="H104" i="3" s="1"/>
  <c r="I104" i="3" s="1"/>
  <c r="G63" i="3"/>
  <c r="H63" i="3" s="1"/>
  <c r="I63" i="3" s="1"/>
  <c r="H2" i="3"/>
  <c r="I2" i="3" s="1"/>
  <c r="G13" i="3"/>
  <c r="G2" i="3"/>
  <c r="H13" i="3" l="1"/>
  <c r="G61" i="2"/>
  <c r="I43" i="7"/>
  <c r="I13" i="3" l="1"/>
  <c r="K61" i="2" s="1"/>
  <c r="I61" i="2"/>
  <c r="E69" i="4"/>
  <c r="D69" i="4"/>
  <c r="D62" i="4"/>
  <c r="D61" i="4"/>
  <c r="D63" i="4"/>
  <c r="F53" i="4"/>
  <c r="E49" i="4"/>
  <c r="E45" i="4" s="1"/>
  <c r="E63" i="4" s="1"/>
  <c r="D43" i="4"/>
  <c r="C14" i="6" s="1"/>
  <c r="E35" i="4"/>
  <c r="E70" i="4" s="1"/>
  <c r="D35" i="4"/>
  <c r="E22" i="4"/>
  <c r="E19" i="4"/>
  <c r="D15" i="4"/>
  <c r="D12" i="4"/>
  <c r="F9" i="4"/>
  <c r="L5" i="6" s="1"/>
  <c r="L25" i="6" s="1"/>
  <c r="F8" i="4"/>
  <c r="G8" i="4" s="1"/>
  <c r="G53" i="4" l="1"/>
  <c r="F15" i="6" s="1"/>
  <c r="E15" i="6"/>
  <c r="E62" i="4"/>
  <c r="F4" i="4"/>
  <c r="F25" i="2" l="1"/>
  <c r="F96" i="3"/>
  <c r="E67" i="4"/>
  <c r="E68" i="4"/>
  <c r="E61" i="4"/>
  <c r="F61" i="4"/>
  <c r="G61" i="4"/>
  <c r="E76" i="4"/>
  <c r="E77" i="4"/>
  <c r="D68" i="4"/>
  <c r="D76" i="4"/>
  <c r="D67" i="4"/>
  <c r="E71" i="4" l="1"/>
  <c r="E75" i="4"/>
  <c r="D75" i="4"/>
  <c r="C9" i="19" l="1"/>
  <c r="F14" i="4" l="1"/>
  <c r="G14" i="4" s="1"/>
  <c r="G12" i="4"/>
  <c r="F18" i="4"/>
  <c r="N39" i="7"/>
  <c r="P37" i="7"/>
  <c r="O37" i="7"/>
  <c r="N37" i="7"/>
  <c r="J39" i="7"/>
  <c r="L37" i="7"/>
  <c r="K37" i="7"/>
  <c r="J37" i="7"/>
  <c r="F39" i="7"/>
  <c r="H37" i="7"/>
  <c r="G37" i="7"/>
  <c r="F37" i="7"/>
  <c r="M24" i="7"/>
  <c r="Q24" i="7" s="1"/>
  <c r="J9" i="7"/>
  <c r="N9" i="7" s="1"/>
  <c r="P6" i="7"/>
  <c r="O6" i="7"/>
  <c r="L6" i="7"/>
  <c r="K6" i="7"/>
  <c r="G18" i="4" l="1"/>
  <c r="J14" i="7"/>
  <c r="F4" i="6"/>
  <c r="E7" i="2"/>
  <c r="F51" i="3"/>
  <c r="G88" i="3"/>
  <c r="J33" i="6"/>
  <c r="J34" i="6"/>
  <c r="C31" i="6" l="1"/>
  <c r="E19" i="2"/>
  <c r="E16" i="2"/>
  <c r="E9" i="2"/>
  <c r="E13" i="2" l="1"/>
  <c r="C25" i="19"/>
  <c r="C40" i="19" s="1"/>
  <c r="C53" i="19" s="1"/>
  <c r="C68" i="19" s="1"/>
  <c r="C86" i="19" s="1"/>
  <c r="C99" i="19" s="1"/>
  <c r="C116" i="19" s="1"/>
  <c r="C139" i="19" s="1"/>
  <c r="J8" i="6"/>
  <c r="J28" i="6" s="1"/>
  <c r="J19" i="6"/>
  <c r="J38" i="6" s="1"/>
  <c r="D36" i="4"/>
  <c r="J4" i="6"/>
  <c r="J23" i="6"/>
  <c r="F14" i="7"/>
  <c r="J24" i="6" l="1"/>
  <c r="J13" i="6"/>
  <c r="D70" i="4"/>
  <c r="D77" i="4" s="1"/>
  <c r="C127" i="19"/>
  <c r="C130" i="19"/>
  <c r="C124" i="19"/>
  <c r="D71" i="4" l="1"/>
  <c r="C15" i="19" l="1"/>
  <c r="C16" i="19"/>
  <c r="C18" i="19"/>
  <c r="C13" i="19"/>
  <c r="F209" i="3"/>
  <c r="F192" i="3"/>
  <c r="F198" i="3"/>
  <c r="F193" i="3"/>
  <c r="F169" i="3"/>
  <c r="F114" i="3"/>
  <c r="F124" i="3"/>
  <c r="F119" i="3"/>
  <c r="F115" i="3"/>
  <c r="F223" i="3" l="1"/>
  <c r="F134" i="3"/>
  <c r="C22" i="6" s="1"/>
  <c r="C11" i="19"/>
  <c r="F105" i="3"/>
  <c r="F49" i="3" l="1"/>
  <c r="F88" i="3" l="1"/>
  <c r="F98" i="3" s="1"/>
  <c r="F20" i="3"/>
  <c r="F13" i="3"/>
  <c r="F18" i="3" l="1"/>
  <c r="E61" i="2"/>
  <c r="F2" i="3"/>
  <c r="E64" i="2" s="1"/>
  <c r="F19" i="3" l="1"/>
  <c r="J25" i="6" l="1"/>
  <c r="J26" i="6"/>
  <c r="E4" i="7" l="1"/>
  <c r="B7" i="7"/>
  <c r="E124" i="19" l="1"/>
  <c r="F124" i="19" s="1"/>
  <c r="F126" i="2" l="1"/>
  <c r="F127" i="2"/>
  <c r="F149" i="19" l="1"/>
  <c r="E149" i="19"/>
  <c r="D149" i="19"/>
  <c r="C149" i="19"/>
  <c r="F144" i="19"/>
  <c r="E144" i="19"/>
  <c r="E150" i="19" s="1"/>
  <c r="D144" i="19"/>
  <c r="C144" i="19"/>
  <c r="F138" i="19"/>
  <c r="E138" i="19"/>
  <c r="D138" i="19"/>
  <c r="C138" i="19"/>
  <c r="C134" i="19"/>
  <c r="D132" i="19"/>
  <c r="D134" i="19" s="1"/>
  <c r="F122" i="19"/>
  <c r="E122" i="19"/>
  <c r="D122" i="19"/>
  <c r="C122" i="19"/>
  <c r="F115" i="19"/>
  <c r="E115" i="19"/>
  <c r="D115" i="19"/>
  <c r="C115" i="19"/>
  <c r="F111" i="19"/>
  <c r="E111" i="19"/>
  <c r="D111" i="19"/>
  <c r="C111" i="19"/>
  <c r="F104" i="19"/>
  <c r="F112" i="19" s="1"/>
  <c r="E104" i="19"/>
  <c r="E112" i="19" s="1"/>
  <c r="D104" i="19"/>
  <c r="C104" i="19"/>
  <c r="F98" i="19"/>
  <c r="E98" i="19"/>
  <c r="D98" i="19"/>
  <c r="C98" i="19"/>
  <c r="F94" i="19"/>
  <c r="E94" i="19"/>
  <c r="D94" i="19"/>
  <c r="C94" i="19"/>
  <c r="F91" i="19"/>
  <c r="F95" i="19" s="1"/>
  <c r="E91" i="19"/>
  <c r="E95" i="19" s="1"/>
  <c r="D91" i="19"/>
  <c r="D95" i="19" s="1"/>
  <c r="C91" i="19"/>
  <c r="C95" i="19" s="1"/>
  <c r="F85" i="19"/>
  <c r="E85" i="19"/>
  <c r="D85" i="19"/>
  <c r="C85" i="19"/>
  <c r="F81" i="19"/>
  <c r="E81" i="19"/>
  <c r="D81" i="19"/>
  <c r="C81" i="19"/>
  <c r="F74" i="19"/>
  <c r="F82" i="19" s="1"/>
  <c r="E74" i="19"/>
  <c r="E82" i="19" s="1"/>
  <c r="D74" i="19"/>
  <c r="D82" i="19" s="1"/>
  <c r="C74" i="19"/>
  <c r="F67" i="19"/>
  <c r="E67" i="19"/>
  <c r="D67" i="19"/>
  <c r="C67" i="19"/>
  <c r="F63" i="19"/>
  <c r="E63" i="19"/>
  <c r="D63" i="19"/>
  <c r="C63" i="19"/>
  <c r="F58" i="19"/>
  <c r="F64" i="19" s="1"/>
  <c r="E58" i="19"/>
  <c r="D58" i="19"/>
  <c r="D64" i="19" s="1"/>
  <c r="C58" i="19"/>
  <c r="F52" i="19"/>
  <c r="E52" i="19"/>
  <c r="D52" i="19"/>
  <c r="C52" i="19"/>
  <c r="F48" i="19"/>
  <c r="E48" i="19"/>
  <c r="D48" i="19"/>
  <c r="C48" i="19"/>
  <c r="F45" i="19"/>
  <c r="E45" i="19"/>
  <c r="E49" i="19" s="1"/>
  <c r="D45" i="19"/>
  <c r="D49" i="19" s="1"/>
  <c r="C45" i="19"/>
  <c r="F39" i="19"/>
  <c r="E39" i="19"/>
  <c r="D39" i="19"/>
  <c r="C39" i="19"/>
  <c r="F35" i="19"/>
  <c r="E35" i="19"/>
  <c r="D35" i="19"/>
  <c r="C35" i="19"/>
  <c r="F31" i="19"/>
  <c r="F36" i="19" s="1"/>
  <c r="E31" i="19"/>
  <c r="E36" i="19" s="1"/>
  <c r="D31" i="19"/>
  <c r="D36" i="19" s="1"/>
  <c r="C31" i="19"/>
  <c r="F24" i="19"/>
  <c r="E24" i="19"/>
  <c r="D24" i="19"/>
  <c r="C24" i="19"/>
  <c r="D20" i="19"/>
  <c r="C20" i="19"/>
  <c r="C21" i="19" s="1"/>
  <c r="E20" i="19"/>
  <c r="D11" i="19"/>
  <c r="E8" i="19"/>
  <c r="F6" i="19"/>
  <c r="E6" i="19"/>
  <c r="E11" i="19" l="1"/>
  <c r="E21" i="19" s="1"/>
  <c r="D21" i="19"/>
  <c r="D112" i="19"/>
  <c r="E132" i="19"/>
  <c r="E134" i="19" s="1"/>
  <c r="E135" i="19" s="1"/>
  <c r="C150" i="19"/>
  <c r="C151" i="19" s="1"/>
  <c r="D140" i="19" s="1"/>
  <c r="D151" i="19" s="1"/>
  <c r="E140" i="19" s="1"/>
  <c r="E151" i="19" s="1"/>
  <c r="F140" i="19" s="1"/>
  <c r="F151" i="19" s="1"/>
  <c r="C135" i="19"/>
  <c r="C136" i="19" s="1"/>
  <c r="D117" i="19" s="1"/>
  <c r="C112" i="19"/>
  <c r="C113" i="19" s="1"/>
  <c r="D100" i="19" s="1"/>
  <c r="C96" i="19"/>
  <c r="D87" i="19" s="1"/>
  <c r="D96" i="19" s="1"/>
  <c r="E87" i="19" s="1"/>
  <c r="E96" i="19" s="1"/>
  <c r="F87" i="19" s="1"/>
  <c r="F96" i="19" s="1"/>
  <c r="C64" i="19"/>
  <c r="C65" i="19" s="1"/>
  <c r="D54" i="19" s="1"/>
  <c r="D65" i="19" s="1"/>
  <c r="E54" i="19" s="1"/>
  <c r="C49" i="19"/>
  <c r="F150" i="19"/>
  <c r="D135" i="19"/>
  <c r="F20" i="19"/>
  <c r="C36" i="19"/>
  <c r="F49" i="19"/>
  <c r="E64" i="19"/>
  <c r="C22" i="19"/>
  <c r="D3" i="19" s="1"/>
  <c r="C82" i="19"/>
  <c r="C83" i="19" s="1"/>
  <c r="D69" i="19" s="1"/>
  <c r="E69" i="19" s="1"/>
  <c r="E83" i="19" s="1"/>
  <c r="F69" i="19" s="1"/>
  <c r="F83" i="19" s="1"/>
  <c r="D150" i="19"/>
  <c r="C37" i="19"/>
  <c r="D26" i="19" s="1"/>
  <c r="D37" i="19" s="1"/>
  <c r="E26" i="19" s="1"/>
  <c r="E37" i="19" s="1"/>
  <c r="F26" i="19" s="1"/>
  <c r="F37" i="19" s="1"/>
  <c r="F8" i="19"/>
  <c r="F11" i="19" s="1"/>
  <c r="D113" i="19" l="1"/>
  <c r="E100" i="19" s="1"/>
  <c r="E113" i="19" s="1"/>
  <c r="F100" i="19" s="1"/>
  <c r="F113" i="19" s="1"/>
  <c r="D22" i="19"/>
  <c r="E3" i="19" s="1"/>
  <c r="E22" i="19" s="1"/>
  <c r="F3" i="19" s="1"/>
  <c r="F132" i="19"/>
  <c r="F134" i="19" s="1"/>
  <c r="F135" i="19" s="1"/>
  <c r="C50" i="19"/>
  <c r="D41" i="19" s="1"/>
  <c r="D50" i="19" s="1"/>
  <c r="E41" i="19" s="1"/>
  <c r="E50" i="19" s="1"/>
  <c r="F41" i="19" s="1"/>
  <c r="F50" i="19" s="1"/>
  <c r="D136" i="19"/>
  <c r="E117" i="19" s="1"/>
  <c r="E136" i="19" s="1"/>
  <c r="F117" i="19" s="1"/>
  <c r="E65" i="19"/>
  <c r="F54" i="19" s="1"/>
  <c r="F65" i="19" s="1"/>
  <c r="F21" i="19"/>
  <c r="F22" i="19" l="1"/>
  <c r="F136" i="19"/>
  <c r="G63" i="2"/>
  <c r="E17" i="2" l="1"/>
  <c r="D11" i="6"/>
  <c r="I96" i="3" l="1"/>
  <c r="H96" i="3"/>
  <c r="G96" i="3"/>
  <c r="G98" i="3" l="1"/>
  <c r="D31" i="6"/>
  <c r="F119" i="2"/>
  <c r="G101" i="2" l="1"/>
  <c r="G88" i="2"/>
  <c r="G126" i="2" s="1"/>
  <c r="G116" i="2" l="1"/>
  <c r="G127" i="2"/>
  <c r="G93" i="2"/>
  <c r="D12" i="6"/>
  <c r="C12" i="6"/>
  <c r="F10" i="6"/>
  <c r="E10" i="6"/>
  <c r="D10" i="6"/>
  <c r="C10" i="6"/>
  <c r="M9" i="6" l="1"/>
  <c r="L9" i="6"/>
  <c r="K9" i="6"/>
  <c r="J9" i="6"/>
  <c r="M16" i="6"/>
  <c r="G80" i="4" s="1"/>
  <c r="L16" i="6"/>
  <c r="F80" i="4" s="1"/>
  <c r="K16" i="6"/>
  <c r="E80" i="4" s="1"/>
  <c r="J16" i="6"/>
  <c r="D80" i="4" s="1"/>
  <c r="K64" i="2"/>
  <c r="I64" i="2"/>
  <c r="G64" i="2"/>
  <c r="F35" i="4"/>
  <c r="G35" i="4" l="1"/>
  <c r="G120" i="2" l="1"/>
  <c r="F120" i="2"/>
  <c r="F22" i="4" l="1"/>
  <c r="G22" i="4" s="1"/>
  <c r="F21" i="4"/>
  <c r="G21" i="4" s="1"/>
  <c r="F7" i="6"/>
  <c r="F5" i="6"/>
  <c r="M38" i="6" l="1"/>
  <c r="M20" i="6"/>
  <c r="M17" i="6"/>
  <c r="M37" i="6" s="1"/>
  <c r="M8" i="6"/>
  <c r="M28" i="6" s="1"/>
  <c r="M26" i="6"/>
  <c r="M4" i="6"/>
  <c r="Q43" i="7"/>
  <c r="P12" i="7"/>
  <c r="O12" i="7"/>
  <c r="Q4" i="7"/>
  <c r="K138" i="2"/>
  <c r="J138" i="2"/>
  <c r="K127" i="2"/>
  <c r="K126" i="2"/>
  <c r="J119" i="2"/>
  <c r="K116" i="2"/>
  <c r="K74" i="2"/>
  <c r="K119" i="2" s="1"/>
  <c r="K66" i="2"/>
  <c r="I246" i="3"/>
  <c r="I151" i="3"/>
  <c r="I29" i="3"/>
  <c r="I22" i="3"/>
  <c r="F30" i="6" s="1"/>
  <c r="I6" i="3"/>
  <c r="F23" i="6" s="1"/>
  <c r="M24" i="6" l="1"/>
  <c r="O39" i="7"/>
  <c r="P39" i="7"/>
  <c r="K130" i="2"/>
  <c r="K98" i="2"/>
  <c r="Q37" i="7"/>
  <c r="Q39" i="7" l="1"/>
  <c r="C12" i="7"/>
  <c r="D119" i="2" l="1"/>
  <c r="E121" i="2"/>
  <c r="D121" i="2"/>
  <c r="D120" i="2"/>
  <c r="E93" i="2"/>
  <c r="E120" i="2" s="1"/>
  <c r="E78" i="2"/>
  <c r="J10" i="6" l="1"/>
  <c r="L34" i="6" l="1"/>
  <c r="M34" i="6" s="1"/>
  <c r="H22" i="3" l="1"/>
  <c r="E30" i="6" s="1"/>
  <c r="G22" i="3"/>
  <c r="D30" i="6" s="1"/>
  <c r="F22" i="3"/>
  <c r="C30" i="6" s="1"/>
  <c r="E129" i="2" l="1"/>
  <c r="D129" i="2"/>
  <c r="E128" i="2"/>
  <c r="D128" i="2"/>
  <c r="E127" i="2"/>
  <c r="D127" i="2"/>
  <c r="D126" i="2"/>
  <c r="E116" i="2"/>
  <c r="E79" i="2" l="1"/>
  <c r="E126" i="2" s="1"/>
  <c r="E76" i="2"/>
  <c r="E75" i="2"/>
  <c r="H29" i="3" l="1"/>
  <c r="G29" i="3"/>
  <c r="D32" i="6" s="1"/>
  <c r="F29" i="3"/>
  <c r="C32" i="6" s="1"/>
  <c r="L20" i="6"/>
  <c r="J20" i="6"/>
  <c r="I49" i="7" l="1"/>
  <c r="C16" i="16"/>
  <c r="I88" i="3"/>
  <c r="H88" i="3"/>
  <c r="H98" i="3" l="1"/>
  <c r="E32" i="6"/>
  <c r="I98" i="3"/>
  <c r="F32" i="6"/>
  <c r="M49" i="7"/>
  <c r="D16" i="16"/>
  <c r="D38" i="16" s="1"/>
  <c r="F36" i="4"/>
  <c r="F70" i="4" s="1"/>
  <c r="M14" i="6"/>
  <c r="F7" i="4"/>
  <c r="E34" i="6"/>
  <c r="D34" i="6"/>
  <c r="F106" i="3"/>
  <c r="C29" i="6" s="1"/>
  <c r="L12" i="6" l="1"/>
  <c r="F246" i="3"/>
  <c r="G36" i="4"/>
  <c r="G70" i="4" s="1"/>
  <c r="G7" i="4"/>
  <c r="M12" i="6" s="1"/>
  <c r="K63" i="2"/>
  <c r="I63" i="2"/>
  <c r="D34" i="2"/>
  <c r="D35" i="2"/>
  <c r="E35" i="2" s="1"/>
  <c r="G34" i="2"/>
  <c r="H106" i="3"/>
  <c r="E29" i="6" s="1"/>
  <c r="I106" i="3" l="1"/>
  <c r="F29" i="6" s="1"/>
  <c r="F35" i="2"/>
  <c r="G35" i="2" s="1"/>
  <c r="F29" i="2"/>
  <c r="I34" i="2"/>
  <c r="H34" i="2"/>
  <c r="F30" i="2"/>
  <c r="G30" i="2" s="1"/>
  <c r="C4" i="6"/>
  <c r="C5" i="6"/>
  <c r="C7" i="6"/>
  <c r="K8" i="6"/>
  <c r="D4" i="6"/>
  <c r="D5" i="6"/>
  <c r="D7" i="6"/>
  <c r="K4" i="6"/>
  <c r="K38" i="6"/>
  <c r="E4" i="6"/>
  <c r="E5" i="6"/>
  <c r="E7" i="6"/>
  <c r="L4" i="6"/>
  <c r="L26" i="6"/>
  <c r="L8" i="6"/>
  <c r="L28" i="6" s="1"/>
  <c r="L17" i="6"/>
  <c r="L37" i="6" s="1"/>
  <c r="L38" i="6"/>
  <c r="K12" i="7"/>
  <c r="L12" i="7"/>
  <c r="H12" i="7"/>
  <c r="G12" i="7"/>
  <c r="D12" i="7"/>
  <c r="C11" i="6"/>
  <c r="H6" i="3"/>
  <c r="E23" i="6" s="1"/>
  <c r="I138" i="2"/>
  <c r="H138" i="2"/>
  <c r="I127" i="2"/>
  <c r="I126" i="2"/>
  <c r="H119" i="2"/>
  <c r="I116" i="2"/>
  <c r="I74" i="2"/>
  <c r="I119" i="2" s="1"/>
  <c r="I66" i="2"/>
  <c r="G66" i="2"/>
  <c r="G74" i="2"/>
  <c r="F138" i="2"/>
  <c r="G138" i="2"/>
  <c r="M43" i="7"/>
  <c r="M4" i="7"/>
  <c r="B8" i="7"/>
  <c r="F5" i="7" s="1"/>
  <c r="F8" i="7" s="1"/>
  <c r="D37" i="7"/>
  <c r="C37" i="7"/>
  <c r="B37" i="7"/>
  <c r="C6" i="7"/>
  <c r="C7" i="7" s="1"/>
  <c r="C8" i="7" s="1"/>
  <c r="G5" i="7" s="1"/>
  <c r="G8" i="7" s="1"/>
  <c r="D6" i="7"/>
  <c r="D7" i="7" s="1"/>
  <c r="D8" i="7" s="1"/>
  <c r="D10" i="7" s="1"/>
  <c r="E43" i="7"/>
  <c r="G6" i="7"/>
  <c r="H6" i="7"/>
  <c r="J17" i="6"/>
  <c r="J37" i="6" s="1"/>
  <c r="C16" i="8"/>
  <c r="G6" i="3"/>
  <c r="D23" i="6" s="1"/>
  <c r="F6" i="3"/>
  <c r="C23" i="6" s="1"/>
  <c r="I4" i="7"/>
  <c r="E138" i="2"/>
  <c r="D138" i="2"/>
  <c r="E66" i="2"/>
  <c r="I232" i="3"/>
  <c r="F24" i="6" s="1"/>
  <c r="G236" i="3"/>
  <c r="H236" i="3" s="1"/>
  <c r="I236" i="3" s="1"/>
  <c r="J14" i="6"/>
  <c r="L14" i="6"/>
  <c r="E74" i="2"/>
  <c r="E119" i="2" s="1"/>
  <c r="F42" i="4"/>
  <c r="F16" i="4"/>
  <c r="G246" i="3"/>
  <c r="F75" i="4" l="1"/>
  <c r="L7" i="6"/>
  <c r="F68" i="4"/>
  <c r="L24" i="6"/>
  <c r="D72" i="4"/>
  <c r="G98" i="2"/>
  <c r="G119" i="2"/>
  <c r="G130" i="2" s="1"/>
  <c r="H30" i="2"/>
  <c r="H31" i="2" s="1"/>
  <c r="I30" i="2"/>
  <c r="G31" i="2"/>
  <c r="G56" i="2" s="1"/>
  <c r="D27" i="16"/>
  <c r="D48" i="6" s="1"/>
  <c r="D49" i="6" s="1"/>
  <c r="E37" i="7"/>
  <c r="D38" i="7"/>
  <c r="D36" i="7"/>
  <c r="D39" i="7"/>
  <c r="D14" i="7"/>
  <c r="D13" i="7"/>
  <c r="K39" i="7"/>
  <c r="L39" i="7"/>
  <c r="G39" i="7"/>
  <c r="G14" i="7"/>
  <c r="H39" i="7"/>
  <c r="H14" i="7"/>
  <c r="G42" i="4"/>
  <c r="K14" i="7"/>
  <c r="L14" i="7"/>
  <c r="J27" i="6"/>
  <c r="J40" i="6" s="1"/>
  <c r="J21" i="6"/>
  <c r="E10" i="2"/>
  <c r="K24" i="6"/>
  <c r="J5" i="7"/>
  <c r="J7" i="7" s="1"/>
  <c r="J8" i="7" s="1"/>
  <c r="J10" i="7" s="1"/>
  <c r="B10" i="7"/>
  <c r="G16" i="2"/>
  <c r="F45" i="4"/>
  <c r="M37" i="7"/>
  <c r="E52" i="2"/>
  <c r="E58" i="2" s="1"/>
  <c r="K34" i="2"/>
  <c r="J34" i="2"/>
  <c r="I240" i="3"/>
  <c r="G9" i="4"/>
  <c r="L27" i="6"/>
  <c r="G16" i="4"/>
  <c r="D11" i="7"/>
  <c r="F28" i="2"/>
  <c r="F27" i="2"/>
  <c r="F26" i="2"/>
  <c r="I37" i="7"/>
  <c r="C10" i="7"/>
  <c r="H5" i="7"/>
  <c r="H8" i="7" s="1"/>
  <c r="D14" i="6"/>
  <c r="D13" i="6"/>
  <c r="E130" i="2"/>
  <c r="E98" i="2"/>
  <c r="I130" i="2"/>
  <c r="H35" i="2"/>
  <c r="I35" i="2" s="1"/>
  <c r="I98" i="2"/>
  <c r="K5" i="7"/>
  <c r="K7" i="7" s="1"/>
  <c r="K8" i="7" s="1"/>
  <c r="K10" i="7" s="1"/>
  <c r="K11" i="7" s="1"/>
  <c r="G10" i="7"/>
  <c r="G11" i="7" s="1"/>
  <c r="F10" i="7"/>
  <c r="C13" i="6"/>
  <c r="K28" i="6"/>
  <c r="K37" i="6"/>
  <c r="C26" i="8"/>
  <c r="D23" i="8"/>
  <c r="K14" i="6"/>
  <c r="K26" i="6"/>
  <c r="G44" i="2"/>
  <c r="G57" i="2" s="1"/>
  <c r="E44" i="2"/>
  <c r="E57" i="2" s="1"/>
  <c r="F151" i="3"/>
  <c r="C26" i="6" s="1"/>
  <c r="F232" i="3"/>
  <c r="C24" i="6" s="1"/>
  <c r="F240" i="3"/>
  <c r="F248" i="3" s="1"/>
  <c r="F145" i="3"/>
  <c r="C25" i="6" s="1"/>
  <c r="I18" i="3"/>
  <c r="G18" i="3"/>
  <c r="D27" i="6" s="1"/>
  <c r="G240" i="3"/>
  <c r="H240" i="3"/>
  <c r="C27" i="6"/>
  <c r="H232" i="3"/>
  <c r="E24" i="6" s="1"/>
  <c r="G232" i="3"/>
  <c r="D24" i="6" s="1"/>
  <c r="I19" i="3" l="1"/>
  <c r="F27" i="6"/>
  <c r="E72" i="4"/>
  <c r="K33" i="6"/>
  <c r="L33" i="6" s="1"/>
  <c r="M33" i="6" s="1"/>
  <c r="M5" i="6"/>
  <c r="M25" i="6" s="1"/>
  <c r="M7" i="6"/>
  <c r="M27" i="6" s="1"/>
  <c r="J30" i="2"/>
  <c r="J31" i="2" s="1"/>
  <c r="I31" i="2"/>
  <c r="I56" i="2" s="1"/>
  <c r="F31" i="2"/>
  <c r="G17" i="2"/>
  <c r="H15" i="2"/>
  <c r="G19" i="3"/>
  <c r="M14" i="7"/>
  <c r="F27" i="16"/>
  <c r="F48" i="6" s="1"/>
  <c r="E27" i="16"/>
  <c r="E48" i="6" s="1"/>
  <c r="G13" i="7"/>
  <c r="M39" i="7"/>
  <c r="G36" i="7"/>
  <c r="K38" i="7"/>
  <c r="F38" i="7"/>
  <c r="F36" i="7"/>
  <c r="F11" i="7"/>
  <c r="F13" i="7"/>
  <c r="C11" i="7"/>
  <c r="C39" i="7"/>
  <c r="C36" i="7"/>
  <c r="C38" i="7"/>
  <c r="C13" i="7"/>
  <c r="C14" i="7"/>
  <c r="D15" i="7"/>
  <c r="B11" i="7"/>
  <c r="B39" i="7"/>
  <c r="B38" i="7"/>
  <c r="B36" i="7"/>
  <c r="B14" i="7"/>
  <c r="B13" i="7"/>
  <c r="J38" i="7"/>
  <c r="J36" i="7"/>
  <c r="J11" i="7"/>
  <c r="J13" i="7"/>
  <c r="K13" i="7"/>
  <c r="G38" i="7"/>
  <c r="K36" i="7"/>
  <c r="I39" i="7"/>
  <c r="I14" i="7"/>
  <c r="G45" i="4"/>
  <c r="J41" i="6"/>
  <c r="E14" i="6"/>
  <c r="G19" i="2"/>
  <c r="E20" i="2"/>
  <c r="G9" i="2"/>
  <c r="I44" i="2"/>
  <c r="I57" i="2" s="1"/>
  <c r="K44" i="2"/>
  <c r="K57" i="2" s="1"/>
  <c r="I51" i="2"/>
  <c r="J35" i="2"/>
  <c r="K35" i="2" s="1"/>
  <c r="K51" i="2" s="1"/>
  <c r="H145" i="3"/>
  <c r="E25" i="6" s="1"/>
  <c r="I145" i="3"/>
  <c r="F25" i="6" s="1"/>
  <c r="F20" i="4"/>
  <c r="F62" i="4" s="1"/>
  <c r="H10" i="7"/>
  <c r="F63" i="4"/>
  <c r="F77" i="4" s="1"/>
  <c r="H18" i="3"/>
  <c r="E27" i="6" s="1"/>
  <c r="L5" i="7"/>
  <c r="O5" i="7"/>
  <c r="O7" i="7" s="1"/>
  <c r="O8" i="7" s="1"/>
  <c r="O10" i="7" s="1"/>
  <c r="N5" i="7"/>
  <c r="N7" i="7" s="1"/>
  <c r="N8" i="7" s="1"/>
  <c r="N10" i="7" s="1"/>
  <c r="K27" i="6"/>
  <c r="E23" i="8"/>
  <c r="D26" i="8"/>
  <c r="D17" i="6"/>
  <c r="F33" i="4"/>
  <c r="F67" i="4" s="1"/>
  <c r="H151" i="3"/>
  <c r="G151" i="3"/>
  <c r="H246" i="3"/>
  <c r="G134" i="3"/>
  <c r="D22" i="6" s="1"/>
  <c r="H8" i="2" l="1"/>
  <c r="I8" i="2" s="1"/>
  <c r="I9" i="2" s="1"/>
  <c r="G10" i="2"/>
  <c r="G20" i="2"/>
  <c r="H18" i="2"/>
  <c r="I18" i="2" s="1"/>
  <c r="K30" i="2"/>
  <c r="K31" i="2" s="1"/>
  <c r="K56" i="2" s="1"/>
  <c r="H19" i="3"/>
  <c r="E39" i="7"/>
  <c r="N38" i="7"/>
  <c r="N36" i="7"/>
  <c r="L7" i="7"/>
  <c r="L8" i="7" s="1"/>
  <c r="L10" i="7" s="1"/>
  <c r="E38" i="7"/>
  <c r="E40" i="7" s="1"/>
  <c r="E42" i="7" s="1"/>
  <c r="E44" i="7" s="1"/>
  <c r="E45" i="7" s="1"/>
  <c r="O38" i="7"/>
  <c r="O36" i="7"/>
  <c r="H11" i="7"/>
  <c r="I11" i="7" s="1"/>
  <c r="H13" i="7"/>
  <c r="I13" i="7" s="1"/>
  <c r="H36" i="7"/>
  <c r="H38" i="7"/>
  <c r="I38" i="7" s="1"/>
  <c r="I40" i="7" s="1"/>
  <c r="I48" i="7" s="1"/>
  <c r="E14" i="7"/>
  <c r="E11" i="7"/>
  <c r="B15" i="7"/>
  <c r="C15" i="7"/>
  <c r="F14" i="6"/>
  <c r="F71" i="4"/>
  <c r="E12" i="6"/>
  <c r="K21" i="6"/>
  <c r="H134" i="3"/>
  <c r="E22" i="6" s="1"/>
  <c r="I134" i="3"/>
  <c r="F22" i="6" s="1"/>
  <c r="G69" i="4"/>
  <c r="G20" i="4"/>
  <c r="L40" i="6"/>
  <c r="G4" i="4"/>
  <c r="E13" i="6"/>
  <c r="G63" i="4"/>
  <c r="G77" i="4" s="1"/>
  <c r="L13" i="6"/>
  <c r="G33" i="4"/>
  <c r="E13" i="7"/>
  <c r="G15" i="7"/>
  <c r="F15" i="7"/>
  <c r="E26" i="8"/>
  <c r="F23" i="8"/>
  <c r="K40" i="6"/>
  <c r="E17" i="6" l="1"/>
  <c r="F72" i="4"/>
  <c r="I19" i="2"/>
  <c r="J8" i="2"/>
  <c r="K8" i="2" s="1"/>
  <c r="K9" i="2" s="1"/>
  <c r="I10" i="2"/>
  <c r="E48" i="7"/>
  <c r="E50" i="7" s="1"/>
  <c r="E51" i="7" s="1"/>
  <c r="E52" i="7" s="1"/>
  <c r="P5" i="7"/>
  <c r="P7" i="7" s="1"/>
  <c r="P8" i="7" s="1"/>
  <c r="P10" i="7" s="1"/>
  <c r="P36" i="7" s="1"/>
  <c r="H15" i="7"/>
  <c r="I15" i="7" s="1"/>
  <c r="I18" i="7" s="1"/>
  <c r="I20" i="7" s="1"/>
  <c r="E15" i="7"/>
  <c r="E18" i="7" s="1"/>
  <c r="E20" i="7" s="1"/>
  <c r="E22" i="7" s="1"/>
  <c r="E23" i="7" s="1"/>
  <c r="I41" i="7"/>
  <c r="E29" i="7"/>
  <c r="C6" i="6" s="1"/>
  <c r="L11" i="7"/>
  <c r="M11" i="7" s="1"/>
  <c r="L13" i="7"/>
  <c r="M13" i="7" s="1"/>
  <c r="L36" i="7"/>
  <c r="L38" i="7"/>
  <c r="G62" i="4"/>
  <c r="M13" i="6"/>
  <c r="G67" i="4"/>
  <c r="F12" i="6"/>
  <c r="F76" i="4"/>
  <c r="M40" i="6"/>
  <c r="G68" i="4"/>
  <c r="O14" i="7"/>
  <c r="O11" i="7"/>
  <c r="O13" i="7"/>
  <c r="P14" i="7"/>
  <c r="N14" i="7"/>
  <c r="N11" i="7"/>
  <c r="N13" i="7"/>
  <c r="K16" i="2"/>
  <c r="K17" i="2" s="1"/>
  <c r="F26" i="8"/>
  <c r="G23" i="8"/>
  <c r="G26" i="8" s="1"/>
  <c r="F13" i="6"/>
  <c r="C15" i="8"/>
  <c r="J15" i="7"/>
  <c r="F17" i="6" l="1"/>
  <c r="I20" i="2"/>
  <c r="J18" i="2"/>
  <c r="K18" i="2" s="1"/>
  <c r="K10" i="2"/>
  <c r="D15" i="8"/>
  <c r="D35" i="8" s="1"/>
  <c r="C15" i="16"/>
  <c r="P11" i="7"/>
  <c r="Q11" i="7" s="1"/>
  <c r="P13" i="7"/>
  <c r="Q13" i="7" s="1"/>
  <c r="P38" i="7"/>
  <c r="Q38" i="7" s="1"/>
  <c r="Q40" i="7" s="1"/>
  <c r="Q48" i="7" s="1"/>
  <c r="D60" i="4"/>
  <c r="G76" i="4"/>
  <c r="G75" i="4"/>
  <c r="G71" i="4"/>
  <c r="G72" i="4" s="1"/>
  <c r="Q14" i="7"/>
  <c r="E14" i="2"/>
  <c r="O15" i="7"/>
  <c r="C10" i="8"/>
  <c r="N15" i="7"/>
  <c r="K15" i="7"/>
  <c r="L15" i="7"/>
  <c r="M38" i="7"/>
  <c r="M40" i="7" s="1"/>
  <c r="M48" i="7" s="1"/>
  <c r="C11" i="8"/>
  <c r="F12" i="2"/>
  <c r="I42" i="7"/>
  <c r="I44" i="7" s="1"/>
  <c r="I45" i="7" s="1"/>
  <c r="E55" i="2" l="1"/>
  <c r="E60" i="2" s="1"/>
  <c r="E65" i="2" s="1"/>
  <c r="K19" i="2"/>
  <c r="K20" i="2" s="1"/>
  <c r="P15" i="7"/>
  <c r="Q15" i="7" s="1"/>
  <c r="Q18" i="7" s="1"/>
  <c r="Q20" i="7" s="1"/>
  <c r="I29" i="7"/>
  <c r="D74" i="4"/>
  <c r="D78" i="4" s="1"/>
  <c r="D82" i="4" s="1"/>
  <c r="D64" i="4"/>
  <c r="D65" i="4" s="1"/>
  <c r="G6" i="2"/>
  <c r="G13" i="2"/>
  <c r="C4" i="8"/>
  <c r="M15" i="7"/>
  <c r="M18" i="7" s="1"/>
  <c r="E53" i="7"/>
  <c r="E54" i="7" s="1"/>
  <c r="E55" i="7" s="1"/>
  <c r="E56" i="7" s="1"/>
  <c r="E57" i="7" s="1"/>
  <c r="E25" i="7"/>
  <c r="C5" i="8"/>
  <c r="C20" i="8" s="1"/>
  <c r="C27" i="8" s="1"/>
  <c r="I22" i="7"/>
  <c r="I23" i="7" s="1"/>
  <c r="E60" i="4" s="1"/>
  <c r="D16" i="8"/>
  <c r="D37" i="8" s="1"/>
  <c r="M41" i="7"/>
  <c r="D6" i="6"/>
  <c r="C21" i="6" l="1"/>
  <c r="C35" i="6" s="1"/>
  <c r="G14" i="2"/>
  <c r="H12" i="2"/>
  <c r="I12" i="2" s="1"/>
  <c r="G7" i="2"/>
  <c r="H5" i="2"/>
  <c r="I5" i="2"/>
  <c r="E15" i="8"/>
  <c r="E35" i="8" s="1"/>
  <c r="D15" i="16"/>
  <c r="D36" i="16" s="1"/>
  <c r="E74" i="4"/>
  <c r="E78" i="4" s="1"/>
  <c r="E82" i="4" s="1"/>
  <c r="E64" i="4"/>
  <c r="E65" i="4" s="1"/>
  <c r="Q22" i="7"/>
  <c r="Q23" i="7" s="1"/>
  <c r="G60" i="4" s="1"/>
  <c r="C6" i="8"/>
  <c r="I50" i="7"/>
  <c r="M42" i="7"/>
  <c r="M44" i="7" s="1"/>
  <c r="M45" i="7" s="1"/>
  <c r="J49" i="6" l="1"/>
  <c r="C5" i="16" s="1"/>
  <c r="C20" i="16" s="1"/>
  <c r="C28" i="16" s="1"/>
  <c r="C11" i="16"/>
  <c r="G55" i="2"/>
  <c r="I13" i="2"/>
  <c r="J12" i="2" s="1"/>
  <c r="J5" i="2"/>
  <c r="I51" i="7"/>
  <c r="I52" i="7" s="1"/>
  <c r="G74" i="4"/>
  <c r="G78" i="4" s="1"/>
  <c r="G82" i="4" s="1"/>
  <c r="G64" i="4"/>
  <c r="G65" i="4" s="1"/>
  <c r="Q25" i="7"/>
  <c r="Q53" i="7"/>
  <c r="I6" i="2"/>
  <c r="I7" i="2" s="1"/>
  <c r="I53" i="7"/>
  <c r="I26" i="7"/>
  <c r="G222" i="3" s="1"/>
  <c r="M29" i="7"/>
  <c r="E6" i="6" s="1"/>
  <c r="Q41" i="7"/>
  <c r="Q42" i="7" s="1"/>
  <c r="Q44" i="7" s="1"/>
  <c r="Q45" i="7" s="1"/>
  <c r="Q29" i="7" s="1"/>
  <c r="F15" i="16" s="1"/>
  <c r="I25" i="7"/>
  <c r="I31" i="7" s="1"/>
  <c r="M20" i="7"/>
  <c r="M22" i="7" s="1"/>
  <c r="D11" i="8"/>
  <c r="D36" i="8" s="1"/>
  <c r="D5" i="8" l="1"/>
  <c r="D20" i="8" s="1"/>
  <c r="D27" i="8" s="1"/>
  <c r="K5" i="2"/>
  <c r="K12" i="2"/>
  <c r="I14" i="2"/>
  <c r="I55" i="2" s="1"/>
  <c r="F15" i="8"/>
  <c r="E15" i="16"/>
  <c r="E36" i="16" s="1"/>
  <c r="M23" i="7"/>
  <c r="F60" i="4" s="1"/>
  <c r="I54" i="7"/>
  <c r="I55" i="7" s="1"/>
  <c r="I56" i="7" s="1"/>
  <c r="I57" i="7" s="1"/>
  <c r="C47" i="6"/>
  <c r="C49" i="6" s="1"/>
  <c r="G223" i="3"/>
  <c r="D26" i="6" s="1"/>
  <c r="Q31" i="7"/>
  <c r="G15" i="8"/>
  <c r="F35" i="8"/>
  <c r="C12" i="8"/>
  <c r="C7" i="8"/>
  <c r="E16" i="8"/>
  <c r="E37" i="8" s="1"/>
  <c r="K14" i="2" l="1"/>
  <c r="K13" i="2"/>
  <c r="K7" i="2"/>
  <c r="G35" i="8"/>
  <c r="F36" i="16"/>
  <c r="Q26" i="7"/>
  <c r="F64" i="4"/>
  <c r="F65" i="4" s="1"/>
  <c r="F74" i="4"/>
  <c r="F78" i="4" s="1"/>
  <c r="F82" i="4" s="1"/>
  <c r="K6" i="2"/>
  <c r="M25" i="7"/>
  <c r="M31" i="7" s="1"/>
  <c r="E3" i="6" s="1"/>
  <c r="M26" i="7"/>
  <c r="M32" i="7" s="1"/>
  <c r="C18" i="8"/>
  <c r="C28" i="8" s="1"/>
  <c r="C31" i="8" s="1"/>
  <c r="C30" i="8"/>
  <c r="C19" i="6"/>
  <c r="D84" i="4" s="1"/>
  <c r="D85" i="4" s="1"/>
  <c r="M53" i="7"/>
  <c r="M50" i="7"/>
  <c r="M51" i="7" s="1"/>
  <c r="M52" i="7" s="1"/>
  <c r="K55" i="2" l="1"/>
  <c r="J48" i="6"/>
  <c r="C10" i="16"/>
  <c r="H223" i="3"/>
  <c r="C36" i="6"/>
  <c r="Q32" i="7"/>
  <c r="D10" i="8"/>
  <c r="D34" i="8" s="1"/>
  <c r="J45" i="6"/>
  <c r="J46" i="6" s="1"/>
  <c r="K44" i="6" s="1"/>
  <c r="M54" i="7"/>
  <c r="M55" i="7" s="1"/>
  <c r="M56" i="7" s="1"/>
  <c r="M57" i="7" s="1"/>
  <c r="H248" i="3" l="1"/>
  <c r="E26" i="6"/>
  <c r="C6" i="16"/>
  <c r="C4" i="16"/>
  <c r="I223" i="3"/>
  <c r="F26" i="6" s="1"/>
  <c r="C40" i="6"/>
  <c r="C41" i="6" s="1"/>
  <c r="C12" i="16" s="1"/>
  <c r="C31" i="16" s="1"/>
  <c r="E16" i="16"/>
  <c r="E38" i="16" s="1"/>
  <c r="D4" i="8"/>
  <c r="D6" i="8" l="1"/>
  <c r="C18" i="16"/>
  <c r="C29" i="16" s="1"/>
  <c r="C32" i="16" s="1"/>
  <c r="I248" i="3"/>
  <c r="D39" i="6"/>
  <c r="D12" i="8"/>
  <c r="D18" i="8" s="1"/>
  <c r="D28" i="8" s="1"/>
  <c r="D31" i="8" s="1"/>
  <c r="C50" i="6"/>
  <c r="C51" i="6" s="1"/>
  <c r="J51" i="6"/>
  <c r="C42" i="6"/>
  <c r="F16" i="8"/>
  <c r="F37" i="8" s="1"/>
  <c r="Q49" i="7"/>
  <c r="Q50" i="7" s="1"/>
  <c r="Q51" i="7" s="1"/>
  <c r="Q52" i="7" s="1"/>
  <c r="Q54" i="7" s="1"/>
  <c r="Q55" i="7" s="1"/>
  <c r="Q56" i="7" s="1"/>
  <c r="Q57" i="7" s="1"/>
  <c r="G16" i="8" l="1"/>
  <c r="G37" i="8" s="1"/>
  <c r="F16" i="16"/>
  <c r="F38" i="16" s="1"/>
  <c r="D7" i="8"/>
  <c r="C7" i="16"/>
  <c r="D30" i="8"/>
  <c r="G106" i="3" l="1"/>
  <c r="G248" i="3" l="1"/>
  <c r="D29" i="6"/>
  <c r="D18" i="6"/>
  <c r="D19" i="6" s="1"/>
  <c r="D10" i="16" l="1"/>
  <c r="D35" i="16" s="1"/>
  <c r="E84" i="4"/>
  <c r="E85" i="4" s="1"/>
  <c r="E10" i="8"/>
  <c r="K48" i="6"/>
  <c r="D4" i="16" s="1"/>
  <c r="K45" i="6"/>
  <c r="K46" i="6" s="1"/>
  <c r="L44" i="6" s="1"/>
  <c r="K41" i="6"/>
  <c r="E4" i="8" l="1"/>
  <c r="E34" i="8"/>
  <c r="G52" i="2"/>
  <c r="G58" i="2" l="1"/>
  <c r="G60" i="2" s="1"/>
  <c r="G65" i="2" s="1"/>
  <c r="H50" i="2"/>
  <c r="I50" i="2" s="1"/>
  <c r="I52" i="2" s="1"/>
  <c r="D21" i="6" l="1"/>
  <c r="D35" i="6" s="1"/>
  <c r="I58" i="2"/>
  <c r="I60" i="2" s="1"/>
  <c r="I65" i="2" s="1"/>
  <c r="J50" i="2"/>
  <c r="K50" i="2" s="1"/>
  <c r="K52" i="2" s="1"/>
  <c r="D36" i="6" l="1"/>
  <c r="D40" i="6" s="1"/>
  <c r="D41" i="6" s="1"/>
  <c r="D12" i="16" s="1"/>
  <c r="K49" i="6"/>
  <c r="E5" i="8" s="1"/>
  <c r="E20" i="8" s="1"/>
  <c r="E27" i="8" s="1"/>
  <c r="E11" i="8"/>
  <c r="E36" i="8" s="1"/>
  <c r="D11" i="16"/>
  <c r="D37" i="16" s="1"/>
  <c r="E21" i="6"/>
  <c r="E35" i="6" s="1"/>
  <c r="E11" i="16" s="1"/>
  <c r="K58" i="2"/>
  <c r="K60" i="2" s="1"/>
  <c r="K65" i="2" s="1"/>
  <c r="E37" i="16" l="1"/>
  <c r="D5" i="16"/>
  <c r="D20" i="16" s="1"/>
  <c r="D28" i="16" s="1"/>
  <c r="F11" i="8"/>
  <c r="F36" i="8" s="1"/>
  <c r="E5" i="16"/>
  <c r="E20" i="16" s="1"/>
  <c r="E28" i="16" s="1"/>
  <c r="D47" i="6"/>
  <c r="D50" i="6" s="1"/>
  <c r="D51" i="6" s="1"/>
  <c r="K50" i="6"/>
  <c r="E6" i="8" s="1"/>
  <c r="E39" i="6"/>
  <c r="D42" i="6"/>
  <c r="E12" i="8"/>
  <c r="E18" i="8" s="1"/>
  <c r="E28" i="8" s="1"/>
  <c r="E31" i="8" s="1"/>
  <c r="K51" i="6"/>
  <c r="D7" i="16" s="1"/>
  <c r="F21" i="6"/>
  <c r="F35" i="6" s="1"/>
  <c r="D18" i="16"/>
  <c r="D31" i="16" l="1"/>
  <c r="D29" i="16"/>
  <c r="D32" i="16" s="1"/>
  <c r="D6" i="16"/>
  <c r="E47" i="6"/>
  <c r="E49" i="6" s="1"/>
  <c r="F5" i="8"/>
  <c r="F20" i="8" s="1"/>
  <c r="F27" i="8" s="1"/>
  <c r="E7" i="8"/>
  <c r="E30" i="8"/>
  <c r="G11" i="8"/>
  <c r="G36" i="8" s="1"/>
  <c r="M49" i="6"/>
  <c r="G5" i="8" s="1"/>
  <c r="G20" i="8" s="1"/>
  <c r="G27" i="8" s="1"/>
  <c r="F11" i="16"/>
  <c r="F37" i="16" s="1"/>
  <c r="L18" i="6" l="1"/>
  <c r="E18" i="6" s="1"/>
  <c r="E19" i="6" s="1"/>
  <c r="F5" i="16"/>
  <c r="F20" i="16" s="1"/>
  <c r="F28" i="16" s="1"/>
  <c r="F47" i="6"/>
  <c r="E10" i="16" l="1"/>
  <c r="E35" i="16" s="1"/>
  <c r="E36" i="6"/>
  <c r="E40" i="6" s="1"/>
  <c r="E41" i="6" s="1"/>
  <c r="E12" i="16" s="1"/>
  <c r="E18" i="16" s="1"/>
  <c r="E29" i="16" s="1"/>
  <c r="E32" i="16" s="1"/>
  <c r="L21" i="6"/>
  <c r="L48" i="6" s="1"/>
  <c r="E4" i="16" s="1"/>
  <c r="F10" i="8"/>
  <c r="F34" i="8" s="1"/>
  <c r="F49" i="6"/>
  <c r="M18" i="6"/>
  <c r="F84" i="4" l="1"/>
  <c r="F85" i="4" s="1"/>
  <c r="F39" i="6"/>
  <c r="E31" i="16"/>
  <c r="F4" i="8"/>
  <c r="L41" i="6"/>
  <c r="L50" i="6"/>
  <c r="F6" i="8" s="1"/>
  <c r="E50" i="6"/>
  <c r="E51" i="6" s="1"/>
  <c r="L45" i="6"/>
  <c r="L46" i="6" s="1"/>
  <c r="M44" i="6" s="1"/>
  <c r="F12" i="8"/>
  <c r="F30" i="8" s="1"/>
  <c r="F18" i="6"/>
  <c r="F19" i="6" s="1"/>
  <c r="M21" i="6"/>
  <c r="G84" i="4" l="1"/>
  <c r="G85" i="4" s="1"/>
  <c r="E6" i="16"/>
  <c r="F18" i="8"/>
  <c r="F28" i="8" s="1"/>
  <c r="F31" i="8" s="1"/>
  <c r="L51" i="6"/>
  <c r="F7" i="8" s="1"/>
  <c r="M41" i="6"/>
  <c r="M45" i="6"/>
  <c r="M46" i="6" s="1"/>
  <c r="F10" i="16"/>
  <c r="F35" i="16" s="1"/>
  <c r="G10" i="8"/>
  <c r="G34" i="8" s="1"/>
  <c r="F36" i="6"/>
  <c r="F40" i="6" s="1"/>
  <c r="F41" i="6" s="1"/>
  <c r="M48" i="6"/>
  <c r="E7" i="16" l="1"/>
  <c r="F4" i="16"/>
  <c r="M50" i="6"/>
  <c r="G4" i="8"/>
  <c r="F12" i="16"/>
  <c r="F42" i="6"/>
  <c r="F50" i="6"/>
  <c r="F51" i="6" s="1"/>
  <c r="M51" i="6"/>
  <c r="G12" i="8"/>
  <c r="F18" i="16" l="1"/>
  <c r="F29" i="16" s="1"/>
  <c r="F32" i="16" s="1"/>
  <c r="F31" i="16"/>
  <c r="F7" i="16"/>
  <c r="G7" i="8"/>
  <c r="G6" i="8"/>
  <c r="F6" i="16"/>
  <c r="G30" i="8"/>
  <c r="G18" i="8"/>
  <c r="G28" i="8" s="1"/>
  <c r="G31" i="8" s="1"/>
</calcChain>
</file>

<file path=xl/sharedStrings.xml><?xml version="1.0" encoding="utf-8"?>
<sst xmlns="http://schemas.openxmlformats.org/spreadsheetml/2006/main" count="1614" uniqueCount="820">
  <si>
    <t>Estimate</t>
  </si>
  <si>
    <t>Actual</t>
  </si>
  <si>
    <t>Interest</t>
  </si>
  <si>
    <t>Utilities</t>
  </si>
  <si>
    <t>Indirect costs</t>
  </si>
  <si>
    <t>Transportation</t>
  </si>
  <si>
    <t xml:space="preserve">Unrestricted </t>
  </si>
  <si>
    <t>2014-2015</t>
  </si>
  <si>
    <t xml:space="preserve">Site </t>
  </si>
  <si>
    <t>Mini Grant/Donations</t>
  </si>
  <si>
    <t>0000</t>
  </si>
  <si>
    <t>1-3000</t>
  </si>
  <si>
    <t>Donation</t>
  </si>
  <si>
    <t>4000</t>
  </si>
  <si>
    <t>0030/41-2</t>
  </si>
  <si>
    <t xml:space="preserve">and </t>
  </si>
  <si>
    <t>5000</t>
  </si>
  <si>
    <t>Grants</t>
  </si>
  <si>
    <t>MAA</t>
  </si>
  <si>
    <t>Categorical Director 5%</t>
  </si>
  <si>
    <t>0032</t>
  </si>
  <si>
    <t>1000</t>
  </si>
  <si>
    <t>2220</t>
  </si>
  <si>
    <t>LVN</t>
  </si>
  <si>
    <t>2000</t>
  </si>
  <si>
    <t>0021</t>
  </si>
  <si>
    <t xml:space="preserve">Health Clerks-Middle School </t>
  </si>
  <si>
    <t>Categorical Secretary(10%)</t>
  </si>
  <si>
    <t>2210</t>
  </si>
  <si>
    <t>2020</t>
  </si>
  <si>
    <t>Employee Benefits</t>
  </si>
  <si>
    <t>3000</t>
  </si>
  <si>
    <t>XXXX</t>
  </si>
  <si>
    <t>0023</t>
  </si>
  <si>
    <t>Site</t>
  </si>
  <si>
    <t>Library book formula &amp; replacement</t>
  </si>
  <si>
    <t>XX00</t>
  </si>
  <si>
    <t>4212</t>
  </si>
  <si>
    <t>0022</t>
  </si>
  <si>
    <t>Allocation</t>
  </si>
  <si>
    <t>Instructional materials-formula</t>
  </si>
  <si>
    <t>4310</t>
  </si>
  <si>
    <t>SITE</t>
  </si>
  <si>
    <t>Library materials-formula</t>
  </si>
  <si>
    <t>1100</t>
  </si>
  <si>
    <t>4316</t>
  </si>
  <si>
    <t>4344</t>
  </si>
  <si>
    <t>Custodial supplies-formula</t>
  </si>
  <si>
    <t>4345</t>
  </si>
  <si>
    <t>2110</t>
  </si>
  <si>
    <t>Office supplies-formula</t>
  </si>
  <si>
    <t>4352</t>
  </si>
  <si>
    <t xml:space="preserve">Non-instr supplies </t>
  </si>
  <si>
    <t>4353</t>
  </si>
  <si>
    <t>Non-instr supplies-replacement</t>
  </si>
  <si>
    <t>2037</t>
  </si>
  <si>
    <t>Non-capital instr equip-site transfer</t>
  </si>
  <si>
    <t>00/1100</t>
  </si>
  <si>
    <t>4400</t>
  </si>
  <si>
    <t>Non-capital equipment replacement</t>
  </si>
  <si>
    <t>5213</t>
  </si>
  <si>
    <r>
      <t>Facilities rentals-</t>
    </r>
    <r>
      <rPr>
        <sz val="9"/>
        <rFont val="Arial"/>
        <family val="2"/>
      </rPr>
      <t xml:space="preserve"> Graduation day </t>
    </r>
  </si>
  <si>
    <t>5603</t>
  </si>
  <si>
    <t>Repairs-formula</t>
  </si>
  <si>
    <t>5607</t>
  </si>
  <si>
    <t>Maint agreements-copiers/riso</t>
  </si>
  <si>
    <t>5608</t>
  </si>
  <si>
    <t>5725</t>
  </si>
  <si>
    <t>5809</t>
  </si>
  <si>
    <t>Outside services - graduation</t>
  </si>
  <si>
    <t>5813</t>
  </si>
  <si>
    <t>Outside services - printing</t>
  </si>
  <si>
    <t>Services-library online books</t>
  </si>
  <si>
    <t>5814</t>
  </si>
  <si>
    <t>Other Services-online materials</t>
  </si>
  <si>
    <t>Postage-formula</t>
  </si>
  <si>
    <t>5908</t>
  </si>
  <si>
    <t>6500</t>
  </si>
  <si>
    <t>Lease interest payment-copiers/riso</t>
  </si>
  <si>
    <t>7438</t>
  </si>
  <si>
    <t>Lease payment-copiers/riso</t>
  </si>
  <si>
    <t>7439</t>
  </si>
  <si>
    <t>5501</t>
  </si>
  <si>
    <t>Disposal</t>
  </si>
  <si>
    <t>5504</t>
  </si>
  <si>
    <t>Electricity</t>
  </si>
  <si>
    <t>5508</t>
  </si>
  <si>
    <t>Natural gas</t>
  </si>
  <si>
    <t>5509</t>
  </si>
  <si>
    <t>Cell phones</t>
  </si>
  <si>
    <t>5902</t>
  </si>
  <si>
    <t xml:space="preserve">Telephone </t>
  </si>
  <si>
    <t>5904</t>
  </si>
  <si>
    <t>Internet Service-Crossroads</t>
  </si>
  <si>
    <t>5907</t>
  </si>
  <si>
    <t>District-</t>
  </si>
  <si>
    <t>0049</t>
  </si>
  <si>
    <t>2222</t>
  </si>
  <si>
    <t>wide</t>
  </si>
  <si>
    <t>(200) site</t>
  </si>
  <si>
    <t>2011</t>
  </si>
  <si>
    <t>Music supplies</t>
  </si>
  <si>
    <t>0018</t>
  </si>
  <si>
    <t>Districtwide supplies in warehouse</t>
  </si>
  <si>
    <t>2034</t>
  </si>
  <si>
    <t>ALL</t>
  </si>
  <si>
    <t>Nurse supplies</t>
  </si>
  <si>
    <t>Custodial supplies-DO, Operations</t>
  </si>
  <si>
    <t>Fuel-Warehouse/Grounds</t>
  </si>
  <si>
    <t>Vehicle parts-Warehouse</t>
  </si>
  <si>
    <t>Office supplies-DO</t>
  </si>
  <si>
    <t>Non-instr materials-DO, Whs</t>
  </si>
  <si>
    <t>Non-capital equipment-DO/WH</t>
  </si>
  <si>
    <t>20XX</t>
  </si>
  <si>
    <t xml:space="preserve">Mileage-Music, OP, Nurse, DO </t>
  </si>
  <si>
    <t>Conference-Superintendent</t>
  </si>
  <si>
    <t>2010</t>
  </si>
  <si>
    <t>Conference-Board</t>
  </si>
  <si>
    <t>Conference-HR</t>
  </si>
  <si>
    <t>Conference-Business</t>
  </si>
  <si>
    <t>2030</t>
  </si>
  <si>
    <t>Conference-Operations</t>
  </si>
  <si>
    <t>Memberships-Business</t>
  </si>
  <si>
    <t>Property insurance</t>
  </si>
  <si>
    <t>Equipment rental-DO/Whs</t>
  </si>
  <si>
    <t>Equipment repairs-Warehouse</t>
  </si>
  <si>
    <t>Equipment repairs-Nurse</t>
  </si>
  <si>
    <t>Equipment repairs-Music</t>
  </si>
  <si>
    <t>Equipment repairs-Business/HR</t>
  </si>
  <si>
    <t>Maintenance agreements-DO</t>
  </si>
  <si>
    <t>Food Service-DO/Board</t>
  </si>
  <si>
    <t>Advertisements-Curriculum</t>
  </si>
  <si>
    <t>Advertisements-HR</t>
  </si>
  <si>
    <t>Advertisements-Business</t>
  </si>
  <si>
    <t>Legal sevices</t>
  </si>
  <si>
    <t>Translation Services</t>
  </si>
  <si>
    <t>Election costs</t>
  </si>
  <si>
    <t>Medical /fingerprinting-HR hiring</t>
  </si>
  <si>
    <t>Outside services-Board</t>
  </si>
  <si>
    <t>Outside services-DO water &amp; rugs</t>
  </si>
  <si>
    <t>Alarm Service</t>
  </si>
  <si>
    <t>Outside services-Curriculum</t>
  </si>
  <si>
    <t>Outside services - Warehouse</t>
  </si>
  <si>
    <t>Other services-SARC</t>
  </si>
  <si>
    <t>Other services-Warehouse</t>
  </si>
  <si>
    <t>Service agreements-Library</t>
  </si>
  <si>
    <t>Maintenance agreement-Aries</t>
  </si>
  <si>
    <t>2021</t>
  </si>
  <si>
    <t>Riverbank taxes</t>
  </si>
  <si>
    <t>2031</t>
  </si>
  <si>
    <t>Set aside for claim payments</t>
  </si>
  <si>
    <t>SCOE audiology services</t>
  </si>
  <si>
    <t>SCOE information system services</t>
  </si>
  <si>
    <t>2032</t>
  </si>
  <si>
    <t>SCOE delivery services</t>
  </si>
  <si>
    <t>Postage</t>
  </si>
  <si>
    <t>State special school placement</t>
  </si>
  <si>
    <t>Technology</t>
  </si>
  <si>
    <t>Technology supplies</t>
  </si>
  <si>
    <t>2280</t>
  </si>
  <si>
    <t>Non-capital equipment</t>
  </si>
  <si>
    <t>Travel/conference</t>
  </si>
  <si>
    <t>Repairs-technology</t>
  </si>
  <si>
    <t>5600</t>
  </si>
  <si>
    <t>Anti-virus protection lease</t>
  </si>
  <si>
    <t>Outside services</t>
  </si>
  <si>
    <t>5800</t>
  </si>
  <si>
    <t>Equipment replacement</t>
  </si>
  <si>
    <t>Direct/Ind</t>
  </si>
  <si>
    <t>Direct support cost-SS dirctr/secr</t>
  </si>
  <si>
    <t>MPR use for Childcare</t>
  </si>
  <si>
    <t>Direct cost-Business services - Childcare</t>
  </si>
  <si>
    <t>Indirect cost - Cafeteria Fund</t>
  </si>
  <si>
    <t>Interfund</t>
  </si>
  <si>
    <t>7600</t>
  </si>
  <si>
    <t>Salary and Benefit Projections</t>
  </si>
  <si>
    <t>Estimates</t>
  </si>
  <si>
    <t>Salary step/column</t>
  </si>
  <si>
    <t>Step/Column</t>
  </si>
  <si>
    <t xml:space="preserve">Certificated </t>
  </si>
  <si>
    <t>SEA</t>
  </si>
  <si>
    <t>Statutory benefits</t>
  </si>
  <si>
    <t>Management</t>
  </si>
  <si>
    <t>Negotiated increases</t>
  </si>
  <si>
    <t>Classified</t>
  </si>
  <si>
    <t>CSEA</t>
  </si>
  <si>
    <t>Confidential</t>
  </si>
  <si>
    <t>Health Benefits</t>
  </si>
  <si>
    <r>
      <t xml:space="preserve">Percent increase over Prior Year </t>
    </r>
    <r>
      <rPr>
        <sz val="9"/>
        <rFont val="Arial"/>
        <family val="2"/>
      </rPr>
      <t>(estimate)</t>
    </r>
  </si>
  <si>
    <t>Base Health Benefits</t>
  </si>
  <si>
    <t>Certificated SEA</t>
  </si>
  <si>
    <t>Certificated Management</t>
  </si>
  <si>
    <t>Classified CSEA</t>
  </si>
  <si>
    <t xml:space="preserve">Classified Confidential </t>
  </si>
  <si>
    <t>Classified Management</t>
  </si>
  <si>
    <t xml:space="preserve">Board </t>
  </si>
  <si>
    <t xml:space="preserve">Total Health </t>
  </si>
  <si>
    <t>Insurance waiver (Mngmt &amp; SDEA)</t>
  </si>
  <si>
    <r>
      <t>Health per Certificated FTE</t>
    </r>
    <r>
      <rPr>
        <sz val="8"/>
        <rFont val="Arial"/>
        <family val="2"/>
      </rPr>
      <t xml:space="preserve"> (average)</t>
    </r>
  </si>
  <si>
    <r>
      <t xml:space="preserve">Health per Classified FTE </t>
    </r>
    <r>
      <rPr>
        <sz val="8"/>
        <rFont val="Arial"/>
        <family val="2"/>
      </rPr>
      <t>(average)</t>
    </r>
  </si>
  <si>
    <t>Other Salaries and Benefits</t>
  </si>
  <si>
    <t>Teacher substitutes</t>
  </si>
  <si>
    <t>Retiree Benefits</t>
  </si>
  <si>
    <t xml:space="preserve">          Additions/deductions</t>
  </si>
  <si>
    <t>Total Salary &amp; Benefits General Unrestricted</t>
  </si>
  <si>
    <t xml:space="preserve">Salaries and statutory benefits </t>
  </si>
  <si>
    <t>Employee health benefits</t>
  </si>
  <si>
    <t>Retiree health benefits</t>
  </si>
  <si>
    <t>Golden Handshake</t>
  </si>
  <si>
    <t>Other salaries &amp; benefits</t>
  </si>
  <si>
    <r>
      <t xml:space="preserve">Staffing Projections:  </t>
    </r>
    <r>
      <rPr>
        <b/>
        <sz val="10"/>
        <rFont val="Arial"/>
        <family val="2"/>
      </rPr>
      <t>Salary &amp; Statutory Benefits</t>
    </r>
  </si>
  <si>
    <r>
      <t xml:space="preserve">Certificated       </t>
    </r>
    <r>
      <rPr>
        <b/>
        <sz val="8"/>
        <rFont val="Arial"/>
        <family val="2"/>
      </rPr>
      <t xml:space="preserve">   (with statutory benefits)</t>
    </r>
  </si>
  <si>
    <t>Average Teacher Salary</t>
  </si>
  <si>
    <t xml:space="preserve">Teacher FTE growth/reduction to start year </t>
  </si>
  <si>
    <t xml:space="preserve">Teacher FTE for growth throughout year </t>
  </si>
  <si>
    <t>Cost w/avg tchr salary &amp; statutory benefits</t>
  </si>
  <si>
    <t>Psychologist</t>
  </si>
  <si>
    <t>Counselor</t>
  </si>
  <si>
    <t xml:space="preserve">Special Education </t>
  </si>
  <si>
    <t>Program Specialist</t>
  </si>
  <si>
    <t>Autism Inclusion Specialist</t>
  </si>
  <si>
    <t xml:space="preserve">Learning Handicapped SDC Teacher </t>
  </si>
  <si>
    <t>Severly Handicapped SDC Teacher</t>
  </si>
  <si>
    <t xml:space="preserve">Speech and Language Therapist </t>
  </si>
  <si>
    <t>Resource Specialist</t>
  </si>
  <si>
    <t>Administration</t>
  </si>
  <si>
    <t xml:space="preserve">Total Certificated </t>
  </si>
  <si>
    <r>
      <t xml:space="preserve">Classified          </t>
    </r>
    <r>
      <rPr>
        <b/>
        <sz val="8"/>
        <rFont val="Arial"/>
        <family val="2"/>
      </rPr>
      <t>(with statutory benefits)</t>
    </r>
  </si>
  <si>
    <t>Library Media Assistant</t>
  </si>
  <si>
    <t>Total Classified</t>
  </si>
  <si>
    <t xml:space="preserve">Staffing Projections Summary </t>
  </si>
  <si>
    <t>Certificated-General-SEA</t>
  </si>
  <si>
    <t>Certificated-General-Management</t>
  </si>
  <si>
    <t>Classified-General-CSEA</t>
  </si>
  <si>
    <t xml:space="preserve">Classified-General-Confidential </t>
  </si>
  <si>
    <t>Classified-General-Management</t>
  </si>
  <si>
    <t>Restricted Programs with an effect on unrestricted blances (included in total exp.)</t>
  </si>
  <si>
    <t>Certificated -Special Education</t>
  </si>
  <si>
    <t>Classified-Special Education</t>
  </si>
  <si>
    <t>Director of Student Servcs/Child Welfare</t>
  </si>
  <si>
    <t>Other Revenues</t>
  </si>
  <si>
    <t>RS #</t>
  </si>
  <si>
    <t>Formula</t>
  </si>
  <si>
    <t xml:space="preserve">Federal Programs </t>
  </si>
  <si>
    <t>MAA(Medi-cal Admin)</t>
  </si>
  <si>
    <t xml:space="preserve"> PrYr claim report</t>
  </si>
  <si>
    <t>Title I</t>
  </si>
  <si>
    <t>Medi-cal Reimburement</t>
  </si>
  <si>
    <t>Expenditures(invoiced to SCOE)</t>
  </si>
  <si>
    <t>State Programs</t>
  </si>
  <si>
    <t>Student Identifier</t>
  </si>
  <si>
    <t>SELPA formulas</t>
  </si>
  <si>
    <t>Special Education County Taxes</t>
  </si>
  <si>
    <t>Provided by SELPA</t>
  </si>
  <si>
    <t>TUPE (consortium)</t>
  </si>
  <si>
    <t>9096</t>
  </si>
  <si>
    <t>Local Revenue</t>
  </si>
  <si>
    <t>Local Revenue-0000</t>
  </si>
  <si>
    <t>8660</t>
  </si>
  <si>
    <t>Sale of equipment and supplies</t>
  </si>
  <si>
    <t>8631</t>
  </si>
  <si>
    <t>Facility rent</t>
  </si>
  <si>
    <t>8650</t>
  </si>
  <si>
    <t>Charter School Administrative Fees</t>
  </si>
  <si>
    <t>8677</t>
  </si>
  <si>
    <t>Headstart contract</t>
  </si>
  <si>
    <t>8689</t>
  </si>
  <si>
    <t>Book Fees</t>
  </si>
  <si>
    <t>8699</t>
  </si>
  <si>
    <r>
      <t xml:space="preserve">Reimb from Student Body </t>
    </r>
    <r>
      <rPr>
        <sz val="9"/>
        <rFont val="Arial Narrow"/>
        <family val="2"/>
      </rPr>
      <t>(coaches, bookkeeper)</t>
    </r>
  </si>
  <si>
    <t xml:space="preserve">SIFA Reimbursement </t>
  </si>
  <si>
    <t xml:space="preserve">Miscellaneous revenue </t>
  </si>
  <si>
    <t>Mini-grants</t>
  </si>
  <si>
    <t>Donations</t>
  </si>
  <si>
    <t>Lottery</t>
  </si>
  <si>
    <t xml:space="preserve">REVENUE   </t>
  </si>
  <si>
    <t>Site Allocations</t>
  </si>
  <si>
    <t>Site donations &amp; One-time grants</t>
  </si>
  <si>
    <t>Districtwide services</t>
  </si>
  <si>
    <t>Medi-Cal Administrative Activities</t>
  </si>
  <si>
    <t>Other Federal and State Revenue</t>
  </si>
  <si>
    <t>Local Donations</t>
  </si>
  <si>
    <t>Title II-Teacher Quality</t>
  </si>
  <si>
    <t>Title III-Limited English Proficient</t>
  </si>
  <si>
    <t>Medi-Cal Reimbursement</t>
  </si>
  <si>
    <t>Lottery Instructional Materials</t>
  </si>
  <si>
    <t>Title II- Quality Teacher &amp; Principal Training</t>
  </si>
  <si>
    <t>Special Education district services</t>
  </si>
  <si>
    <t>Special Education fees (SELPA/Co/District service)</t>
  </si>
  <si>
    <t xml:space="preserve">Title III-Limited English Proficient </t>
  </si>
  <si>
    <r>
      <t xml:space="preserve">Routine Maintenance Account </t>
    </r>
    <r>
      <rPr>
        <sz val="9"/>
        <rFont val="Arial"/>
        <family val="2"/>
      </rPr>
      <t>(transfer from General)</t>
    </r>
  </si>
  <si>
    <t>ASES - CF Brown and Sylvan</t>
  </si>
  <si>
    <t>Tobacco Use Prevention Education</t>
  </si>
  <si>
    <t>Microsoft -General Purpose &amp; Hardware</t>
  </si>
  <si>
    <t>Special Education Apportionment (SELPA)</t>
  </si>
  <si>
    <t>Special Education Contribution from General</t>
  </si>
  <si>
    <t>ASES-CF Brown and Sylvan</t>
  </si>
  <si>
    <t>Outside services-Business</t>
  </si>
  <si>
    <r>
      <t xml:space="preserve">SCOE audiovisual srvcs </t>
    </r>
    <r>
      <rPr>
        <sz val="8"/>
        <rFont val="Arial"/>
        <family val="2"/>
      </rPr>
      <t>(streaming only)</t>
    </r>
  </si>
  <si>
    <t xml:space="preserve">Other services-HR/Sub Placement </t>
  </si>
  <si>
    <t>Outside services-HR</t>
  </si>
  <si>
    <t>Outside Services-Supt</t>
  </si>
  <si>
    <t>2015-16</t>
  </si>
  <si>
    <t>2015/2016</t>
  </si>
  <si>
    <t>2015-2016</t>
  </si>
  <si>
    <t>Other Post Employment Benefits</t>
  </si>
  <si>
    <t>Art &amp; Music Teachers</t>
  </si>
  <si>
    <t>Adaptive Physical Education</t>
  </si>
  <si>
    <t>Nurse</t>
  </si>
  <si>
    <t>After School Education and Safety</t>
  </si>
  <si>
    <t>6010</t>
  </si>
  <si>
    <t>Union Days (reimb subs)</t>
  </si>
  <si>
    <t xml:space="preserve">Total Salaries and Benefits </t>
  </si>
  <si>
    <t>Campus Supervisor</t>
  </si>
  <si>
    <t>CSR adjustment</t>
  </si>
  <si>
    <t>K-3</t>
  </si>
  <si>
    <t>4-6</t>
  </si>
  <si>
    <t>7-8</t>
  </si>
  <si>
    <t>Base Grant (incl TK)</t>
  </si>
  <si>
    <t xml:space="preserve">Base Grant </t>
  </si>
  <si>
    <t>Target LCFF</t>
  </si>
  <si>
    <t>Plus: Transportation</t>
  </si>
  <si>
    <t>Plus: Targeted Instr Improvement Grant</t>
  </si>
  <si>
    <t>Education Protection Account</t>
  </si>
  <si>
    <t>General Ed Account</t>
  </si>
  <si>
    <t>228X</t>
  </si>
  <si>
    <t>Administrator substitutes</t>
  </si>
  <si>
    <t xml:space="preserve">LCFF Formula Target </t>
  </si>
  <si>
    <t xml:space="preserve">Recovery GAP    </t>
  </si>
  <si>
    <t>GAP Funding Rate</t>
  </si>
  <si>
    <r>
      <t xml:space="preserve">Concentration </t>
    </r>
    <r>
      <rPr>
        <sz val="11"/>
        <color indexed="8"/>
        <rFont val="Arial Narrow"/>
        <family val="2"/>
      </rPr>
      <t>(district % over 55%)</t>
    </r>
  </si>
  <si>
    <r>
      <t xml:space="preserve">Supplemental </t>
    </r>
    <r>
      <rPr>
        <sz val="11"/>
        <color indexed="8"/>
        <rFont val="Arial Narrow"/>
        <family val="2"/>
      </rPr>
      <t>(20% Base times %FR/EL/ Foster)</t>
    </r>
  </si>
  <si>
    <t>Less: LCFF Funding Floor</t>
  </si>
  <si>
    <t xml:space="preserve">Local Taxes </t>
  </si>
  <si>
    <r>
      <t xml:space="preserve">ADA (includes Co. Operated classes)   </t>
    </r>
    <r>
      <rPr>
        <sz val="10"/>
        <color indexed="8"/>
        <rFont val="Arial Narrow"/>
        <family val="2"/>
      </rPr>
      <t>(7945.13)</t>
    </r>
  </si>
  <si>
    <t>Common Core State Standards</t>
  </si>
  <si>
    <t xml:space="preserve">Other services-Operations </t>
  </si>
  <si>
    <t>2016-2017</t>
  </si>
  <si>
    <t>2016-17</t>
  </si>
  <si>
    <t>2016/2017</t>
  </si>
  <si>
    <t xml:space="preserve">Supplemental </t>
  </si>
  <si>
    <t xml:space="preserve">Concentration </t>
  </si>
  <si>
    <t>California Clean Energy Jobs</t>
  </si>
  <si>
    <t>Special Education IDEA</t>
  </si>
  <si>
    <t>Instructional Materials/LCFF</t>
  </si>
  <si>
    <t>Taxes/LCFF</t>
  </si>
  <si>
    <t xml:space="preserve">Certificated -Other Restricted </t>
  </si>
  <si>
    <t>State Aid-Education Protection Account/LCFF</t>
  </si>
  <si>
    <t>LCFF Distribution</t>
  </si>
  <si>
    <t>6300</t>
  </si>
  <si>
    <t xml:space="preserve">Title I PI </t>
  </si>
  <si>
    <t>Title I Program Improvement Grant</t>
  </si>
  <si>
    <t>Title I Program Improvement</t>
  </si>
  <si>
    <t>Clean Energy Jobs</t>
  </si>
  <si>
    <t>6230</t>
  </si>
  <si>
    <t>Technology Computer Technician</t>
  </si>
  <si>
    <t xml:space="preserve">Staff Secretary I </t>
  </si>
  <si>
    <t>ELD/Literacy Specialist</t>
  </si>
  <si>
    <t>After School Stipends</t>
  </si>
  <si>
    <t>Human Resources Staff</t>
  </si>
  <si>
    <t>Custodian</t>
  </si>
  <si>
    <t xml:space="preserve">Medi-Cal Administrative Activities </t>
  </si>
  <si>
    <t>Other services-Curriculum</t>
  </si>
  <si>
    <t>School Attendance Review Board (SARB)</t>
  </si>
  <si>
    <t xml:space="preserve">Transfer to Postemployment Benefit Account </t>
  </si>
  <si>
    <t>Instructional Materials Realignment/LCFF</t>
  </si>
  <si>
    <t>Supplemental/LCFF Targeted Salaries</t>
  </si>
  <si>
    <t>Transportation/LCFF Salaries</t>
  </si>
  <si>
    <t>General Education/EPA Salaries</t>
  </si>
  <si>
    <t>Supplemental/Targeted Funding</t>
  </si>
  <si>
    <t xml:space="preserve">LCFF Calculation </t>
  </si>
  <si>
    <t xml:space="preserve">Classified </t>
  </si>
  <si>
    <t>STRS/PERS</t>
  </si>
  <si>
    <t>SUI</t>
  </si>
  <si>
    <t>SOCIAL SECURITY</t>
  </si>
  <si>
    <t>MEDICARE</t>
  </si>
  <si>
    <t>WORKERS COMP</t>
  </si>
  <si>
    <t>TOTAL</t>
  </si>
  <si>
    <t>Benefit Chart Estimates</t>
  </si>
  <si>
    <r>
      <t>ADA</t>
    </r>
    <r>
      <rPr>
        <i/>
        <sz val="10"/>
        <color theme="1"/>
        <rFont val="Arial Narrow"/>
        <family val="2"/>
      </rPr>
      <t xml:space="preserve">  (includes Co. Operated classes)</t>
    </r>
  </si>
  <si>
    <t>COLA Dollars</t>
  </si>
  <si>
    <t>COLA Percentage</t>
  </si>
  <si>
    <t>Total Average Adjusted Base Grant Allocation</t>
  </si>
  <si>
    <t>Total Base Grant</t>
  </si>
  <si>
    <t>Unduplicated Pupil Percentage</t>
  </si>
  <si>
    <t xml:space="preserve">Percent Increase in funding </t>
  </si>
  <si>
    <t>SCOE Classes ADA Transfer (Alt Ed/NPS)</t>
  </si>
  <si>
    <t>Totals</t>
  </si>
  <si>
    <t xml:space="preserve">Totals </t>
  </si>
  <si>
    <t>SCOE tuition-Alt Ed (LCFF)</t>
  </si>
  <si>
    <t>Field trip admission fees-transfer</t>
  </si>
  <si>
    <t>Non-capital equipment-music</t>
  </si>
  <si>
    <t>RESTRICTED SOURCES</t>
  </si>
  <si>
    <t>REVENUE</t>
  </si>
  <si>
    <t>EXPENDITURES</t>
  </si>
  <si>
    <t>UNRESTRICTED SOURCES</t>
  </si>
  <si>
    <t>Transfer to Special Reserve-Capital Projects/Equip</t>
  </si>
  <si>
    <t>Contribution to Special Education</t>
  </si>
  <si>
    <t>Contribution to Routine Maintenance</t>
  </si>
  <si>
    <t>A. Supplemental/Concentration LCFF Target</t>
  </si>
  <si>
    <t>B. Prior Year Supplemental Expenditures</t>
  </si>
  <si>
    <t>C. A-B</t>
  </si>
  <si>
    <t xml:space="preserve">D. C Multiplied by GAP Rate </t>
  </si>
  <si>
    <t>E. D + B</t>
  </si>
  <si>
    <t xml:space="preserve">F. Total LCFF Target less Transportation &amp; TIIG </t>
  </si>
  <si>
    <t>H. Minimum Propotional Increase = Divid E by G</t>
  </si>
  <si>
    <t>G.Base LCFF Target  = F Minus E</t>
  </si>
  <si>
    <t xml:space="preserve">I. Supplemental Min. Exp. Increase = B times H </t>
  </si>
  <si>
    <t>J. Minimum Supplemental Expenditures</t>
  </si>
  <si>
    <t>Estimated Exp 2014-15</t>
  </si>
  <si>
    <t>Minimum Proportionality-Supplemental</t>
  </si>
  <si>
    <t>Instructional Materials Adoptions</t>
  </si>
  <si>
    <t>First Aid/CPR Training</t>
  </si>
  <si>
    <t>Hearing Devices for students</t>
  </si>
  <si>
    <t>Other services - Supt</t>
  </si>
  <si>
    <t>Other services - Board</t>
  </si>
  <si>
    <t>Other services-HR/SSC</t>
  </si>
  <si>
    <t>Other services-Busn-Asset/Survey Monkey</t>
  </si>
  <si>
    <t>6000</t>
  </si>
  <si>
    <t>0030/0041-2</t>
  </si>
  <si>
    <t>Computer supplies/software-Business</t>
  </si>
  <si>
    <t>http://www.cde.ca.gov/fg/aa/ca/</t>
  </si>
  <si>
    <t>SSC estimates</t>
  </si>
  <si>
    <t>Grant entitlement</t>
  </si>
  <si>
    <t>Numbers provided by SELPA</t>
  </si>
  <si>
    <t>JPA with SCOE</t>
  </si>
  <si>
    <t xml:space="preserve">Total General Fund Net increase/(decrease) </t>
  </si>
  <si>
    <t>Total General Fund Ending Balance</t>
  </si>
  <si>
    <t>Supplemental-Targeted/LCFF</t>
  </si>
  <si>
    <t xml:space="preserve">Transfer from Deferred Maintenance/LCFF </t>
  </si>
  <si>
    <t xml:space="preserve">Total General Fund </t>
  </si>
  <si>
    <t>Revenues</t>
  </si>
  <si>
    <t>Expenditures</t>
  </si>
  <si>
    <t xml:space="preserve">Net increase/(decrease) </t>
  </si>
  <si>
    <t xml:space="preserve">Unrestricted Sources </t>
  </si>
  <si>
    <t>Revenue</t>
  </si>
  <si>
    <t>Expeditures</t>
  </si>
  <si>
    <t>Revolving Cash</t>
  </si>
  <si>
    <t>Percent Change over Prior Year</t>
  </si>
  <si>
    <t xml:space="preserve">Total Unrestricted Revenue </t>
  </si>
  <si>
    <t xml:space="preserve">Supplemental-Targeted Revenue </t>
  </si>
  <si>
    <t xml:space="preserve">Total Unrestriced Expenditures </t>
  </si>
  <si>
    <t xml:space="preserve">Supplemental-Targeted Expenditures </t>
  </si>
  <si>
    <t>Total Amount Reserved for Specific Purposes</t>
  </si>
  <si>
    <r>
      <t xml:space="preserve">Restricted Ending Fund Balance </t>
    </r>
    <r>
      <rPr>
        <sz val="10"/>
        <rFont val="Arial Narrow"/>
        <family val="2"/>
      </rPr>
      <t>(expense must follow source regulations)</t>
    </r>
  </si>
  <si>
    <t xml:space="preserve">Unrestricted Ending Fund Balance </t>
  </si>
  <si>
    <t>Components of Unrestricted Ending Fund Balance</t>
  </si>
  <si>
    <t>Ending Fund Balance</t>
  </si>
  <si>
    <r>
      <t>Supplemental-Targeted/LCFF</t>
    </r>
    <r>
      <rPr>
        <sz val="11"/>
        <rFont val="Arial Narrow"/>
        <family val="2"/>
      </rPr>
      <t xml:space="preserve">  (included in Unrestricted totals)</t>
    </r>
  </si>
  <si>
    <t xml:space="preserve">Unappropriated Amount </t>
  </si>
  <si>
    <t xml:space="preserve">Percent Unappropriated Balance to Total General Fund Expenditures </t>
  </si>
  <si>
    <t xml:space="preserve">Insurance Deductable </t>
  </si>
  <si>
    <t>Assigned for:</t>
  </si>
  <si>
    <t>Nonspendable:</t>
  </si>
  <si>
    <t>Economic Uncertainties</t>
  </si>
  <si>
    <t>3% of Total General Fund Expenditures</t>
  </si>
  <si>
    <t>3% Reserve for Economic Uncertainties</t>
  </si>
  <si>
    <t xml:space="preserve">Percent Unrestricted Balance to Total General Fund Expenditures </t>
  </si>
  <si>
    <r>
      <t xml:space="preserve">Components of Unrestricted Fund Ending Balance </t>
    </r>
    <r>
      <rPr>
        <b/>
        <i/>
        <sz val="9"/>
        <rFont val="Arial"/>
        <family val="2"/>
      </rPr>
      <t xml:space="preserve">(green line above)  </t>
    </r>
    <r>
      <rPr>
        <b/>
        <i/>
        <sz val="10"/>
        <rFont val="Arial"/>
        <family val="2"/>
      </rPr>
      <t xml:space="preserve"> </t>
    </r>
  </si>
  <si>
    <t>UNRESTRICTED FUND BALANCE</t>
  </si>
  <si>
    <t>RESTRICTED FUND BALANCE</t>
  </si>
  <si>
    <t>Beginning Unrestricted Fund Balance</t>
  </si>
  <si>
    <t>Beginning Restricted Fund Balance</t>
  </si>
  <si>
    <r>
      <t>Unrestricted Ending Fund Balance</t>
    </r>
    <r>
      <rPr>
        <sz val="8"/>
        <rFont val="Arial"/>
        <family val="2"/>
      </rPr>
      <t xml:space="preserve"> (c)</t>
    </r>
  </si>
  <si>
    <r>
      <t>One-time Proposition 98</t>
    </r>
    <r>
      <rPr>
        <i/>
        <sz val="9"/>
        <rFont val="Arial"/>
        <family val="2"/>
      </rPr>
      <t xml:space="preserve"> (offset pr yr mandate claims) </t>
    </r>
  </si>
  <si>
    <t xml:space="preserve">Nurse/First Aid supplies </t>
  </si>
  <si>
    <t>2017-18</t>
  </si>
  <si>
    <t>2017/2018</t>
  </si>
  <si>
    <t>2017-2018</t>
  </si>
  <si>
    <t>State Aid/Local Control Funding</t>
  </si>
  <si>
    <t>Groundsperson</t>
  </si>
  <si>
    <t>Facilities Improvements</t>
  </si>
  <si>
    <t>Payroll Technician</t>
  </si>
  <si>
    <t>ELD/Literacy Specialists</t>
  </si>
  <si>
    <t>Counselors</t>
  </si>
  <si>
    <t xml:space="preserve">Board Approved Reservations for Specific Purposes </t>
  </si>
  <si>
    <t>STRS</t>
  </si>
  <si>
    <t>PERS</t>
  </si>
  <si>
    <t>2019-2020</t>
  </si>
  <si>
    <t>2020-2021</t>
  </si>
  <si>
    <t>Site Budgets-Teacher Salaries</t>
  </si>
  <si>
    <t>0653</t>
  </si>
  <si>
    <t>Site Budgets-Aide, Interpreter</t>
  </si>
  <si>
    <t>Site Budgets-Employee Benefits</t>
  </si>
  <si>
    <t>Site Budgets-Supplies</t>
  </si>
  <si>
    <t>Site Budgets Services</t>
  </si>
  <si>
    <t>0654</t>
  </si>
  <si>
    <t>(LCAP)</t>
  </si>
  <si>
    <t>2025</t>
  </si>
  <si>
    <t>Dir Student Servc-Program/Child Welfare</t>
  </si>
  <si>
    <t>Intervention/Substitute Teacher</t>
  </si>
  <si>
    <t>Aides - EL testing</t>
  </si>
  <si>
    <t>Secretary-Student Services-Program</t>
  </si>
  <si>
    <t>2400</t>
  </si>
  <si>
    <t>Technology Specialists</t>
  </si>
  <si>
    <t>Interpreters</t>
  </si>
  <si>
    <t>2900</t>
  </si>
  <si>
    <t xml:space="preserve">Instructional Technology Supplies </t>
  </si>
  <si>
    <t xml:space="preserve">Non-capital Equip - Instr Technology </t>
  </si>
  <si>
    <t>Conference Expense</t>
  </si>
  <si>
    <t>5752</t>
  </si>
  <si>
    <t xml:space="preserve">Interpreting Services </t>
  </si>
  <si>
    <t>5806</t>
  </si>
  <si>
    <t xml:space="preserve">Printing Services </t>
  </si>
  <si>
    <t>Data Director program</t>
  </si>
  <si>
    <t>Salaries</t>
  </si>
  <si>
    <t>0655</t>
  </si>
  <si>
    <t>Supplies</t>
  </si>
  <si>
    <t>2040</t>
  </si>
  <si>
    <t>Services</t>
  </si>
  <si>
    <t>In-house services (field trips, Childcare)</t>
  </si>
  <si>
    <t>5700</t>
  </si>
  <si>
    <t>IMA</t>
  </si>
  <si>
    <t>Adopted Textbooks &amp; Materials</t>
  </si>
  <si>
    <t>0617</t>
  </si>
  <si>
    <t>To Special Reserve-Equipment</t>
  </si>
  <si>
    <t>To Special Reserve-Busses</t>
  </si>
  <si>
    <t>To Other Post Employment Benefits</t>
  </si>
  <si>
    <t>Water, sewer, and storm drain</t>
  </si>
  <si>
    <t>wide-STAR</t>
  </si>
  <si>
    <t>Test service</t>
  </si>
  <si>
    <t xml:space="preserve">Equipment Replacement </t>
  </si>
  <si>
    <t>Technology Plan (Prior to LCFF)</t>
  </si>
  <si>
    <t xml:space="preserve">NOTE: </t>
  </si>
  <si>
    <r>
      <t>Other services-</t>
    </r>
    <r>
      <rPr>
        <sz val="8"/>
        <rFont val="Arial"/>
        <family val="2"/>
      </rPr>
      <t>SSC/Mandate/Actuarial/Erate</t>
    </r>
  </si>
  <si>
    <r>
      <t xml:space="preserve">Audit services </t>
    </r>
    <r>
      <rPr>
        <sz val="9"/>
        <rFont val="Arial"/>
        <family val="2"/>
      </rPr>
      <t>(incl CBOC)</t>
    </r>
  </si>
  <si>
    <t>Workers Comp Refund (one-time)</t>
  </si>
  <si>
    <t>Contribution to Facilities Improvements</t>
  </si>
  <si>
    <t>Sylvan Modernization</t>
  </si>
  <si>
    <t>Site Allocation</t>
  </si>
  <si>
    <t>Stipends-Clubs</t>
  </si>
  <si>
    <t>Stipends-6th Grade Camp</t>
  </si>
  <si>
    <t>Stipend-Assistant to the Principal</t>
  </si>
  <si>
    <t>2200</t>
  </si>
  <si>
    <t>Chromebook carts (one-time)</t>
  </si>
  <si>
    <t>6th Grade Camp (Outdoor Ed)</t>
  </si>
  <si>
    <t>5100</t>
  </si>
  <si>
    <t>2213</t>
  </si>
  <si>
    <t xml:space="preserve">TB Tests-Voluteers </t>
  </si>
  <si>
    <t>5810</t>
  </si>
  <si>
    <t>Services-School Safety</t>
  </si>
  <si>
    <t xml:space="preserve">Field Trip Admission Fees </t>
  </si>
  <si>
    <t>Teacher Induction Fees (SCOE)</t>
  </si>
  <si>
    <t xml:space="preserve">Field Trip Transportaion </t>
  </si>
  <si>
    <t>2212</t>
  </si>
  <si>
    <t>Targeted</t>
  </si>
  <si>
    <t>Supplemental/</t>
  </si>
  <si>
    <t xml:space="preserve">To Special Reserve-Relocatables </t>
  </si>
  <si>
    <t>Warehouse service-envelopes</t>
  </si>
  <si>
    <t>5719</t>
  </si>
  <si>
    <t xml:space="preserve">Other Stipends </t>
  </si>
  <si>
    <t>Staff Secretary II - Receptionist/BTSA</t>
  </si>
  <si>
    <t>Teacher on Special Assignment-BTSA</t>
  </si>
  <si>
    <t xml:space="preserve">Maitenance II </t>
  </si>
  <si>
    <t>Total Additional General Fund Salaries/benefits</t>
  </si>
  <si>
    <t>Electives 7/8 Grades</t>
  </si>
  <si>
    <t>Printing Materials</t>
  </si>
  <si>
    <t>Repairs - Technology</t>
  </si>
  <si>
    <t>5604</t>
  </si>
  <si>
    <t>2015-16 State Budget (one-time)($1450/Cert FTE)</t>
  </si>
  <si>
    <t>Mandated Cost One-time</t>
  </si>
  <si>
    <t>Total General Fund Expenditures</t>
  </si>
  <si>
    <r>
      <t>Total General Fund Revenues</t>
    </r>
    <r>
      <rPr>
        <sz val="10"/>
        <rFont val="Arial"/>
        <family val="2"/>
      </rPr>
      <t xml:space="preserve"> </t>
    </r>
  </si>
  <si>
    <t>Restricted Net increase/(decrease)</t>
  </si>
  <si>
    <t xml:space="preserve">Restricted Net increase/(decrease) </t>
  </si>
  <si>
    <r>
      <t>Restricted Revenue</t>
    </r>
    <r>
      <rPr>
        <sz val="8"/>
        <rFont val="Arial"/>
        <family val="2"/>
      </rPr>
      <t xml:space="preserve"> </t>
    </r>
  </si>
  <si>
    <r>
      <t>Unrestricted Revenue</t>
    </r>
    <r>
      <rPr>
        <i/>
        <sz val="9"/>
        <rFont val="Arial"/>
        <family val="2"/>
      </rPr>
      <t/>
    </r>
  </si>
  <si>
    <t>Unrestricted Expeditures</t>
  </si>
  <si>
    <t>Unrestricted Net increase/(decrease)</t>
  </si>
  <si>
    <r>
      <t>Unappropriated Amount</t>
    </r>
    <r>
      <rPr>
        <sz val="10"/>
        <rFont val="Arial"/>
        <family val="2"/>
      </rPr>
      <t xml:space="preserve"> </t>
    </r>
  </si>
  <si>
    <t>Educator Effectiveness</t>
  </si>
  <si>
    <t>Educator Effectiveness Prof Learning</t>
  </si>
  <si>
    <t>Percent Unrestricted Ending Fund Balance to Total General Fund Expenditures</t>
  </si>
  <si>
    <t>Percent Unappropriated Amount to Total General Fund Expenditures</t>
  </si>
  <si>
    <t>Assistant Principal</t>
  </si>
  <si>
    <t>2120</t>
  </si>
  <si>
    <t>Equipment Replacement</t>
  </si>
  <si>
    <t>2281</t>
  </si>
  <si>
    <t xml:space="preserve">Director of Human Resources </t>
  </si>
  <si>
    <t>Director of Professional Learn/Induction</t>
  </si>
  <si>
    <t>Transportation Support Specialist/Trainer</t>
  </si>
  <si>
    <t>Golden Handshake &amp; One-year Final Comp.</t>
  </si>
  <si>
    <t>Nurse Extra time</t>
  </si>
  <si>
    <t>1200</t>
  </si>
  <si>
    <t>4354</t>
  </si>
  <si>
    <t>5310</t>
  </si>
  <si>
    <t>Warehouse services-envelopes</t>
  </si>
  <si>
    <t>New Equipment</t>
  </si>
  <si>
    <t>6400</t>
  </si>
  <si>
    <t xml:space="preserve">Materials &amp; supplies-Independent study </t>
  </si>
  <si>
    <t xml:space="preserve">E-books-middle school </t>
  </si>
  <si>
    <t>Technology Services-Software</t>
  </si>
  <si>
    <t>Food Service-Parent Nights/Workshops</t>
  </si>
  <si>
    <t>6th Grade Camp Transportation</t>
  </si>
  <si>
    <t>8th Grade Trip to High School Transp</t>
  </si>
  <si>
    <t>5th Grade Trip to Middle School Transp</t>
  </si>
  <si>
    <t>Backgroung Check Support</t>
  </si>
  <si>
    <t>2033</t>
  </si>
  <si>
    <t>Parent Ed/Training  Materials</t>
  </si>
  <si>
    <t>2282</t>
  </si>
  <si>
    <t>Teacher Materials ($150/tchr)</t>
  </si>
  <si>
    <t>Aides-6th Grade Camp</t>
  </si>
  <si>
    <t>Art Teachers</t>
  </si>
  <si>
    <t>Music Teachers</t>
  </si>
  <si>
    <t>Substitute/Extra-time Clerical</t>
  </si>
  <si>
    <t>Services-Software</t>
  </si>
  <si>
    <t>Sub/Extra-time Noon Duty/Campus Supr</t>
  </si>
  <si>
    <t xml:space="preserve">English Learner materials </t>
  </si>
  <si>
    <t>Non-Instr safety materials</t>
  </si>
  <si>
    <t>Supplemental/Concentration Funding</t>
  </si>
  <si>
    <t>Supplemental plus Concentration Rate</t>
  </si>
  <si>
    <t>Estimated Exp 2015-16</t>
  </si>
  <si>
    <t>Estimated Exp 2016-17</t>
  </si>
  <si>
    <t>2018-2019</t>
  </si>
  <si>
    <t>2018/2019</t>
  </si>
  <si>
    <t>2018-19</t>
  </si>
  <si>
    <t>Membership-CASBO</t>
  </si>
  <si>
    <t>CEC Loan</t>
  </si>
  <si>
    <t>iPads - 8th Grade</t>
  </si>
  <si>
    <t>2283</t>
  </si>
  <si>
    <t>Tech 1-time</t>
  </si>
  <si>
    <t xml:space="preserve">Instructional Technology Device one-time </t>
  </si>
  <si>
    <t>Direct/indirect Costs</t>
  </si>
  <si>
    <t>Salaries &amp; Benefits</t>
  </si>
  <si>
    <t>CELDT</t>
  </si>
  <si>
    <t>STAR</t>
  </si>
  <si>
    <t xml:space="preserve">Per Diem-Somerset 6th Grade Camp </t>
  </si>
  <si>
    <t>Mileage - 6th Grade Camp</t>
  </si>
  <si>
    <t>5204</t>
  </si>
  <si>
    <t>Rental - Truck for 6th Grade Camp</t>
  </si>
  <si>
    <t>5601</t>
  </si>
  <si>
    <t>Administrator Induction Fees (SCOE)</t>
  </si>
  <si>
    <t>Technology Support Services</t>
  </si>
  <si>
    <t>iPad carts (one-time)</t>
  </si>
  <si>
    <t xml:space="preserve">Calif Energy Commission Loan (Clean Energy) </t>
  </si>
  <si>
    <t>RS Paraprofessional</t>
  </si>
  <si>
    <t>Severe Paraprofessional</t>
  </si>
  <si>
    <t>Non-severe Paraprofessional</t>
  </si>
  <si>
    <t>Other Services-Web Filtering</t>
  </si>
  <si>
    <t xml:space="preserve">Professional Learning </t>
  </si>
  <si>
    <t>Board Certified Behavior Analyst</t>
  </si>
  <si>
    <t>2216</t>
  </si>
  <si>
    <t>Transportation Field Trips (0655)</t>
  </si>
  <si>
    <t xml:space="preserve">Instructional Materials </t>
  </si>
  <si>
    <t>Stipend-Student Council</t>
  </si>
  <si>
    <t>Repairs - Student Devices</t>
  </si>
  <si>
    <t xml:space="preserve">Chromebooks (one-time) </t>
  </si>
  <si>
    <r>
      <t>Medical supplies-formula</t>
    </r>
    <r>
      <rPr>
        <sz val="9"/>
        <rFont val="Arial"/>
        <family val="2"/>
      </rPr>
      <t xml:space="preserve"> (to safety supply)</t>
    </r>
  </si>
  <si>
    <t>Instructional supplies replacement</t>
  </si>
  <si>
    <t>Internet Service-All except Crossroads</t>
  </si>
  <si>
    <t>Memberships-Board/Supt</t>
  </si>
  <si>
    <t>201X</t>
  </si>
  <si>
    <t>Fees-DO/HR</t>
  </si>
  <si>
    <r>
      <t xml:space="preserve">SCOE internet services </t>
    </r>
    <r>
      <rPr>
        <sz val="8"/>
        <rFont val="Arial"/>
        <family val="2"/>
      </rPr>
      <t>(separate web filter)</t>
    </r>
  </si>
  <si>
    <t>Educator Effectiveness Prof Learning (One-time)</t>
  </si>
  <si>
    <t xml:space="preserve">CDE website  </t>
  </si>
  <si>
    <t>Cafeteria Fund</t>
  </si>
  <si>
    <t>BEGINNING BALANCE</t>
  </si>
  <si>
    <t>Federal Child Nutrition</t>
  </si>
  <si>
    <t>State Child Nutrition</t>
  </si>
  <si>
    <t>Catering Sales</t>
  </si>
  <si>
    <t>Student Store Sales</t>
  </si>
  <si>
    <t>Other Local Revenue</t>
  </si>
  <si>
    <t>Total Revenue</t>
  </si>
  <si>
    <t>Salaries and benefits</t>
  </si>
  <si>
    <t>Food</t>
  </si>
  <si>
    <t>Food serving supplies and services</t>
  </si>
  <si>
    <t>Equipment</t>
  </si>
  <si>
    <t>Conferences/Workshops</t>
  </si>
  <si>
    <t>Total Expenditures</t>
  </si>
  <si>
    <t>Net Balance increase/(decrease)</t>
  </si>
  <si>
    <t>ENDING BALANCE</t>
  </si>
  <si>
    <t>Deferred Maintenance Fund</t>
  </si>
  <si>
    <t>Transfer to General to Special Reserve</t>
  </si>
  <si>
    <t xml:space="preserve">Reimbursement-Rubber Bark </t>
  </si>
  <si>
    <t xml:space="preserve">Sylvan Modernization </t>
  </si>
  <si>
    <t>Architect Fees</t>
  </si>
  <si>
    <t>Special Reserve - Other Post Employment Benefits</t>
  </si>
  <si>
    <t xml:space="preserve">Tranfer In </t>
  </si>
  <si>
    <t>Building Fund - Bond Money</t>
  </si>
  <si>
    <t>Bond Fees</t>
  </si>
  <si>
    <t xml:space="preserve">Modernization Projects </t>
  </si>
  <si>
    <t>Administrative Costs -Software Support</t>
  </si>
  <si>
    <t>Capital Facilities Fund - Developer Fees</t>
  </si>
  <si>
    <t xml:space="preserve">Developer Fees </t>
  </si>
  <si>
    <t>Facility consultants</t>
  </si>
  <si>
    <t>Planware software</t>
  </si>
  <si>
    <t>District Office Telephones</t>
  </si>
  <si>
    <t>Special Reserve - Capital Outlay</t>
  </si>
  <si>
    <t xml:space="preserve">    Furniture and equipment replacement</t>
  </si>
  <si>
    <t>Transfer in LCFF</t>
  </si>
  <si>
    <t>Copier Replacements</t>
  </si>
  <si>
    <t>Special Reserve - Capital Projects</t>
  </si>
  <si>
    <t xml:space="preserve">     New schools and construction</t>
  </si>
  <si>
    <t>Erate Project</t>
  </si>
  <si>
    <t>Relocatable Classrooms Crossroads</t>
  </si>
  <si>
    <t>Childcare Fund</t>
  </si>
  <si>
    <t>Childcare Fees</t>
  </si>
  <si>
    <t xml:space="preserve">Local Revenue </t>
  </si>
  <si>
    <t>Salaries and Benefits</t>
  </si>
  <si>
    <t>Snacks</t>
  </si>
  <si>
    <t>Childcare materials</t>
  </si>
  <si>
    <t>Office supplies and services</t>
  </si>
  <si>
    <t xml:space="preserve">Building use </t>
  </si>
  <si>
    <t>Telephone and Postage</t>
  </si>
  <si>
    <t>Depreciation</t>
  </si>
  <si>
    <t>Administrative Costs</t>
  </si>
  <si>
    <t>Transfer to General Fund</t>
  </si>
  <si>
    <t>Self-Insured Dental Fund</t>
  </si>
  <si>
    <t>Premiums</t>
  </si>
  <si>
    <t>Consultants</t>
  </si>
  <si>
    <t>Dental payments</t>
  </si>
  <si>
    <t>Administrative fees</t>
  </si>
  <si>
    <r>
      <t>Restricted Expenditures</t>
    </r>
    <r>
      <rPr>
        <sz val="8"/>
        <rFont val="Arial"/>
        <family val="2"/>
      </rPr>
      <t xml:space="preserve"> </t>
    </r>
  </si>
  <si>
    <t>Grant 6th Grade Camp</t>
  </si>
  <si>
    <t>7810</t>
  </si>
  <si>
    <t>OBJ 3901, exclude ORGN 2022</t>
  </si>
  <si>
    <t>Title I - current year</t>
  </si>
  <si>
    <t>Title I - prior year carryover</t>
  </si>
  <si>
    <t>8097</t>
  </si>
  <si>
    <t>8792</t>
  </si>
  <si>
    <t>Mandated Cost Block Grant</t>
  </si>
  <si>
    <t>8550</t>
  </si>
  <si>
    <t>6264</t>
  </si>
  <si>
    <t>8590</t>
  </si>
  <si>
    <t>6512</t>
  </si>
  <si>
    <t>MS Voucher</t>
  </si>
  <si>
    <t>9221</t>
  </si>
  <si>
    <t>Actuals</t>
  </si>
  <si>
    <t>1101</t>
  </si>
  <si>
    <t>1103</t>
  </si>
  <si>
    <t>1105</t>
  </si>
  <si>
    <t>1112</t>
  </si>
  <si>
    <t>1122</t>
  </si>
  <si>
    <t>1181</t>
  </si>
  <si>
    <t>1204</t>
  </si>
  <si>
    <t>1310</t>
  </si>
  <si>
    <t>1305</t>
  </si>
  <si>
    <t>2101</t>
  </si>
  <si>
    <t>Estimated Exp 2017-18</t>
  </si>
  <si>
    <t>Title II - current year</t>
  </si>
  <si>
    <t>Title II - prior year carryover</t>
  </si>
  <si>
    <t xml:space="preserve">Title III, Immigrant Ed - prior year carryover </t>
  </si>
  <si>
    <t>Title III, LEP - current year</t>
  </si>
  <si>
    <t>Title III, LEP - prior year carryover</t>
  </si>
  <si>
    <t>IDEA, Special Education</t>
  </si>
  <si>
    <t>3310/1</t>
  </si>
  <si>
    <t>Special Education, COE Apportionment TF</t>
  </si>
  <si>
    <t>Special Education, Fee for Service (Local)</t>
  </si>
  <si>
    <t xml:space="preserve">Special Education, State </t>
  </si>
  <si>
    <t>OBJ</t>
  </si>
  <si>
    <t xml:space="preserve"> 2015-16, 2016-17 ($214/ADA) </t>
  </si>
  <si>
    <t>Federal Revenues</t>
  </si>
  <si>
    <t>State Revenues</t>
  </si>
  <si>
    <t>Local</t>
  </si>
  <si>
    <t>Restricted</t>
  </si>
  <si>
    <t>Combined - Unrestricted and Restricted</t>
  </si>
  <si>
    <t>Object Codes</t>
  </si>
  <si>
    <t>8100 - 8299</t>
  </si>
  <si>
    <t>8300 - 8599</t>
  </si>
  <si>
    <t>8600 - 7999</t>
  </si>
  <si>
    <t>Title III, Immigrant Ed - current year</t>
  </si>
  <si>
    <t>Title II, Principal Training</t>
  </si>
  <si>
    <t>LCFF</t>
  </si>
  <si>
    <t>8010-8099</t>
  </si>
  <si>
    <t xml:space="preserve">http://www.cde.ca.gov/fg/aa/ca/ </t>
  </si>
  <si>
    <t>Final carryover</t>
  </si>
  <si>
    <t>Total RS 0654</t>
  </si>
  <si>
    <t>Final 2015-16 adjustment</t>
  </si>
  <si>
    <t>Lottery, Unrestricted - current year</t>
  </si>
  <si>
    <t>Lottery, Unrestricted - prior year</t>
  </si>
  <si>
    <t>Lottery - Instr. Materials, Restricted - current year</t>
  </si>
  <si>
    <t>Lottery - Instr. Materials, Restricted - prior year</t>
  </si>
  <si>
    <t>8560</t>
  </si>
  <si>
    <t>8979</t>
  </si>
  <si>
    <t>Sylvan Foundation Grant</t>
  </si>
  <si>
    <t>State Aide LCFF Revenue</t>
  </si>
  <si>
    <t>Total LCFF Revenue</t>
  </si>
  <si>
    <t>Funded GAP</t>
  </si>
  <si>
    <t>Less Funding Floor</t>
  </si>
  <si>
    <t xml:space="preserve"> Funded GAP</t>
  </si>
  <si>
    <t xml:space="preserve"> LCFF</t>
  </si>
  <si>
    <t>LCFF - Adjustments to LCFF</t>
  </si>
  <si>
    <t>Prior year UPP correction</t>
  </si>
  <si>
    <t>Return of unused site fnds</t>
  </si>
  <si>
    <t>8011</t>
  </si>
  <si>
    <t>2203</t>
  </si>
  <si>
    <t>2204</t>
  </si>
  <si>
    <t>2273/2281</t>
  </si>
  <si>
    <t>Substitute/Extra Time Support &amp; Office</t>
  </si>
  <si>
    <t>S&amp;C Increase</t>
  </si>
  <si>
    <t>CPI: 2017-18, 2018-19</t>
  </si>
  <si>
    <t xml:space="preserve">Benefits </t>
  </si>
  <si>
    <t>Nurse 6th Grade Camo</t>
  </si>
  <si>
    <t>1206</t>
  </si>
  <si>
    <t>Music Instructional Materials</t>
  </si>
  <si>
    <t>Music Equipment</t>
  </si>
  <si>
    <t>5807</t>
  </si>
  <si>
    <t>Other Outside Services</t>
  </si>
  <si>
    <t>2281/2</t>
  </si>
  <si>
    <t>Outside Service4s - Student support</t>
  </si>
  <si>
    <t>2700</t>
  </si>
  <si>
    <t>Obj. 3921, ORGN 2022</t>
  </si>
  <si>
    <t>Mileage &amp; Phone Stipend benefits (OBJ 3931/3932)</t>
  </si>
  <si>
    <t>Contract benefits (OBJ 3911/3912)</t>
  </si>
  <si>
    <t>Health Benefits OBJ 3700s; Obj 3901 w/ ORGN 2022</t>
  </si>
  <si>
    <t>Certificated</t>
  </si>
  <si>
    <t>Total</t>
  </si>
  <si>
    <t>SS</t>
  </si>
  <si>
    <t>Mediare</t>
  </si>
  <si>
    <t>W/C</t>
  </si>
  <si>
    <t>Check</t>
  </si>
  <si>
    <t>Special Education Fees (Fees for Service)</t>
  </si>
  <si>
    <t>Other Sources</t>
  </si>
  <si>
    <t>Total Revenues and Other Sources</t>
  </si>
  <si>
    <t>Per MYP tab</t>
  </si>
  <si>
    <t>Instructional Technology</t>
  </si>
  <si>
    <t>Other Local and Interest Revenue</t>
  </si>
  <si>
    <t>Buses for Regular Ed.</t>
  </si>
  <si>
    <t>Buses for Special Needs Pupils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</si>
</sst>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0_);_(* \(#,##0.00000\);_(* &quot;-&quot;??_);_(@_)"/>
    <numFmt numFmtId="168" formatCode="0.000%"/>
    <numFmt numFmtId="169" formatCode="#,##0.0_);\(#,##0.0\)"/>
    <numFmt numFmtId="170" formatCode="_(&quot;$&quot;* #,##0_);_(&quot;$&quot;* \(#,##0\);_(&quot;$&quot;* &quot;-&quot;?_);_(@_)"/>
    <numFmt numFmtId="171" formatCode="0.0000%"/>
    <numFmt numFmtId="172" formatCode="_(* #,##0.0000_);_(* \(#,##0.0000\);_(* &quot;-&quot;??_);_(@_)"/>
    <numFmt numFmtId="173" formatCode="_(* #,##0.000_);_(* \(#,##0.000\);_(* &quot;-&quot;??_);_(@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9"/>
      <name val="Arial Narrow"/>
      <family val="2"/>
    </font>
    <font>
      <u/>
      <sz val="11"/>
      <name val="Arial Narrow"/>
      <family val="2"/>
    </font>
    <font>
      <b/>
      <sz val="9"/>
      <name val="Arial"/>
      <family val="2"/>
    </font>
    <font>
      <sz val="7"/>
      <color indexed="14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i/>
      <u/>
      <sz val="11"/>
      <name val="Arial Narrow"/>
      <family val="2"/>
    </font>
    <font>
      <sz val="8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name val="Arial"/>
      <family val="2"/>
    </font>
    <font>
      <sz val="10"/>
      <color theme="0" tint="-0.49998474074526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1"/>
      <name val="Engravers MT"/>
      <family val="1"/>
    </font>
    <font>
      <i/>
      <sz val="11"/>
      <color rgb="FFFF0000"/>
      <name val="Arial Narrow"/>
      <family val="2"/>
    </font>
    <font>
      <sz val="11"/>
      <color rgb="FFFF000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9"/>
      <color theme="2" tint="-0.499984740745262"/>
      <name val="Arial"/>
      <family val="2"/>
    </font>
    <font>
      <sz val="9"/>
      <color theme="2" tint="-0.499984740745262"/>
      <name val="Arial Narrow"/>
      <family val="2"/>
    </font>
    <font>
      <sz val="9"/>
      <color theme="3" tint="0.39997558519241921"/>
      <name val="Arial"/>
      <family val="2"/>
    </font>
    <font>
      <sz val="10"/>
      <color theme="1"/>
      <name val="Arial"/>
      <family val="2"/>
    </font>
    <font>
      <sz val="11"/>
      <color rgb="FF3333FF"/>
      <name val="Arial Narrow"/>
      <family val="2"/>
    </font>
    <font>
      <b/>
      <sz val="10"/>
      <name val="Arial Narrow"/>
      <family val="2"/>
    </font>
    <font>
      <sz val="12"/>
      <name val="Arial"/>
    </font>
    <font>
      <sz val="12"/>
      <name val="Arial"/>
      <family val="2"/>
    </font>
    <font>
      <sz val="10"/>
      <color rgb="FFC00000"/>
      <name val="Arial"/>
      <family val="2"/>
    </font>
    <font>
      <u val="singleAccounting"/>
      <sz val="10"/>
      <name val="Arial"/>
      <family val="2"/>
    </font>
    <font>
      <sz val="8"/>
      <name val="Arial Narrow"/>
      <family val="2"/>
    </font>
    <font>
      <b/>
      <i/>
      <sz val="11"/>
      <name val="Engravers MT"/>
      <family val="1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55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FF1A1"/>
        <bgColor indexed="64"/>
      </patternFill>
    </fill>
    <fill>
      <patternFill patternType="solid">
        <fgColor rgb="FF65ED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EDFF"/>
        <bgColor indexed="64"/>
      </patternFill>
    </fill>
    <fill>
      <patternFill patternType="solid">
        <fgColor rgb="FFF8E49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125">
        <fgColor rgb="FF91592B"/>
        <bgColor theme="9" tint="0.79995117038483843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rgb="FF92D050"/>
      </patternFill>
    </fill>
    <fill>
      <patternFill patternType="solid">
        <fgColor indexed="2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mediumDashed">
        <color indexed="55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theme="5" tint="0.59996337778862885"/>
      </bottom>
      <diagonal/>
    </border>
    <border>
      <left/>
      <right/>
      <top style="dashed">
        <color theme="5" tint="0.59996337778862885"/>
      </top>
      <bottom style="dashed">
        <color theme="5" tint="0.59996337778862885"/>
      </bottom>
      <diagonal/>
    </border>
    <border>
      <left/>
      <right/>
      <top/>
      <bottom style="medium">
        <color theme="3" tint="0.39994506668294322"/>
      </bottom>
      <diagonal/>
    </border>
    <border>
      <left style="dashed">
        <color theme="3" tint="0.39982299264503923"/>
      </left>
      <right style="dashed">
        <color theme="3" tint="0.39982299264503923"/>
      </right>
      <top/>
      <bottom/>
      <diagonal/>
    </border>
    <border>
      <left style="dashed">
        <color theme="3" tint="0.39982299264503923"/>
      </left>
      <right style="dashed">
        <color theme="3" tint="0.39982299264503923"/>
      </right>
      <top/>
      <bottom style="medium">
        <color theme="3" tint="0.39991454817346722"/>
      </bottom>
      <diagonal/>
    </border>
    <border>
      <left style="dashed">
        <color theme="3" tint="0.39985351115451523"/>
      </left>
      <right style="dashed">
        <color theme="3" tint="0.39985351115451523"/>
      </right>
      <top/>
      <bottom/>
      <diagonal/>
    </border>
    <border>
      <left style="dashed">
        <color theme="3" tint="0.39982299264503923"/>
      </left>
      <right style="dashed">
        <color theme="3" tint="0.39982299264503923"/>
      </right>
      <top style="dashed">
        <color theme="3" tint="0.39991454817346722"/>
      </top>
      <bottom style="dashed">
        <color theme="3" tint="0.39991454817346722"/>
      </bottom>
      <diagonal/>
    </border>
    <border>
      <left style="medium">
        <color theme="3" tint="0.39994506668294322"/>
      </left>
      <right/>
      <top/>
      <bottom/>
      <diagonal/>
    </border>
    <border>
      <left style="double">
        <color theme="3" tint="0.39991454817346722"/>
      </left>
      <right/>
      <top/>
      <bottom/>
      <diagonal/>
    </border>
    <border>
      <left/>
      <right style="dashed">
        <color theme="3" tint="0.39982299264503923"/>
      </right>
      <top/>
      <bottom style="medium">
        <color theme="3" tint="0.39991454817346722"/>
      </bottom>
      <diagonal/>
    </border>
    <border>
      <left/>
      <right style="dashed">
        <color theme="3" tint="0.39982299264503923"/>
      </right>
      <top/>
      <bottom/>
      <diagonal/>
    </border>
    <border>
      <left/>
      <right style="dashed">
        <color theme="3" tint="0.39982299264503923"/>
      </right>
      <top style="dashed">
        <color theme="3" tint="0.39991454817346722"/>
      </top>
      <bottom style="dashed">
        <color theme="3" tint="0.39991454817346722"/>
      </bottom>
      <diagonal/>
    </border>
    <border>
      <left style="double">
        <color theme="3" tint="0.39991454817346722"/>
      </left>
      <right/>
      <top style="medium">
        <color theme="3" tint="0.39994506668294322"/>
      </top>
      <bottom style="medium">
        <color theme="3" tint="0.39988402966399123"/>
      </bottom>
      <diagonal/>
    </border>
    <border>
      <left/>
      <right/>
      <top style="medium">
        <color theme="3" tint="0.39994506668294322"/>
      </top>
      <bottom style="medium">
        <color theme="3" tint="0.39988402966399123"/>
      </bottom>
      <diagonal/>
    </border>
    <border>
      <left/>
      <right style="double">
        <color theme="3" tint="0.39991454817346722"/>
      </right>
      <top style="medium">
        <color theme="3" tint="0.39994506668294322"/>
      </top>
      <bottom style="medium">
        <color theme="3" tint="0.39988402966399123"/>
      </bottom>
      <diagonal/>
    </border>
    <border>
      <left/>
      <right style="thick">
        <color theme="6" tint="-0.499984740745262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dotted">
        <color theme="6" tint="-0.499984740745262"/>
      </bottom>
      <diagonal/>
    </border>
    <border>
      <left/>
      <right/>
      <top style="medium">
        <color theme="6" tint="-0.499984740745262"/>
      </top>
      <bottom style="dotted">
        <color theme="6" tint="-0.499984740745262"/>
      </bottom>
      <diagonal/>
    </border>
    <border>
      <left/>
      <right style="thick">
        <color theme="6" tint="-0.499984740745262"/>
      </right>
      <top style="medium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thick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/>
      <diagonal/>
    </border>
    <border>
      <left/>
      <right/>
      <top style="dotted">
        <color theme="6" tint="-0.499984740745262"/>
      </top>
      <bottom/>
      <diagonal/>
    </border>
    <border>
      <left/>
      <right style="dotted">
        <color theme="6" tint="-0.499984740745262"/>
      </right>
      <top/>
      <bottom style="thick">
        <color theme="6" tint="-0.499984740745262"/>
      </bottom>
      <diagonal/>
    </border>
    <border>
      <left style="double">
        <color theme="6" tint="-0.499984740745262"/>
      </left>
      <right/>
      <top/>
      <bottom/>
      <diagonal/>
    </border>
    <border>
      <left/>
      <right style="double">
        <color theme="6" tint="-0.499984740745262"/>
      </right>
      <top/>
      <bottom/>
      <diagonal/>
    </border>
    <border>
      <left style="double">
        <color theme="6" tint="-0.499984740745262"/>
      </left>
      <right/>
      <top style="medium">
        <color theme="6" tint="-0.499984740745262"/>
      </top>
      <bottom style="dotted">
        <color theme="6" tint="-0.499984740745262"/>
      </bottom>
      <diagonal/>
    </border>
    <border>
      <left/>
      <right style="double">
        <color theme="6" tint="-0.499984740745262"/>
      </right>
      <top style="medium">
        <color theme="6" tint="-0.499984740745262"/>
      </top>
      <bottom style="dotted">
        <color theme="6" tint="-0.499984740745262"/>
      </bottom>
      <diagonal/>
    </border>
    <border>
      <left style="double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uble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uble">
        <color theme="6" tint="-0.499984740745262"/>
      </left>
      <right/>
      <top style="dotted">
        <color theme="6" tint="-0.499984740745262"/>
      </top>
      <bottom/>
      <diagonal/>
    </border>
    <border>
      <left style="double">
        <color theme="6" tint="-0.499984740745262"/>
      </left>
      <right/>
      <top/>
      <bottom style="thick">
        <color theme="6" tint="-0.499984740745262"/>
      </bottom>
      <diagonal/>
    </border>
    <border>
      <left/>
      <right style="double">
        <color theme="6" tint="-0.499984740745262"/>
      </right>
      <top/>
      <bottom style="thick">
        <color theme="6" tint="-0.499984740745262"/>
      </bottom>
      <diagonal/>
    </border>
    <border>
      <left style="double">
        <color theme="2" tint="-0.499984740745262"/>
      </left>
      <right/>
      <top/>
      <bottom/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double">
        <color theme="2" tint="-0.499984740745262"/>
      </right>
      <top/>
      <bottom/>
      <diagonal/>
    </border>
    <border>
      <left style="double">
        <color theme="2" tint="-0.499984740745262"/>
      </left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/>
      <top/>
      <bottom style="thin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/>
      <bottom style="thin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/>
      <right/>
      <top style="thick">
        <color theme="6" tint="-0.499984740745262"/>
      </top>
      <bottom style="medium">
        <color theme="6" tint="-0.499984740745262"/>
      </bottom>
      <diagonal/>
    </border>
    <border>
      <left style="thin">
        <color theme="3" tint="0.39991454817346722"/>
      </left>
      <right style="double">
        <color theme="3" tint="0.39991454817346722"/>
      </right>
      <top/>
      <bottom style="medium">
        <color theme="3" tint="0.39991454817346722"/>
      </bottom>
      <diagonal/>
    </border>
    <border>
      <left style="thin">
        <color theme="3" tint="0.39991454817346722"/>
      </left>
      <right style="double">
        <color theme="3" tint="0.39991454817346722"/>
      </right>
      <top/>
      <bottom/>
      <diagonal/>
    </border>
    <border>
      <left style="thin">
        <color theme="3" tint="0.39991454817346722"/>
      </left>
      <right style="double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dashed">
        <color theme="3" tint="0.39982299264503923"/>
      </left>
      <right/>
      <top/>
      <bottom style="medium">
        <color theme="3" tint="0.39991454817346722"/>
      </bottom>
      <diagonal/>
    </border>
    <border>
      <left style="dashed">
        <color theme="3" tint="0.39982299264503923"/>
      </left>
      <right/>
      <top/>
      <bottom/>
      <diagonal/>
    </border>
    <border>
      <left style="dashed">
        <color theme="3" tint="0.39982299264503923"/>
      </left>
      <right/>
      <top style="dashed">
        <color theme="3" tint="0.39991454817346722"/>
      </top>
      <bottom style="dashed">
        <color theme="3" tint="0.39991454817346722"/>
      </bottom>
      <diagonal/>
    </border>
    <border>
      <left/>
      <right style="medium">
        <color theme="3" tint="0.39991454817346722"/>
      </right>
      <top style="medium">
        <color theme="3" tint="0.39994506668294322"/>
      </top>
      <bottom style="medium">
        <color theme="3" tint="0.39988402966399123"/>
      </bottom>
      <diagonal/>
    </border>
    <border>
      <left style="thin">
        <color theme="3" tint="0.39991454817346722"/>
      </left>
      <right style="medium">
        <color theme="3" tint="0.39991454817346722"/>
      </right>
      <top/>
      <bottom/>
      <diagonal/>
    </border>
    <border>
      <left style="thin">
        <color theme="3" tint="0.39991454817346722"/>
      </left>
      <right style="medium">
        <color theme="3" tint="0.39991454817346722"/>
      </right>
      <top/>
      <bottom style="medium">
        <color theme="3" tint="0.39994506668294322"/>
      </bottom>
      <diagonal/>
    </border>
    <border>
      <left style="thin">
        <color theme="3" tint="0.39988402966399123"/>
      </left>
      <right style="medium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88402966399123"/>
      </left>
      <right style="medium">
        <color theme="3" tint="0.39991454817346722"/>
      </right>
      <top/>
      <bottom/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theme="3" tint="0.39988402966399123"/>
      </top>
      <bottom style="medium">
        <color theme="3" tint="0.39991454817346722"/>
      </bottom>
      <diagonal/>
    </border>
    <border>
      <left style="thin">
        <color theme="3" tint="0.39988402966399123"/>
      </left>
      <right style="double">
        <color theme="3" tint="0.39988402966399123"/>
      </right>
      <top style="dashed">
        <color theme="3" tint="0.39991454817346722"/>
      </top>
      <bottom/>
      <diagonal/>
    </border>
    <border>
      <left style="thin">
        <color theme="3" tint="0.39988402966399123"/>
      </left>
      <right style="double">
        <color theme="3" tint="0.39988402966399123"/>
      </right>
      <top/>
      <bottom/>
      <diagonal/>
    </border>
    <border>
      <left style="thin">
        <color theme="3" tint="0.39988402966399123"/>
      </left>
      <right style="double">
        <color theme="3" tint="0.39988402966399123"/>
      </right>
      <top/>
      <bottom style="medium">
        <color theme="3" tint="0.39994506668294322"/>
      </bottom>
      <diagonal/>
    </border>
    <border>
      <left/>
      <right style="double">
        <color theme="6" tint="-0.499984740745262"/>
      </right>
      <top style="thick">
        <color theme="6" tint="-0.499984740745262"/>
      </top>
      <bottom style="medium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theme="6" tint="-0.499984740745262"/>
      </bottom>
      <diagonal/>
    </border>
    <border>
      <left style="double">
        <color theme="6" tint="-0.499984740745262"/>
      </left>
      <right/>
      <top style="thick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/>
      <bottom/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double">
        <color theme="7" tint="-0.24994659260841701"/>
      </left>
      <right/>
      <top style="medium">
        <color theme="7" tint="-0.24994659260841701"/>
      </top>
      <bottom/>
      <diagonal/>
    </border>
    <border>
      <left/>
      <right style="double">
        <color theme="7" tint="-0.24994659260841701"/>
      </right>
      <top style="medium">
        <color theme="7" tint="-0.24994659260841701"/>
      </top>
      <bottom/>
      <diagonal/>
    </border>
    <border>
      <left style="double">
        <color theme="7" tint="-0.24994659260841701"/>
      </left>
      <right/>
      <top/>
      <bottom/>
      <diagonal/>
    </border>
    <border>
      <left/>
      <right style="double">
        <color theme="7" tint="-0.24994659260841701"/>
      </right>
      <top/>
      <bottom/>
      <diagonal/>
    </border>
    <border>
      <left style="double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double">
        <color theme="7" tint="-0.24994659260841701"/>
      </right>
      <top/>
      <bottom style="medium">
        <color theme="7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dotted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/>
      <top/>
      <bottom style="double">
        <color indexed="64"/>
      </bottom>
      <diagonal/>
    </border>
    <border>
      <left style="medium">
        <color rgb="FF92D050"/>
      </left>
      <right style="thin">
        <color theme="0" tint="-0.499984740745262"/>
      </right>
      <top style="double">
        <color indexed="64"/>
      </top>
      <bottom style="medium">
        <color rgb="FF92D050"/>
      </bottom>
      <diagonal/>
    </border>
    <border>
      <left/>
      <right/>
      <top style="double">
        <color indexed="64"/>
      </top>
      <bottom style="medium">
        <color rgb="FF92D05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theme="8" tint="-0.24994659260841701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92D050"/>
      </left>
      <right style="thin">
        <color theme="0" tint="-0.499984740745262"/>
      </right>
      <top/>
      <bottom/>
      <diagonal/>
    </border>
    <border>
      <left style="medium">
        <color rgb="FF92D050"/>
      </left>
      <right/>
      <top style="thin">
        <color auto="1"/>
      </top>
      <bottom style="double">
        <color auto="1"/>
      </bottom>
      <diagonal/>
    </border>
    <border>
      <left style="medium">
        <color rgb="FF92D05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8" tint="0.59996337778862885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double">
        <color theme="0" tint="-0.499984740745262"/>
      </right>
      <top/>
      <bottom style="thin">
        <color indexed="64"/>
      </bottom>
      <diagonal/>
    </border>
    <border>
      <left/>
      <right style="double">
        <color theme="0" tint="-0.499984740745262"/>
      </right>
      <top/>
      <bottom/>
      <diagonal/>
    </border>
    <border>
      <left style="hair">
        <color indexed="64"/>
      </left>
      <right style="double">
        <color theme="0" tint="-0.499984740745262"/>
      </right>
      <top/>
      <bottom/>
      <diagonal/>
    </border>
    <border>
      <left style="hair">
        <color indexed="64"/>
      </left>
      <right style="double">
        <color theme="0" tint="-0.499984740745262"/>
      </right>
      <top/>
      <bottom style="thin">
        <color indexed="64"/>
      </bottom>
      <diagonal/>
    </border>
    <border>
      <left style="hair">
        <color indexed="64"/>
      </left>
      <right style="double">
        <color theme="0" tint="-0.499984740745262"/>
      </right>
      <top/>
      <bottom style="mediumDashed">
        <color indexed="55"/>
      </bottom>
      <diagonal/>
    </border>
    <border>
      <left style="hair">
        <color indexed="64"/>
      </left>
      <right style="double">
        <color theme="0" tint="-0.499984740745262"/>
      </right>
      <top/>
      <bottom style="double">
        <color indexed="64"/>
      </bottom>
      <diagonal/>
    </border>
    <border>
      <left/>
      <right style="double">
        <color theme="0" tint="-0.499984740745262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tted">
        <color theme="9" tint="-0.24994659260841701"/>
      </bottom>
      <diagonal/>
    </border>
    <border>
      <left/>
      <right style="hair">
        <color indexed="64"/>
      </right>
      <top/>
      <bottom style="dotted">
        <color theme="9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 style="double">
        <color theme="0" tint="-0.499984740745262"/>
      </right>
      <top/>
      <bottom style="dotted">
        <color theme="9" tint="-0.24994659260841701"/>
      </bottom>
      <diagonal/>
    </border>
    <border>
      <left style="hair">
        <color indexed="64"/>
      </left>
      <right style="double">
        <color theme="0" tint="-0.499984740745262"/>
      </right>
      <top style="dotted">
        <color theme="9" tint="-0.2499465926084170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theme="9" tint="-0.24994659260841701"/>
      </top>
      <bottom style="thin">
        <color indexed="64"/>
      </bottom>
      <diagonal/>
    </border>
    <border>
      <left style="medium">
        <color rgb="FF92D050"/>
      </left>
      <right/>
      <top style="thin">
        <color indexed="64"/>
      </top>
      <bottom style="double">
        <color rgb="FF92D050"/>
      </bottom>
      <diagonal/>
    </border>
    <border>
      <left/>
      <right style="thin">
        <color indexed="64"/>
      </right>
      <top style="thin">
        <color indexed="64"/>
      </top>
      <bottom style="double">
        <color rgb="FF92D050"/>
      </bottom>
      <diagonal/>
    </border>
    <border>
      <left style="medium">
        <color theme="3" tint="0.39994506668294322"/>
      </left>
      <right style="double">
        <color theme="3" tint="0.399914548173467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 style="double">
        <color theme="3" tint="0.39991454817346722"/>
      </right>
      <top/>
      <bottom style="medium">
        <color theme="3" tint="0.39991454817346722"/>
      </bottom>
      <diagonal/>
    </border>
    <border>
      <left style="medium">
        <color theme="3" tint="0.39994506668294322"/>
      </left>
      <right style="double">
        <color theme="3" tint="0.39991454817346722"/>
      </right>
      <top/>
      <bottom/>
      <diagonal/>
    </border>
    <border>
      <left style="medium">
        <color theme="3" tint="0.39994506668294322"/>
      </left>
      <right style="double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medium">
        <color theme="6" tint="-0.24994659260841701"/>
      </left>
      <right style="double">
        <color theme="3" tint="0.39991454817346722"/>
      </right>
      <top/>
      <bottom/>
      <diagonal/>
    </border>
    <border>
      <left style="medium">
        <color theme="3" tint="0.39994506668294322"/>
      </left>
      <right style="double">
        <color theme="3" tint="0.39991454817346722"/>
      </right>
      <top/>
      <bottom style="medium">
        <color theme="3" tint="0.39994506668294322"/>
      </bottom>
      <diagonal/>
    </border>
    <border>
      <left style="thick">
        <color theme="6" tint="-0.499984740745262"/>
      </left>
      <right style="double">
        <color theme="6" tint="-0.499984740745262"/>
      </right>
      <top style="thick">
        <color theme="6" tint="-0.499984740745262"/>
      </top>
      <bottom style="medium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/>
      <bottom/>
      <diagonal/>
    </border>
    <border>
      <left style="thick">
        <color theme="6" tint="-0.499984740745262"/>
      </left>
      <right style="double">
        <color theme="6" tint="-0.499984740745262"/>
      </right>
      <top style="medium">
        <color theme="6" tint="-0.499984740745262"/>
      </top>
      <bottom style="dotted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/>
      <bottom style="thick">
        <color theme="6" tint="-0.499984740745262"/>
      </bottom>
      <diagonal/>
    </border>
    <border>
      <left style="medium">
        <color theme="7" tint="-0.24994659260841701"/>
      </left>
      <right style="double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double">
        <color theme="7" tint="-0.24994659260841701"/>
      </right>
      <top/>
      <bottom/>
      <diagonal/>
    </border>
    <border>
      <left style="medium">
        <color theme="7" tint="-0.24994659260841701"/>
      </left>
      <right style="double">
        <color theme="7" tint="-0.24994659260841701"/>
      </right>
      <top/>
      <bottom style="medium">
        <color theme="7" tint="-0.24994659260841701"/>
      </bottom>
      <diagonal/>
    </border>
    <border>
      <left style="medium">
        <color rgb="FF92D050"/>
      </left>
      <right/>
      <top/>
      <bottom style="medium">
        <color theme="0" tint="-0.24994659260841701"/>
      </bottom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/>
      <right style="thin">
        <color indexed="64"/>
      </right>
      <top/>
      <bottom style="dotted">
        <color theme="9" tint="0.39994506668294322"/>
      </bottom>
      <diagonal/>
    </border>
    <border>
      <left/>
      <right style="hair">
        <color indexed="64"/>
      </right>
      <top/>
      <bottom style="dotted">
        <color theme="9" tint="0.39994506668294322"/>
      </bottom>
      <diagonal/>
    </border>
    <border>
      <left/>
      <right/>
      <top/>
      <bottom style="dotted">
        <color theme="9" tint="0.39994506668294322"/>
      </bottom>
      <diagonal/>
    </border>
    <border>
      <left/>
      <right style="double">
        <color theme="0" tint="-0.499984740745262"/>
      </right>
      <top/>
      <bottom style="dotted">
        <color theme="9" tint="0.39994506668294322"/>
      </bottom>
      <diagonal/>
    </border>
    <border>
      <left/>
      <right style="double">
        <color theme="8" tint="-0.24994659260841701"/>
      </right>
      <top/>
      <bottom/>
      <diagonal/>
    </border>
    <border>
      <left/>
      <right/>
      <top/>
      <bottom style="double">
        <color indexed="50"/>
      </bottom>
      <diagonal/>
    </border>
    <border>
      <left/>
      <right/>
      <top style="hair">
        <color indexed="64"/>
      </top>
      <bottom style="double">
        <color indexed="50"/>
      </bottom>
      <diagonal/>
    </border>
    <border>
      <left/>
      <right/>
      <top/>
      <bottom style="dotted">
        <color theme="8" tint="-0.24994659260841701"/>
      </bottom>
      <diagonal/>
    </border>
    <border>
      <left/>
      <right/>
      <top style="dotted">
        <color theme="8" tint="-0.24994659260841701"/>
      </top>
      <bottom style="double">
        <color indexed="64"/>
      </bottom>
      <diagonal/>
    </border>
    <border>
      <left/>
      <right/>
      <top/>
      <bottom style="dotted">
        <color theme="3" tint="0.399945066682943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92D050"/>
      </left>
      <right/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/>
      <top style="medium">
        <color theme="3" tint="0.39988402966399123"/>
      </top>
      <bottom style="medium">
        <color theme="3" tint="0.39991454817346722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88402966399123"/>
      </left>
      <right/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 style="medium">
        <color theme="3" tint="0.39991454817346722"/>
      </left>
      <right/>
      <top style="medium">
        <color theme="3" tint="0.39994506668294322"/>
      </top>
      <bottom style="medium">
        <color theme="3" tint="0.39988402966399123"/>
      </bottom>
      <diagonal/>
    </border>
    <border>
      <left style="medium">
        <color theme="3" tint="0.39991454817346722"/>
      </left>
      <right style="dashed">
        <color theme="3" tint="0.39982299264503923"/>
      </right>
      <top/>
      <bottom style="medium">
        <color theme="3" tint="0.39991454817346722"/>
      </bottom>
      <diagonal/>
    </border>
    <border>
      <left style="medium">
        <color theme="3" tint="0.39991454817346722"/>
      </left>
      <right/>
      <top/>
      <bottom/>
      <diagonal/>
    </border>
    <border>
      <left style="medium">
        <color theme="3" tint="0.39991454817346722"/>
      </left>
      <right style="dashed">
        <color theme="3" tint="0.39982299264503923"/>
      </right>
      <top/>
      <bottom/>
      <diagonal/>
    </border>
    <border>
      <left style="medium">
        <color theme="3" tint="0.39991454817346722"/>
      </left>
      <right style="dashed">
        <color theme="3" tint="0.39982299264503923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double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2"/>
      </right>
      <top style="hair">
        <color indexed="23"/>
      </top>
      <bottom style="hair">
        <color indexed="23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double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92D050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rgb="FF92D050"/>
      </bottom>
      <diagonal/>
    </border>
    <border>
      <left/>
      <right style="thin">
        <color indexed="64"/>
      </right>
      <top/>
      <bottom style="dotted">
        <color theme="8" tint="-0.24994659260841701"/>
      </bottom>
      <diagonal/>
    </border>
    <border>
      <left/>
      <right style="thin">
        <color indexed="64"/>
      </right>
      <top style="dotted">
        <color theme="8" tint="-0.2499465926084170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/>
      <diagonal/>
    </border>
    <border>
      <left style="thick">
        <color rgb="FF3333FF"/>
      </left>
      <right style="thick">
        <color rgb="FF3333FF"/>
      </right>
      <top style="thin">
        <color indexed="64"/>
      </top>
      <bottom style="thin">
        <color auto="1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23"/>
      </top>
      <bottom style="hair">
        <color indexed="23"/>
      </bottom>
      <diagonal/>
    </border>
    <border>
      <left style="double">
        <color indexed="64"/>
      </left>
      <right/>
      <top style="hair">
        <color indexed="23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ck">
        <color rgb="FF3333FF"/>
      </left>
      <right style="thick">
        <color rgb="FF3333FF"/>
      </right>
      <top style="thin">
        <color indexed="64"/>
      </top>
      <bottom/>
      <diagonal/>
    </border>
    <border>
      <left style="thick">
        <color rgb="FF3333FF"/>
      </left>
      <right style="thick">
        <color rgb="FF3333FF"/>
      </right>
      <top/>
      <bottom style="thin">
        <color auto="1"/>
      </bottom>
      <diagonal/>
    </border>
    <border>
      <left style="thick">
        <color rgb="FF3333FF"/>
      </left>
      <right style="thick">
        <color rgb="FF3333FF"/>
      </right>
      <top/>
      <bottom style="hair">
        <color indexed="23"/>
      </bottom>
      <diagonal/>
    </border>
    <border>
      <left style="thick">
        <color rgb="FF3333FF"/>
      </left>
      <right style="thick">
        <color rgb="FF3333FF"/>
      </right>
      <top style="hair">
        <color indexed="23"/>
      </top>
      <bottom style="hair">
        <color indexed="23"/>
      </bottom>
      <diagonal/>
    </border>
    <border>
      <left style="thick">
        <color rgb="FF3333FF"/>
      </left>
      <right style="thick">
        <color rgb="FF3333FF"/>
      </right>
      <top style="hair">
        <color indexed="23"/>
      </top>
      <bottom style="thin">
        <color indexed="64"/>
      </bottom>
      <diagonal/>
    </border>
    <border>
      <left style="thick">
        <color rgb="FF3333FF"/>
      </left>
      <right style="thick">
        <color rgb="FF3333FF"/>
      </right>
      <top/>
      <bottom/>
      <diagonal/>
    </border>
    <border>
      <left style="thick">
        <color rgb="FF3333FF"/>
      </left>
      <right style="thick">
        <color rgb="FF3333FF"/>
      </right>
      <top style="hair">
        <color indexed="23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Dashed">
        <color indexed="55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tted">
        <color theme="9" tint="-0.24994659260841701"/>
      </top>
      <bottom style="thin">
        <color indexed="64"/>
      </bottom>
      <diagonal/>
    </border>
    <border>
      <left style="double">
        <color rgb="FF3333FF"/>
      </left>
      <right style="hair">
        <color indexed="64"/>
      </right>
      <top/>
      <bottom/>
      <diagonal/>
    </border>
    <border>
      <left/>
      <right style="double">
        <color rgb="FF3333FF"/>
      </right>
      <top/>
      <bottom/>
      <diagonal/>
    </border>
    <border>
      <left style="double">
        <color rgb="FF3333FF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rgb="FF3333FF"/>
      </right>
      <top/>
      <bottom style="thin">
        <color indexed="64"/>
      </bottom>
      <diagonal/>
    </border>
    <border>
      <left style="hair">
        <color indexed="64"/>
      </left>
      <right style="double">
        <color rgb="FF3333FF"/>
      </right>
      <top/>
      <bottom/>
      <diagonal/>
    </border>
    <border>
      <left style="hair">
        <color indexed="64"/>
      </left>
      <right style="double">
        <color rgb="FF3333FF"/>
      </right>
      <top/>
      <bottom style="thin">
        <color indexed="64"/>
      </bottom>
      <diagonal/>
    </border>
    <border>
      <left style="double">
        <color rgb="FF3333FF"/>
      </left>
      <right/>
      <top/>
      <bottom/>
      <diagonal/>
    </border>
    <border>
      <left style="hair">
        <color indexed="64"/>
      </left>
      <right style="double">
        <color rgb="FF3333FF"/>
      </right>
      <top/>
      <bottom style="mediumDashed">
        <color indexed="55"/>
      </bottom>
      <diagonal/>
    </border>
    <border>
      <left style="hair">
        <color indexed="64"/>
      </left>
      <right style="double">
        <color rgb="FF3333FF"/>
      </right>
      <top/>
      <bottom style="double">
        <color indexed="64"/>
      </bottom>
      <diagonal/>
    </border>
    <border>
      <left style="double">
        <color rgb="FF3333FF"/>
      </left>
      <right style="hair">
        <color indexed="64"/>
      </right>
      <top/>
      <bottom style="dotted">
        <color theme="9" tint="0.39994506668294322"/>
      </bottom>
      <diagonal/>
    </border>
    <border>
      <left/>
      <right style="double">
        <color rgb="FF3333FF"/>
      </right>
      <top/>
      <bottom style="dotted">
        <color theme="9" tint="0.39994506668294322"/>
      </bottom>
      <diagonal/>
    </border>
    <border>
      <left style="double">
        <color rgb="FF3333FF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rgb="FF3333FF"/>
      </right>
      <top/>
      <bottom style="hair">
        <color indexed="64"/>
      </bottom>
      <diagonal/>
    </border>
    <border>
      <left style="double">
        <color rgb="FF3333FF"/>
      </left>
      <right style="hair">
        <color indexed="64"/>
      </right>
      <top/>
      <bottom style="dotted">
        <color theme="9" tint="-0.24994659260841701"/>
      </bottom>
      <diagonal/>
    </border>
    <border>
      <left/>
      <right style="double">
        <color rgb="FF3333FF"/>
      </right>
      <top/>
      <bottom style="dotted">
        <color theme="9" tint="-0.24994659260841701"/>
      </bottom>
      <diagonal/>
    </border>
    <border>
      <left style="hair">
        <color indexed="64"/>
      </left>
      <right style="double">
        <color rgb="FF3333FF"/>
      </right>
      <top style="dotted">
        <color theme="9" tint="-0.2499465926084170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/>
      <bottom/>
      <diagonal/>
    </border>
    <border>
      <left style="thin">
        <color theme="1" tint="0.499984740745262"/>
      </left>
      <right style="thin">
        <color auto="1"/>
      </right>
      <top/>
      <bottom style="dotted">
        <color rgb="FF00B050"/>
      </bottom>
      <diagonal/>
    </border>
    <border>
      <left style="thin">
        <color theme="1" tint="0.499984740745262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medium">
        <color rgb="FF92D050"/>
      </right>
      <top style="medium">
        <color rgb="FF92D050"/>
      </top>
      <bottom/>
      <diagonal/>
    </border>
    <border>
      <left style="thin">
        <color theme="1" tint="0.499984740745262"/>
      </left>
      <right style="medium">
        <color rgb="FF92D050"/>
      </right>
      <top/>
      <bottom/>
      <diagonal/>
    </border>
    <border>
      <left style="thin">
        <color theme="1" tint="0.499984740745262"/>
      </left>
      <right style="medium">
        <color rgb="FF92D050"/>
      </right>
      <top style="thin">
        <color auto="1"/>
      </top>
      <bottom style="double">
        <color auto="1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medium">
        <color rgb="FF92D050"/>
      </right>
      <top/>
      <bottom style="double">
        <color indexed="64"/>
      </bottom>
      <diagonal/>
    </border>
    <border>
      <left style="thin">
        <color theme="1" tint="0.499984740745262"/>
      </left>
      <right style="medium">
        <color rgb="FF92D050"/>
      </right>
      <top style="double">
        <color indexed="64"/>
      </top>
      <bottom style="medium">
        <color rgb="FF92D050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auto="1"/>
      </bottom>
      <diagonal/>
    </border>
    <border>
      <left/>
      <right style="thin">
        <color theme="1" tint="0.499984740745262"/>
      </right>
      <top/>
      <bottom style="dotted">
        <color rgb="FF00B050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medium">
        <color rgb="FF3333FF"/>
      </left>
      <right style="medium">
        <color rgb="FF3333FF"/>
      </right>
      <top style="medium">
        <color rgb="FF3333FF"/>
      </top>
      <bottom/>
      <diagonal/>
    </border>
    <border>
      <left style="medium">
        <color rgb="FF3333FF"/>
      </left>
      <right style="medium">
        <color rgb="FF3333FF"/>
      </right>
      <top/>
      <bottom style="thin">
        <color auto="1"/>
      </bottom>
      <diagonal/>
    </border>
    <border>
      <left style="medium">
        <color rgb="FF3333FF"/>
      </left>
      <right style="medium">
        <color rgb="FF3333FF"/>
      </right>
      <top/>
      <bottom/>
      <diagonal/>
    </border>
    <border>
      <left style="medium">
        <color rgb="FF3333FF"/>
      </left>
      <right style="medium">
        <color rgb="FF3333FF"/>
      </right>
      <top/>
      <bottom style="dotted">
        <color rgb="FF00B050"/>
      </bottom>
      <diagonal/>
    </border>
    <border>
      <left style="medium">
        <color rgb="FF3333FF"/>
      </left>
      <right style="medium">
        <color rgb="FF3333FF"/>
      </right>
      <top style="thin">
        <color indexed="64"/>
      </top>
      <bottom style="thin">
        <color indexed="64"/>
      </bottom>
      <diagonal/>
    </border>
    <border>
      <left style="medium">
        <color rgb="FF3333FF"/>
      </left>
      <right style="medium">
        <color rgb="FF3333FF"/>
      </right>
      <top style="thin">
        <color indexed="64"/>
      </top>
      <bottom style="medium">
        <color rgb="FF3333FF"/>
      </bottom>
      <diagonal/>
    </border>
    <border>
      <left style="thin">
        <color auto="1"/>
      </left>
      <right/>
      <top style="medium">
        <color rgb="FF92D050"/>
      </top>
      <bottom/>
      <diagonal/>
    </border>
    <border>
      <left style="thin">
        <color auto="1"/>
      </left>
      <right/>
      <top style="double">
        <color indexed="64"/>
      </top>
      <bottom style="medium">
        <color rgb="FF92D050"/>
      </bottom>
      <diagonal/>
    </border>
    <border>
      <left/>
      <right style="thin">
        <color theme="1" tint="0.499984740745262"/>
      </right>
      <top style="medium">
        <color rgb="FF92D050"/>
      </top>
      <bottom/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/>
      <right style="thin">
        <color theme="1" tint="0.499984740745262"/>
      </right>
      <top style="double">
        <color indexed="64"/>
      </top>
      <bottom style="medium">
        <color rgb="FF92D050"/>
      </bottom>
      <diagonal/>
    </border>
    <border>
      <left style="medium">
        <color rgb="FF3333FF"/>
      </left>
      <right style="medium">
        <color rgb="FF3333FF"/>
      </right>
      <top style="medium">
        <color rgb="FF92D050"/>
      </top>
      <bottom/>
      <diagonal/>
    </border>
    <border>
      <left style="medium">
        <color rgb="FF3333FF"/>
      </left>
      <right style="medium">
        <color rgb="FF3333FF"/>
      </right>
      <top style="thin">
        <color indexed="64"/>
      </top>
      <bottom style="double">
        <color indexed="64"/>
      </bottom>
      <diagonal/>
    </border>
    <border>
      <left style="medium">
        <color rgb="FF3333FF"/>
      </left>
      <right style="medium">
        <color rgb="FF3333FF"/>
      </right>
      <top/>
      <bottom style="double">
        <color indexed="64"/>
      </bottom>
      <diagonal/>
    </border>
    <border>
      <left style="medium">
        <color rgb="FF3333FF"/>
      </left>
      <right style="medium">
        <color rgb="FF3333FF"/>
      </right>
      <top style="double">
        <color indexed="64"/>
      </top>
      <bottom style="medium">
        <color rgb="FF3333FF"/>
      </bottom>
      <diagonal/>
    </border>
    <border>
      <left style="medium">
        <color rgb="FF3333FF"/>
      </left>
      <right style="medium">
        <color rgb="FF3333FF"/>
      </right>
      <top/>
      <bottom style="medium">
        <color rgb="FF92D050"/>
      </bottom>
      <diagonal/>
    </border>
    <border>
      <left style="thin">
        <color theme="1" tint="0.499984740745262"/>
      </left>
      <right style="thin">
        <color theme="1"/>
      </right>
      <top style="medium">
        <color rgb="FF92D050"/>
      </top>
      <bottom/>
      <diagonal/>
    </border>
    <border>
      <left style="thin">
        <color theme="1" tint="0.499984740745262"/>
      </left>
      <right style="thin">
        <color theme="1"/>
      </right>
      <top/>
      <bottom/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 style="double">
        <color rgb="FF92D050"/>
      </bottom>
      <diagonal/>
    </border>
    <border>
      <left style="thin">
        <color theme="1" tint="0.499984740745262"/>
      </left>
      <right style="thin">
        <color theme="1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 style="dotted">
        <color theme="3" tint="0.39994506668294322"/>
      </bottom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 style="dotted">
        <color theme="3" tint="0.39994506668294322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/>
      <top style="medium">
        <color rgb="FF92D050"/>
      </top>
      <bottom/>
      <diagonal/>
    </border>
    <border>
      <left style="thin">
        <color theme="1"/>
      </left>
      <right/>
      <top style="thin">
        <color indexed="64"/>
      </top>
      <bottom style="double">
        <color rgb="FF92D050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dotted">
        <color theme="3" tint="0.39994506668294322"/>
      </bottom>
      <diagonal/>
    </border>
    <border>
      <left/>
      <right style="thin">
        <color theme="1" tint="0.499984740745262"/>
      </right>
      <top style="thin">
        <color indexed="64"/>
      </top>
      <bottom style="double">
        <color rgb="FF92D050"/>
      </bottom>
      <diagonal/>
    </border>
    <border>
      <left/>
      <right style="thin">
        <color theme="1" tint="0.499984740745262"/>
      </right>
      <top style="medium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medium">
        <color rgb="FF3333FF"/>
      </left>
      <right style="medium">
        <color rgb="FF3333FF"/>
      </right>
      <top style="thin">
        <color indexed="64"/>
      </top>
      <bottom style="dotted">
        <color theme="3" tint="0.39994506668294322"/>
      </bottom>
      <diagonal/>
    </border>
    <border>
      <left style="medium">
        <color rgb="FF3333FF"/>
      </left>
      <right style="medium">
        <color rgb="FF3333FF"/>
      </right>
      <top style="double">
        <color indexed="64"/>
      </top>
      <bottom/>
      <diagonal/>
    </border>
    <border>
      <left style="medium">
        <color rgb="FF3333FF"/>
      </left>
      <right style="medium">
        <color rgb="FF3333FF"/>
      </right>
      <top style="thin">
        <color indexed="64"/>
      </top>
      <bottom style="double">
        <color rgb="FF92D050"/>
      </bottom>
      <diagonal/>
    </border>
    <border>
      <left style="medium">
        <color rgb="FF3333FF"/>
      </left>
      <right style="medium">
        <color rgb="FF3333FF"/>
      </right>
      <top style="medium">
        <color indexed="64"/>
      </top>
      <bottom/>
      <diagonal/>
    </border>
    <border>
      <left style="thin">
        <color indexed="64"/>
      </left>
      <right style="medium">
        <color rgb="FF3333FF"/>
      </right>
      <top/>
      <bottom/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dashed">
        <color theme="5" tint="0.59996337778862885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n">
        <color auto="1"/>
      </bottom>
      <diagonal/>
    </border>
    <border>
      <left style="thick">
        <color theme="3" tint="0.39994506668294322"/>
      </left>
      <right style="thick">
        <color theme="3" tint="0.39994506668294322"/>
      </right>
      <top style="thin">
        <color indexed="64"/>
      </top>
      <bottom style="double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dotted">
        <color theme="8" tint="0.59996337778862885"/>
      </bottom>
      <diagonal/>
    </border>
  </borders>
  <cellStyleXfs count="3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1160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2" applyNumberFormat="1" applyFont="1"/>
    <xf numFmtId="164" fontId="0" fillId="2" borderId="0" xfId="2" applyNumberFormat="1" applyFont="1" applyFill="1"/>
    <xf numFmtId="0" fontId="0" fillId="0" borderId="0" xfId="0" applyFill="1"/>
    <xf numFmtId="164" fontId="0" fillId="0" borderId="0" xfId="2" applyNumberFormat="1" applyFont="1" applyFill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1" fillId="0" borderId="3" xfId="2" applyNumberFormat="1" applyFont="1" applyBorder="1"/>
    <xf numFmtId="164" fontId="0" fillId="0" borderId="2" xfId="0" applyNumberFormat="1" applyBorder="1"/>
    <xf numFmtId="0" fontId="0" fillId="0" borderId="2" xfId="0" applyBorder="1"/>
    <xf numFmtId="164" fontId="12" fillId="0" borderId="0" xfId="2" applyNumberFormat="1" applyFont="1" applyBorder="1"/>
    <xf numFmtId="164" fontId="12" fillId="0" borderId="3" xfId="2" applyNumberFormat="1" applyFont="1" applyBorder="1"/>
    <xf numFmtId="164" fontId="12" fillId="0" borderId="2" xfId="2" applyNumberFormat="1" applyFont="1" applyBorder="1"/>
    <xf numFmtId="10" fontId="11" fillId="0" borderId="3" xfId="3" applyNumberFormat="1" applyFont="1" applyBorder="1"/>
    <xf numFmtId="164" fontId="13" fillId="0" borderId="3" xfId="2" applyNumberFormat="1" applyFont="1" applyBorder="1"/>
    <xf numFmtId="165" fontId="13" fillId="0" borderId="2" xfId="2" applyNumberFormat="1" applyFont="1" applyBorder="1"/>
    <xf numFmtId="165" fontId="13" fillId="0" borderId="3" xfId="2" applyNumberFormat="1" applyFont="1" applyBorder="1"/>
    <xf numFmtId="10" fontId="12" fillId="0" borderId="3" xfId="3" applyNumberFormat="1" applyFont="1" applyBorder="1"/>
    <xf numFmtId="164" fontId="13" fillId="0" borderId="0" xfId="2" applyNumberFormat="1" applyFont="1" applyBorder="1"/>
    <xf numFmtId="164" fontId="12" fillId="0" borderId="2" xfId="0" applyNumberFormat="1" applyFont="1" applyBorder="1"/>
    <xf numFmtId="164" fontId="0" fillId="3" borderId="3" xfId="2" applyNumberFormat="1" applyFont="1" applyFill="1" applyBorder="1"/>
    <xf numFmtId="164" fontId="0" fillId="3" borderId="2" xfId="0" applyNumberFormat="1" applyFill="1" applyBorder="1"/>
    <xf numFmtId="0" fontId="0" fillId="0" borderId="3" xfId="0" applyBorder="1"/>
    <xf numFmtId="9" fontId="0" fillId="0" borderId="3" xfId="3" applyFont="1" applyBorder="1" applyAlignment="1">
      <alignment horizontal="center"/>
    </xf>
    <xf numFmtId="164" fontId="0" fillId="0" borderId="2" xfId="2" applyNumberFormat="1" applyFont="1" applyBorder="1"/>
    <xf numFmtId="164" fontId="0" fillId="0" borderId="3" xfId="2" applyNumberFormat="1" applyFont="1" applyBorder="1"/>
    <xf numFmtId="43" fontId="12" fillId="4" borderId="3" xfId="2" applyNumberFormat="1" applyFont="1" applyFill="1" applyBorder="1"/>
    <xf numFmtId="164" fontId="12" fillId="4" borderId="2" xfId="2" applyNumberFormat="1" applyFont="1" applyFill="1" applyBorder="1"/>
    <xf numFmtId="3" fontId="12" fillId="0" borderId="3" xfId="2" applyNumberFormat="1" applyFont="1" applyBorder="1"/>
    <xf numFmtId="3" fontId="12" fillId="0" borderId="2" xfId="2" applyNumberFormat="1" applyFont="1" applyBorder="1"/>
    <xf numFmtId="164" fontId="12" fillId="0" borderId="6" xfId="2" applyNumberFormat="1" applyFont="1" applyBorder="1"/>
    <xf numFmtId="164" fontId="12" fillId="0" borderId="0" xfId="2" applyNumberFormat="1" applyFont="1" applyFill="1" applyBorder="1"/>
    <xf numFmtId="0" fontId="12" fillId="0" borderId="0" xfId="0" applyFont="1" applyBorder="1"/>
    <xf numFmtId="44" fontId="12" fillId="0" borderId="3" xfId="2" applyFont="1" applyBorder="1"/>
    <xf numFmtId="0" fontId="12" fillId="0" borderId="2" xfId="0" applyFont="1" applyBorder="1"/>
    <xf numFmtId="0" fontId="12" fillId="4" borderId="0" xfId="0" applyFont="1" applyFill="1" applyBorder="1"/>
    <xf numFmtId="0" fontId="12" fillId="0" borderId="3" xfId="0" applyFont="1" applyBorder="1"/>
    <xf numFmtId="164" fontId="12" fillId="0" borderId="8" xfId="2" applyNumberFormat="1" applyFont="1" applyBorder="1"/>
    <xf numFmtId="164" fontId="12" fillId="5" borderId="0" xfId="2" applyNumberFormat="1" applyFont="1" applyFill="1" applyBorder="1"/>
    <xf numFmtId="164" fontId="12" fillId="5" borderId="3" xfId="2" applyNumberFormat="1" applyFont="1" applyFill="1" applyBorder="1"/>
    <xf numFmtId="164" fontId="12" fillId="5" borderId="2" xfId="2" applyNumberFormat="1" applyFont="1" applyFill="1" applyBorder="1"/>
    <xf numFmtId="37" fontId="12" fillId="0" borderId="3" xfId="0" applyNumberFormat="1" applyFont="1" applyBorder="1"/>
    <xf numFmtId="37" fontId="12" fillId="0" borderId="2" xfId="0" applyNumberFormat="1" applyFont="1" applyBorder="1"/>
    <xf numFmtId="37" fontId="12" fillId="0" borderId="9" xfId="0" applyNumberFormat="1" applyFont="1" applyBorder="1"/>
    <xf numFmtId="164" fontId="12" fillId="0" borderId="10" xfId="2" applyNumberFormat="1" applyFont="1" applyBorder="1"/>
    <xf numFmtId="2" fontId="12" fillId="0" borderId="3" xfId="0" applyNumberFormat="1" applyFont="1" applyBorder="1"/>
    <xf numFmtId="2" fontId="12" fillId="0" borderId="0" xfId="0" applyNumberFormat="1" applyFont="1" applyBorder="1"/>
    <xf numFmtId="2" fontId="12" fillId="0" borderId="3" xfId="0" applyNumberFormat="1" applyFont="1" applyBorder="1" applyAlignment="1">
      <alignment horizontal="right"/>
    </xf>
    <xf numFmtId="164" fontId="12" fillId="0" borderId="13" xfId="0" applyNumberFormat="1" applyFont="1" applyBorder="1"/>
    <xf numFmtId="164" fontId="12" fillId="0" borderId="11" xfId="2" applyNumberFormat="1" applyFont="1" applyBorder="1"/>
    <xf numFmtId="164" fontId="12" fillId="4" borderId="3" xfId="2" applyNumberFormat="1" applyFont="1" applyFill="1" applyBorder="1"/>
    <xf numFmtId="0" fontId="12" fillId="4" borderId="2" xfId="0" applyFont="1" applyFill="1" applyBorder="1"/>
    <xf numFmtId="0" fontId="12" fillId="0" borderId="0" xfId="0" applyFont="1" applyFill="1" applyBorder="1"/>
    <xf numFmtId="164" fontId="12" fillId="0" borderId="3" xfId="2" applyNumberFormat="1" applyFont="1" applyFill="1" applyBorder="1"/>
    <xf numFmtId="0" fontId="12" fillId="0" borderId="2" xfId="0" applyFont="1" applyFill="1" applyBorder="1"/>
    <xf numFmtId="43" fontId="12" fillId="0" borderId="3" xfId="1" applyFont="1" applyBorder="1"/>
    <xf numFmtId="43" fontId="12" fillId="6" borderId="3" xfId="1" applyFont="1" applyFill="1" applyBorder="1"/>
    <xf numFmtId="164" fontId="12" fillId="6" borderId="2" xfId="2" applyNumberFormat="1" applyFont="1" applyFill="1" applyBorder="1"/>
    <xf numFmtId="43" fontId="12" fillId="0" borderId="3" xfId="1" applyFont="1" applyFill="1" applyBorder="1"/>
    <xf numFmtId="164" fontId="12" fillId="0" borderId="2" xfId="2" applyNumberFormat="1" applyFont="1" applyFill="1" applyBorder="1"/>
    <xf numFmtId="0" fontId="15" fillId="0" borderId="0" xfId="0" applyFont="1"/>
    <xf numFmtId="0" fontId="11" fillId="0" borderId="0" xfId="0" applyFont="1"/>
    <xf numFmtId="0" fontId="12" fillId="0" borderId="0" xfId="0" applyFont="1" applyAlignment="1">
      <alignment horizontal="left" indent="1"/>
    </xf>
    <xf numFmtId="164" fontId="11" fillId="0" borderId="0" xfId="2" applyNumberFormat="1" applyFont="1" applyFill="1" applyBorder="1"/>
    <xf numFmtId="164" fontId="11" fillId="0" borderId="0" xfId="2" applyNumberFormat="1" applyFont="1" applyFill="1"/>
    <xf numFmtId="164" fontId="11" fillId="0" borderId="0" xfId="2" applyNumberFormat="1" applyFont="1" applyBorder="1"/>
    <xf numFmtId="164" fontId="11" fillId="0" borderId="0" xfId="0" applyNumberFormat="1" applyFont="1" applyFill="1" applyBorder="1"/>
    <xf numFmtId="164" fontId="11" fillId="0" borderId="0" xfId="0" applyNumberFormat="1" applyFont="1" applyFill="1"/>
    <xf numFmtId="0" fontId="12" fillId="0" borderId="0" xfId="0" applyFont="1"/>
    <xf numFmtId="165" fontId="13" fillId="0" borderId="0" xfId="0" applyNumberFormat="1" applyFont="1" applyBorder="1"/>
    <xf numFmtId="164" fontId="0" fillId="0" borderId="0" xfId="0" applyNumberFormat="1"/>
    <xf numFmtId="49" fontId="7" fillId="0" borderId="0" xfId="0" applyNumberFormat="1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49" fontId="22" fillId="0" borderId="0" xfId="0" applyNumberFormat="1" applyFont="1" applyAlignment="1">
      <alignment horizontal="center"/>
    </xf>
    <xf numFmtId="42" fontId="12" fillId="0" borderId="10" xfId="2" applyNumberFormat="1" applyFont="1" applyBorder="1"/>
    <xf numFmtId="164" fontId="11" fillId="0" borderId="16" xfId="0" applyNumberFormat="1" applyFont="1" applyFill="1" applyBorder="1"/>
    <xf numFmtId="164" fontId="27" fillId="0" borderId="0" xfId="2" applyNumberFormat="1" applyFont="1" applyBorder="1"/>
    <xf numFmtId="0" fontId="27" fillId="0" borderId="0" xfId="0" applyFont="1" applyBorder="1"/>
    <xf numFmtId="170" fontId="12" fillId="0" borderId="18" xfId="0" applyNumberFormat="1" applyFont="1" applyBorder="1"/>
    <xf numFmtId="164" fontId="12" fillId="0" borderId="19" xfId="2" applyNumberFormat="1" applyFont="1" applyBorder="1" applyAlignment="1">
      <alignment horizontal="center"/>
    </xf>
    <xf numFmtId="164" fontId="27" fillId="0" borderId="19" xfId="2" applyNumberFormat="1" applyFont="1" applyBorder="1" applyAlignment="1">
      <alignment horizontal="center"/>
    </xf>
    <xf numFmtId="164" fontId="27" fillId="0" borderId="19" xfId="2" applyNumberFormat="1" applyFont="1" applyBorder="1"/>
    <xf numFmtId="49" fontId="12" fillId="0" borderId="20" xfId="0" applyNumberFormat="1" applyFont="1" applyBorder="1" applyAlignment="1">
      <alignment horizontal="center"/>
    </xf>
    <xf numFmtId="164" fontId="27" fillId="0" borderId="22" xfId="2" applyNumberFormat="1" applyFont="1" applyBorder="1"/>
    <xf numFmtId="164" fontId="28" fillId="0" borderId="0" xfId="2" applyNumberFormat="1" applyFont="1" applyBorder="1"/>
    <xf numFmtId="170" fontId="28" fillId="0" borderId="0" xfId="0" applyNumberFormat="1" applyFont="1" applyBorder="1"/>
    <xf numFmtId="164" fontId="29" fillId="0" borderId="0" xfId="2" applyNumberFormat="1" applyFont="1" applyBorder="1"/>
    <xf numFmtId="10" fontId="29" fillId="0" borderId="0" xfId="3" applyNumberFormat="1" applyFont="1" applyFill="1" applyBorder="1"/>
    <xf numFmtId="164" fontId="29" fillId="0" borderId="0" xfId="0" applyNumberFormat="1" applyFont="1" applyFill="1" applyBorder="1"/>
    <xf numFmtId="170" fontId="15" fillId="0" borderId="18" xfId="0" applyNumberFormat="1" applyFont="1" applyBorder="1"/>
    <xf numFmtId="0" fontId="29" fillId="0" borderId="23" xfId="0" applyFont="1" applyBorder="1"/>
    <xf numFmtId="49" fontId="27" fillId="0" borderId="25" xfId="2" applyNumberFormat="1" applyFont="1" applyBorder="1" applyAlignment="1">
      <alignment horizontal="center"/>
    </xf>
    <xf numFmtId="164" fontId="27" fillId="0" borderId="26" xfId="2" applyNumberFormat="1" applyFont="1" applyBorder="1" applyAlignment="1">
      <alignment horizontal="center"/>
    </xf>
    <xf numFmtId="164" fontId="27" fillId="0" borderId="26" xfId="2" applyNumberFormat="1" applyFont="1" applyBorder="1"/>
    <xf numFmtId="164" fontId="27" fillId="0" borderId="27" xfId="2" applyNumberFormat="1" applyFont="1" applyBorder="1"/>
    <xf numFmtId="10" fontId="29" fillId="0" borderId="0" xfId="3" applyNumberFormat="1" applyFont="1" applyBorder="1"/>
    <xf numFmtId="42" fontId="12" fillId="0" borderId="3" xfId="2" applyNumberFormat="1" applyFont="1" applyBorder="1"/>
    <xf numFmtId="165" fontId="12" fillId="0" borderId="0" xfId="0" applyNumberFormat="1" applyFont="1"/>
    <xf numFmtId="0" fontId="13" fillId="0" borderId="0" xfId="0" applyFont="1" applyBorder="1"/>
    <xf numFmtId="165" fontId="12" fillId="0" borderId="0" xfId="0" applyNumberFormat="1" applyFont="1" applyBorder="1"/>
    <xf numFmtId="164" fontId="30" fillId="0" borderId="0" xfId="2" applyNumberFormat="1" applyFont="1" applyBorder="1" applyAlignment="1">
      <alignment horizontal="right"/>
    </xf>
    <xf numFmtId="43" fontId="30" fillId="0" borderId="0" xfId="1" applyNumberFormat="1" applyFont="1" applyBorder="1"/>
    <xf numFmtId="170" fontId="27" fillId="0" borderId="0" xfId="0" applyNumberFormat="1" applyFont="1" applyBorder="1"/>
    <xf numFmtId="165" fontId="12" fillId="11" borderId="0" xfId="0" applyNumberFormat="1" applyFont="1" applyFill="1"/>
    <xf numFmtId="49" fontId="12" fillId="0" borderId="0" xfId="0" applyNumberFormat="1" applyFont="1" applyBorder="1" applyAlignment="1">
      <alignment horizontal="center"/>
    </xf>
    <xf numFmtId="10" fontId="13" fillId="0" borderId="0" xfId="3" applyNumberFormat="1" applyFont="1" applyBorder="1"/>
    <xf numFmtId="165" fontId="15" fillId="0" borderId="0" xfId="0" applyNumberFormat="1" applyFont="1" applyBorder="1"/>
    <xf numFmtId="49" fontId="12" fillId="0" borderId="31" xfId="0" applyNumberFormat="1" applyFont="1" applyBorder="1" applyAlignment="1">
      <alignment horizontal="center"/>
    </xf>
    <xf numFmtId="165" fontId="12" fillId="0" borderId="31" xfId="0" applyNumberFormat="1" applyFont="1" applyBorder="1"/>
    <xf numFmtId="165" fontId="12" fillId="0" borderId="32" xfId="0" applyNumberFormat="1" applyFont="1" applyFill="1" applyBorder="1"/>
    <xf numFmtId="165" fontId="12" fillId="0" borderId="33" xfId="0" applyNumberFormat="1" applyFont="1" applyFill="1" applyBorder="1"/>
    <xf numFmtId="49" fontId="12" fillId="0" borderId="34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3" fontId="27" fillId="0" borderId="38" xfId="1" applyFont="1" applyBorder="1" applyAlignment="1">
      <alignment horizontal="center"/>
    </xf>
    <xf numFmtId="43" fontId="27" fillId="0" borderId="39" xfId="1" applyFont="1" applyBorder="1" applyAlignment="1">
      <alignment horizontal="center"/>
    </xf>
    <xf numFmtId="43" fontId="12" fillId="0" borderId="39" xfId="1" applyFont="1" applyBorder="1" applyAlignment="1">
      <alignment horizontal="center"/>
    </xf>
    <xf numFmtId="43" fontId="12" fillId="0" borderId="40" xfId="1" applyFont="1" applyBorder="1" applyAlignment="1">
      <alignment horizontal="center"/>
    </xf>
    <xf numFmtId="165" fontId="12" fillId="0" borderId="38" xfId="0" applyNumberFormat="1" applyFont="1" applyBorder="1"/>
    <xf numFmtId="165" fontId="12" fillId="0" borderId="39" xfId="0" applyNumberFormat="1" applyFont="1" applyBorder="1"/>
    <xf numFmtId="165" fontId="12" fillId="0" borderId="40" xfId="0" applyNumberFormat="1" applyFont="1" applyBorder="1"/>
    <xf numFmtId="165" fontId="12" fillId="0" borderId="42" xfId="0" applyNumberFormat="1" applyFont="1" applyBorder="1"/>
    <xf numFmtId="0" fontId="32" fillId="0" borderId="0" xfId="0" applyFont="1"/>
    <xf numFmtId="0" fontId="13" fillId="0" borderId="0" xfId="0" applyFont="1"/>
    <xf numFmtId="2" fontId="27" fillId="0" borderId="24" xfId="2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72" fontId="27" fillId="0" borderId="26" xfId="1" applyNumberFormat="1" applyFont="1" applyBorder="1"/>
    <xf numFmtId="172" fontId="27" fillId="0" borderId="19" xfId="1" applyNumberFormat="1" applyFont="1" applyBorder="1"/>
    <xf numFmtId="164" fontId="33" fillId="0" borderId="0" xfId="2" applyNumberFormat="1" applyFont="1" applyBorder="1" applyAlignment="1">
      <alignment horizontal="right" vertical="top"/>
    </xf>
    <xf numFmtId="2" fontId="12" fillId="0" borderId="21" xfId="0" applyNumberFormat="1" applyFont="1" applyBorder="1" applyAlignment="1">
      <alignment horizontal="center"/>
    </xf>
    <xf numFmtId="164" fontId="30" fillId="0" borderId="67" xfId="2" applyNumberFormat="1" applyFont="1" applyBorder="1"/>
    <xf numFmtId="49" fontId="12" fillId="0" borderId="69" xfId="0" applyNumberFormat="1" applyFont="1" applyBorder="1" applyAlignment="1">
      <alignment horizontal="center"/>
    </xf>
    <xf numFmtId="164" fontId="12" fillId="0" borderId="70" xfId="2" applyNumberFormat="1" applyFont="1" applyBorder="1" applyAlignment="1">
      <alignment horizontal="center"/>
    </xf>
    <xf numFmtId="164" fontId="27" fillId="0" borderId="70" xfId="2" applyNumberFormat="1" applyFont="1" applyBorder="1" applyAlignment="1">
      <alignment horizontal="center"/>
    </xf>
    <xf numFmtId="164" fontId="27" fillId="0" borderId="70" xfId="2" applyNumberFormat="1" applyFont="1" applyBorder="1"/>
    <xf numFmtId="172" fontId="27" fillId="0" borderId="70" xfId="1" applyNumberFormat="1" applyFont="1" applyBorder="1"/>
    <xf numFmtId="164" fontId="27" fillId="0" borderId="71" xfId="2" applyNumberFormat="1" applyFont="1" applyBorder="1"/>
    <xf numFmtId="2" fontId="11" fillId="0" borderId="73" xfId="0" applyNumberFormat="1" applyFont="1" applyBorder="1" applyAlignment="1">
      <alignment horizontal="center"/>
    </xf>
    <xf numFmtId="164" fontId="17" fillId="0" borderId="73" xfId="2" applyNumberFormat="1" applyFont="1" applyBorder="1" applyAlignment="1">
      <alignment horizontal="center"/>
    </xf>
    <xf numFmtId="10" fontId="30" fillId="0" borderId="73" xfId="3" applyNumberFormat="1" applyFont="1" applyBorder="1" applyAlignment="1">
      <alignment horizontal="center"/>
    </xf>
    <xf numFmtId="164" fontId="30" fillId="0" borderId="73" xfId="2" applyNumberFormat="1" applyFont="1" applyBorder="1" applyAlignment="1">
      <alignment horizontal="center"/>
    </xf>
    <xf numFmtId="164" fontId="30" fillId="0" borderId="73" xfId="2" applyNumberFormat="1" applyFont="1" applyBorder="1"/>
    <xf numFmtId="172" fontId="30" fillId="0" borderId="73" xfId="1" applyNumberFormat="1" applyFont="1" applyBorder="1"/>
    <xf numFmtId="164" fontId="27" fillId="0" borderId="75" xfId="2" applyNumberFormat="1" applyFont="1" applyBorder="1"/>
    <xf numFmtId="164" fontId="27" fillId="0" borderId="76" xfId="2" applyNumberFormat="1" applyFont="1" applyBorder="1"/>
    <xf numFmtId="164" fontId="28" fillId="0" borderId="76" xfId="2" applyNumberFormat="1" applyFont="1" applyBorder="1"/>
    <xf numFmtId="170" fontId="27" fillId="0" borderId="76" xfId="0" applyNumberFormat="1" applyFont="1" applyBorder="1"/>
    <xf numFmtId="164" fontId="29" fillId="0" borderId="76" xfId="2" applyNumberFormat="1" applyFont="1" applyBorder="1"/>
    <xf numFmtId="170" fontId="28" fillId="0" borderId="76" xfId="0" applyNumberFormat="1" applyFont="1" applyBorder="1"/>
    <xf numFmtId="49" fontId="12" fillId="0" borderId="77" xfId="0" applyNumberFormat="1" applyFont="1" applyBorder="1" applyAlignment="1">
      <alignment horizontal="center"/>
    </xf>
    <xf numFmtId="164" fontId="29" fillId="0" borderId="76" xfId="2" applyNumberFormat="1" applyFont="1" applyFill="1" applyBorder="1"/>
    <xf numFmtId="10" fontId="17" fillId="0" borderId="74" xfId="3" applyNumberFormat="1" applyFont="1" applyBorder="1"/>
    <xf numFmtId="1" fontId="12" fillId="0" borderId="35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65" fontId="15" fillId="0" borderId="32" xfId="0" applyNumberFormat="1" applyFont="1" applyFill="1" applyBorder="1"/>
    <xf numFmtId="172" fontId="12" fillId="0" borderId="31" xfId="0" applyNumberFormat="1" applyFont="1" applyBorder="1"/>
    <xf numFmtId="0" fontId="15" fillId="6" borderId="7" xfId="0" applyFont="1" applyFill="1" applyBorder="1" applyAlignment="1"/>
    <xf numFmtId="0" fontId="0" fillId="6" borderId="7" xfId="0" applyFill="1" applyBorder="1"/>
    <xf numFmtId="0" fontId="12" fillId="0" borderId="87" xfId="0" applyFont="1" applyBorder="1"/>
    <xf numFmtId="0" fontId="12" fillId="0" borderId="88" xfId="0" applyFont="1" applyBorder="1"/>
    <xf numFmtId="164" fontId="12" fillId="0" borderId="89" xfId="2" applyNumberFormat="1" applyFont="1" applyBorder="1"/>
    <xf numFmtId="164" fontId="12" fillId="0" borderId="89" xfId="0" applyNumberFormat="1" applyFont="1" applyBorder="1"/>
    <xf numFmtId="167" fontId="12" fillId="0" borderId="89" xfId="1" applyNumberFormat="1" applyFont="1" applyBorder="1"/>
    <xf numFmtId="0" fontId="12" fillId="0" borderId="90" xfId="0" applyFont="1" applyBorder="1"/>
    <xf numFmtId="164" fontId="15" fillId="0" borderId="91" xfId="2" applyNumberFormat="1" applyFont="1" applyBorder="1"/>
    <xf numFmtId="0" fontId="12" fillId="0" borderId="0" xfId="0" applyFont="1" applyBorder="1" applyAlignment="1">
      <alignment horizontal="right"/>
    </xf>
    <xf numFmtId="0" fontId="6" fillId="6" borderId="85" xfId="0" applyFont="1" applyFill="1" applyBorder="1" applyAlignment="1">
      <alignment horizontal="left"/>
    </xf>
    <xf numFmtId="164" fontId="12" fillId="0" borderId="5" xfId="0" applyNumberFormat="1" applyFont="1" applyBorder="1"/>
    <xf numFmtId="164" fontId="12" fillId="0" borderId="4" xfId="2" applyNumberFormat="1" applyFont="1" applyBorder="1"/>
    <xf numFmtId="0" fontId="15" fillId="15" borderId="7" xfId="0" applyFont="1" applyFill="1" applyBorder="1" applyAlignment="1">
      <alignment horizontal="left"/>
    </xf>
    <xf numFmtId="0" fontId="0" fillId="15" borderId="7" xfId="0" applyFill="1" applyBorder="1" applyAlignment="1">
      <alignment horizontal="right"/>
    </xf>
    <xf numFmtId="0" fontId="0" fillId="15" borderId="7" xfId="0" applyFill="1" applyBorder="1"/>
    <xf numFmtId="0" fontId="6" fillId="15" borderId="99" xfId="0" applyFont="1" applyFill="1" applyBorder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164" fontId="26" fillId="2" borderId="0" xfId="2" applyNumberFormat="1" applyFont="1" applyFill="1" applyBorder="1"/>
    <xf numFmtId="0" fontId="0" fillId="0" borderId="0" xfId="0" applyFill="1" applyBorder="1"/>
    <xf numFmtId="0" fontId="12" fillId="0" borderId="100" xfId="0" applyFont="1" applyFill="1" applyBorder="1" applyAlignment="1">
      <alignment horizontal="center"/>
    </xf>
    <xf numFmtId="0" fontId="12" fillId="0" borderId="101" xfId="0" applyFont="1" applyFill="1" applyBorder="1" applyAlignment="1">
      <alignment horizontal="center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164" fontId="12" fillId="0" borderId="10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164" fontId="12" fillId="0" borderId="100" xfId="2" applyNumberFormat="1" applyFont="1" applyFill="1" applyBorder="1"/>
    <xf numFmtId="164" fontId="12" fillId="0" borderId="100" xfId="0" applyNumberFormat="1" applyFont="1" applyFill="1" applyBorder="1"/>
    <xf numFmtId="0" fontId="12" fillId="0" borderId="100" xfId="0" applyFont="1" applyFill="1" applyBorder="1"/>
    <xf numFmtId="10" fontId="12" fillId="0" borderId="100" xfId="3" applyNumberFormat="1" applyFont="1" applyFill="1" applyBorder="1" applyAlignment="1">
      <alignment horizontal="center"/>
    </xf>
    <xf numFmtId="10" fontId="12" fillId="0" borderId="100" xfId="3" applyNumberFormat="1" applyFont="1" applyFill="1" applyBorder="1" applyAlignment="1">
      <alignment horizontal="left" indent="2"/>
    </xf>
    <xf numFmtId="0" fontId="12" fillId="17" borderId="0" xfId="0" applyFont="1" applyFill="1" applyBorder="1" applyAlignment="1">
      <alignment horizontal="left"/>
    </xf>
    <xf numFmtId="164" fontId="12" fillId="17" borderId="100" xfId="2" applyNumberFormat="1" applyFont="1" applyFill="1" applyBorder="1"/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164" fontId="15" fillId="0" borderId="100" xfId="2" applyNumberFormat="1" applyFont="1" applyFill="1" applyBorder="1"/>
    <xf numFmtId="0" fontId="12" fillId="0" borderId="98" xfId="0" applyFont="1" applyFill="1" applyBorder="1" applyAlignment="1">
      <alignment horizontal="left"/>
    </xf>
    <xf numFmtId="0" fontId="12" fillId="0" borderId="102" xfId="0" applyFont="1" applyFill="1" applyBorder="1" applyAlignment="1">
      <alignment horizontal="left"/>
    </xf>
    <xf numFmtId="164" fontId="12" fillId="0" borderId="103" xfId="2" applyNumberFormat="1" applyFont="1" applyFill="1" applyBorder="1" applyAlignment="1">
      <alignment horizontal="left"/>
    </xf>
    <xf numFmtId="0" fontId="12" fillId="14" borderId="0" xfId="0" applyFont="1" applyFill="1" applyBorder="1"/>
    <xf numFmtId="10" fontId="12" fillId="14" borderId="100" xfId="3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4" fillId="0" borderId="104" xfId="0" applyFont="1" applyFill="1" applyBorder="1"/>
    <xf numFmtId="0" fontId="3" fillId="0" borderId="105" xfId="0" applyFont="1" applyFill="1" applyBorder="1"/>
    <xf numFmtId="0" fontId="35" fillId="0" borderId="105" xfId="0" applyFont="1" applyFill="1" applyBorder="1" applyAlignment="1">
      <alignment horizontal="left" vertical="center"/>
    </xf>
    <xf numFmtId="0" fontId="3" fillId="0" borderId="105" xfId="0" applyFont="1" applyBorder="1"/>
    <xf numFmtId="0" fontId="3" fillId="0" borderId="105" xfId="0" applyFont="1" applyFill="1" applyBorder="1" applyAlignment="1">
      <alignment horizontal="left"/>
    </xf>
    <xf numFmtId="0" fontId="23" fillId="0" borderId="107" xfId="0" applyFont="1" applyBorder="1"/>
    <xf numFmtId="164" fontId="3" fillId="9" borderId="0" xfId="2" applyNumberFormat="1" applyFill="1" applyBorder="1"/>
    <xf numFmtId="0" fontId="0" fillId="0" borderId="0" xfId="0" applyBorder="1" applyAlignment="1">
      <alignment horizontal="left"/>
    </xf>
    <xf numFmtId="0" fontId="4" fillId="12" borderId="106" xfId="0" applyFont="1" applyFill="1" applyBorder="1"/>
    <xf numFmtId="0" fontId="3" fillId="0" borderId="110" xfId="0" applyFont="1" applyFill="1" applyBorder="1"/>
    <xf numFmtId="0" fontId="3" fillId="8" borderId="86" xfId="0" applyFont="1" applyFill="1" applyBorder="1"/>
    <xf numFmtId="164" fontId="0" fillId="9" borderId="0" xfId="0" applyNumberFormat="1" applyFill="1" applyBorder="1"/>
    <xf numFmtId="0" fontId="4" fillId="0" borderId="104" xfId="0" applyFont="1" applyFill="1" applyBorder="1" applyAlignment="1">
      <alignment horizontal="left"/>
    </xf>
    <xf numFmtId="0" fontId="3" fillId="0" borderId="105" xfId="0" applyFont="1" applyFill="1" applyBorder="1" applyAlignment="1">
      <alignment vertical="center"/>
    </xf>
    <xf numFmtId="0" fontId="3" fillId="0" borderId="108" xfId="0" applyFont="1" applyFill="1" applyBorder="1"/>
    <xf numFmtId="0" fontId="4" fillId="9" borderId="0" xfId="0" applyFont="1" applyFill="1" applyBorder="1" applyAlignment="1">
      <alignment horizontal="center"/>
    </xf>
    <xf numFmtId="164" fontId="20" fillId="9" borderId="0" xfId="0" applyNumberFormat="1" applyFont="1" applyFill="1" applyBorder="1"/>
    <xf numFmtId="164" fontId="3" fillId="9" borderId="0" xfId="0" applyNumberFormat="1" applyFont="1" applyFill="1" applyBorder="1"/>
    <xf numFmtId="0" fontId="10" fillId="8" borderId="84" xfId="0" applyFont="1" applyFill="1" applyBorder="1"/>
    <xf numFmtId="0" fontId="15" fillId="14" borderId="7" xfId="0" applyFont="1" applyFill="1" applyBorder="1" applyAlignment="1">
      <alignment horizontal="left"/>
    </xf>
    <xf numFmtId="0" fontId="21" fillId="14" borderId="7" xfId="0" applyFont="1" applyFill="1" applyBorder="1" applyAlignment="1">
      <alignment horizontal="left"/>
    </xf>
    <xf numFmtId="0" fontId="0" fillId="14" borderId="7" xfId="0" applyFill="1" applyBorder="1"/>
    <xf numFmtId="0" fontId="6" fillId="14" borderId="111" xfId="0" applyFont="1" applyFill="1" applyBorder="1" applyAlignment="1">
      <alignment horizontal="left"/>
    </xf>
    <xf numFmtId="0" fontId="15" fillId="16" borderId="7" xfId="0" applyFont="1" applyFill="1" applyBorder="1" applyAlignment="1">
      <alignment horizontal="left"/>
    </xf>
    <xf numFmtId="0" fontId="21" fillId="16" borderId="7" xfId="0" applyFont="1" applyFill="1" applyBorder="1" applyAlignment="1">
      <alignment horizontal="left"/>
    </xf>
    <xf numFmtId="0" fontId="0" fillId="16" borderId="7" xfId="0" applyFill="1" applyBorder="1"/>
    <xf numFmtId="0" fontId="6" fillId="16" borderId="99" xfId="0" applyFont="1" applyFill="1" applyBorder="1" applyAlignment="1">
      <alignment horizontal="left"/>
    </xf>
    <xf numFmtId="0" fontId="3" fillId="0" borderId="110" xfId="0" applyFont="1" applyFill="1" applyBorder="1" applyAlignment="1">
      <alignment vertical="center"/>
    </xf>
    <xf numFmtId="0" fontId="35" fillId="0" borderId="112" xfId="0" applyFont="1" applyFill="1" applyBorder="1" applyAlignment="1">
      <alignment horizontal="left" vertical="center"/>
    </xf>
    <xf numFmtId="0" fontId="35" fillId="0" borderId="113" xfId="0" applyFont="1" applyBorder="1"/>
    <xf numFmtId="0" fontId="23" fillId="0" borderId="114" xfId="0" applyFont="1" applyBorder="1"/>
    <xf numFmtId="0" fontId="4" fillId="12" borderId="115" xfId="0" applyFont="1" applyFill="1" applyBorder="1"/>
    <xf numFmtId="0" fontId="6" fillId="18" borderId="105" xfId="0" applyFont="1" applyFill="1" applyBorder="1" applyAlignment="1">
      <alignment horizontal="left" vertical="center"/>
    </xf>
    <xf numFmtId="0" fontId="39" fillId="8" borderId="84" xfId="0" applyFont="1" applyFill="1" applyBorder="1" applyAlignment="1">
      <alignment horizontal="right"/>
    </xf>
    <xf numFmtId="10" fontId="40" fillId="0" borderId="76" xfId="3" applyNumberFormat="1" applyFont="1" applyFill="1" applyBorder="1"/>
    <xf numFmtId="10" fontId="12" fillId="0" borderId="0" xfId="3" applyNumberFormat="1" applyFont="1"/>
    <xf numFmtId="0" fontId="10" fillId="0" borderId="98" xfId="0" applyFont="1" applyBorder="1" applyAlignment="1">
      <alignment horizontal="center"/>
    </xf>
    <xf numFmtId="165" fontId="13" fillId="0" borderId="0" xfId="2" applyNumberFormat="1" applyFont="1" applyBorder="1"/>
    <xf numFmtId="164" fontId="12" fillId="4" borderId="0" xfId="2" applyNumberFormat="1" applyFont="1" applyFill="1" applyBorder="1"/>
    <xf numFmtId="3" fontId="12" fillId="0" borderId="0" xfId="2" applyNumberFormat="1" applyFont="1" applyBorder="1"/>
    <xf numFmtId="0" fontId="0" fillId="0" borderId="108" xfId="0" applyFill="1" applyBorder="1"/>
    <xf numFmtId="0" fontId="6" fillId="18" borderId="0" xfId="0" applyFont="1" applyFill="1" applyBorder="1" applyAlignment="1">
      <alignment horizontal="left" vertical="center"/>
    </xf>
    <xf numFmtId="0" fontId="3" fillId="0" borderId="116" xfId="0" applyFont="1" applyFill="1" applyBorder="1" applyAlignment="1">
      <alignment horizontal="left"/>
    </xf>
    <xf numFmtId="0" fontId="0" fillId="0" borderId="0" xfId="0" applyBorder="1"/>
    <xf numFmtId="0" fontId="11" fillId="19" borderId="0" xfId="0" applyFont="1" applyFill="1"/>
    <xf numFmtId="164" fontId="0" fillId="0" borderId="0" xfId="2" applyNumberFormat="1" applyFont="1" applyFill="1" applyBorder="1"/>
    <xf numFmtId="0" fontId="42" fillId="0" borderId="0" xfId="0" applyFont="1"/>
    <xf numFmtId="0" fontId="0" fillId="19" borderId="0" xfId="0" applyFill="1"/>
    <xf numFmtId="164" fontId="0" fillId="0" borderId="0" xfId="2" applyNumberFormat="1" applyFont="1" applyBorder="1"/>
    <xf numFmtId="164" fontId="0" fillId="19" borderId="0" xfId="2" applyNumberFormat="1" applyFont="1" applyFill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19" borderId="0" xfId="0" applyFont="1" applyFill="1"/>
    <xf numFmtId="164" fontId="0" fillId="19" borderId="0" xfId="2" applyNumberFormat="1" applyFont="1" applyFill="1" applyBorder="1"/>
    <xf numFmtId="164" fontId="0" fillId="0" borderId="122" xfId="2" applyNumberFormat="1" applyFont="1" applyBorder="1"/>
    <xf numFmtId="0" fontId="10" fillId="0" borderId="133" xfId="0" applyFont="1" applyBorder="1" applyAlignment="1">
      <alignment horizontal="center"/>
    </xf>
    <xf numFmtId="0" fontId="10" fillId="0" borderId="132" xfId="0" applyFont="1" applyBorder="1" applyAlignment="1">
      <alignment horizontal="center"/>
    </xf>
    <xf numFmtId="164" fontId="0" fillId="0" borderId="133" xfId="0" applyNumberFormat="1" applyBorder="1"/>
    <xf numFmtId="164" fontId="12" fillId="0" borderId="133" xfId="2" applyNumberFormat="1" applyFont="1" applyBorder="1"/>
    <xf numFmtId="165" fontId="13" fillId="0" borderId="133" xfId="2" applyNumberFormat="1" applyFont="1" applyBorder="1"/>
    <xf numFmtId="164" fontId="13" fillId="0" borderId="133" xfId="2" applyNumberFormat="1" applyFont="1" applyBorder="1"/>
    <xf numFmtId="164" fontId="12" fillId="0" borderId="133" xfId="0" applyNumberFormat="1" applyFont="1" applyBorder="1"/>
    <xf numFmtId="164" fontId="0" fillId="3" borderId="133" xfId="0" applyNumberFormat="1" applyFill="1" applyBorder="1"/>
    <xf numFmtId="0" fontId="0" fillId="0" borderId="133" xfId="0" applyBorder="1"/>
    <xf numFmtId="164" fontId="0" fillId="0" borderId="133" xfId="2" applyNumberFormat="1" applyFont="1" applyBorder="1"/>
    <xf numFmtId="164" fontId="12" fillId="4" borderId="133" xfId="2" applyNumberFormat="1" applyFont="1" applyFill="1" applyBorder="1"/>
    <xf numFmtId="3" fontId="12" fillId="0" borderId="133" xfId="2" applyNumberFormat="1" applyFont="1" applyBorder="1"/>
    <xf numFmtId="164" fontId="12" fillId="0" borderId="134" xfId="2" applyNumberFormat="1" applyFont="1" applyBorder="1"/>
    <xf numFmtId="164" fontId="12" fillId="0" borderId="135" xfId="2" applyNumberFormat="1" applyFont="1" applyBorder="1"/>
    <xf numFmtId="0" fontId="12" fillId="0" borderId="133" xfId="0" applyFont="1" applyBorder="1"/>
    <xf numFmtId="42" fontId="12" fillId="0" borderId="134" xfId="2" applyNumberFormat="1" applyFont="1" applyBorder="1"/>
    <xf numFmtId="164" fontId="12" fillId="0" borderId="136" xfId="2" applyNumberFormat="1" applyFont="1" applyBorder="1"/>
    <xf numFmtId="164" fontId="12" fillId="5" borderId="133" xfId="2" applyNumberFormat="1" applyFont="1" applyFill="1" applyBorder="1"/>
    <xf numFmtId="37" fontId="12" fillId="0" borderId="133" xfId="0" applyNumberFormat="1" applyFont="1" applyBorder="1"/>
    <xf numFmtId="37" fontId="12" fillId="0" borderId="137" xfId="0" applyNumberFormat="1" applyFont="1" applyBorder="1"/>
    <xf numFmtId="164" fontId="12" fillId="0" borderId="138" xfId="2" applyNumberFormat="1" applyFont="1" applyBorder="1"/>
    <xf numFmtId="0" fontId="12" fillId="4" borderId="133" xfId="0" applyFont="1" applyFill="1" applyBorder="1"/>
    <xf numFmtId="0" fontId="12" fillId="0" borderId="133" xfId="0" applyFont="1" applyFill="1" applyBorder="1"/>
    <xf numFmtId="164" fontId="12" fillId="6" borderId="133" xfId="2" applyNumberFormat="1" applyFont="1" applyFill="1" applyBorder="1"/>
    <xf numFmtId="164" fontId="12" fillId="0" borderId="133" xfId="2" applyNumberFormat="1" applyFont="1" applyFill="1" applyBorder="1"/>
    <xf numFmtId="164" fontId="12" fillId="0" borderId="132" xfId="2" applyNumberFormat="1" applyFont="1" applyBorder="1"/>
    <xf numFmtId="164" fontId="12" fillId="0" borderId="139" xfId="2" applyNumberFormat="1" applyFont="1" applyFill="1" applyBorder="1"/>
    <xf numFmtId="0" fontId="12" fillId="0" borderId="15" xfId="0" applyFont="1" applyFill="1" applyBorder="1"/>
    <xf numFmtId="0" fontId="12" fillId="0" borderId="140" xfId="0" applyFont="1" applyFill="1" applyBorder="1" applyAlignment="1">
      <alignment horizontal="center"/>
    </xf>
    <xf numFmtId="0" fontId="12" fillId="0" borderId="86" xfId="0" applyFont="1" applyFill="1" applyBorder="1"/>
    <xf numFmtId="0" fontId="12" fillId="0" borderId="118" xfId="0" applyFont="1" applyFill="1" applyBorder="1"/>
    <xf numFmtId="0" fontId="18" fillId="0" borderId="7" xfId="0" applyFont="1" applyFill="1" applyBorder="1"/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/>
    <xf numFmtId="0" fontId="12" fillId="0" borderId="7" xfId="0" applyFont="1" applyFill="1" applyBorder="1" applyAlignment="1">
      <alignment horizontal="left"/>
    </xf>
    <xf numFmtId="0" fontId="12" fillId="17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/>
    </xf>
    <xf numFmtId="0" fontId="12" fillId="0" borderId="141" xfId="0" applyFont="1" applyFill="1" applyBorder="1" applyAlignment="1">
      <alignment horizontal="left"/>
    </xf>
    <xf numFmtId="0" fontId="12" fillId="14" borderId="7" xfId="0" applyFont="1" applyFill="1" applyBorder="1"/>
    <xf numFmtId="0" fontId="12" fillId="17" borderId="86" xfId="0" applyFont="1" applyFill="1" applyBorder="1" applyAlignment="1">
      <alignment horizontal="left"/>
    </xf>
    <xf numFmtId="0" fontId="12" fillId="17" borderId="98" xfId="0" applyFont="1" applyFill="1" applyBorder="1" applyAlignment="1">
      <alignment horizontal="left"/>
    </xf>
    <xf numFmtId="164" fontId="12" fillId="17" borderId="101" xfId="2" applyNumberFormat="1" applyFont="1" applyFill="1" applyBorder="1"/>
    <xf numFmtId="0" fontId="3" fillId="0" borderId="7" xfId="0" applyFont="1" applyFill="1" applyBorder="1" applyAlignment="1">
      <alignment horizontal="left"/>
    </xf>
    <xf numFmtId="164" fontId="12" fillId="17" borderId="100" xfId="2" applyNumberFormat="1" applyFont="1" applyFill="1" applyBorder="1" applyAlignment="1">
      <alignment horizontal="left"/>
    </xf>
    <xf numFmtId="0" fontId="3" fillId="0" borderId="0" xfId="0" applyFont="1" applyBorder="1"/>
    <xf numFmtId="164" fontId="36" fillId="0" borderId="0" xfId="0" applyNumberFormat="1" applyFont="1" applyFill="1" applyBorder="1"/>
    <xf numFmtId="49" fontId="3" fillId="0" borderId="0" xfId="0" applyNumberFormat="1" applyFont="1" applyBorder="1" applyAlignment="1">
      <alignment horizontal="center"/>
    </xf>
    <xf numFmtId="0" fontId="11" fillId="0" borderId="0" xfId="0" applyFont="1" applyFill="1"/>
    <xf numFmtId="0" fontId="3" fillId="0" borderId="0" xfId="0" applyFont="1" applyFill="1"/>
    <xf numFmtId="2" fontId="12" fillId="0" borderId="144" xfId="0" applyNumberFormat="1" applyFont="1" applyBorder="1"/>
    <xf numFmtId="164" fontId="12" fillId="0" borderId="146" xfId="2" applyNumberFormat="1" applyFont="1" applyBorder="1"/>
    <xf numFmtId="164" fontId="12" fillId="0" borderId="143" xfId="2" applyNumberFormat="1" applyFont="1" applyBorder="1"/>
    <xf numFmtId="164" fontId="12" fillId="0" borderId="147" xfId="2" applyNumberFormat="1" applyFont="1" applyBorder="1"/>
    <xf numFmtId="164" fontId="12" fillId="0" borderId="148" xfId="2" applyNumberFormat="1" applyFont="1" applyBorder="1"/>
    <xf numFmtId="0" fontId="4" fillId="12" borderId="149" xfId="0" applyFont="1" applyFill="1" applyBorder="1" applyAlignment="1">
      <alignment horizontal="left" vertical="center"/>
    </xf>
    <xf numFmtId="0" fontId="4" fillId="12" borderId="150" xfId="0" applyFont="1" applyFill="1" applyBorder="1" applyAlignment="1">
      <alignment horizontal="left" vertical="center"/>
    </xf>
    <xf numFmtId="0" fontId="11" fillId="20" borderId="0" xfId="0" applyFont="1" applyFill="1" applyAlignment="1">
      <alignment horizontal="center"/>
    </xf>
    <xf numFmtId="164" fontId="11" fillId="20" borderId="0" xfId="2" applyNumberFormat="1" applyFont="1" applyFill="1" applyBorder="1"/>
    <xf numFmtId="0" fontId="11" fillId="20" borderId="0" xfId="0" applyFont="1" applyFill="1"/>
    <xf numFmtId="0" fontId="16" fillId="20" borderId="0" xfId="0" applyFont="1" applyFill="1"/>
    <xf numFmtId="0" fontId="11" fillId="20" borderId="0" xfId="0" applyFont="1" applyFill="1" applyBorder="1"/>
    <xf numFmtId="0" fontId="15" fillId="0" borderId="98" xfId="0" applyFont="1" applyBorder="1"/>
    <xf numFmtId="0" fontId="9" fillId="0" borderId="0" xfId="0" applyFont="1" applyBorder="1"/>
    <xf numFmtId="0" fontId="44" fillId="0" borderId="62" xfId="0" applyFont="1" applyBorder="1"/>
    <xf numFmtId="0" fontId="45" fillId="0" borderId="63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8" fillId="0" borderId="0" xfId="0" applyFont="1"/>
    <xf numFmtId="0" fontId="44" fillId="0" borderId="53" xfId="0" applyFont="1" applyFill="1" applyBorder="1" applyAlignment="1">
      <alignment horizontal="right"/>
    </xf>
    <xf numFmtId="168" fontId="44" fillId="0" borderId="55" xfId="3" applyNumberFormat="1" applyFont="1" applyBorder="1"/>
    <xf numFmtId="168" fontId="44" fillId="0" borderId="56" xfId="3" applyNumberFormat="1" applyFont="1" applyBorder="1"/>
    <xf numFmtId="0" fontId="44" fillId="0" borderId="59" xfId="0" applyFont="1" applyFill="1" applyBorder="1" applyAlignment="1">
      <alignment horizontal="right"/>
    </xf>
    <xf numFmtId="168" fontId="44" fillId="0" borderId="60" xfId="3" applyNumberFormat="1" applyFont="1" applyBorder="1"/>
    <xf numFmtId="168" fontId="44" fillId="0" borderId="61" xfId="3" applyNumberFormat="1" applyFont="1" applyBorder="1"/>
    <xf numFmtId="0" fontId="44" fillId="0" borderId="54" xfId="0" applyFont="1" applyFill="1" applyBorder="1" applyAlignment="1">
      <alignment horizontal="right"/>
    </xf>
    <xf numFmtId="171" fontId="44" fillId="0" borderId="57" xfId="0" applyNumberFormat="1" applyFont="1" applyBorder="1"/>
    <xf numFmtId="171" fontId="44" fillId="0" borderId="58" xfId="0" applyNumberFormat="1" applyFont="1" applyBorder="1"/>
    <xf numFmtId="0" fontId="46" fillId="0" borderId="123" xfId="0" applyFont="1" applyFill="1" applyBorder="1" applyAlignment="1">
      <alignment horizontal="right"/>
    </xf>
    <xf numFmtId="0" fontId="46" fillId="0" borderId="124" xfId="0" applyFont="1" applyBorder="1"/>
    <xf numFmtId="0" fontId="46" fillId="0" borderId="131" xfId="0" applyFont="1" applyBorder="1" applyAlignment="1">
      <alignment horizontal="center"/>
    </xf>
    <xf numFmtId="0" fontId="46" fillId="0" borderId="130" xfId="0" applyFont="1" applyBorder="1" applyAlignment="1">
      <alignment horizontal="center"/>
    </xf>
    <xf numFmtId="0" fontId="46" fillId="0" borderId="125" xfId="0" applyFont="1" applyBorder="1"/>
    <xf numFmtId="0" fontId="46" fillId="0" borderId="0" xfId="0" applyFont="1" applyBorder="1"/>
    <xf numFmtId="10" fontId="46" fillId="0" borderId="0" xfId="0" applyNumberFormat="1" applyFont="1" applyBorder="1" applyAlignment="1">
      <alignment horizontal="center"/>
    </xf>
    <xf numFmtId="10" fontId="46" fillId="0" borderId="126" xfId="0" applyNumberFormat="1" applyFont="1" applyBorder="1" applyAlignment="1">
      <alignment horizontal="center"/>
    </xf>
    <xf numFmtId="0" fontId="46" fillId="0" borderId="127" xfId="0" applyFont="1" applyBorder="1"/>
    <xf numFmtId="0" fontId="46" fillId="0" borderId="128" xfId="0" applyFont="1" applyBorder="1"/>
    <xf numFmtId="10" fontId="46" fillId="0" borderId="128" xfId="0" applyNumberFormat="1" applyFont="1" applyBorder="1" applyAlignment="1">
      <alignment horizontal="center"/>
    </xf>
    <xf numFmtId="10" fontId="46" fillId="0" borderId="129" xfId="0" applyNumberFormat="1" applyFont="1" applyBorder="1" applyAlignment="1">
      <alignment horizontal="center"/>
    </xf>
    <xf numFmtId="0" fontId="12" fillId="0" borderId="151" xfId="0" applyFont="1" applyBorder="1"/>
    <xf numFmtId="0" fontId="12" fillId="0" borderId="152" xfId="0" applyFont="1" applyBorder="1"/>
    <xf numFmtId="0" fontId="27" fillId="0" borderId="153" xfId="0" applyFont="1" applyBorder="1"/>
    <xf numFmtId="0" fontId="12" fillId="0" borderId="153" xfId="0" applyFont="1" applyBorder="1"/>
    <xf numFmtId="0" fontId="27" fillId="0" borderId="154" xfId="0" applyFont="1" applyBorder="1"/>
    <xf numFmtId="0" fontId="28" fillId="0" borderId="153" xfId="0" applyFont="1" applyBorder="1"/>
    <xf numFmtId="0" fontId="29" fillId="0" borderId="153" xfId="0" applyFont="1" applyBorder="1"/>
    <xf numFmtId="0" fontId="15" fillId="0" borderId="155" xfId="0" applyFont="1" applyBorder="1"/>
    <xf numFmtId="0" fontId="15" fillId="0" borderId="153" xfId="0" applyFont="1" applyBorder="1"/>
    <xf numFmtId="0" fontId="29" fillId="0" borderId="156" xfId="0" applyFont="1" applyBorder="1"/>
    <xf numFmtId="0" fontId="12" fillId="0" borderId="157" xfId="0" applyFont="1" applyBorder="1"/>
    <xf numFmtId="0" fontId="12" fillId="0" borderId="158" xfId="0" applyFont="1" applyBorder="1"/>
    <xf numFmtId="0" fontId="12" fillId="0" borderId="159" xfId="0" applyFont="1" applyBorder="1"/>
    <xf numFmtId="0" fontId="27" fillId="0" borderId="160" xfId="0" applyFont="1" applyBorder="1"/>
    <xf numFmtId="0" fontId="12" fillId="0" borderId="160" xfId="0" applyFont="1" applyBorder="1"/>
    <xf numFmtId="0" fontId="28" fillId="0" borderId="158" xfId="0" applyFont="1" applyBorder="1"/>
    <xf numFmtId="0" fontId="27" fillId="0" borderId="158" xfId="0" applyFont="1" applyBorder="1"/>
    <xf numFmtId="0" fontId="15" fillId="0" borderId="161" xfId="0" applyFont="1" applyBorder="1"/>
    <xf numFmtId="0" fontId="15" fillId="0" borderId="162" xfId="0" applyFont="1" applyBorder="1"/>
    <xf numFmtId="0" fontId="12" fillId="0" borderId="163" xfId="0" applyFont="1" applyBorder="1"/>
    <xf numFmtId="0" fontId="15" fillId="0" borderId="164" xfId="0" applyFont="1" applyBorder="1"/>
    <xf numFmtId="164" fontId="36" fillId="9" borderId="105" xfId="0" applyNumberFormat="1" applyFont="1" applyFill="1" applyBorder="1"/>
    <xf numFmtId="164" fontId="36" fillId="9" borderId="165" xfId="0" applyNumberFormat="1" applyFont="1" applyFill="1" applyBorder="1"/>
    <xf numFmtId="0" fontId="3" fillId="0" borderId="166" xfId="0" applyFont="1" applyFill="1" applyBorder="1" applyAlignment="1">
      <alignment vertical="center"/>
    </xf>
    <xf numFmtId="0" fontId="3" fillId="0" borderId="142" xfId="0" applyFont="1" applyFill="1" applyBorder="1" applyAlignment="1">
      <alignment horizontal="left"/>
    </xf>
    <xf numFmtId="164" fontId="3" fillId="0" borderId="142" xfId="2" applyNumberFormat="1" applyFont="1" applyFill="1" applyBorder="1"/>
    <xf numFmtId="164" fontId="3" fillId="0" borderId="167" xfId="2" applyNumberFormat="1" applyFont="1" applyFill="1" applyBorder="1"/>
    <xf numFmtId="2" fontId="12" fillId="0" borderId="169" xfId="0" applyNumberFormat="1" applyFont="1" applyBorder="1"/>
    <xf numFmtId="164" fontId="12" fillId="0" borderId="171" xfId="2" applyNumberFormat="1" applyFont="1" applyBorder="1"/>
    <xf numFmtId="164" fontId="12" fillId="0" borderId="168" xfId="2" applyNumberFormat="1" applyFont="1" applyBorder="1"/>
    <xf numFmtId="0" fontId="0" fillId="0" borderId="0" xfId="0" applyFont="1" applyFill="1"/>
    <xf numFmtId="49" fontId="27" fillId="21" borderId="25" xfId="2" applyNumberFormat="1" applyFont="1" applyFill="1" applyBorder="1" applyAlignment="1">
      <alignment horizontal="center"/>
    </xf>
    <xf numFmtId="49" fontId="12" fillId="21" borderId="20" xfId="0" applyNumberFormat="1" applyFont="1" applyFill="1" applyBorder="1" applyAlignment="1">
      <alignment horizontal="center"/>
    </xf>
    <xf numFmtId="49" fontId="12" fillId="21" borderId="69" xfId="0" applyNumberFormat="1" applyFont="1" applyFill="1" applyBorder="1" applyAlignment="1">
      <alignment horizontal="center"/>
    </xf>
    <xf numFmtId="49" fontId="12" fillId="21" borderId="66" xfId="0" applyNumberFormat="1" applyFont="1" applyFill="1" applyBorder="1" applyAlignment="1">
      <alignment horizontal="center"/>
    </xf>
    <xf numFmtId="2" fontId="27" fillId="21" borderId="24" xfId="2" applyNumberFormat="1" applyFont="1" applyFill="1" applyBorder="1" applyAlignment="1">
      <alignment horizontal="center"/>
    </xf>
    <xf numFmtId="2" fontId="12" fillId="21" borderId="21" xfId="0" applyNumberFormat="1" applyFont="1" applyFill="1" applyBorder="1" applyAlignment="1">
      <alignment horizontal="center"/>
    </xf>
    <xf numFmtId="2" fontId="12" fillId="21" borderId="0" xfId="0" applyNumberFormat="1" applyFont="1" applyFill="1" applyBorder="1" applyAlignment="1">
      <alignment horizontal="center"/>
    </xf>
    <xf numFmtId="2" fontId="11" fillId="21" borderId="67" xfId="0" applyNumberFormat="1" applyFont="1" applyFill="1" applyBorder="1" applyAlignment="1">
      <alignment horizontal="center"/>
    </xf>
    <xf numFmtId="164" fontId="27" fillId="21" borderId="26" xfId="2" applyNumberFormat="1" applyFont="1" applyFill="1" applyBorder="1" applyAlignment="1">
      <alignment horizontal="center"/>
    </xf>
    <xf numFmtId="164" fontId="12" fillId="21" borderId="19" xfId="2" applyNumberFormat="1" applyFont="1" applyFill="1" applyBorder="1" applyAlignment="1">
      <alignment horizontal="center"/>
    </xf>
    <xf numFmtId="164" fontId="12" fillId="21" borderId="70" xfId="2" applyNumberFormat="1" applyFont="1" applyFill="1" applyBorder="1" applyAlignment="1">
      <alignment horizontal="center"/>
    </xf>
    <xf numFmtId="164" fontId="17" fillId="21" borderId="67" xfId="2" applyNumberFormat="1" applyFont="1" applyFill="1" applyBorder="1" applyAlignment="1">
      <alignment horizontal="center"/>
    </xf>
    <xf numFmtId="10" fontId="41" fillId="21" borderId="26" xfId="3" applyNumberFormat="1" applyFont="1" applyFill="1" applyBorder="1" applyAlignment="1">
      <alignment horizontal="center"/>
    </xf>
    <xf numFmtId="10" fontId="41" fillId="21" borderId="19" xfId="3" applyNumberFormat="1" applyFont="1" applyFill="1" applyBorder="1" applyAlignment="1">
      <alignment horizontal="center"/>
    </xf>
    <xf numFmtId="10" fontId="41" fillId="21" borderId="70" xfId="3" applyNumberFormat="1" applyFont="1" applyFill="1" applyBorder="1" applyAlignment="1">
      <alignment horizontal="center"/>
    </xf>
    <xf numFmtId="10" fontId="30" fillId="21" borderId="67" xfId="3" applyNumberFormat="1" applyFont="1" applyFill="1" applyBorder="1" applyAlignment="1">
      <alignment horizontal="center"/>
    </xf>
    <xf numFmtId="164" fontId="27" fillId="21" borderId="19" xfId="2" applyNumberFormat="1" applyFont="1" applyFill="1" applyBorder="1" applyAlignment="1">
      <alignment horizontal="center"/>
    </xf>
    <xf numFmtId="164" fontId="27" fillId="21" borderId="70" xfId="2" applyNumberFormat="1" applyFont="1" applyFill="1" applyBorder="1" applyAlignment="1">
      <alignment horizontal="center"/>
    </xf>
    <xf numFmtId="164" fontId="30" fillId="21" borderId="67" xfId="2" applyNumberFormat="1" applyFont="1" applyFill="1" applyBorder="1" applyAlignment="1">
      <alignment horizontal="center"/>
    </xf>
    <xf numFmtId="164" fontId="27" fillId="21" borderId="26" xfId="2" applyNumberFormat="1" applyFont="1" applyFill="1" applyBorder="1"/>
    <xf numFmtId="164" fontId="27" fillId="21" borderId="19" xfId="2" applyNumberFormat="1" applyFont="1" applyFill="1" applyBorder="1"/>
    <xf numFmtId="164" fontId="27" fillId="21" borderId="70" xfId="2" applyNumberFormat="1" applyFont="1" applyFill="1" applyBorder="1"/>
    <xf numFmtId="164" fontId="30" fillId="21" borderId="67" xfId="2" applyNumberFormat="1" applyFont="1" applyFill="1" applyBorder="1"/>
    <xf numFmtId="164" fontId="27" fillId="21" borderId="0" xfId="2" applyNumberFormat="1" applyFont="1" applyFill="1" applyBorder="1"/>
    <xf numFmtId="172" fontId="27" fillId="21" borderId="24" xfId="1" applyNumberFormat="1" applyFont="1" applyFill="1" applyBorder="1"/>
    <xf numFmtId="172" fontId="27" fillId="21" borderId="19" xfId="1" applyNumberFormat="1" applyFont="1" applyFill="1" applyBorder="1"/>
    <xf numFmtId="172" fontId="27" fillId="21" borderId="70" xfId="1" applyNumberFormat="1" applyFont="1" applyFill="1" applyBorder="1"/>
    <xf numFmtId="172" fontId="30" fillId="21" borderId="67" xfId="1" applyNumberFormat="1" applyFont="1" applyFill="1" applyBorder="1"/>
    <xf numFmtId="164" fontId="27" fillId="21" borderId="27" xfId="2" applyNumberFormat="1" applyFont="1" applyFill="1" applyBorder="1"/>
    <xf numFmtId="164" fontId="27" fillId="21" borderId="22" xfId="2" applyNumberFormat="1" applyFont="1" applyFill="1" applyBorder="1"/>
    <xf numFmtId="164" fontId="27" fillId="21" borderId="71" xfId="2" applyNumberFormat="1" applyFont="1" applyFill="1" applyBorder="1"/>
    <xf numFmtId="164" fontId="27" fillId="21" borderId="68" xfId="2" applyNumberFormat="1" applyFont="1" applyFill="1" applyBorder="1"/>
    <xf numFmtId="164" fontId="30" fillId="21" borderId="0" xfId="2" applyNumberFormat="1" applyFont="1" applyFill="1" applyBorder="1" applyAlignment="1">
      <alignment horizontal="right"/>
    </xf>
    <xf numFmtId="43" fontId="30" fillId="21" borderId="0" xfId="1" applyNumberFormat="1" applyFont="1" applyFill="1" applyBorder="1"/>
    <xf numFmtId="164" fontId="27" fillId="21" borderId="78" xfId="2" applyNumberFormat="1" applyFont="1" applyFill="1" applyBorder="1"/>
    <xf numFmtId="164" fontId="33" fillId="21" borderId="0" xfId="2" applyNumberFormat="1" applyFont="1" applyFill="1" applyBorder="1" applyAlignment="1">
      <alignment horizontal="right" vertical="top"/>
    </xf>
    <xf numFmtId="164" fontId="27" fillId="21" borderId="79" xfId="2" applyNumberFormat="1" applyFont="1" applyFill="1" applyBorder="1"/>
    <xf numFmtId="164" fontId="28" fillId="21" borderId="79" xfId="2" applyNumberFormat="1" applyFont="1" applyFill="1" applyBorder="1"/>
    <xf numFmtId="164" fontId="28" fillId="21" borderId="0" xfId="2" applyNumberFormat="1" applyFont="1" applyFill="1" applyBorder="1"/>
    <xf numFmtId="170" fontId="27" fillId="21" borderId="79" xfId="0" applyNumberFormat="1" applyFont="1" applyFill="1" applyBorder="1"/>
    <xf numFmtId="170" fontId="27" fillId="21" borderId="0" xfId="0" applyNumberFormat="1" applyFont="1" applyFill="1" applyBorder="1"/>
    <xf numFmtId="164" fontId="12" fillId="21" borderId="0" xfId="2" applyNumberFormat="1" applyFont="1" applyFill="1" applyBorder="1"/>
    <xf numFmtId="164" fontId="29" fillId="21" borderId="79" xfId="0" applyNumberFormat="1" applyFont="1" applyFill="1" applyBorder="1"/>
    <xf numFmtId="164" fontId="29" fillId="21" borderId="0" xfId="0" applyNumberFormat="1" applyFont="1" applyFill="1" applyBorder="1"/>
    <xf numFmtId="10" fontId="40" fillId="21" borderId="79" xfId="3" applyNumberFormat="1" applyFont="1" applyFill="1" applyBorder="1"/>
    <xf numFmtId="10" fontId="29" fillId="21" borderId="0" xfId="3" applyNumberFormat="1" applyFont="1" applyFill="1" applyBorder="1"/>
    <xf numFmtId="164" fontId="29" fillId="21" borderId="79" xfId="2" applyNumberFormat="1" applyFont="1" applyFill="1" applyBorder="1"/>
    <xf numFmtId="164" fontId="29" fillId="21" borderId="0" xfId="2" applyNumberFormat="1" applyFont="1" applyFill="1" applyBorder="1"/>
    <xf numFmtId="170" fontId="28" fillId="21" borderId="79" xfId="0" applyNumberFormat="1" applyFont="1" applyFill="1" applyBorder="1"/>
    <xf numFmtId="170" fontId="28" fillId="21" borderId="0" xfId="0" applyNumberFormat="1" applyFont="1" applyFill="1" applyBorder="1"/>
    <xf numFmtId="0" fontId="27" fillId="21" borderId="0" xfId="0" applyFont="1" applyFill="1" applyBorder="1"/>
    <xf numFmtId="0" fontId="12" fillId="21" borderId="0" xfId="0" applyFont="1" applyFill="1" applyBorder="1"/>
    <xf numFmtId="170" fontId="15" fillId="21" borderId="18" xfId="0" applyNumberFormat="1" applyFont="1" applyFill="1" applyBorder="1"/>
    <xf numFmtId="170" fontId="12" fillId="21" borderId="18" xfId="0" applyNumberFormat="1" applyFont="1" applyFill="1" applyBorder="1"/>
    <xf numFmtId="10" fontId="17" fillId="21" borderId="80" xfId="3" applyNumberFormat="1" applyFont="1" applyFill="1" applyBorder="1"/>
    <xf numFmtId="165" fontId="12" fillId="21" borderId="0" xfId="0" applyNumberFormat="1" applyFont="1" applyFill="1"/>
    <xf numFmtId="166" fontId="12" fillId="21" borderId="0" xfId="3" applyNumberFormat="1" applyFont="1" applyFill="1"/>
    <xf numFmtId="49" fontId="12" fillId="21" borderId="44" xfId="0" applyNumberFormat="1" applyFont="1" applyFill="1" applyBorder="1" applyAlignment="1">
      <alignment horizontal="center"/>
    </xf>
    <xf numFmtId="49" fontId="12" fillId="21" borderId="34" xfId="0" applyNumberFormat="1" applyFont="1" applyFill="1" applyBorder="1" applyAlignment="1">
      <alignment horizontal="center"/>
    </xf>
    <xf numFmtId="49" fontId="12" fillId="21" borderId="0" xfId="0" applyNumberFormat="1" applyFont="1" applyFill="1" applyBorder="1" applyAlignment="1">
      <alignment horizontal="center"/>
    </xf>
    <xf numFmtId="49" fontId="12" fillId="21" borderId="45" xfId="0" applyNumberFormat="1" applyFont="1" applyFill="1" applyBorder="1" applyAlignment="1">
      <alignment horizontal="center"/>
    </xf>
    <xf numFmtId="1" fontId="12" fillId="21" borderId="46" xfId="0" applyNumberFormat="1" applyFont="1" applyFill="1" applyBorder="1" applyAlignment="1">
      <alignment horizontal="center"/>
    </xf>
    <xf numFmtId="1" fontId="12" fillId="21" borderId="35" xfId="0" applyNumberFormat="1" applyFont="1" applyFill="1" applyBorder="1" applyAlignment="1">
      <alignment horizontal="center"/>
    </xf>
    <xf numFmtId="1" fontId="12" fillId="21" borderId="36" xfId="0" applyNumberFormat="1" applyFont="1" applyFill="1" applyBorder="1" applyAlignment="1">
      <alignment horizontal="center"/>
    </xf>
    <xf numFmtId="0" fontId="12" fillId="21" borderId="47" xfId="0" applyNumberFormat="1" applyFont="1" applyFill="1" applyBorder="1" applyAlignment="1">
      <alignment horizontal="center"/>
    </xf>
    <xf numFmtId="43" fontId="27" fillId="21" borderId="48" xfId="1" applyFont="1" applyFill="1" applyBorder="1" applyAlignment="1">
      <alignment horizontal="center"/>
    </xf>
    <xf numFmtId="43" fontId="27" fillId="21" borderId="38" xfId="1" applyFont="1" applyFill="1" applyBorder="1" applyAlignment="1">
      <alignment horizontal="center"/>
    </xf>
    <xf numFmtId="43" fontId="12" fillId="21" borderId="39" xfId="1" applyFont="1" applyFill="1" applyBorder="1" applyAlignment="1">
      <alignment horizontal="center"/>
    </xf>
    <xf numFmtId="43" fontId="12" fillId="21" borderId="49" xfId="1" applyFont="1" applyFill="1" applyBorder="1" applyAlignment="1">
      <alignment horizontal="center"/>
    </xf>
    <xf numFmtId="165" fontId="12" fillId="21" borderId="48" xfId="0" applyNumberFormat="1" applyFont="1" applyFill="1" applyBorder="1"/>
    <xf numFmtId="165" fontId="12" fillId="21" borderId="38" xfId="0" applyNumberFormat="1" applyFont="1" applyFill="1" applyBorder="1"/>
    <xf numFmtId="165" fontId="12" fillId="21" borderId="39" xfId="0" applyNumberFormat="1" applyFont="1" applyFill="1" applyBorder="1"/>
    <xf numFmtId="165" fontId="12" fillId="21" borderId="49" xfId="0" applyNumberFormat="1" applyFont="1" applyFill="1" applyBorder="1"/>
    <xf numFmtId="165" fontId="12" fillId="21" borderId="50" xfId="0" applyNumberFormat="1" applyFont="1" applyFill="1" applyBorder="1"/>
    <xf numFmtId="165" fontId="12" fillId="21" borderId="41" xfId="0" applyNumberFormat="1" applyFont="1" applyFill="1" applyBorder="1"/>
    <xf numFmtId="165" fontId="12" fillId="21" borderId="0" xfId="0" applyNumberFormat="1" applyFont="1" applyFill="1" applyBorder="1"/>
    <xf numFmtId="165" fontId="12" fillId="21" borderId="45" xfId="0" applyNumberFormat="1" applyFont="1" applyFill="1" applyBorder="1"/>
    <xf numFmtId="165" fontId="15" fillId="21" borderId="44" xfId="0" applyNumberFormat="1" applyFont="1" applyFill="1" applyBorder="1"/>
    <xf numFmtId="165" fontId="12" fillId="21" borderId="44" xfId="0" applyNumberFormat="1" applyFont="1" applyFill="1" applyBorder="1"/>
    <xf numFmtId="165" fontId="13" fillId="21" borderId="44" xfId="0" applyNumberFormat="1" applyFont="1" applyFill="1" applyBorder="1"/>
    <xf numFmtId="10" fontId="13" fillId="21" borderId="44" xfId="3" applyNumberFormat="1" applyFont="1" applyFill="1" applyBorder="1"/>
    <xf numFmtId="172" fontId="12" fillId="21" borderId="45" xfId="0" applyNumberFormat="1" applyFont="1" applyFill="1" applyBorder="1"/>
    <xf numFmtId="165" fontId="15" fillId="21" borderId="51" xfId="0" applyNumberFormat="1" applyFont="1" applyFill="1" applyBorder="1"/>
    <xf numFmtId="165" fontId="12" fillId="21" borderId="43" xfId="0" applyNumberFormat="1" applyFont="1" applyFill="1" applyBorder="1"/>
    <xf numFmtId="165" fontId="12" fillId="21" borderId="32" xfId="0" applyNumberFormat="1" applyFont="1" applyFill="1" applyBorder="1"/>
    <xf numFmtId="165" fontId="12" fillId="21" borderId="52" xfId="0" applyNumberFormat="1" applyFont="1" applyFill="1" applyBorder="1"/>
    <xf numFmtId="0" fontId="12" fillId="21" borderId="92" xfId="0" applyFont="1" applyFill="1" applyBorder="1"/>
    <xf numFmtId="0" fontId="12" fillId="21" borderId="87" xfId="0" applyFont="1" applyFill="1" applyBorder="1"/>
    <xf numFmtId="0" fontId="12" fillId="21" borderId="93" xfId="0" applyFont="1" applyFill="1" applyBorder="1"/>
    <xf numFmtId="0" fontId="12" fillId="21" borderId="94" xfId="0" applyFont="1" applyFill="1" applyBorder="1"/>
    <xf numFmtId="164" fontId="12" fillId="21" borderId="95" xfId="2" applyNumberFormat="1" applyFont="1" applyFill="1" applyBorder="1"/>
    <xf numFmtId="0" fontId="12" fillId="21" borderId="0" xfId="0" applyFont="1" applyFill="1"/>
    <xf numFmtId="0" fontId="12" fillId="21" borderId="0" xfId="0" applyFont="1" applyFill="1" applyBorder="1" applyAlignment="1">
      <alignment horizontal="right"/>
    </xf>
    <xf numFmtId="167" fontId="12" fillId="21" borderId="95" xfId="1" applyNumberFormat="1" applyFont="1" applyFill="1" applyBorder="1"/>
    <xf numFmtId="0" fontId="12" fillId="21" borderId="96" xfId="0" applyFont="1" applyFill="1" applyBorder="1"/>
    <xf numFmtId="0" fontId="12" fillId="21" borderId="90" xfId="0" applyFont="1" applyFill="1" applyBorder="1"/>
    <xf numFmtId="164" fontId="15" fillId="21" borderId="97" xfId="2" applyNumberFormat="1" applyFont="1" applyFill="1" applyBorder="1"/>
    <xf numFmtId="42" fontId="12" fillId="0" borderId="0" xfId="2" applyNumberFormat="1" applyFont="1" applyBorder="1"/>
    <xf numFmtId="37" fontId="12" fillId="0" borderId="0" xfId="0" applyNumberFormat="1" applyFont="1" applyBorder="1"/>
    <xf numFmtId="10" fontId="11" fillId="0" borderId="0" xfId="3" applyNumberFormat="1" applyFont="1" applyBorder="1"/>
    <xf numFmtId="10" fontId="12" fillId="0" borderId="0" xfId="3" applyNumberFormat="1" applyFont="1" applyBorder="1"/>
    <xf numFmtId="164" fontId="0" fillId="3" borderId="0" xfId="2" applyNumberFormat="1" applyFont="1" applyFill="1" applyBorder="1"/>
    <xf numFmtId="166" fontId="0" fillId="0" borderId="0" xfId="3" applyNumberFormat="1" applyFont="1" applyBorder="1" applyAlignment="1">
      <alignment horizontal="center"/>
    </xf>
    <xf numFmtId="43" fontId="12" fillId="4" borderId="0" xfId="2" applyNumberFormat="1" applyFont="1" applyFill="1" applyBorder="1"/>
    <xf numFmtId="44" fontId="12" fillId="0" borderId="0" xfId="2" applyFont="1" applyBorder="1"/>
    <xf numFmtId="2" fontId="12" fillId="0" borderId="170" xfId="0" applyNumberFormat="1" applyFont="1" applyBorder="1"/>
    <xf numFmtId="2" fontId="12" fillId="0" borderId="0" xfId="0" applyNumberFormat="1" applyFont="1" applyBorder="1" applyAlignment="1">
      <alignment horizontal="right"/>
    </xf>
    <xf numFmtId="164" fontId="12" fillId="0" borderId="12" xfId="0" applyNumberFormat="1" applyFont="1" applyBorder="1"/>
    <xf numFmtId="2" fontId="12" fillId="0" borderId="145" xfId="0" applyNumberFormat="1" applyFont="1" applyBorder="1"/>
    <xf numFmtId="43" fontId="12" fillId="0" borderId="0" xfId="1" applyFont="1" applyBorder="1"/>
    <xf numFmtId="43" fontId="12" fillId="6" borderId="0" xfId="1" applyFont="1" applyFill="1" applyBorder="1"/>
    <xf numFmtId="43" fontId="12" fillId="0" borderId="0" xfId="1" applyFont="1" applyFill="1" applyBorder="1"/>
    <xf numFmtId="164" fontId="12" fillId="0" borderId="98" xfId="0" applyNumberFormat="1" applyFont="1" applyBorder="1"/>
    <xf numFmtId="164" fontId="26" fillId="0" borderId="133" xfId="2" applyNumberFormat="1" applyFont="1" applyBorder="1"/>
    <xf numFmtId="42" fontId="12" fillId="0" borderId="133" xfId="2" applyNumberFormat="1" applyFont="1" applyBorder="1"/>
    <xf numFmtId="0" fontId="9" fillId="0" borderId="98" xfId="0" applyFont="1" applyBorder="1"/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0" fontId="0" fillId="3" borderId="0" xfId="0" applyFill="1" applyBorder="1" applyAlignment="1">
      <alignment horizontal="left" indent="1"/>
    </xf>
    <xf numFmtId="0" fontId="0" fillId="4" borderId="0" xfId="0" applyFill="1" applyBorder="1"/>
    <xf numFmtId="0" fontId="22" fillId="0" borderId="0" xfId="0" applyFont="1" applyBorder="1"/>
    <xf numFmtId="0" fontId="4" fillId="0" borderId="0" xfId="0" applyFont="1" applyBorder="1"/>
    <xf numFmtId="0" fontId="8" fillId="0" borderId="0" xfId="0" applyFont="1" applyFill="1" applyBorder="1"/>
    <xf numFmtId="0" fontId="22" fillId="0" borderId="0" xfId="0" applyFont="1" applyFill="1" applyBorder="1"/>
    <xf numFmtId="0" fontId="3" fillId="5" borderId="0" xfId="0" applyFont="1" applyFill="1" applyBorder="1"/>
    <xf numFmtId="0" fontId="4" fillId="0" borderId="173" xfId="0" applyFont="1" applyBorder="1" applyAlignment="1">
      <alignment vertical="top"/>
    </xf>
    <xf numFmtId="0" fontId="2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70" xfId="0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0" fillId="0" borderId="12" xfId="0" applyBorder="1"/>
    <xf numFmtId="0" fontId="4" fillId="0" borderId="174" xfId="0" applyFont="1" applyBorder="1" applyAlignment="1">
      <alignment horizontal="left" vertical="top"/>
    </xf>
    <xf numFmtId="0" fontId="3" fillId="0" borderId="145" xfId="0" applyFont="1" applyBorder="1" applyAlignment="1">
      <alignment horizontal="left" indent="1"/>
    </xf>
    <xf numFmtId="0" fontId="0" fillId="6" borderId="0" xfId="0" applyFill="1" applyBorder="1"/>
    <xf numFmtId="0" fontId="3" fillId="0" borderId="98" xfId="0" applyFont="1" applyBorder="1"/>
    <xf numFmtId="0" fontId="10" fillId="0" borderId="7" xfId="0" applyFont="1" applyBorder="1" applyAlignment="1">
      <alignment horizontal="center"/>
    </xf>
    <xf numFmtId="164" fontId="11" fillId="0" borderId="7" xfId="2" applyNumberFormat="1" applyFont="1" applyBorder="1"/>
    <xf numFmtId="10" fontId="26" fillId="0" borderId="7" xfId="3" applyNumberFormat="1" applyFont="1" applyBorder="1"/>
    <xf numFmtId="164" fontId="12" fillId="0" borderId="7" xfId="2" applyNumberFormat="1" applyFont="1" applyBorder="1"/>
    <xf numFmtId="10" fontId="11" fillId="0" borderId="7" xfId="3" applyNumberFormat="1" applyFont="1" applyBorder="1"/>
    <xf numFmtId="164" fontId="13" fillId="0" borderId="7" xfId="2" applyNumberFormat="1" applyFont="1" applyBorder="1"/>
    <xf numFmtId="165" fontId="13" fillId="0" borderId="7" xfId="2" applyNumberFormat="1" applyFont="1" applyBorder="1"/>
    <xf numFmtId="10" fontId="12" fillId="0" borderId="7" xfId="3" applyNumberFormat="1" applyFont="1" applyBorder="1"/>
    <xf numFmtId="164" fontId="26" fillId="3" borderId="7" xfId="2" applyNumberFormat="1" applyFont="1" applyFill="1" applyBorder="1"/>
    <xf numFmtId="0" fontId="0" fillId="0" borderId="7" xfId="0" applyBorder="1"/>
    <xf numFmtId="9" fontId="26" fillId="0" borderId="7" xfId="3" applyFont="1" applyBorder="1" applyAlignment="1">
      <alignment horizontal="center"/>
    </xf>
    <xf numFmtId="164" fontId="26" fillId="0" borderId="7" xfId="2" applyNumberFormat="1" applyFont="1" applyBorder="1"/>
    <xf numFmtId="43" fontId="12" fillId="4" borderId="7" xfId="2" applyNumberFormat="1" applyFont="1" applyFill="1" applyBorder="1"/>
    <xf numFmtId="3" fontId="12" fillId="0" borderId="7" xfId="2" applyNumberFormat="1" applyFont="1" applyBorder="1"/>
    <xf numFmtId="44" fontId="12" fillId="0" borderId="7" xfId="2" applyFont="1" applyBorder="1"/>
    <xf numFmtId="42" fontId="12" fillId="0" borderId="7" xfId="2" applyNumberFormat="1" applyFont="1" applyBorder="1"/>
    <xf numFmtId="0" fontId="12" fillId="4" borderId="7" xfId="0" applyFont="1" applyFill="1" applyBorder="1"/>
    <xf numFmtId="0" fontId="12" fillId="0" borderId="7" xfId="0" applyFont="1" applyBorder="1"/>
    <xf numFmtId="164" fontId="12" fillId="5" borderId="7" xfId="2" applyNumberFormat="1" applyFont="1" applyFill="1" applyBorder="1"/>
    <xf numFmtId="37" fontId="12" fillId="0" borderId="7" xfId="0" applyNumberFormat="1" applyFont="1" applyBorder="1"/>
    <xf numFmtId="2" fontId="12" fillId="0" borderId="7" xfId="0" applyNumberFormat="1" applyFont="1" applyBorder="1"/>
    <xf numFmtId="2" fontId="12" fillId="0" borderId="7" xfId="0" applyNumberFormat="1" applyFont="1" applyBorder="1" applyAlignment="1">
      <alignment horizontal="right"/>
    </xf>
    <xf numFmtId="164" fontId="12" fillId="4" borderId="7" xfId="2" applyNumberFormat="1" applyFont="1" applyFill="1" applyBorder="1"/>
    <xf numFmtId="164" fontId="12" fillId="0" borderId="7" xfId="2" applyNumberFormat="1" applyFont="1" applyFill="1" applyBorder="1"/>
    <xf numFmtId="43" fontId="12" fillId="0" borderId="7" xfId="1" applyFont="1" applyBorder="1"/>
    <xf numFmtId="43" fontId="12" fillId="6" borderId="7" xfId="1" applyFont="1" applyFill="1" applyBorder="1"/>
    <xf numFmtId="43" fontId="12" fillId="0" borderId="7" xfId="1" applyFont="1" applyFill="1" applyBorder="1"/>
    <xf numFmtId="0" fontId="0" fillId="0" borderId="0" xfId="0" applyFill="1" applyBorder="1" applyAlignment="1">
      <alignment horizontal="left"/>
    </xf>
    <xf numFmtId="0" fontId="0" fillId="18" borderId="7" xfId="0" applyFill="1" applyBorder="1"/>
    <xf numFmtId="0" fontId="0" fillId="8" borderId="15" xfId="0" applyFill="1" applyBorder="1"/>
    <xf numFmtId="0" fontId="0" fillId="8" borderId="98" xfId="0" applyFill="1" applyBorder="1"/>
    <xf numFmtId="0" fontId="0" fillId="14" borderId="0" xfId="0" applyFill="1" applyBorder="1" applyAlignment="1">
      <alignment horizontal="left"/>
    </xf>
    <xf numFmtId="0" fontId="22" fillId="14" borderId="0" xfId="0" applyFont="1" applyFill="1" applyBorder="1" applyAlignment="1">
      <alignment horizontal="left"/>
    </xf>
    <xf numFmtId="0" fontId="3" fillId="14" borderId="0" xfId="0" applyFont="1" applyFill="1" applyBorder="1" applyAlignment="1">
      <alignment horizontal="left"/>
    </xf>
    <xf numFmtId="0" fontId="0" fillId="14" borderId="177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22" fillId="16" borderId="0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3" fillId="16" borderId="175" xfId="0" applyFont="1" applyFill="1" applyBorder="1" applyAlignment="1">
      <alignment horizontal="left"/>
    </xf>
    <xf numFmtId="0" fontId="3" fillId="0" borderId="176" xfId="0" applyFont="1" applyFill="1" applyBorder="1" applyAlignment="1">
      <alignment horizontal="left"/>
    </xf>
    <xf numFmtId="0" fontId="35" fillId="0" borderId="178" xfId="0" applyFont="1" applyBorder="1"/>
    <xf numFmtId="0" fontId="3" fillId="0" borderId="179" xfId="0" applyFont="1" applyFill="1" applyBorder="1"/>
    <xf numFmtId="0" fontId="3" fillId="0" borderId="121" xfId="0" applyFont="1" applyFill="1" applyBorder="1" applyAlignment="1">
      <alignment horizontal="left"/>
    </xf>
    <xf numFmtId="164" fontId="12" fillId="0" borderId="0" xfId="0" applyNumberFormat="1" applyFont="1" applyFill="1" applyBorder="1"/>
    <xf numFmtId="0" fontId="0" fillId="22" borderId="0" xfId="0" applyFill="1"/>
    <xf numFmtId="171" fontId="41" fillId="0" borderId="26" xfId="3" applyNumberFormat="1" applyFont="1" applyBorder="1" applyAlignment="1">
      <alignment horizontal="center"/>
    </xf>
    <xf numFmtId="171" fontId="41" fillId="0" borderId="19" xfId="3" applyNumberFormat="1" applyFont="1" applyBorder="1" applyAlignment="1">
      <alignment horizontal="center"/>
    </xf>
    <xf numFmtId="171" fontId="41" fillId="0" borderId="70" xfId="3" applyNumberFormat="1" applyFont="1" applyBorder="1" applyAlignment="1">
      <alignment horizontal="center"/>
    </xf>
    <xf numFmtId="49" fontId="12" fillId="0" borderId="180" xfId="0" applyNumberFormat="1" applyFont="1" applyBorder="1" applyAlignment="1">
      <alignment horizontal="center"/>
    </xf>
    <xf numFmtId="2" fontId="11" fillId="0" borderId="181" xfId="0" applyNumberFormat="1" applyFont="1" applyBorder="1" applyAlignment="1">
      <alignment horizontal="center"/>
    </xf>
    <xf numFmtId="164" fontId="17" fillId="0" borderId="181" xfId="2" applyNumberFormat="1" applyFont="1" applyBorder="1" applyAlignment="1">
      <alignment horizontal="center"/>
    </xf>
    <xf numFmtId="10" fontId="30" fillId="0" borderId="181" xfId="3" applyNumberFormat="1" applyFont="1" applyBorder="1" applyAlignment="1">
      <alignment horizontal="center"/>
    </xf>
    <xf numFmtId="164" fontId="30" fillId="0" borderId="181" xfId="2" applyNumberFormat="1" applyFont="1" applyBorder="1" applyAlignment="1">
      <alignment horizontal="center"/>
    </xf>
    <xf numFmtId="164" fontId="30" fillId="0" borderId="181" xfId="2" applyNumberFormat="1" applyFont="1" applyBorder="1"/>
    <xf numFmtId="172" fontId="30" fillId="0" borderId="181" xfId="1" applyNumberFormat="1" applyFont="1" applyBorder="1"/>
    <xf numFmtId="164" fontId="27" fillId="0" borderId="182" xfId="2" applyNumberFormat="1" applyFont="1" applyBorder="1"/>
    <xf numFmtId="164" fontId="27" fillId="0" borderId="183" xfId="2" applyNumberFormat="1" applyFont="1" applyBorder="1"/>
    <xf numFmtId="164" fontId="28" fillId="0" borderId="183" xfId="2" applyNumberFormat="1" applyFont="1" applyBorder="1"/>
    <xf numFmtId="170" fontId="27" fillId="0" borderId="183" xfId="0" applyNumberFormat="1" applyFont="1" applyBorder="1"/>
    <xf numFmtId="2" fontId="27" fillId="0" borderId="0" xfId="2" applyNumberFormat="1" applyFont="1" applyBorder="1" applyAlignment="1">
      <alignment horizontal="center"/>
    </xf>
    <xf numFmtId="49" fontId="27" fillId="0" borderId="185" xfId="2" applyNumberFormat="1" applyFont="1" applyBorder="1" applyAlignment="1">
      <alignment horizontal="center"/>
    </xf>
    <xf numFmtId="2" fontId="27" fillId="0" borderId="186" xfId="2" applyNumberFormat="1" applyFont="1" applyBorder="1" applyAlignment="1">
      <alignment horizontal="center"/>
    </xf>
    <xf numFmtId="164" fontId="27" fillId="0" borderId="187" xfId="2" applyNumberFormat="1" applyFont="1" applyBorder="1" applyAlignment="1">
      <alignment horizontal="center"/>
    </xf>
    <xf numFmtId="164" fontId="27" fillId="0" borderId="187" xfId="2" applyNumberFormat="1" applyFont="1" applyBorder="1"/>
    <xf numFmtId="164" fontId="27" fillId="0" borderId="186" xfId="2" applyNumberFormat="1" applyFont="1" applyBorder="1"/>
    <xf numFmtId="172" fontId="27" fillId="0" borderId="187" xfId="1" applyNumberFormat="1" applyFont="1" applyBorder="1"/>
    <xf numFmtId="164" fontId="27" fillId="0" borderId="188" xfId="2" applyNumberFormat="1" applyFont="1" applyBorder="1"/>
    <xf numFmtId="164" fontId="28" fillId="0" borderId="186" xfId="2" applyNumberFormat="1" applyFont="1" applyBorder="1"/>
    <xf numFmtId="0" fontId="4" fillId="8" borderId="84" xfId="8" applyFont="1" applyFill="1" applyBorder="1"/>
    <xf numFmtId="0" fontId="3" fillId="8" borderId="117" xfId="8" applyFont="1" applyFill="1" applyBorder="1"/>
    <xf numFmtId="0" fontId="4" fillId="8" borderId="117" xfId="8" applyFont="1" applyFill="1" applyBorder="1" applyAlignment="1">
      <alignment horizontal="center"/>
    </xf>
    <xf numFmtId="0" fontId="3" fillId="0" borderId="0" xfId="8"/>
    <xf numFmtId="0" fontId="3" fillId="8" borderId="86" xfId="8" applyFont="1" applyFill="1" applyBorder="1"/>
    <xf numFmtId="14" fontId="5" fillId="8" borderId="118" xfId="8" applyNumberFormat="1" applyFont="1" applyFill="1" applyBorder="1" applyAlignment="1">
      <alignment horizontal="right"/>
    </xf>
    <xf numFmtId="0" fontId="4" fillId="8" borderId="118" xfId="8" applyFont="1" applyFill="1" applyBorder="1" applyAlignment="1">
      <alignment horizontal="center"/>
    </xf>
    <xf numFmtId="0" fontId="3" fillId="23" borderId="189" xfId="8" applyFont="1" applyFill="1" applyBorder="1"/>
    <xf numFmtId="0" fontId="3" fillId="23" borderId="190" xfId="8" applyFont="1" applyFill="1" applyBorder="1"/>
    <xf numFmtId="164" fontId="3" fillId="23" borderId="190" xfId="8" applyNumberFormat="1" applyFont="1" applyFill="1" applyBorder="1"/>
    <xf numFmtId="164" fontId="3" fillId="23" borderId="191" xfId="8" applyNumberFormat="1" applyFont="1" applyFill="1" applyBorder="1"/>
    <xf numFmtId="0" fontId="11" fillId="0" borderId="192" xfId="8" applyFont="1" applyFill="1" applyBorder="1"/>
    <xf numFmtId="0" fontId="3" fillId="0" borderId="193" xfId="8" applyFill="1" applyBorder="1"/>
    <xf numFmtId="0" fontId="3" fillId="0" borderId="194" xfId="8" applyFill="1" applyBorder="1"/>
    <xf numFmtId="0" fontId="3" fillId="0" borderId="192" xfId="8" applyFill="1" applyBorder="1"/>
    <xf numFmtId="42" fontId="3" fillId="0" borderId="193" xfId="9" applyNumberFormat="1" applyFill="1" applyBorder="1"/>
    <xf numFmtId="42" fontId="3" fillId="0" borderId="194" xfId="9" applyNumberFormat="1" applyFill="1" applyBorder="1"/>
    <xf numFmtId="0" fontId="3" fillId="6" borderId="192" xfId="8" applyFill="1" applyBorder="1"/>
    <xf numFmtId="0" fontId="3" fillId="6" borderId="193" xfId="8" applyFill="1" applyBorder="1"/>
    <xf numFmtId="42" fontId="3" fillId="6" borderId="193" xfId="9" applyNumberFormat="1" applyFill="1" applyBorder="1"/>
    <xf numFmtId="42" fontId="3" fillId="6" borderId="194" xfId="9" applyNumberFormat="1" applyFill="1" applyBorder="1"/>
    <xf numFmtId="0" fontId="3" fillId="5" borderId="192" xfId="8" applyFill="1" applyBorder="1"/>
    <xf numFmtId="0" fontId="3" fillId="5" borderId="193" xfId="8" applyFill="1" applyBorder="1"/>
    <xf numFmtId="42" fontId="3" fillId="5" borderId="193" xfId="9" applyNumberFormat="1" applyFill="1" applyBorder="1"/>
    <xf numFmtId="42" fontId="3" fillId="5" borderId="194" xfId="9" applyNumberFormat="1" applyFill="1" applyBorder="1"/>
    <xf numFmtId="0" fontId="3" fillId="0" borderId="192" xfId="8" applyFill="1" applyBorder="1" applyAlignment="1">
      <alignment horizontal="left"/>
    </xf>
    <xf numFmtId="164" fontId="3" fillId="0" borderId="193" xfId="8" applyNumberFormat="1" applyFill="1" applyBorder="1"/>
    <xf numFmtId="164" fontId="3" fillId="0" borderId="194" xfId="8" applyNumberFormat="1" applyFill="1" applyBorder="1"/>
    <xf numFmtId="0" fontId="4" fillId="2" borderId="7" xfId="8" applyFont="1" applyFill="1" applyBorder="1" applyAlignment="1">
      <alignment horizontal="left"/>
    </xf>
    <xf numFmtId="0" fontId="3" fillId="2" borderId="118" xfId="8" applyFill="1" applyBorder="1"/>
    <xf numFmtId="164" fontId="3" fillId="2" borderId="195" xfId="8" applyNumberFormat="1" applyFill="1" applyBorder="1"/>
    <xf numFmtId="0" fontId="4" fillId="7" borderId="196" xfId="8" applyFont="1" applyFill="1" applyBorder="1" applyAlignment="1">
      <alignment horizontal="left"/>
    </xf>
    <xf numFmtId="0" fontId="3" fillId="7" borderId="14" xfId="8" applyFill="1" applyBorder="1"/>
    <xf numFmtId="164" fontId="3" fillId="7" borderId="98" xfId="8" applyNumberFormat="1" applyFill="1" applyBorder="1"/>
    <xf numFmtId="164" fontId="3" fillId="7" borderId="14" xfId="8" applyNumberFormat="1" applyFill="1" applyBorder="1"/>
    <xf numFmtId="164" fontId="3" fillId="7" borderId="121" xfId="8" applyNumberFormat="1" applyFill="1" applyBorder="1"/>
    <xf numFmtId="0" fontId="4" fillId="8" borderId="118" xfId="8" applyFont="1" applyFill="1" applyBorder="1"/>
    <xf numFmtId="0" fontId="3" fillId="23" borderId="7" xfId="8" applyFont="1" applyFill="1" applyBorder="1"/>
    <xf numFmtId="0" fontId="3" fillId="23" borderId="2" xfId="8" applyFont="1" applyFill="1" applyBorder="1"/>
    <xf numFmtId="164" fontId="3" fillId="23" borderId="2" xfId="8" applyNumberFormat="1" applyFont="1" applyFill="1" applyBorder="1"/>
    <xf numFmtId="42" fontId="3" fillId="5" borderId="197" xfId="9" applyNumberFormat="1" applyFill="1" applyBorder="1"/>
    <xf numFmtId="0" fontId="4" fillId="2" borderId="86" xfId="8" applyFont="1" applyFill="1" applyBorder="1" applyAlignment="1">
      <alignment horizontal="left"/>
    </xf>
    <xf numFmtId="0" fontId="3" fillId="7" borderId="196" xfId="8" applyFill="1" applyBorder="1"/>
    <xf numFmtId="0" fontId="3" fillId="7" borderId="121" xfId="8" applyFill="1" applyBorder="1"/>
    <xf numFmtId="0" fontId="4" fillId="8" borderId="198" xfId="8" applyFont="1" applyFill="1" applyBorder="1" applyAlignment="1">
      <alignment horizontal="center"/>
    </xf>
    <xf numFmtId="0" fontId="4" fillId="8" borderId="199" xfId="8" applyFont="1" applyFill="1" applyBorder="1" applyAlignment="1">
      <alignment horizontal="center"/>
    </xf>
    <xf numFmtId="0" fontId="6" fillId="8" borderId="86" xfId="8" applyFont="1" applyFill="1" applyBorder="1"/>
    <xf numFmtId="164" fontId="3" fillId="23" borderId="117" xfId="8" applyNumberFormat="1" applyFont="1" applyFill="1" applyBorder="1"/>
    <xf numFmtId="42" fontId="3" fillId="0" borderId="200" xfId="9" applyNumberFormat="1" applyFill="1" applyBorder="1"/>
    <xf numFmtId="42" fontId="3" fillId="0" borderId="201" xfId="9" applyNumberFormat="1" applyFill="1" applyBorder="1"/>
    <xf numFmtId="0" fontId="4" fillId="2" borderId="202" xfId="8" applyFont="1" applyFill="1" applyBorder="1" applyAlignment="1">
      <alignment horizontal="left"/>
    </xf>
    <xf numFmtId="0" fontId="3" fillId="2" borderId="195" xfId="8" applyFill="1" applyBorder="1"/>
    <xf numFmtId="164" fontId="3" fillId="0" borderId="193" xfId="17" applyNumberFormat="1" applyFont="1" applyFill="1" applyBorder="1"/>
    <xf numFmtId="42" fontId="3" fillId="0" borderId="193" xfId="9" applyNumberFormat="1" applyFont="1" applyFill="1" applyBorder="1"/>
    <xf numFmtId="0" fontId="4" fillId="8" borderId="203" xfId="8" applyFont="1" applyFill="1" applyBorder="1" applyAlignment="1">
      <alignment horizontal="center"/>
    </xf>
    <xf numFmtId="164" fontId="3" fillId="2" borderId="204" xfId="8" applyNumberFormat="1" applyFill="1" applyBorder="1"/>
    <xf numFmtId="164" fontId="3" fillId="0" borderId="193" xfId="9" applyNumberFormat="1" applyFill="1" applyBorder="1"/>
    <xf numFmtId="0" fontId="4" fillId="8" borderId="205" xfId="8" applyFont="1" applyFill="1" applyBorder="1" applyAlignment="1">
      <alignment horizontal="center"/>
    </xf>
    <xf numFmtId="164" fontId="3" fillId="23" borderId="205" xfId="8" applyNumberFormat="1" applyFont="1" applyFill="1" applyBorder="1"/>
    <xf numFmtId="164" fontId="3" fillId="23" borderId="206" xfId="8" applyNumberFormat="1" applyFont="1" applyFill="1" applyBorder="1"/>
    <xf numFmtId="0" fontId="3" fillId="0" borderId="207" xfId="8" applyFill="1" applyBorder="1"/>
    <xf numFmtId="164" fontId="3" fillId="0" borderId="208" xfId="17" applyNumberFormat="1" applyFont="1" applyFill="1" applyBorder="1"/>
    <xf numFmtId="42" fontId="3" fillId="0" borderId="208" xfId="9" applyNumberFormat="1" applyFill="1" applyBorder="1"/>
    <xf numFmtId="42" fontId="3" fillId="6" borderId="209" xfId="9" applyNumberFormat="1" applyFill="1" applyBorder="1"/>
    <xf numFmtId="42" fontId="3" fillId="0" borderId="209" xfId="9" applyNumberFormat="1" applyFill="1" applyBorder="1"/>
    <xf numFmtId="42" fontId="3" fillId="0" borderId="210" xfId="9" applyNumberFormat="1" applyFill="1" applyBorder="1"/>
    <xf numFmtId="42" fontId="3" fillId="0" borderId="211" xfId="9" applyNumberFormat="1" applyFont="1" applyFill="1" applyBorder="1"/>
    <xf numFmtId="42" fontId="3" fillId="5" borderId="211" xfId="9" applyNumberFormat="1" applyFill="1" applyBorder="1"/>
    <xf numFmtId="164" fontId="3" fillId="0" borderId="212" xfId="8" applyNumberFormat="1" applyFill="1" applyBorder="1"/>
    <xf numFmtId="164" fontId="3" fillId="2" borderId="213" xfId="8" applyNumberFormat="1" applyFill="1" applyBorder="1"/>
    <xf numFmtId="0" fontId="3" fillId="0" borderId="212" xfId="8" applyFill="1" applyBorder="1"/>
    <xf numFmtId="0" fontId="3" fillId="0" borderId="214" xfId="8" applyFill="1" applyBorder="1"/>
    <xf numFmtId="42" fontId="3" fillId="0" borderId="214" xfId="9" applyNumberFormat="1" applyFill="1" applyBorder="1"/>
    <xf numFmtId="42" fontId="3" fillId="0" borderId="215" xfId="9" applyNumberFormat="1" applyFill="1" applyBorder="1"/>
    <xf numFmtId="42" fontId="3" fillId="6" borderId="215" xfId="9" applyNumberFormat="1" applyFill="1" applyBorder="1"/>
    <xf numFmtId="42" fontId="3" fillId="0" borderId="216" xfId="9" applyNumberFormat="1" applyFill="1" applyBorder="1"/>
    <xf numFmtId="42" fontId="3" fillId="0" borderId="217" xfId="9" applyNumberFormat="1" applyFill="1" applyBorder="1"/>
    <xf numFmtId="42" fontId="3" fillId="0" borderId="218" xfId="9" applyNumberFormat="1" applyFill="1" applyBorder="1"/>
    <xf numFmtId="42" fontId="3" fillId="5" borderId="219" xfId="9" applyNumberFormat="1" applyFill="1" applyBorder="1"/>
    <xf numFmtId="164" fontId="3" fillId="0" borderId="219" xfId="8" applyNumberFormat="1" applyFill="1" applyBorder="1"/>
    <xf numFmtId="164" fontId="3" fillId="2" borderId="220" xfId="8" applyNumberFormat="1" applyFill="1" applyBorder="1"/>
    <xf numFmtId="164" fontId="3" fillId="23" borderId="221" xfId="8" applyNumberFormat="1" applyFont="1" applyFill="1" applyBorder="1"/>
    <xf numFmtId="0" fontId="3" fillId="0" borderId="222" xfId="8" applyFill="1" applyBorder="1"/>
    <xf numFmtId="164" fontId="3" fillId="0" borderId="222" xfId="17" applyNumberFormat="1" applyFont="1" applyFill="1" applyBorder="1"/>
    <xf numFmtId="42" fontId="3" fillId="0" borderId="223" xfId="9" applyNumberFormat="1" applyFill="1" applyBorder="1"/>
    <xf numFmtId="42" fontId="3" fillId="6" borderId="223" xfId="9" applyNumberFormat="1" applyFill="1" applyBorder="1"/>
    <xf numFmtId="42" fontId="3" fillId="0" borderId="224" xfId="9" applyNumberFormat="1" applyFill="1" applyBorder="1"/>
    <xf numFmtId="42" fontId="3" fillId="5" borderId="225" xfId="9" applyNumberFormat="1" applyFill="1" applyBorder="1"/>
    <xf numFmtId="164" fontId="3" fillId="0" borderId="225" xfId="8" applyNumberFormat="1" applyFill="1" applyBorder="1"/>
    <xf numFmtId="0" fontId="4" fillId="8" borderId="221" xfId="8" applyFont="1" applyFill="1" applyBorder="1" applyAlignment="1">
      <alignment horizontal="center"/>
    </xf>
    <xf numFmtId="164" fontId="3" fillId="23" borderId="226" xfId="8" applyNumberFormat="1" applyFont="1" applyFill="1" applyBorder="1"/>
    <xf numFmtId="0" fontId="3" fillId="0" borderId="224" xfId="8" applyFill="1" applyBorder="1"/>
    <xf numFmtId="42" fontId="3" fillId="6" borderId="224" xfId="9" applyNumberFormat="1" applyFill="1" applyBorder="1"/>
    <xf numFmtId="42" fontId="3" fillId="5" borderId="224" xfId="9" applyNumberFormat="1" applyFill="1" applyBorder="1"/>
    <xf numFmtId="164" fontId="3" fillId="0" borderId="224" xfId="8" applyNumberFormat="1" applyFill="1" applyBorder="1"/>
    <xf numFmtId="164" fontId="3" fillId="0" borderId="224" xfId="9" applyNumberFormat="1" applyFill="1" applyBorder="1"/>
    <xf numFmtId="0" fontId="0" fillId="16" borderId="2" xfId="0" applyFill="1" applyBorder="1"/>
    <xf numFmtId="10" fontId="41" fillId="0" borderId="187" xfId="3" applyNumberFormat="1" applyFont="1" applyBorder="1" applyAlignment="1">
      <alignment horizontal="center"/>
    </xf>
    <xf numFmtId="10" fontId="41" fillId="0" borderId="19" xfId="3" applyNumberFormat="1" applyFont="1" applyBorder="1" applyAlignment="1">
      <alignment horizontal="center"/>
    </xf>
    <xf numFmtId="10" fontId="41" fillId="0" borderId="70" xfId="3" applyNumberFormat="1" applyFont="1" applyBorder="1" applyAlignment="1">
      <alignment horizontal="center"/>
    </xf>
    <xf numFmtId="10" fontId="41" fillId="0" borderId="26" xfId="3" applyNumberFormat="1" applyFont="1" applyBorder="1" applyAlignment="1">
      <alignment horizontal="center"/>
    </xf>
    <xf numFmtId="0" fontId="47" fillId="0" borderId="0" xfId="0" applyFont="1"/>
    <xf numFmtId="49" fontId="47" fillId="0" borderId="0" xfId="0" applyNumberFormat="1" applyFont="1" applyAlignment="1">
      <alignment horizontal="center"/>
    </xf>
    <xf numFmtId="0" fontId="47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44" fontId="3" fillId="7" borderId="14" xfId="8" applyNumberFormat="1" applyFill="1" applyBorder="1"/>
    <xf numFmtId="164" fontId="27" fillId="0" borderId="26" xfId="2" applyNumberFormat="1" applyFont="1" applyFill="1" applyBorder="1"/>
    <xf numFmtId="164" fontId="27" fillId="0" borderId="19" xfId="2" applyNumberFormat="1" applyFont="1" applyFill="1" applyBorder="1"/>
    <xf numFmtId="164" fontId="27" fillId="0" borderId="70" xfId="2" applyNumberFormat="1" applyFont="1" applyFill="1" applyBorder="1"/>
    <xf numFmtId="164" fontId="30" fillId="0" borderId="67" xfId="2" applyNumberFormat="1" applyFont="1" applyFill="1" applyBorder="1"/>
    <xf numFmtId="164" fontId="48" fillId="0" borderId="133" xfId="2" applyNumberFormat="1" applyFont="1" applyBorder="1"/>
    <xf numFmtId="164" fontId="48" fillId="0" borderId="0" xfId="2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4" fillId="0" borderId="0" xfId="0" applyFont="1"/>
    <xf numFmtId="164" fontId="12" fillId="0" borderId="0" xfId="2" applyNumberFormat="1" applyFont="1" applyFill="1"/>
    <xf numFmtId="165" fontId="12" fillId="0" borderId="0" xfId="0" applyNumberFormat="1" applyFont="1" applyFill="1"/>
    <xf numFmtId="10" fontId="12" fillId="0" borderId="0" xfId="3" applyNumberFormat="1" applyFont="1" applyFill="1"/>
    <xf numFmtId="0" fontId="0" fillId="0" borderId="227" xfId="0" applyFill="1" applyBorder="1"/>
    <xf numFmtId="0" fontId="3" fillId="0" borderId="2" xfId="0" applyFont="1" applyFill="1" applyBorder="1"/>
    <xf numFmtId="0" fontId="0" fillId="12" borderId="228" xfId="0" applyFill="1" applyBorder="1"/>
    <xf numFmtId="0" fontId="23" fillId="0" borderId="2" xfId="0" applyFont="1" applyBorder="1"/>
    <xf numFmtId="0" fontId="6" fillId="18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3" fillId="0" borderId="118" xfId="0" applyFont="1" applyFill="1" applyBorder="1" applyAlignment="1">
      <alignment horizontal="left"/>
    </xf>
    <xf numFmtId="0" fontId="3" fillId="12" borderId="119" xfId="0" applyFont="1" applyFill="1" applyBorder="1" applyAlignment="1">
      <alignment horizontal="left"/>
    </xf>
    <xf numFmtId="0" fontId="23" fillId="0" borderId="229" xfId="0" applyFont="1" applyBorder="1"/>
    <xf numFmtId="14" fontId="3" fillId="8" borderId="117" xfId="0" applyNumberFormat="1" applyFont="1" applyFill="1" applyBorder="1" applyAlignment="1">
      <alignment horizontal="right"/>
    </xf>
    <xf numFmtId="14" fontId="5" fillId="8" borderId="118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" xfId="0" applyFill="1" applyBorder="1"/>
    <xf numFmtId="0" fontId="3" fillId="15" borderId="2" xfId="0" applyFont="1" applyFill="1" applyBorder="1" applyAlignment="1">
      <alignment horizontal="left"/>
    </xf>
    <xf numFmtId="0" fontId="0" fillId="15" borderId="2" xfId="0" applyFill="1" applyBorder="1" applyAlignment="1">
      <alignment horizontal="left"/>
    </xf>
    <xf numFmtId="0" fontId="22" fillId="15" borderId="2" xfId="0" applyFont="1" applyFill="1" applyBorder="1" applyAlignment="1">
      <alignment horizontal="left"/>
    </xf>
    <xf numFmtId="0" fontId="3" fillId="15" borderId="230" xfId="0" applyFont="1" applyFill="1" applyBorder="1" applyAlignment="1">
      <alignment horizontal="left"/>
    </xf>
    <xf numFmtId="0" fontId="0" fillId="0" borderId="231" xfId="0" applyFill="1" applyBorder="1"/>
    <xf numFmtId="0" fontId="3" fillId="0" borderId="227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2" xfId="0" applyFill="1" applyBorder="1" applyAlignment="1">
      <alignment vertical="center"/>
    </xf>
    <xf numFmtId="0" fontId="4" fillId="0" borderId="232" xfId="0" applyFont="1" applyFill="1" applyBorder="1" applyAlignment="1">
      <alignment horizontal="left" vertical="center"/>
    </xf>
    <xf numFmtId="0" fontId="0" fillId="0" borderId="233" xfId="0" applyBorder="1"/>
    <xf numFmtId="0" fontId="12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center"/>
    </xf>
    <xf numFmtId="0" fontId="16" fillId="20" borderId="0" xfId="0" applyFont="1" applyFill="1" applyBorder="1"/>
    <xf numFmtId="0" fontId="15" fillId="0" borderId="1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15" fillId="17" borderId="0" xfId="0" applyFont="1" applyFill="1" applyAlignment="1">
      <alignment horizontal="left"/>
    </xf>
    <xf numFmtId="0" fontId="11" fillId="17" borderId="0" xfId="0" applyFont="1" applyFill="1"/>
    <xf numFmtId="0" fontId="49" fillId="17" borderId="0" xfId="0" applyFont="1" applyFill="1"/>
    <xf numFmtId="49" fontId="11" fillId="0" borderId="17" xfId="0" applyNumberFormat="1" applyFont="1" applyBorder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1" fillId="2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164" fontId="11" fillId="0" borderId="98" xfId="0" applyNumberFormat="1" applyFont="1" applyFill="1" applyBorder="1"/>
    <xf numFmtId="0" fontId="49" fillId="0" borderId="0" xfId="0" applyFont="1"/>
    <xf numFmtId="0" fontId="11" fillId="0" borderId="0" xfId="0" applyFont="1" applyBorder="1"/>
    <xf numFmtId="164" fontId="11" fillId="0" borderId="0" xfId="0" applyNumberFormat="1" applyFont="1"/>
    <xf numFmtId="0" fontId="15" fillId="0" borderId="0" xfId="0" applyFont="1" applyAlignment="1">
      <alignment horizontal="left" indent="1"/>
    </xf>
    <xf numFmtId="164" fontId="49" fillId="0" borderId="0" xfId="0" applyNumberFormat="1" applyFont="1"/>
    <xf numFmtId="164" fontId="49" fillId="0" borderId="0" xfId="2" applyNumberFormat="1" applyFont="1"/>
    <xf numFmtId="164" fontId="11" fillId="20" borderId="234" xfId="2" applyNumberFormat="1" applyFont="1" applyFill="1" applyBorder="1"/>
    <xf numFmtId="164" fontId="3" fillId="25" borderId="172" xfId="2" applyNumberFormat="1" applyFont="1" applyFill="1" applyBorder="1"/>
    <xf numFmtId="49" fontId="4" fillId="0" borderId="0" xfId="0" applyNumberFormat="1" applyFont="1" applyFill="1" applyAlignment="1">
      <alignment horizontal="right"/>
    </xf>
    <xf numFmtId="164" fontId="3" fillId="2" borderId="0" xfId="2" applyNumberFormat="1" applyFont="1" applyFill="1"/>
    <xf numFmtId="0" fontId="4" fillId="8" borderId="15" xfId="8" applyFont="1" applyFill="1" applyBorder="1" applyAlignment="1">
      <alignment horizontal="center"/>
    </xf>
    <xf numFmtId="0" fontId="4" fillId="8" borderId="98" xfId="8" applyFont="1" applyFill="1" applyBorder="1" applyAlignment="1">
      <alignment horizontal="center"/>
    </xf>
    <xf numFmtId="164" fontId="3" fillId="23" borderId="236" xfId="8" applyNumberFormat="1" applyFont="1" applyFill="1" applyBorder="1"/>
    <xf numFmtId="0" fontId="3" fillId="0" borderId="237" xfId="8" applyFill="1" applyBorder="1"/>
    <xf numFmtId="42" fontId="3" fillId="0" borderId="237" xfId="9" applyNumberFormat="1" applyFill="1" applyBorder="1"/>
    <xf numFmtId="42" fontId="3" fillId="6" borderId="237" xfId="9" applyNumberFormat="1" applyFill="1" applyBorder="1"/>
    <xf numFmtId="42" fontId="3" fillId="5" borderId="237" xfId="9" applyNumberFormat="1" applyFill="1" applyBorder="1"/>
    <xf numFmtId="164" fontId="3" fillId="0" borderId="237" xfId="8" applyNumberFormat="1" applyFill="1" applyBorder="1"/>
    <xf numFmtId="164" fontId="3" fillId="2" borderId="238" xfId="8" applyNumberFormat="1" applyFill="1" applyBorder="1"/>
    <xf numFmtId="164" fontId="3" fillId="23" borderId="0" xfId="8" applyNumberFormat="1" applyFont="1" applyFill="1" applyBorder="1"/>
    <xf numFmtId="0" fontId="4" fillId="8" borderId="239" xfId="8" applyFont="1" applyFill="1" applyBorder="1" applyAlignment="1">
      <alignment horizontal="center"/>
    </xf>
    <xf numFmtId="164" fontId="3" fillId="23" borderId="239" xfId="8" applyNumberFormat="1" applyFont="1" applyFill="1" applyBorder="1"/>
    <xf numFmtId="0" fontId="3" fillId="0" borderId="240" xfId="8" applyFill="1" applyBorder="1"/>
    <xf numFmtId="42" fontId="3" fillId="0" borderId="240" xfId="9" applyNumberFormat="1" applyFill="1" applyBorder="1"/>
    <xf numFmtId="42" fontId="3" fillId="6" borderId="240" xfId="9" applyNumberFormat="1" applyFill="1" applyBorder="1"/>
    <xf numFmtId="42" fontId="3" fillId="5" borderId="240" xfId="9" applyNumberFormat="1" applyFill="1" applyBorder="1"/>
    <xf numFmtId="164" fontId="3" fillId="0" borderId="240" xfId="8" applyNumberFormat="1" applyFill="1" applyBorder="1"/>
    <xf numFmtId="164" fontId="3" fillId="2" borderId="241" xfId="8" applyNumberFormat="1" applyFill="1" applyBorder="1"/>
    <xf numFmtId="164" fontId="3" fillId="0" borderId="240" xfId="17" applyNumberFormat="1" applyFont="1" applyFill="1" applyBorder="1"/>
    <xf numFmtId="42" fontId="3" fillId="0" borderId="240" xfId="9" applyNumberFormat="1" applyFont="1" applyFill="1" applyBorder="1"/>
    <xf numFmtId="164" fontId="3" fillId="23" borderId="242" xfId="8" applyNumberFormat="1" applyFont="1" applyFill="1" applyBorder="1"/>
    <xf numFmtId="42" fontId="0" fillId="0" borderId="240" xfId="9" applyNumberFormat="1" applyFont="1" applyFill="1" applyBorder="1"/>
    <xf numFmtId="164" fontId="3" fillId="0" borderId="240" xfId="9" applyNumberFormat="1" applyFill="1" applyBorder="1"/>
    <xf numFmtId="164" fontId="3" fillId="23" borderId="243" xfId="8" applyNumberFormat="1" applyFont="1" applyFill="1" applyBorder="1"/>
    <xf numFmtId="0" fontId="3" fillId="0" borderId="244" xfId="8" applyFill="1" applyBorder="1"/>
    <xf numFmtId="42" fontId="3" fillId="0" borderId="244" xfId="9" applyNumberFormat="1" applyFill="1" applyBorder="1"/>
    <xf numFmtId="42" fontId="3" fillId="6" borderId="244" xfId="9" applyNumberFormat="1" applyFill="1" applyBorder="1"/>
    <xf numFmtId="42" fontId="3" fillId="5" borderId="244" xfId="9" applyNumberFormat="1" applyFill="1" applyBorder="1"/>
    <xf numFmtId="164" fontId="3" fillId="0" borderId="245" xfId="8" applyNumberFormat="1" applyFill="1" applyBorder="1"/>
    <xf numFmtId="164" fontId="3" fillId="2" borderId="246" xfId="8" applyNumberFormat="1" applyFill="1" applyBorder="1"/>
    <xf numFmtId="0" fontId="4" fillId="8" borderId="247" xfId="8" applyFont="1" applyFill="1" applyBorder="1" applyAlignment="1">
      <alignment horizontal="center"/>
    </xf>
    <xf numFmtId="0" fontId="4" fillId="8" borderId="248" xfId="8" applyFont="1" applyFill="1" applyBorder="1" applyAlignment="1">
      <alignment horizontal="center"/>
    </xf>
    <xf numFmtId="164" fontId="3" fillId="23" borderId="249" xfId="8" applyNumberFormat="1" applyFont="1" applyFill="1" applyBorder="1"/>
    <xf numFmtId="0" fontId="3" fillId="0" borderId="250" xfId="8" applyFill="1" applyBorder="1"/>
    <xf numFmtId="42" fontId="3" fillId="0" borderId="250" xfId="9" applyNumberFormat="1" applyFill="1" applyBorder="1"/>
    <xf numFmtId="42" fontId="3" fillId="6" borderId="250" xfId="9" applyNumberFormat="1" applyFill="1" applyBorder="1"/>
    <xf numFmtId="42" fontId="3" fillId="5" borderId="250" xfId="9" applyNumberFormat="1" applyFill="1" applyBorder="1"/>
    <xf numFmtId="164" fontId="3" fillId="0" borderId="250" xfId="8" applyNumberFormat="1" applyFill="1" applyBorder="1"/>
    <xf numFmtId="164" fontId="3" fillId="2" borderId="251" xfId="8" applyNumberFormat="1" applyFill="1" applyBorder="1"/>
    <xf numFmtId="164" fontId="3" fillId="7" borderId="235" xfId="8" applyNumberFormat="1" applyFill="1" applyBorder="1"/>
    <xf numFmtId="164" fontId="3" fillId="23" borderId="252" xfId="8" applyNumberFormat="1" applyFont="1" applyFill="1" applyBorder="1"/>
    <xf numFmtId="0" fontId="3" fillId="7" borderId="235" xfId="8" applyFill="1" applyBorder="1"/>
    <xf numFmtId="164" fontId="3" fillId="23" borderId="247" xfId="8" applyNumberFormat="1" applyFont="1" applyFill="1" applyBorder="1"/>
    <xf numFmtId="164" fontId="3" fillId="0" borderId="250" xfId="17" applyNumberFormat="1" applyFont="1" applyFill="1" applyBorder="1"/>
    <xf numFmtId="42" fontId="3" fillId="0" borderId="250" xfId="9" applyNumberFormat="1" applyFont="1" applyFill="1" applyBorder="1"/>
    <xf numFmtId="164" fontId="3" fillId="0" borderId="250" xfId="9" applyNumberFormat="1" applyFill="1" applyBorder="1"/>
    <xf numFmtId="164" fontId="3" fillId="0" borderId="253" xfId="8" applyNumberFormat="1" applyFill="1" applyBorder="1"/>
    <xf numFmtId="164" fontId="3" fillId="2" borderId="248" xfId="8" applyNumberFormat="1" applyFill="1" applyBorder="1"/>
    <xf numFmtId="164" fontId="0" fillId="0" borderId="0" xfId="0" applyNumberFormat="1" applyBorder="1"/>
    <xf numFmtId="164" fontId="12" fillId="0" borderId="0" xfId="0" applyNumberFormat="1" applyFont="1" applyBorder="1"/>
    <xf numFmtId="164" fontId="0" fillId="3" borderId="0" xfId="0" applyNumberFormat="1" applyFill="1" applyBorder="1"/>
    <xf numFmtId="164" fontId="12" fillId="0" borderId="254" xfId="2" applyNumberFormat="1" applyFont="1" applyBorder="1"/>
    <xf numFmtId="164" fontId="12" fillId="0" borderId="255" xfId="2" applyNumberFormat="1" applyFont="1" applyBorder="1"/>
    <xf numFmtId="164" fontId="12" fillId="0" borderId="256" xfId="2" applyNumberFormat="1" applyFont="1" applyBorder="1"/>
    <xf numFmtId="37" fontId="12" fillId="0" borderId="257" xfId="0" applyNumberFormat="1" applyFont="1" applyBorder="1"/>
    <xf numFmtId="164" fontId="12" fillId="0" borderId="170" xfId="2" applyNumberFormat="1" applyFont="1" applyBorder="1"/>
    <xf numFmtId="164" fontId="12" fillId="0" borderId="12" xfId="2" applyNumberFormat="1" applyFont="1" applyBorder="1"/>
    <xf numFmtId="164" fontId="12" fillId="0" borderId="145" xfId="2" applyNumberFormat="1" applyFont="1" applyBorder="1"/>
    <xf numFmtId="164" fontId="12" fillId="0" borderId="258" xfId="2" applyNumberFormat="1" applyFont="1" applyBorder="1"/>
    <xf numFmtId="164" fontId="12" fillId="6" borderId="0" xfId="2" applyNumberFormat="1" applyFont="1" applyFill="1" applyBorder="1"/>
    <xf numFmtId="164" fontId="12" fillId="0" borderId="98" xfId="2" applyNumberFormat="1" applyFont="1" applyBorder="1"/>
    <xf numFmtId="0" fontId="10" fillId="0" borderId="259" xfId="0" applyFont="1" applyBorder="1" applyAlignment="1">
      <alignment horizontal="center"/>
    </xf>
    <xf numFmtId="0" fontId="10" fillId="0" borderId="260" xfId="0" applyFont="1" applyBorder="1" applyAlignment="1">
      <alignment horizontal="center"/>
    </xf>
    <xf numFmtId="0" fontId="10" fillId="0" borderId="261" xfId="0" applyFont="1" applyBorder="1" applyAlignment="1">
      <alignment horizontal="center"/>
    </xf>
    <xf numFmtId="0" fontId="10" fillId="0" borderId="262" xfId="0" applyFont="1" applyBorder="1" applyAlignment="1">
      <alignment horizontal="center"/>
    </xf>
    <xf numFmtId="164" fontId="11" fillId="0" borderId="259" xfId="2" applyNumberFormat="1" applyFont="1" applyBorder="1"/>
    <xf numFmtId="164" fontId="0" fillId="0" borderId="260" xfId="0" applyNumberFormat="1" applyBorder="1"/>
    <xf numFmtId="164" fontId="12" fillId="0" borderId="259" xfId="2" applyNumberFormat="1" applyFont="1" applyBorder="1"/>
    <xf numFmtId="164" fontId="12" fillId="0" borderId="260" xfId="2" applyNumberFormat="1" applyFont="1" applyBorder="1"/>
    <xf numFmtId="164" fontId="13" fillId="0" borderId="259" xfId="2" applyNumberFormat="1" applyFont="1" applyBorder="1"/>
    <xf numFmtId="164" fontId="12" fillId="0" borderId="260" xfId="0" applyNumberFormat="1" applyFont="1" applyBorder="1"/>
    <xf numFmtId="164" fontId="0" fillId="3" borderId="259" xfId="2" applyNumberFormat="1" applyFont="1" applyFill="1" applyBorder="1"/>
    <xf numFmtId="164" fontId="0" fillId="3" borderId="260" xfId="0" applyNumberFormat="1" applyFill="1" applyBorder="1"/>
    <xf numFmtId="0" fontId="0" fillId="0" borderId="259" xfId="0" applyBorder="1"/>
    <xf numFmtId="0" fontId="0" fillId="0" borderId="260" xfId="0" applyBorder="1"/>
    <xf numFmtId="9" fontId="0" fillId="0" borderId="259" xfId="3" applyFont="1" applyBorder="1" applyAlignment="1">
      <alignment horizontal="center"/>
    </xf>
    <xf numFmtId="164" fontId="0" fillId="0" borderId="260" xfId="2" applyNumberFormat="1" applyFont="1" applyBorder="1"/>
    <xf numFmtId="164" fontId="0" fillId="0" borderId="259" xfId="2" applyNumberFormat="1" applyFont="1" applyBorder="1"/>
    <xf numFmtId="43" fontId="12" fillId="4" borderId="259" xfId="2" applyNumberFormat="1" applyFont="1" applyFill="1" applyBorder="1"/>
    <xf numFmtId="164" fontId="12" fillId="4" borderId="260" xfId="2" applyNumberFormat="1" applyFont="1" applyFill="1" applyBorder="1"/>
    <xf numFmtId="3" fontId="12" fillId="0" borderId="259" xfId="2" applyNumberFormat="1" applyFont="1" applyBorder="1"/>
    <xf numFmtId="3" fontId="12" fillId="0" borderId="260" xfId="2" applyNumberFormat="1" applyFont="1" applyBorder="1"/>
    <xf numFmtId="164" fontId="12" fillId="0" borderId="263" xfId="2" applyNumberFormat="1" applyFont="1" applyBorder="1"/>
    <xf numFmtId="164" fontId="12" fillId="0" borderId="264" xfId="2" applyNumberFormat="1" applyFont="1" applyBorder="1"/>
    <xf numFmtId="44" fontId="12" fillId="0" borderId="259" xfId="2" applyFont="1" applyBorder="1"/>
    <xf numFmtId="0" fontId="12" fillId="0" borderId="260" xfId="0" applyFont="1" applyBorder="1"/>
    <xf numFmtId="0" fontId="12" fillId="4" borderId="265" xfId="0" applyFont="1" applyFill="1" applyBorder="1"/>
    <xf numFmtId="0" fontId="12" fillId="0" borderId="259" xfId="0" applyFont="1" applyBorder="1"/>
    <xf numFmtId="164" fontId="12" fillId="0" borderId="266" xfId="2" applyNumberFormat="1" applyFont="1" applyBorder="1"/>
    <xf numFmtId="164" fontId="48" fillId="0" borderId="259" xfId="2" applyNumberFormat="1" applyFont="1" applyBorder="1"/>
    <xf numFmtId="164" fontId="48" fillId="0" borderId="260" xfId="2" applyNumberFormat="1" applyFont="1" applyBorder="1"/>
    <xf numFmtId="164" fontId="12" fillId="5" borderId="259" xfId="2" applyNumberFormat="1" applyFont="1" applyFill="1" applyBorder="1"/>
    <xf numFmtId="164" fontId="12" fillId="5" borderId="260" xfId="2" applyNumberFormat="1" applyFont="1" applyFill="1" applyBorder="1"/>
    <xf numFmtId="37" fontId="12" fillId="0" borderId="259" xfId="0" applyNumberFormat="1" applyFont="1" applyBorder="1"/>
    <xf numFmtId="169" fontId="12" fillId="0" borderId="260" xfId="0" applyNumberFormat="1" applyFont="1" applyBorder="1"/>
    <xf numFmtId="37" fontId="12" fillId="0" borderId="267" xfId="0" applyNumberFormat="1" applyFont="1" applyBorder="1"/>
    <xf numFmtId="164" fontId="12" fillId="0" borderId="265" xfId="2" applyNumberFormat="1" applyFont="1" applyBorder="1"/>
    <xf numFmtId="2" fontId="12" fillId="0" borderId="259" xfId="0" applyNumberFormat="1" applyFont="1" applyBorder="1"/>
    <xf numFmtId="2" fontId="12" fillId="0" borderId="265" xfId="0" applyNumberFormat="1" applyFont="1" applyBorder="1"/>
    <xf numFmtId="2" fontId="12" fillId="0" borderId="268" xfId="0" applyNumberFormat="1" applyFont="1" applyBorder="1"/>
    <xf numFmtId="164" fontId="12" fillId="0" borderId="269" xfId="2" applyNumberFormat="1" applyFont="1" applyBorder="1"/>
    <xf numFmtId="2" fontId="12" fillId="0" borderId="259" xfId="0" applyNumberFormat="1" applyFont="1" applyBorder="1" applyAlignment="1">
      <alignment horizontal="right"/>
    </xf>
    <xf numFmtId="164" fontId="12" fillId="0" borderId="270" xfId="0" applyNumberFormat="1" applyFont="1" applyBorder="1"/>
    <xf numFmtId="164" fontId="12" fillId="0" borderId="271" xfId="2" applyNumberFormat="1" applyFont="1" applyBorder="1"/>
    <xf numFmtId="2" fontId="12" fillId="0" borderId="272" xfId="0" applyNumberFormat="1" applyFont="1" applyBorder="1"/>
    <xf numFmtId="164" fontId="12" fillId="0" borderId="273" xfId="2" applyNumberFormat="1" applyFont="1" applyBorder="1"/>
    <xf numFmtId="164" fontId="12" fillId="0" borderId="274" xfId="2" applyNumberFormat="1" applyFont="1" applyBorder="1"/>
    <xf numFmtId="164" fontId="12" fillId="4" borderId="259" xfId="2" applyNumberFormat="1" applyFont="1" applyFill="1" applyBorder="1"/>
    <xf numFmtId="0" fontId="12" fillId="4" borderId="260" xfId="0" applyFont="1" applyFill="1" applyBorder="1"/>
    <xf numFmtId="164" fontId="12" fillId="0" borderId="259" xfId="2" applyNumberFormat="1" applyFont="1" applyFill="1" applyBorder="1"/>
    <xf numFmtId="0" fontId="12" fillId="0" borderId="260" xfId="0" applyFont="1" applyFill="1" applyBorder="1"/>
    <xf numFmtId="43" fontId="12" fillId="0" borderId="259" xfId="1" applyFont="1" applyBorder="1"/>
    <xf numFmtId="43" fontId="12" fillId="6" borderId="259" xfId="1" applyFont="1" applyFill="1" applyBorder="1"/>
    <xf numFmtId="164" fontId="12" fillId="6" borderId="260" xfId="2" applyNumberFormat="1" applyFont="1" applyFill="1" applyBorder="1"/>
    <xf numFmtId="43" fontId="12" fillId="0" borderId="259" xfId="1" applyFont="1" applyFill="1" applyBorder="1"/>
    <xf numFmtId="164" fontId="12" fillId="0" borderId="260" xfId="2" applyNumberFormat="1" applyFont="1" applyFill="1" applyBorder="1"/>
    <xf numFmtId="164" fontId="12" fillId="0" borderId="261" xfId="0" applyNumberFormat="1" applyFont="1" applyBorder="1"/>
    <xf numFmtId="164" fontId="12" fillId="0" borderId="262" xfId="2" applyNumberFormat="1" applyFont="1" applyBorder="1"/>
    <xf numFmtId="0" fontId="0" fillId="10" borderId="120" xfId="0" applyFill="1" applyBorder="1"/>
    <xf numFmtId="164" fontId="3" fillId="0" borderId="108" xfId="0" applyNumberFormat="1" applyFont="1" applyFill="1" applyBorder="1"/>
    <xf numFmtId="0" fontId="4" fillId="8" borderId="84" xfId="0" applyFont="1" applyFill="1" applyBorder="1" applyAlignment="1">
      <alignment horizontal="center"/>
    </xf>
    <xf numFmtId="0" fontId="19" fillId="8" borderId="86" xfId="0" applyFont="1" applyFill="1" applyBorder="1" applyAlignment="1">
      <alignment horizontal="center"/>
    </xf>
    <xf numFmtId="164" fontId="3" fillId="6" borderId="7" xfId="2" applyNumberFormat="1" applyFont="1" applyFill="1" applyBorder="1"/>
    <xf numFmtId="0" fontId="4" fillId="9" borderId="2" xfId="0" applyFont="1" applyFill="1" applyBorder="1" applyAlignment="1">
      <alignment horizontal="center"/>
    </xf>
    <xf numFmtId="0" fontId="4" fillId="8" borderId="276" xfId="0" applyFont="1" applyFill="1" applyBorder="1" applyAlignment="1">
      <alignment horizontal="center"/>
    </xf>
    <xf numFmtId="0" fontId="19" fillId="8" borderId="277" xfId="0" applyFont="1" applyFill="1" applyBorder="1" applyAlignment="1">
      <alignment horizontal="center"/>
    </xf>
    <xf numFmtId="164" fontId="3" fillId="10" borderId="278" xfId="0" applyNumberFormat="1" applyFont="1" applyFill="1" applyBorder="1"/>
    <xf numFmtId="164" fontId="3" fillId="10" borderId="278" xfId="2" applyNumberFormat="1" applyFont="1" applyFill="1" applyBorder="1"/>
    <xf numFmtId="164" fontId="3" fillId="6" borderId="278" xfId="2" applyNumberFormat="1" applyFont="1" applyFill="1" applyBorder="1"/>
    <xf numFmtId="164" fontId="3" fillId="13" borderId="278" xfId="2" applyNumberFormat="1" applyFont="1" applyFill="1" applyBorder="1"/>
    <xf numFmtId="164" fontId="3" fillId="6" borderId="279" xfId="0" applyNumberFormat="1" applyFont="1" applyFill="1" applyBorder="1"/>
    <xf numFmtId="164" fontId="3" fillId="0" borderId="278" xfId="0" applyNumberFormat="1" applyFont="1" applyFill="1" applyBorder="1"/>
    <xf numFmtId="164" fontId="3" fillId="15" borderId="278" xfId="2" applyNumberFormat="1" applyFont="1" applyFill="1" applyBorder="1"/>
    <xf numFmtId="164" fontId="3" fillId="15" borderId="280" xfId="2" applyNumberFormat="1" applyFont="1" applyFill="1" applyBorder="1"/>
    <xf numFmtId="164" fontId="3" fillId="0" borderId="281" xfId="0" applyNumberFormat="1" applyFont="1" applyFill="1" applyBorder="1"/>
    <xf numFmtId="164" fontId="3" fillId="0" borderId="282" xfId="0" applyNumberFormat="1" applyFont="1" applyFill="1" applyBorder="1"/>
    <xf numFmtId="164" fontId="3" fillId="0" borderId="283" xfId="0" applyNumberFormat="1" applyFont="1" applyFill="1" applyBorder="1"/>
    <xf numFmtId="164" fontId="3" fillId="0" borderId="283" xfId="2" applyNumberFormat="1" applyFont="1" applyFill="1" applyBorder="1"/>
    <xf numFmtId="164" fontId="3" fillId="12" borderId="284" xfId="0" applyNumberFormat="1" applyFont="1" applyFill="1" applyBorder="1"/>
    <xf numFmtId="10" fontId="23" fillId="0" borderId="283" xfId="3" applyNumberFormat="1" applyFont="1" applyBorder="1"/>
    <xf numFmtId="0" fontId="0" fillId="18" borderId="285" xfId="0" applyFill="1" applyBorder="1"/>
    <xf numFmtId="0" fontId="0" fillId="18" borderId="283" xfId="0" applyFill="1" applyBorder="1"/>
    <xf numFmtId="0" fontId="0" fillId="0" borderId="283" xfId="0" applyFill="1" applyBorder="1"/>
    <xf numFmtId="164" fontId="3" fillId="0" borderId="283" xfId="2" applyNumberFormat="1" applyBorder="1"/>
    <xf numFmtId="164" fontId="3" fillId="0" borderId="286" xfId="2" applyNumberFormat="1" applyBorder="1"/>
    <xf numFmtId="164" fontId="3" fillId="12" borderId="287" xfId="2" applyNumberFormat="1" applyFont="1" applyFill="1" applyBorder="1" applyAlignment="1">
      <alignment horizontal="left"/>
    </xf>
    <xf numFmtId="10" fontId="23" fillId="0" borderId="288" xfId="3" applyNumberFormat="1" applyFont="1" applyBorder="1"/>
    <xf numFmtId="164" fontId="3" fillId="10" borderId="7" xfId="0" applyNumberFormat="1" applyFont="1" applyFill="1" applyBorder="1"/>
    <xf numFmtId="164" fontId="3" fillId="10" borderId="7" xfId="2" applyNumberFormat="1" applyFont="1" applyFill="1" applyBorder="1"/>
    <xf numFmtId="164" fontId="3" fillId="13" borderId="7" xfId="2" applyNumberFormat="1" applyFont="1" applyFill="1" applyBorder="1"/>
    <xf numFmtId="164" fontId="3" fillId="10" borderId="85" xfId="0" applyNumberFormat="1" applyFont="1" applyFill="1" applyBorder="1"/>
    <xf numFmtId="164" fontId="3" fillId="0" borderId="7" xfId="0" applyNumberFormat="1" applyFont="1" applyFill="1" applyBorder="1"/>
    <xf numFmtId="164" fontId="3" fillId="24" borderId="7" xfId="2" applyNumberFormat="1" applyFont="1" applyFill="1" applyBorder="1"/>
    <xf numFmtId="164" fontId="3" fillId="15" borderId="196" xfId="2" applyNumberFormat="1" applyFont="1" applyFill="1" applyBorder="1"/>
    <xf numFmtId="164" fontId="3" fillId="0" borderId="275" xfId="0" applyNumberFormat="1" applyFont="1" applyFill="1" applyBorder="1"/>
    <xf numFmtId="0" fontId="4" fillId="8" borderId="289" xfId="0" applyFont="1" applyFill="1" applyBorder="1" applyAlignment="1">
      <alignment horizontal="center"/>
    </xf>
    <xf numFmtId="0" fontId="19" fillId="8" borderId="290" xfId="0" applyFont="1" applyFill="1" applyBorder="1" applyAlignment="1">
      <alignment horizontal="center"/>
    </xf>
    <xf numFmtId="164" fontId="3" fillId="10" borderId="285" xfId="0" applyNumberFormat="1" applyFont="1" applyFill="1" applyBorder="1"/>
    <xf numFmtId="164" fontId="3" fillId="10" borderId="285" xfId="2" applyNumberFormat="1" applyFont="1" applyFill="1" applyBorder="1"/>
    <xf numFmtId="164" fontId="3" fillId="6" borderId="285" xfId="2" applyNumberFormat="1" applyFont="1" applyFill="1" applyBorder="1"/>
    <xf numFmtId="164" fontId="3" fillId="13" borderId="285" xfId="2" applyNumberFormat="1" applyFont="1" applyFill="1" applyBorder="1"/>
    <xf numFmtId="164" fontId="3" fillId="6" borderId="291" xfId="0" applyNumberFormat="1" applyFont="1" applyFill="1" applyBorder="1"/>
    <xf numFmtId="164" fontId="3" fillId="0" borderId="285" xfId="0" applyNumberFormat="1" applyFont="1" applyFill="1" applyBorder="1"/>
    <xf numFmtId="164" fontId="3" fillId="15" borderId="285" xfId="2" applyNumberFormat="1" applyFont="1" applyFill="1" applyBorder="1"/>
    <xf numFmtId="164" fontId="3" fillId="15" borderId="292" xfId="2" applyNumberFormat="1" applyFont="1" applyFill="1" applyBorder="1"/>
    <xf numFmtId="164" fontId="3" fillId="0" borderId="293" xfId="0" applyNumberFormat="1" applyFont="1" applyFill="1" applyBorder="1"/>
    <xf numFmtId="0" fontId="4" fillId="8" borderId="294" xfId="0" applyFont="1" applyFill="1" applyBorder="1" applyAlignment="1">
      <alignment horizontal="center"/>
    </xf>
    <xf numFmtId="0" fontId="19" fillId="8" borderId="295" xfId="0" applyFont="1" applyFill="1" applyBorder="1" applyAlignment="1">
      <alignment horizontal="center"/>
    </xf>
    <xf numFmtId="164" fontId="3" fillId="10" borderId="296" xfId="0" applyNumberFormat="1" applyFont="1" applyFill="1" applyBorder="1"/>
    <xf numFmtId="164" fontId="3" fillId="10" borderId="296" xfId="2" applyNumberFormat="1" applyFont="1" applyFill="1" applyBorder="1"/>
    <xf numFmtId="164" fontId="3" fillId="6" borderId="296" xfId="2" applyNumberFormat="1" applyFont="1" applyFill="1" applyBorder="1"/>
    <xf numFmtId="164" fontId="3" fillId="13" borderId="296" xfId="2" applyNumberFormat="1" applyFont="1" applyFill="1" applyBorder="1"/>
    <xf numFmtId="164" fontId="3" fillId="6" borderId="297" xfId="0" applyNumberFormat="1" applyFont="1" applyFill="1" applyBorder="1"/>
    <xf numFmtId="164" fontId="3" fillId="0" borderId="296" xfId="0" applyNumberFormat="1" applyFont="1" applyFill="1" applyBorder="1"/>
    <xf numFmtId="164" fontId="3" fillId="15" borderId="296" xfId="2" applyNumberFormat="1" applyFont="1" applyFill="1" applyBorder="1"/>
    <xf numFmtId="164" fontId="3" fillId="15" borderId="298" xfId="2" applyNumberFormat="1" applyFont="1" applyFill="1" applyBorder="1"/>
    <xf numFmtId="164" fontId="3" fillId="0" borderId="300" xfId="0" applyNumberFormat="1" applyFont="1" applyFill="1" applyBorder="1"/>
    <xf numFmtId="164" fontId="3" fillId="0" borderId="7" xfId="2" applyNumberFormat="1" applyFont="1" applyFill="1" applyBorder="1"/>
    <xf numFmtId="164" fontId="3" fillId="12" borderId="275" xfId="0" applyNumberFormat="1" applyFont="1" applyFill="1" applyBorder="1"/>
    <xf numFmtId="10" fontId="23" fillId="0" borderId="7" xfId="3" applyNumberFormat="1" applyFont="1" applyBorder="1"/>
    <xf numFmtId="0" fontId="0" fillId="0" borderId="7" xfId="0" applyFill="1" applyBorder="1"/>
    <xf numFmtId="164" fontId="3" fillId="0" borderId="7" xfId="2" applyNumberFormat="1" applyBorder="1"/>
    <xf numFmtId="164" fontId="3" fillId="0" borderId="196" xfId="2" applyNumberFormat="1" applyBorder="1"/>
    <xf numFmtId="164" fontId="3" fillId="12" borderId="141" xfId="2" applyNumberFormat="1" applyFont="1" applyFill="1" applyBorder="1" applyAlignment="1">
      <alignment horizontal="left"/>
    </xf>
    <xf numFmtId="10" fontId="23" fillId="0" borderId="301" xfId="3" applyNumberFormat="1" applyFont="1" applyBorder="1"/>
    <xf numFmtId="164" fontId="3" fillId="0" borderId="302" xfId="0" applyNumberFormat="1" applyFont="1" applyFill="1" applyBorder="1"/>
    <xf numFmtId="164" fontId="3" fillId="0" borderId="285" xfId="2" applyNumberFormat="1" applyFont="1" applyFill="1" applyBorder="1"/>
    <xf numFmtId="164" fontId="3" fillId="12" borderId="293" xfId="0" applyNumberFormat="1" applyFont="1" applyFill="1" applyBorder="1"/>
    <xf numFmtId="10" fontId="23" fillId="0" borderId="285" xfId="3" applyNumberFormat="1" applyFont="1" applyBorder="1"/>
    <xf numFmtId="0" fontId="0" fillId="0" borderId="285" xfId="0" applyFill="1" applyBorder="1"/>
    <xf numFmtId="164" fontId="3" fillId="0" borderId="285" xfId="2" applyNumberFormat="1" applyBorder="1"/>
    <xf numFmtId="164" fontId="3" fillId="0" borderId="292" xfId="2" applyNumberFormat="1" applyBorder="1"/>
    <xf numFmtId="164" fontId="3" fillId="12" borderId="303" xfId="2" applyNumberFormat="1" applyFont="1" applyFill="1" applyBorder="1" applyAlignment="1">
      <alignment horizontal="left"/>
    </xf>
    <xf numFmtId="10" fontId="23" fillId="0" borderId="304" xfId="3" applyNumberFormat="1" applyFont="1" applyBorder="1"/>
    <xf numFmtId="164" fontId="3" fillId="0" borderId="305" xfId="0" applyNumberFormat="1" applyFont="1" applyFill="1" applyBorder="1"/>
    <xf numFmtId="164" fontId="3" fillId="0" borderId="296" xfId="2" applyNumberFormat="1" applyFont="1" applyFill="1" applyBorder="1"/>
    <xf numFmtId="164" fontId="3" fillId="12" borderId="306" xfId="0" applyNumberFormat="1" applyFont="1" applyFill="1" applyBorder="1"/>
    <xf numFmtId="10" fontId="23" fillId="0" borderId="296" xfId="3" applyNumberFormat="1" applyFont="1" applyBorder="1"/>
    <xf numFmtId="0" fontId="0" fillId="18" borderId="296" xfId="0" applyFill="1" applyBorder="1"/>
    <xf numFmtId="0" fontId="0" fillId="0" borderId="296" xfId="0" applyFill="1" applyBorder="1"/>
    <xf numFmtId="164" fontId="3" fillId="0" borderId="296" xfId="2" applyNumberFormat="1" applyBorder="1"/>
    <xf numFmtId="164" fontId="3" fillId="0" borderId="298" xfId="2" applyNumberFormat="1" applyBorder="1"/>
    <xf numFmtId="164" fontId="3" fillId="12" borderId="307" xfId="2" applyNumberFormat="1" applyFont="1" applyFill="1" applyBorder="1" applyAlignment="1">
      <alignment horizontal="left"/>
    </xf>
    <xf numFmtId="10" fontId="23" fillId="0" borderId="308" xfId="3" applyNumberFormat="1" applyFont="1" applyBorder="1"/>
    <xf numFmtId="164" fontId="3" fillId="0" borderId="309" xfId="0" applyNumberFormat="1" applyFont="1" applyFill="1" applyBorder="1"/>
    <xf numFmtId="164" fontId="3" fillId="0" borderId="306" xfId="0" applyNumberFormat="1" applyFont="1" applyFill="1" applyBorder="1"/>
    <xf numFmtId="164" fontId="3" fillId="0" borderId="310" xfId="2" applyNumberFormat="1" applyFont="1" applyFill="1" applyBorder="1"/>
    <xf numFmtId="164" fontId="3" fillId="0" borderId="311" xfId="2" applyNumberFormat="1" applyFont="1" applyFill="1" applyBorder="1"/>
    <xf numFmtId="164" fontId="0" fillId="0" borderId="311" xfId="0" applyNumberFormat="1" applyFill="1" applyBorder="1" applyAlignment="1">
      <alignment vertical="center"/>
    </xf>
    <xf numFmtId="164" fontId="0" fillId="12" borderId="312" xfId="0" applyNumberFormat="1" applyFill="1" applyBorder="1" applyAlignment="1">
      <alignment horizontal="center" vertical="center"/>
    </xf>
    <xf numFmtId="0" fontId="0" fillId="18" borderId="311" xfId="0" applyFill="1" applyBorder="1"/>
    <xf numFmtId="164" fontId="6" fillId="0" borderId="313" xfId="0" applyNumberFormat="1" applyFont="1" applyFill="1" applyBorder="1" applyAlignment="1">
      <alignment horizontal="center" vertical="center"/>
    </xf>
    <xf numFmtId="164" fontId="6" fillId="0" borderId="314" xfId="0" applyNumberFormat="1" applyFont="1" applyBorder="1"/>
    <xf numFmtId="164" fontId="6" fillId="0" borderId="311" xfId="0" applyNumberFormat="1" applyFont="1" applyBorder="1"/>
    <xf numFmtId="164" fontId="6" fillId="0" borderId="315" xfId="2" applyNumberFormat="1" applyFont="1" applyBorder="1"/>
    <xf numFmtId="0" fontId="4" fillId="8" borderId="316" xfId="0" applyFont="1" applyFill="1" applyBorder="1" applyAlignment="1">
      <alignment horizontal="center"/>
    </xf>
    <xf numFmtId="0" fontId="19" fillId="8" borderId="314" xfId="0" applyFont="1" applyFill="1" applyBorder="1" applyAlignment="1">
      <alignment horizontal="center"/>
    </xf>
    <xf numFmtId="164" fontId="3" fillId="14" borderId="311" xfId="2" applyNumberFormat="1" applyFill="1" applyBorder="1"/>
    <xf numFmtId="164" fontId="3" fillId="14" borderId="317" xfId="2" applyNumberFormat="1" applyFill="1" applyBorder="1"/>
    <xf numFmtId="164" fontId="3" fillId="0" borderId="311" xfId="2" applyNumberFormat="1" applyFill="1" applyBorder="1"/>
    <xf numFmtId="164" fontId="3" fillId="16" borderId="311" xfId="2" applyNumberFormat="1" applyFill="1" applyBorder="1"/>
    <xf numFmtId="164" fontId="3" fillId="16" borderId="314" xfId="2" applyNumberFormat="1" applyFill="1" applyBorder="1"/>
    <xf numFmtId="164" fontId="3" fillId="16" borderId="318" xfId="2" applyNumberFormat="1" applyFont="1" applyFill="1" applyBorder="1"/>
    <xf numFmtId="164" fontId="3" fillId="0" borderId="319" xfId="2" applyNumberFormat="1" applyFont="1" applyFill="1" applyBorder="1"/>
    <xf numFmtId="0" fontId="4" fillId="8" borderId="320" xfId="0" applyFont="1" applyFill="1" applyBorder="1" applyAlignment="1">
      <alignment horizontal="center"/>
    </xf>
    <xf numFmtId="0" fontId="19" fillId="8" borderId="321" xfId="0" applyFont="1" applyFill="1" applyBorder="1" applyAlignment="1">
      <alignment horizontal="center"/>
    </xf>
    <xf numFmtId="164" fontId="3" fillId="14" borderId="322" xfId="2" applyNumberFormat="1" applyFill="1" applyBorder="1"/>
    <xf numFmtId="164" fontId="3" fillId="14" borderId="323" xfId="2" applyNumberFormat="1" applyFill="1" applyBorder="1"/>
    <xf numFmtId="164" fontId="3" fillId="0" borderId="322" xfId="2" applyNumberFormat="1" applyFill="1" applyBorder="1"/>
    <xf numFmtId="164" fontId="3" fillId="16" borderId="322" xfId="2" applyNumberFormat="1" applyFill="1" applyBorder="1"/>
    <xf numFmtId="164" fontId="3" fillId="16" borderId="324" xfId="2" applyNumberFormat="1" applyFont="1" applyFill="1" applyBorder="1"/>
    <xf numFmtId="164" fontId="3" fillId="0" borderId="325" xfId="2" applyNumberFormat="1" applyFont="1" applyFill="1" applyBorder="1"/>
    <xf numFmtId="164" fontId="3" fillId="0" borderId="326" xfId="2" applyNumberFormat="1" applyFont="1" applyFill="1" applyBorder="1"/>
    <xf numFmtId="164" fontId="3" fillId="0" borderId="322" xfId="2" applyNumberFormat="1" applyFont="1" applyFill="1" applyBorder="1"/>
    <xf numFmtId="164" fontId="0" fillId="0" borderId="322" xfId="0" applyNumberFormat="1" applyFill="1" applyBorder="1" applyAlignment="1">
      <alignment vertical="center"/>
    </xf>
    <xf numFmtId="164" fontId="0" fillId="12" borderId="327" xfId="0" applyNumberFormat="1" applyFill="1" applyBorder="1" applyAlignment="1">
      <alignment horizontal="center" vertical="center"/>
    </xf>
    <xf numFmtId="0" fontId="0" fillId="18" borderId="322" xfId="0" applyFill="1" applyBorder="1"/>
    <xf numFmtId="164" fontId="6" fillId="0" borderId="328" xfId="0" applyNumberFormat="1" applyFont="1" applyFill="1" applyBorder="1" applyAlignment="1">
      <alignment horizontal="center" vertical="center"/>
    </xf>
    <xf numFmtId="164" fontId="6" fillId="0" borderId="321" xfId="0" applyNumberFormat="1" applyFont="1" applyBorder="1"/>
    <xf numFmtId="164" fontId="6" fillId="0" borderId="322" xfId="0" applyNumberFormat="1" applyFont="1" applyBorder="1"/>
    <xf numFmtId="164" fontId="6" fillId="0" borderId="329" xfId="2" applyNumberFormat="1" applyFont="1" applyBorder="1"/>
    <xf numFmtId="164" fontId="3" fillId="14" borderId="285" xfId="2" applyNumberFormat="1" applyFill="1" applyBorder="1"/>
    <xf numFmtId="164" fontId="3" fillId="14" borderId="330" xfId="2" applyNumberFormat="1" applyFill="1" applyBorder="1"/>
    <xf numFmtId="164" fontId="3" fillId="0" borderId="285" xfId="2" applyNumberFormat="1" applyFill="1" applyBorder="1"/>
    <xf numFmtId="164" fontId="3" fillId="16" borderId="285" xfId="2" applyNumberFormat="1" applyFill="1" applyBorder="1"/>
    <xf numFmtId="164" fontId="3" fillId="16" borderId="290" xfId="2" applyNumberFormat="1" applyFill="1" applyBorder="1"/>
    <xf numFmtId="164" fontId="3" fillId="16" borderId="292" xfId="2" applyNumberFormat="1" applyFont="1" applyFill="1" applyBorder="1"/>
    <xf numFmtId="164" fontId="3" fillId="0" borderId="303" xfId="2" applyNumberFormat="1" applyFont="1" applyFill="1" applyBorder="1"/>
    <xf numFmtId="164" fontId="3" fillId="0" borderId="302" xfId="2" applyNumberFormat="1" applyFont="1" applyFill="1" applyBorder="1"/>
    <xf numFmtId="164" fontId="0" fillId="0" borderId="285" xfId="0" applyNumberFormat="1" applyFill="1" applyBorder="1" applyAlignment="1">
      <alignment vertical="center"/>
    </xf>
    <xf numFmtId="164" fontId="0" fillId="12" borderId="331" xfId="0" applyNumberFormat="1" applyFill="1" applyBorder="1" applyAlignment="1">
      <alignment horizontal="center" vertical="center"/>
    </xf>
    <xf numFmtId="164" fontId="6" fillId="0" borderId="332" xfId="0" applyNumberFormat="1" applyFont="1" applyFill="1" applyBorder="1" applyAlignment="1">
      <alignment horizontal="center" vertical="center"/>
    </xf>
    <xf numFmtId="164" fontId="6" fillId="0" borderId="290" xfId="0" applyNumberFormat="1" applyFont="1" applyBorder="1"/>
    <xf numFmtId="164" fontId="6" fillId="0" borderId="285" xfId="0" applyNumberFormat="1" applyFont="1" applyBorder="1"/>
    <xf numFmtId="164" fontId="6" fillId="0" borderId="333" xfId="2" applyNumberFormat="1" applyFont="1" applyBorder="1"/>
    <xf numFmtId="164" fontId="3" fillId="14" borderId="296" xfId="2" applyNumberFormat="1" applyFill="1" applyBorder="1"/>
    <xf numFmtId="164" fontId="3" fillId="14" borderId="334" xfId="2" applyNumberFormat="1" applyFill="1" applyBorder="1"/>
    <xf numFmtId="164" fontId="3" fillId="0" borderId="296" xfId="2" applyNumberFormat="1" applyFill="1" applyBorder="1"/>
    <xf numFmtId="164" fontId="3" fillId="16" borderId="296" xfId="2" applyNumberFormat="1" applyFill="1" applyBorder="1"/>
    <xf numFmtId="164" fontId="3" fillId="16" borderId="295" xfId="2" applyNumberFormat="1" applyFill="1" applyBorder="1"/>
    <xf numFmtId="164" fontId="3" fillId="16" borderId="298" xfId="2" applyNumberFormat="1" applyFont="1" applyFill="1" applyBorder="1"/>
    <xf numFmtId="164" fontId="3" fillId="0" borderId="307" xfId="2" applyNumberFormat="1" applyFont="1" applyFill="1" applyBorder="1"/>
    <xf numFmtId="164" fontId="3" fillId="0" borderId="335" xfId="2" applyNumberFormat="1" applyFont="1" applyFill="1" applyBorder="1"/>
    <xf numFmtId="164" fontId="3" fillId="0" borderId="305" xfId="2" applyNumberFormat="1" applyFont="1" applyFill="1" applyBorder="1"/>
    <xf numFmtId="164" fontId="0" fillId="0" borderId="296" xfId="0" applyNumberFormat="1" applyFill="1" applyBorder="1" applyAlignment="1">
      <alignment vertical="center"/>
    </xf>
    <xf numFmtId="164" fontId="0" fillId="12" borderId="336" xfId="0" applyNumberFormat="1" applyFill="1" applyBorder="1" applyAlignment="1">
      <alignment horizontal="center" vertical="center"/>
    </xf>
    <xf numFmtId="164" fontId="6" fillId="0" borderId="337" xfId="0" applyNumberFormat="1" applyFont="1" applyFill="1" applyBorder="1" applyAlignment="1">
      <alignment horizontal="center" vertical="center"/>
    </xf>
    <xf numFmtId="164" fontId="6" fillId="0" borderId="295" xfId="0" applyNumberFormat="1" applyFont="1" applyBorder="1"/>
    <xf numFmtId="164" fontId="6" fillId="0" borderId="296" xfId="0" applyNumberFormat="1" applyFont="1" applyBorder="1"/>
    <xf numFmtId="164" fontId="6" fillId="0" borderId="299" xfId="2" applyNumberFormat="1" applyFont="1" applyBorder="1"/>
    <xf numFmtId="49" fontId="11" fillId="0" borderId="0" xfId="0" applyNumberFormat="1" applyFont="1" applyBorder="1" applyAlignment="1">
      <alignment horizontal="center"/>
    </xf>
    <xf numFmtId="0" fontId="15" fillId="2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indent="1"/>
    </xf>
    <xf numFmtId="164" fontId="11" fillId="0" borderId="0" xfId="2" applyNumberFormat="1" applyFont="1"/>
    <xf numFmtId="10" fontId="0" fillId="0" borderId="0" xfId="0" applyNumberFormat="1"/>
    <xf numFmtId="9" fontId="0" fillId="0" borderId="0" xfId="0" applyNumberFormat="1"/>
    <xf numFmtId="0" fontId="52" fillId="0" borderId="0" xfId="0" applyFont="1"/>
    <xf numFmtId="0" fontId="3" fillId="0" borderId="0" xfId="0" applyFont="1" applyFill="1" applyAlignment="1">
      <alignment horizontal="center"/>
    </xf>
    <xf numFmtId="9" fontId="29" fillId="0" borderId="0" xfId="3" applyFont="1" applyBorder="1"/>
    <xf numFmtId="9" fontId="12" fillId="0" borderId="0" xfId="3" applyFont="1" applyBorder="1"/>
    <xf numFmtId="0" fontId="11" fillId="0" borderId="0" xfId="0" applyFont="1" applyBorder="1" applyAlignment="1">
      <alignment horizontal="left" indent="1"/>
    </xf>
    <xf numFmtId="44" fontId="0" fillId="0" borderId="0" xfId="0" applyNumberFormat="1"/>
    <xf numFmtId="165" fontId="13" fillId="0" borderId="3" xfId="1" applyNumberFormat="1" applyFont="1" applyBorder="1"/>
    <xf numFmtId="165" fontId="13" fillId="0" borderId="133" xfId="1" applyNumberFormat="1" applyFont="1" applyBorder="1"/>
    <xf numFmtId="165" fontId="13" fillId="0" borderId="2" xfId="1" applyNumberFormat="1" applyFont="1" applyBorder="1"/>
    <xf numFmtId="164" fontId="53" fillId="0" borderId="0" xfId="0" applyNumberFormat="1" applyFont="1"/>
    <xf numFmtId="0" fontId="3" fillId="0" borderId="0" xfId="0" applyFont="1" applyAlignment="1">
      <alignment horizontal="right"/>
    </xf>
    <xf numFmtId="165" fontId="13" fillId="0" borderId="260" xfId="1" applyNumberFormat="1" applyFont="1" applyBorder="1"/>
    <xf numFmtId="9" fontId="0" fillId="0" borderId="3" xfId="3" applyNumberFormat="1" applyFont="1" applyBorder="1"/>
    <xf numFmtId="9" fontId="0" fillId="0" borderId="133" xfId="0" applyNumberFormat="1" applyBorder="1"/>
    <xf numFmtId="166" fontId="0" fillId="0" borderId="0" xfId="3" applyNumberFormat="1" applyFont="1" applyBorder="1"/>
    <xf numFmtId="0" fontId="11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166" fontId="0" fillId="0" borderId="0" xfId="3" applyNumberFormat="1" applyFont="1"/>
    <xf numFmtId="10" fontId="0" fillId="0" borderId="0" xfId="3" applyNumberFormat="1" applyFont="1"/>
    <xf numFmtId="168" fontId="0" fillId="0" borderId="0" xfId="0" applyNumberFormat="1"/>
    <xf numFmtId="10" fontId="52" fillId="0" borderId="0" xfId="3" applyNumberFormat="1" applyFont="1"/>
    <xf numFmtId="168" fontId="52" fillId="0" borderId="0" xfId="3" applyNumberFormat="1" applyFont="1"/>
    <xf numFmtId="168" fontId="8" fillId="0" borderId="0" xfId="0" applyNumberFormat="1" applyFont="1" applyAlignment="1">
      <alignment vertical="top"/>
    </xf>
    <xf numFmtId="10" fontId="8" fillId="0" borderId="0" xfId="0" applyNumberFormat="1" applyFont="1" applyAlignment="1">
      <alignment vertical="top"/>
    </xf>
    <xf numFmtId="166" fontId="0" fillId="0" borderId="0" xfId="0" applyNumberFormat="1"/>
    <xf numFmtId="166" fontId="52" fillId="0" borderId="0" xfId="3" applyNumberFormat="1" applyFont="1"/>
    <xf numFmtId="44" fontId="12" fillId="0" borderId="259" xfId="2" applyNumberFormat="1" applyFont="1" applyBorder="1"/>
    <xf numFmtId="10" fontId="52" fillId="0" borderId="0" xfId="3" applyNumberFormat="1" applyFont="1" applyAlignment="1">
      <alignment horizontal="right"/>
    </xf>
    <xf numFmtId="166" fontId="52" fillId="0" borderId="0" xfId="3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8" fillId="0" borderId="0" xfId="0" applyNumberFormat="1" applyFont="1" applyAlignment="1">
      <alignment horizontal="right" vertical="top"/>
    </xf>
    <xf numFmtId="168" fontId="0" fillId="0" borderId="0" xfId="0" applyNumberFormat="1" applyAlignment="1">
      <alignment horizontal="right"/>
    </xf>
    <xf numFmtId="168" fontId="8" fillId="0" borderId="0" xfId="0" applyNumberFormat="1" applyFont="1" applyAlignment="1">
      <alignment horizontal="right" vertical="top"/>
    </xf>
    <xf numFmtId="43" fontId="7" fillId="0" borderId="0" xfId="1" applyFont="1"/>
    <xf numFmtId="164" fontId="12" fillId="0" borderId="7" xfId="0" applyNumberFormat="1" applyFont="1" applyBorder="1"/>
    <xf numFmtId="0" fontId="45" fillId="0" borderId="55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171" fontId="44" fillId="0" borderId="55" xfId="0" applyNumberFormat="1" applyFont="1" applyBorder="1"/>
    <xf numFmtId="171" fontId="44" fillId="0" borderId="56" xfId="0" applyNumberFormat="1" applyFont="1" applyBorder="1"/>
    <xf numFmtId="0" fontId="8" fillId="0" borderId="0" xfId="0" applyFont="1" applyBorder="1"/>
    <xf numFmtId="165" fontId="11" fillId="0" borderId="0" xfId="1" applyNumberFormat="1" applyFont="1"/>
    <xf numFmtId="49" fontId="3" fillId="0" borderId="0" xfId="0" applyNumberFormat="1" applyFont="1" applyAlignment="1">
      <alignment horizontal="right"/>
    </xf>
    <xf numFmtId="164" fontId="3" fillId="6" borderId="338" xfId="2" applyNumberFormat="1" applyFont="1" applyFill="1" applyBorder="1"/>
    <xf numFmtId="165" fontId="11" fillId="0" borderId="0" xfId="1" applyNumberFormat="1" applyFont="1" applyAlignment="1">
      <alignment vertical="top"/>
    </xf>
    <xf numFmtId="0" fontId="49" fillId="0" borderId="0" xfId="0" applyFont="1" applyAlignment="1">
      <alignment horizontal="right"/>
    </xf>
    <xf numFmtId="164" fontId="49" fillId="0" borderId="109" xfId="2" applyNumberFormat="1" applyFont="1" applyBorder="1"/>
    <xf numFmtId="0" fontId="11" fillId="0" borderId="0" xfId="0" applyFont="1" applyAlignment="1">
      <alignment horizontal="right"/>
    </xf>
    <xf numFmtId="0" fontId="49" fillId="0" borderId="339" xfId="0" applyFont="1" applyBorder="1" applyAlignment="1">
      <alignment horizontal="center"/>
    </xf>
    <xf numFmtId="0" fontId="11" fillId="20" borderId="234" xfId="0" applyFont="1" applyFill="1" applyBorder="1"/>
    <xf numFmtId="164" fontId="11" fillId="0" borderId="234" xfId="2" applyNumberFormat="1" applyFont="1" applyFill="1" applyBorder="1"/>
    <xf numFmtId="164" fontId="11" fillId="0" borderId="234" xfId="0" applyNumberFormat="1" applyFont="1" applyFill="1" applyBorder="1"/>
    <xf numFmtId="164" fontId="11" fillId="0" borderId="340" xfId="0" applyNumberFormat="1" applyFont="1" applyFill="1" applyBorder="1"/>
    <xf numFmtId="0" fontId="11" fillId="0" borderId="234" xfId="0" applyFont="1" applyBorder="1"/>
    <xf numFmtId="0" fontId="11" fillId="17" borderId="234" xfId="0" applyFont="1" applyFill="1" applyBorder="1"/>
    <xf numFmtId="164" fontId="11" fillId="0" borderId="341" xfId="0" applyNumberFormat="1" applyFont="1" applyFill="1" applyBorder="1"/>
    <xf numFmtId="164" fontId="49" fillId="0" borderId="234" xfId="2" applyNumberFormat="1" applyFont="1" applyBorder="1"/>
    <xf numFmtId="165" fontId="11" fillId="0" borderId="234" xfId="1" applyNumberFormat="1" applyFont="1" applyBorder="1"/>
    <xf numFmtId="165" fontId="11" fillId="0" borderId="234" xfId="1" applyNumberFormat="1" applyFont="1" applyBorder="1" applyAlignment="1">
      <alignment vertical="top"/>
    </xf>
    <xf numFmtId="164" fontId="49" fillId="0" borderId="234" xfId="0" applyNumberFormat="1" applyFont="1" applyBorder="1"/>
    <xf numFmtId="164" fontId="11" fillId="0" borderId="234" xfId="2" applyNumberFormat="1" applyFont="1" applyBorder="1"/>
    <xf numFmtId="164" fontId="49" fillId="0" borderId="342" xfId="2" applyNumberFormat="1" applyFont="1" applyBorder="1"/>
    <xf numFmtId="164" fontId="4" fillId="0" borderId="98" xfId="2" applyNumberFormat="1" applyFont="1" applyBorder="1" applyAlignment="1">
      <alignment horizontal="center"/>
    </xf>
    <xf numFmtId="164" fontId="3" fillId="25" borderId="0" xfId="2" applyNumberFormat="1" applyFont="1" applyFill="1" applyBorder="1"/>
    <xf numFmtId="164" fontId="4" fillId="0" borderId="339" xfId="2" applyNumberFormat="1" applyFont="1" applyBorder="1" applyAlignment="1">
      <alignment horizontal="center"/>
    </xf>
    <xf numFmtId="164" fontId="0" fillId="0" borderId="234" xfId="2" applyNumberFormat="1" applyFont="1" applyBorder="1"/>
    <xf numFmtId="164" fontId="0" fillId="2" borderId="234" xfId="2" applyNumberFormat="1" applyFont="1" applyFill="1" applyBorder="1"/>
    <xf numFmtId="43" fontId="7" fillId="0" borderId="234" xfId="1" applyFont="1" applyBorder="1"/>
    <xf numFmtId="164" fontId="0" fillId="0" borderId="234" xfId="2" applyNumberFormat="1" applyFont="1" applyFill="1" applyBorder="1"/>
    <xf numFmtId="164" fontId="0" fillId="19" borderId="234" xfId="2" applyNumberFormat="1" applyFont="1" applyFill="1" applyBorder="1"/>
    <xf numFmtId="164" fontId="3" fillId="25" borderId="234" xfId="2" applyNumberFormat="1" applyFont="1" applyFill="1" applyBorder="1"/>
    <xf numFmtId="164" fontId="3" fillId="2" borderId="234" xfId="2" applyNumberFormat="1" applyFont="1" applyFill="1" applyBorder="1"/>
    <xf numFmtId="164" fontId="0" fillId="0" borderId="344" xfId="2" applyNumberFormat="1" applyFont="1" applyBorder="1"/>
    <xf numFmtId="164" fontId="26" fillId="2" borderId="234" xfId="2" applyNumberFormat="1" applyFont="1" applyFill="1" applyBorder="1"/>
    <xf numFmtId="164" fontId="0" fillId="0" borderId="234" xfId="0" applyNumberFormat="1" applyBorder="1"/>
    <xf numFmtId="0" fontId="0" fillId="0" borderId="343" xfId="0" applyBorder="1"/>
    <xf numFmtId="164" fontId="12" fillId="0" borderId="254" xfId="2" applyNumberFormat="1" applyFont="1" applyFill="1" applyBorder="1"/>
    <xf numFmtId="3" fontId="12" fillId="0" borderId="259" xfId="2" applyNumberFormat="1" applyFont="1" applyFill="1" applyBorder="1"/>
    <xf numFmtId="164" fontId="12" fillId="0" borderId="263" xfId="2" applyNumberFormat="1" applyFont="1" applyFill="1" applyBorder="1"/>
    <xf numFmtId="165" fontId="13" fillId="0" borderId="0" xfId="1" applyNumberFormat="1" applyFont="1" applyFill="1" applyBorder="1"/>
    <xf numFmtId="165" fontId="13" fillId="0" borderId="260" xfId="1" applyNumberFormat="1" applyFont="1" applyFill="1" applyBorder="1"/>
    <xf numFmtId="164" fontId="12" fillId="0" borderId="255" xfId="2" applyNumberFormat="1" applyFont="1" applyFill="1" applyBorder="1"/>
    <xf numFmtId="164" fontId="12" fillId="0" borderId="264" xfId="2" applyNumberFormat="1" applyFont="1" applyFill="1" applyBorder="1"/>
    <xf numFmtId="42" fontId="12" fillId="0" borderId="254" xfId="2" applyNumberFormat="1" applyFont="1" applyFill="1" applyBorder="1"/>
    <xf numFmtId="42" fontId="12" fillId="0" borderId="259" xfId="2" applyNumberFormat="1" applyFont="1" applyFill="1" applyBorder="1"/>
    <xf numFmtId="42" fontId="12" fillId="0" borderId="263" xfId="2" applyNumberFormat="1" applyFont="1" applyFill="1" applyBorder="1"/>
    <xf numFmtId="164" fontId="12" fillId="0" borderId="260" xfId="0" applyNumberFormat="1" applyFont="1" applyFill="1" applyBorder="1"/>
    <xf numFmtId="164" fontId="0" fillId="0" borderId="0" xfId="0" applyNumberFormat="1" applyFill="1" applyBorder="1"/>
    <xf numFmtId="166" fontId="0" fillId="0" borderId="259" xfId="3" applyNumberFormat="1" applyFont="1" applyFill="1" applyBorder="1"/>
    <xf numFmtId="9" fontId="0" fillId="0" borderId="260" xfId="0" applyNumberFormat="1" applyFill="1" applyBorder="1"/>
    <xf numFmtId="10" fontId="11" fillId="0" borderId="259" xfId="3" applyNumberFormat="1" applyFont="1" applyFill="1" applyBorder="1"/>
    <xf numFmtId="165" fontId="13" fillId="0" borderId="0" xfId="2" applyNumberFormat="1" applyFont="1" applyFill="1" applyBorder="1"/>
    <xf numFmtId="164" fontId="13" fillId="0" borderId="259" xfId="2" applyNumberFormat="1" applyFont="1" applyFill="1" applyBorder="1"/>
    <xf numFmtId="165" fontId="13" fillId="0" borderId="260" xfId="2" applyNumberFormat="1" applyFont="1" applyFill="1" applyBorder="1"/>
    <xf numFmtId="165" fontId="13" fillId="0" borderId="259" xfId="2" applyNumberFormat="1" applyFont="1" applyFill="1" applyBorder="1"/>
    <xf numFmtId="10" fontId="12" fillId="0" borderId="259" xfId="3" applyNumberFormat="1" applyFont="1" applyFill="1" applyBorder="1"/>
    <xf numFmtId="165" fontId="13" fillId="0" borderId="259" xfId="1" applyNumberFormat="1" applyFont="1" applyFill="1" applyBorder="1"/>
    <xf numFmtId="0" fontId="3" fillId="0" borderId="0" xfId="0" applyFont="1" applyFill="1" applyBorder="1"/>
    <xf numFmtId="0" fontId="55" fillId="0" borderId="84" xfId="0" applyFont="1" applyFill="1" applyBorder="1" applyAlignment="1">
      <alignment horizontal="right"/>
    </xf>
    <xf numFmtId="0" fontId="15" fillId="0" borderId="15" xfId="0" applyFont="1" applyFill="1" applyBorder="1"/>
    <xf numFmtId="0" fontId="15" fillId="0" borderId="140" xfId="0" applyFont="1" applyFill="1" applyBorder="1" applyAlignment="1">
      <alignment horizontal="center"/>
    </xf>
    <xf numFmtId="0" fontId="15" fillId="0" borderId="86" xfId="0" applyFont="1" applyFill="1" applyBorder="1"/>
    <xf numFmtId="0" fontId="15" fillId="0" borderId="118" xfId="0" applyFont="1" applyFill="1" applyBorder="1"/>
    <xf numFmtId="0" fontId="15" fillId="0" borderId="101" xfId="0" applyFont="1" applyFill="1" applyBorder="1" applyAlignment="1">
      <alignment horizontal="center"/>
    </xf>
    <xf numFmtId="173" fontId="54" fillId="0" borderId="0" xfId="1" applyNumberFormat="1" applyFont="1"/>
    <xf numFmtId="173" fontId="54" fillId="0" borderId="343" xfId="1" applyNumberFormat="1" applyFont="1" applyBorder="1"/>
    <xf numFmtId="43" fontId="54" fillId="0" borderId="0" xfId="1" applyFont="1"/>
    <xf numFmtId="0" fontId="54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5" fillId="0" borderId="184" xfId="0" applyFont="1" applyBorder="1" applyAlignment="1">
      <alignment horizontal="center"/>
    </xf>
    <xf numFmtId="0" fontId="12" fillId="21" borderId="83" xfId="0" applyFont="1" applyFill="1" applyBorder="1" applyAlignment="1">
      <alignment horizontal="center"/>
    </xf>
    <xf numFmtId="0" fontId="12" fillId="21" borderId="65" xfId="0" applyFont="1" applyFill="1" applyBorder="1" applyAlignment="1">
      <alignment horizontal="center"/>
    </xf>
    <xf numFmtId="0" fontId="12" fillId="21" borderId="81" xfId="0" applyFont="1" applyFill="1" applyBorder="1" applyAlignment="1">
      <alignment horizontal="center"/>
    </xf>
    <xf numFmtId="0" fontId="15" fillId="21" borderId="28" xfId="0" applyFont="1" applyFill="1" applyBorder="1" applyAlignment="1">
      <alignment horizontal="center"/>
    </xf>
    <xf numFmtId="0" fontId="15" fillId="21" borderId="29" xfId="0" applyFont="1" applyFill="1" applyBorder="1" applyAlignment="1">
      <alignment horizontal="center"/>
    </xf>
    <xf numFmtId="0" fontId="15" fillId="21" borderId="30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</cellXfs>
  <cellStyles count="33">
    <cellStyle name="Comma" xfId="1" builtinId="3"/>
    <cellStyle name="Comma 2" xfId="13"/>
    <cellStyle name="Comma 2 2" xfId="28"/>
    <cellStyle name="Comma 2 3" xfId="20"/>
    <cellStyle name="Comma 3" xfId="16"/>
    <cellStyle name="Comma 3 2" xfId="29"/>
    <cellStyle name="Comma 3 3" xfId="21"/>
    <cellStyle name="Comma 4" xfId="19"/>
    <cellStyle name="Currency" xfId="2" builtinId="4"/>
    <cellStyle name="Currency 2" xfId="4"/>
    <cellStyle name="Currency 2 2" xfId="30"/>
    <cellStyle name="Currency 2 3" xfId="23"/>
    <cellStyle name="Currency 3" xfId="6"/>
    <cellStyle name="Currency 3 2" xfId="9"/>
    <cellStyle name="Currency 4" xfId="10"/>
    <cellStyle name="Currency 4 2" xfId="17"/>
    <cellStyle name="Currency 5" xfId="12"/>
    <cellStyle name="Currency 6" xfId="15"/>
    <cellStyle name="Currency 7" xfId="22"/>
    <cellStyle name="Normal" xfId="0" builtinId="0"/>
    <cellStyle name="Normal 2" xfId="5"/>
    <cellStyle name="Normal 2 2" xfId="8"/>
    <cellStyle name="Normal 2 3" xfId="27"/>
    <cellStyle name="Normal 3" xfId="7"/>
    <cellStyle name="Normal 4" xfId="11"/>
    <cellStyle name="Normal 5" xfId="14"/>
    <cellStyle name="Normal 6" xfId="18"/>
    <cellStyle name="Percent" xfId="3" builtinId="5"/>
    <cellStyle name="Percent 2" xfId="25"/>
    <cellStyle name="Percent 2 2" xfId="31"/>
    <cellStyle name="Percent 3" xfId="26"/>
    <cellStyle name="Percent 3 2" xfId="32"/>
    <cellStyle name="Percent 4" xfId="24"/>
  </cellStyles>
  <dxfs count="0"/>
  <tableStyles count="0" defaultTableStyle="TableStyleMedium2" defaultPivotStyle="PivotStyleLight16"/>
  <colors>
    <mruColors>
      <color rgb="FF3333FF"/>
      <color rgb="FFFFFFCC"/>
      <color rgb="FFFFCCFF"/>
      <color rgb="FFFFCC00"/>
      <color rgb="FFCCFFCC"/>
      <color rgb="FFCFF1A1"/>
      <color rgb="FFF8E49A"/>
      <color rgb="FFCCEC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de.ca.gov/fg/aa/ca/" TargetMode="External"/><Relationship Id="rId2" Type="http://schemas.openxmlformats.org/officeDocument/2006/relationships/hyperlink" Target="http://www.cde.ca.gov/fg/aa/ca/" TargetMode="External"/><Relationship Id="rId1" Type="http://schemas.openxmlformats.org/officeDocument/2006/relationships/hyperlink" Target="http://www.cde.ca.gov/fg/aa/ca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cde.ca.gov/fg/aa/ca/" TargetMode="External"/><Relationship Id="rId4" Type="http://schemas.openxmlformats.org/officeDocument/2006/relationships/hyperlink" Target="http://www.cde.ca.gov/fg/aa/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workbookViewId="0">
      <pane ySplit="2" topLeftCell="A8" activePane="bottomLeft" state="frozen"/>
      <selection activeCell="A47" sqref="A47"/>
      <selection pane="bottomLeft" activeCell="A42" sqref="A42"/>
    </sheetView>
  </sheetViews>
  <sheetFormatPr defaultColWidth="9.109375" defaultRowHeight="13.8" x14ac:dyDescent="0.25"/>
  <cols>
    <col min="1" max="1" width="21.88671875" style="37" customWidth="1"/>
    <col min="2" max="2" width="32.88671875" style="37" customWidth="1"/>
    <col min="3" max="7" width="15" style="37" bestFit="1" customWidth="1"/>
    <col min="8" max="10" width="9.109375" style="37"/>
    <col min="11" max="11" width="11" style="37" bestFit="1" customWidth="1"/>
    <col min="12" max="16384" width="9.109375" style="37"/>
  </cols>
  <sheetData>
    <row r="1" spans="1:24" x14ac:dyDescent="0.25">
      <c r="A1" s="237"/>
      <c r="B1" s="286"/>
      <c r="C1" s="287" t="s">
        <v>7</v>
      </c>
      <c r="D1" s="287" t="s">
        <v>304</v>
      </c>
      <c r="E1" s="287" t="s">
        <v>337</v>
      </c>
      <c r="F1" s="287" t="s">
        <v>468</v>
      </c>
      <c r="G1" s="287" t="s">
        <v>613</v>
      </c>
    </row>
    <row r="2" spans="1:24" x14ac:dyDescent="0.25">
      <c r="A2" s="288"/>
      <c r="B2" s="289"/>
      <c r="C2" s="183" t="s">
        <v>0</v>
      </c>
      <c r="D2" s="183" t="s">
        <v>0</v>
      </c>
      <c r="E2" s="183" t="s">
        <v>0</v>
      </c>
      <c r="F2" s="183" t="s">
        <v>0</v>
      </c>
      <c r="G2" s="183" t="s">
        <v>0</v>
      </c>
    </row>
    <row r="3" spans="1:24" x14ac:dyDescent="0.25">
      <c r="A3" s="290" t="s">
        <v>430</v>
      </c>
      <c r="B3" s="184"/>
      <c r="C3" s="182"/>
      <c r="D3" s="182"/>
      <c r="E3" s="182"/>
      <c r="F3" s="182"/>
      <c r="G3" s="182"/>
    </row>
    <row r="4" spans="1:24" x14ac:dyDescent="0.25">
      <c r="A4" s="291" t="s">
        <v>431</v>
      </c>
      <c r="B4" s="185"/>
      <c r="C4" s="186" t="e">
        <f>MYP!#REF!</f>
        <v>#REF!</v>
      </c>
      <c r="D4" s="186">
        <f>MYP!J48</f>
        <v>78644975.935441539</v>
      </c>
      <c r="E4" s="186">
        <f>MYP!K48</f>
        <v>79328415.039552733</v>
      </c>
      <c r="F4" s="186">
        <f>MYP!L48</f>
        <v>76874916.227186233</v>
      </c>
      <c r="G4" s="186">
        <f>MYP!M48</f>
        <v>76826448.390106007</v>
      </c>
    </row>
    <row r="5" spans="1:24" x14ac:dyDescent="0.25">
      <c r="A5" s="292" t="s">
        <v>432</v>
      </c>
      <c r="B5" s="57"/>
      <c r="C5" s="186" t="e">
        <f>MYP!#REF!</f>
        <v>#REF!</v>
      </c>
      <c r="D5" s="186">
        <f>MYP!J49</f>
        <v>75686066.836771816</v>
      </c>
      <c r="E5" s="186">
        <f>MYP!K49</f>
        <v>84361279.5079</v>
      </c>
      <c r="F5" s="186">
        <f>MYP!L49</f>
        <v>77890347.111365736</v>
      </c>
      <c r="G5" s="186">
        <f>MYP!M49</f>
        <v>80148736.657335222</v>
      </c>
    </row>
    <row r="6" spans="1:24" x14ac:dyDescent="0.25">
      <c r="A6" s="292" t="s">
        <v>433</v>
      </c>
      <c r="B6" s="57"/>
      <c r="C6" s="186" t="e">
        <f>MYP!#REF!</f>
        <v>#REF!</v>
      </c>
      <c r="D6" s="186">
        <f>MYP!J50</f>
        <v>2958909.0986697227</v>
      </c>
      <c r="E6" s="186">
        <f>MYP!K50</f>
        <v>-5032864.4683472663</v>
      </c>
      <c r="F6" s="186">
        <f>MYP!L50</f>
        <v>-1015430.8841795027</v>
      </c>
      <c r="G6" s="186">
        <f>MYP!M50</f>
        <v>-3322288.2672292143</v>
      </c>
    </row>
    <row r="7" spans="1:24" x14ac:dyDescent="0.25">
      <c r="A7" s="292" t="s">
        <v>447</v>
      </c>
      <c r="B7" s="57"/>
      <c r="C7" s="186" t="e">
        <f>MYP!#REF!</f>
        <v>#REF!</v>
      </c>
      <c r="D7" s="186">
        <f>MYP!J51</f>
        <v>21415859.938669734</v>
      </c>
      <c r="E7" s="186">
        <f>MYP!K51</f>
        <v>16382995.470322456</v>
      </c>
      <c r="F7" s="186">
        <f>MYP!L51</f>
        <v>15367564.586142953</v>
      </c>
      <c r="G7" s="186">
        <f>MYP!M51</f>
        <v>12045276.318913743</v>
      </c>
    </row>
    <row r="8" spans="1:24" x14ac:dyDescent="0.25">
      <c r="A8" s="292"/>
      <c r="B8" s="57"/>
      <c r="C8" s="186"/>
      <c r="D8" s="186"/>
      <c r="E8" s="186"/>
      <c r="F8" s="186"/>
      <c r="G8" s="186"/>
    </row>
    <row r="9" spans="1:24" x14ac:dyDescent="0.25">
      <c r="A9" s="290" t="s">
        <v>434</v>
      </c>
      <c r="B9" s="184"/>
      <c r="C9" s="186"/>
      <c r="D9" s="186"/>
      <c r="E9" s="186"/>
      <c r="F9" s="186"/>
      <c r="G9" s="186"/>
    </row>
    <row r="10" spans="1:24" x14ac:dyDescent="0.25">
      <c r="A10" s="293" t="s">
        <v>435</v>
      </c>
      <c r="B10" s="187"/>
      <c r="C10" s="188" t="e">
        <f>MYP!#REF!</f>
        <v>#REF!</v>
      </c>
      <c r="D10" s="188">
        <f>MYP!C19</f>
        <v>51368291.535441548</v>
      </c>
      <c r="E10" s="188">
        <f>MYP!D19</f>
        <v>52211161.08955273</v>
      </c>
      <c r="F10" s="188">
        <f>MYP!E19</f>
        <v>53271824.530845262</v>
      </c>
      <c r="G10" s="188">
        <f>MYP!F19</f>
        <v>53132879.122459255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x14ac:dyDescent="0.25">
      <c r="A11" s="293" t="s">
        <v>436</v>
      </c>
      <c r="B11" s="187"/>
      <c r="C11" s="188" t="e">
        <f>MYP!#REF!</f>
        <v>#REF!</v>
      </c>
      <c r="D11" s="188">
        <f>MYP!C35</f>
        <v>50562891.61677181</v>
      </c>
      <c r="E11" s="188">
        <f>MYP!D35</f>
        <v>53668015.497900009</v>
      </c>
      <c r="F11" s="188">
        <f>MYP!E35</f>
        <v>53803877.601365738</v>
      </c>
      <c r="G11" s="188">
        <f>MYP!F35</f>
        <v>55817002.684135221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x14ac:dyDescent="0.25">
      <c r="A12" s="292" t="s">
        <v>447</v>
      </c>
      <c r="B12" s="57"/>
      <c r="C12" s="189" t="e">
        <f>MYP!#REF!</f>
        <v>#REF!</v>
      </c>
      <c r="D12" s="189">
        <f>MYP!C41</f>
        <v>15516670.348669738</v>
      </c>
      <c r="E12" s="189">
        <f>MYP!D41</f>
        <v>14059815.940322459</v>
      </c>
      <c r="F12" s="189">
        <f>MYP!E41</f>
        <v>13527762.869801983</v>
      </c>
      <c r="G12" s="189">
        <f>MYP!F41</f>
        <v>10843639.308126017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292"/>
      <c r="B13" s="57"/>
      <c r="C13" s="189"/>
      <c r="D13" s="189"/>
      <c r="E13" s="189"/>
      <c r="F13" s="189"/>
      <c r="G13" s="189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x14ac:dyDescent="0.25">
      <c r="A14" s="290" t="s">
        <v>448</v>
      </c>
      <c r="B14" s="184"/>
      <c r="C14" s="189"/>
      <c r="D14" s="189"/>
      <c r="E14" s="189"/>
      <c r="F14" s="189"/>
      <c r="G14" s="189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x14ac:dyDescent="0.25">
      <c r="A15" s="293" t="s">
        <v>435</v>
      </c>
      <c r="B15" s="187"/>
      <c r="C15" s="188" t="e">
        <f>MYP!#REF!</f>
        <v>#REF!</v>
      </c>
      <c r="D15" s="188">
        <f>MYP!C6</f>
        <v>5026071.9202930611</v>
      </c>
      <c r="E15" s="188">
        <f>MYP!D6</f>
        <v>5811463.4626736436</v>
      </c>
      <c r="F15" s="188">
        <f>MYP!E6</f>
        <v>6325640.8372116713</v>
      </c>
      <c r="G15" s="188">
        <f>MYP!F6</f>
        <v>6383473.7879881654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x14ac:dyDescent="0.25">
      <c r="A16" s="293" t="s">
        <v>432</v>
      </c>
      <c r="B16" s="187"/>
      <c r="C16" s="188" t="e">
        <f>MYP!#REF!</f>
        <v>#REF!</v>
      </c>
      <c r="D16" s="188">
        <f>MYP!C32</f>
        <v>3135034.8600000008</v>
      </c>
      <c r="E16" s="188">
        <f>MYP!D32</f>
        <v>3898634</v>
      </c>
      <c r="F16" s="188">
        <f>MYP!E32</f>
        <v>3998921.7281999988</v>
      </c>
      <c r="G16" s="188">
        <f>MYP!F32</f>
        <v>4102713.7868917203</v>
      </c>
    </row>
    <row r="17" spans="1:24" x14ac:dyDescent="0.25">
      <c r="A17" s="294"/>
      <c r="B17" s="193"/>
      <c r="C17" s="194"/>
      <c r="D17" s="194"/>
      <c r="E17" s="194"/>
      <c r="F17" s="194"/>
      <c r="G17" s="194"/>
    </row>
    <row r="18" spans="1:24" x14ac:dyDescent="0.25">
      <c r="A18" s="295" t="s">
        <v>445</v>
      </c>
      <c r="B18" s="196"/>
      <c r="C18" s="197" t="e">
        <f t="shared" ref="C18:E18" si="0">C12</f>
        <v>#REF!</v>
      </c>
      <c r="D18" s="197">
        <f t="shared" si="0"/>
        <v>15516670.348669738</v>
      </c>
      <c r="E18" s="197">
        <f t="shared" si="0"/>
        <v>14059815.940322459</v>
      </c>
      <c r="F18" s="197">
        <f t="shared" ref="F18" si="1">F12</f>
        <v>13527762.869801983</v>
      </c>
      <c r="G18" s="197">
        <f t="shared" ref="G18" si="2">G12</f>
        <v>10843639.308126017</v>
      </c>
      <c r="H18" s="57"/>
    </row>
    <row r="19" spans="1:24" x14ac:dyDescent="0.25">
      <c r="A19" s="296" t="s">
        <v>446</v>
      </c>
      <c r="B19" s="195"/>
      <c r="C19" s="190"/>
      <c r="D19" s="190"/>
      <c r="E19" s="190"/>
      <c r="F19" s="190"/>
      <c r="G19" s="190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25">
      <c r="A20" s="293" t="s">
        <v>454</v>
      </c>
      <c r="B20" s="187" t="s">
        <v>455</v>
      </c>
      <c r="C20" s="188" t="e">
        <f>C5*0.03</f>
        <v>#REF!</v>
      </c>
      <c r="D20" s="188">
        <f>D5*0.03</f>
        <v>2270582.0051031546</v>
      </c>
      <c r="E20" s="188">
        <f>E5*0.03</f>
        <v>2530838.385237</v>
      </c>
      <c r="F20" s="188">
        <f>F5*0.03</f>
        <v>2336710.4133409718</v>
      </c>
      <c r="G20" s="188">
        <f>G5*0.03</f>
        <v>2404462.0997200566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x14ac:dyDescent="0.25">
      <c r="A21" s="293" t="s">
        <v>453</v>
      </c>
      <c r="B21" s="187" t="s">
        <v>437</v>
      </c>
      <c r="C21" s="188">
        <v>10000</v>
      </c>
      <c r="D21" s="188">
        <v>10000</v>
      </c>
      <c r="E21" s="188">
        <v>10000</v>
      </c>
      <c r="F21" s="188">
        <v>10000</v>
      </c>
      <c r="G21" s="188">
        <v>10000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x14ac:dyDescent="0.25">
      <c r="A22" s="293" t="s">
        <v>452</v>
      </c>
      <c r="B22" s="187" t="s">
        <v>451</v>
      </c>
      <c r="C22" s="188">
        <v>200000</v>
      </c>
      <c r="D22" s="188">
        <v>200000</v>
      </c>
      <c r="E22" s="188">
        <v>200000</v>
      </c>
      <c r="F22" s="188">
        <v>200000</v>
      </c>
      <c r="G22" s="188">
        <v>200000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x14ac:dyDescent="0.25">
      <c r="A23" s="293"/>
      <c r="B23" s="187" t="s">
        <v>411</v>
      </c>
      <c r="C23" s="188">
        <v>1560679</v>
      </c>
      <c r="D23" s="188">
        <f>C23+MYP!C5-MYP!C30</f>
        <v>1526770.63</v>
      </c>
      <c r="E23" s="188">
        <f>D23+MYP!D5-MYP!D30</f>
        <v>-0.14000000013038516</v>
      </c>
      <c r="F23" s="188">
        <f>E23+MYP!E5-MYP!E30</f>
        <v>-74949.620000000112</v>
      </c>
      <c r="G23" s="188">
        <f>F23+MYP!F5-MYP!F30</f>
        <v>-151742.85720800015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x14ac:dyDescent="0.25">
      <c r="A24" s="293"/>
      <c r="B24" s="187" t="s">
        <v>639</v>
      </c>
      <c r="C24" s="188"/>
      <c r="D24" s="188"/>
      <c r="E24" s="188">
        <v>425000</v>
      </c>
      <c r="F24" s="188">
        <v>425000</v>
      </c>
      <c r="G24" s="188">
        <v>425000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x14ac:dyDescent="0.25">
      <c r="A25" s="293"/>
      <c r="B25" s="187" t="s">
        <v>555</v>
      </c>
      <c r="C25" s="188"/>
      <c r="D25" s="188"/>
      <c r="E25" s="188">
        <v>225000</v>
      </c>
      <c r="F25" s="188">
        <v>225000</v>
      </c>
      <c r="G25" s="188">
        <v>225000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x14ac:dyDescent="0.25">
      <c r="A26" s="297" t="s">
        <v>475</v>
      </c>
      <c r="B26" s="198"/>
      <c r="C26" s="285">
        <f>SUM(C21:C25)</f>
        <v>1770679</v>
      </c>
      <c r="D26" s="285">
        <f>SUM(D21:D25)</f>
        <v>1736770.63</v>
      </c>
      <c r="E26" s="285">
        <f>SUM(E21:E25)</f>
        <v>859999.85999999987</v>
      </c>
      <c r="F26" s="285">
        <f>SUM(F21:F25)</f>
        <v>785050.37999999989</v>
      </c>
      <c r="G26" s="285">
        <f>SUM(G21:G25)</f>
        <v>708257.14279199985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x14ac:dyDescent="0.25">
      <c r="A27" s="303" t="s">
        <v>443</v>
      </c>
      <c r="B27" s="187"/>
      <c r="C27" s="188" t="e">
        <f>C20+C26</f>
        <v>#REF!</v>
      </c>
      <c r="D27" s="188">
        <f>D20+D26</f>
        <v>4007352.6351031545</v>
      </c>
      <c r="E27" s="188">
        <f>E20+E26</f>
        <v>3390838.2452369998</v>
      </c>
      <c r="F27" s="188">
        <f>F20+F26</f>
        <v>3121760.7933409717</v>
      </c>
      <c r="G27" s="188">
        <f>G20+G26</f>
        <v>3112719.2425120566</v>
      </c>
      <c r="H27" s="57"/>
      <c r="I27" s="57"/>
      <c r="J27" s="57"/>
      <c r="K27" s="559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4.4" thickBot="1" x14ac:dyDescent="0.3">
      <c r="A28" s="298" t="s">
        <v>449</v>
      </c>
      <c r="B28" s="199"/>
      <c r="C28" s="200" t="e">
        <f>C18-C20-C26</f>
        <v>#REF!</v>
      </c>
      <c r="D28" s="200">
        <f>D18-D20-D26</f>
        <v>11509317.713566583</v>
      </c>
      <c r="E28" s="200">
        <f>E18-E20-E26</f>
        <v>10668977.695085458</v>
      </c>
      <c r="F28" s="200">
        <f>F18-F20-F26</f>
        <v>10406002.076461013</v>
      </c>
      <c r="G28" s="200">
        <f>G18-G20-G26</f>
        <v>7730920.0656139608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4.4" thickTop="1" x14ac:dyDescent="0.25">
      <c r="A29" s="294"/>
      <c r="B29" s="193"/>
      <c r="C29" s="304"/>
      <c r="D29" s="304"/>
      <c r="E29" s="304"/>
      <c r="F29" s="304"/>
      <c r="G29" s="304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x14ac:dyDescent="0.25">
      <c r="A30" s="299" t="s">
        <v>457</v>
      </c>
      <c r="B30" s="201"/>
      <c r="C30" s="202" t="e">
        <f>C12/C5</f>
        <v>#REF!</v>
      </c>
      <c r="D30" s="202">
        <f>D12/D5</f>
        <v>0.20501356454595177</v>
      </c>
      <c r="E30" s="202">
        <f>E12/E5</f>
        <v>0.16666195702977488</v>
      </c>
      <c r="F30" s="202">
        <f>F12/F5</f>
        <v>0.17367701353879339</v>
      </c>
      <c r="G30" s="202">
        <f>G12/G5</f>
        <v>0.13529395172485986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x14ac:dyDescent="0.25">
      <c r="A31" s="299" t="s">
        <v>450</v>
      </c>
      <c r="B31" s="201"/>
      <c r="C31" s="202" t="e">
        <f>C28/C5</f>
        <v>#REF!</v>
      </c>
      <c r="D31" s="202">
        <f>D28/D5</f>
        <v>0.15206653211862795</v>
      </c>
      <c r="E31" s="202">
        <f>E28/E5</f>
        <v>0.12646770837664173</v>
      </c>
      <c r="F31" s="202">
        <f>F28/F5</f>
        <v>0.13359809607194026</v>
      </c>
      <c r="G31" s="202">
        <f>G28/G5</f>
        <v>9.6457166862984181E-2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x14ac:dyDescent="0.25">
      <c r="A32" s="294"/>
      <c r="B32" s="193"/>
      <c r="C32" s="194"/>
      <c r="D32" s="194"/>
      <c r="E32" s="194"/>
      <c r="F32" s="194"/>
      <c r="G32" s="194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x14ac:dyDescent="0.25">
      <c r="A33" s="290" t="s">
        <v>438</v>
      </c>
      <c r="B33" s="184"/>
      <c r="C33" s="192"/>
      <c r="D33" s="192"/>
      <c r="E33" s="192"/>
      <c r="F33" s="192"/>
      <c r="G33" s="192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x14ac:dyDescent="0.25">
      <c r="A34" s="292" t="s">
        <v>439</v>
      </c>
      <c r="B34" s="57"/>
      <c r="C34" s="191">
        <v>0.13995660931703216</v>
      </c>
      <c r="D34" s="191" t="e">
        <f t="shared" ref="D34:G34" si="3">(D10-C10)/C10</f>
        <v>#REF!</v>
      </c>
      <c r="E34" s="191">
        <f t="shared" si="3"/>
        <v>1.6408362608860465E-2</v>
      </c>
      <c r="F34" s="191">
        <f t="shared" si="3"/>
        <v>2.0314879408126527E-2</v>
      </c>
      <c r="G34" s="191">
        <f t="shared" si="3"/>
        <v>-2.6082344580774641E-3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x14ac:dyDescent="0.25">
      <c r="A35" s="292" t="s">
        <v>440</v>
      </c>
      <c r="B35" s="57"/>
      <c r="C35" s="191">
        <v>8.6634281453828052E-2</v>
      </c>
      <c r="D35" s="191" t="e">
        <f t="shared" ref="D35:G35" si="4">(D15-C15)/C15</f>
        <v>#REF!</v>
      </c>
      <c r="E35" s="191">
        <f t="shared" si="4"/>
        <v>0.15626349062167574</v>
      </c>
      <c r="F35" s="191">
        <f t="shared" si="4"/>
        <v>8.8476401484846173E-2</v>
      </c>
      <c r="G35" s="191">
        <f t="shared" si="4"/>
        <v>9.142623216335936E-3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292" t="s">
        <v>441</v>
      </c>
      <c r="B36" s="57"/>
      <c r="C36" s="191">
        <v>0.11056496785730283</v>
      </c>
      <c r="D36" s="191" t="e">
        <f>(D11-C11)/C11</f>
        <v>#REF!</v>
      </c>
      <c r="E36" s="191">
        <f>(E11-D11)/D11</f>
        <v>6.1411121513039096E-2</v>
      </c>
      <c r="F36" s="191">
        <f>(F11-E11)/E11</f>
        <v>2.5315283638733511E-3</v>
      </c>
      <c r="G36" s="191">
        <f>(G11-F11)/F11</f>
        <v>3.74159851021292E-2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292" t="s">
        <v>442</v>
      </c>
      <c r="B37" s="57"/>
      <c r="C37" s="191">
        <v>0.72302951561148576</v>
      </c>
      <c r="D37" s="191" t="e">
        <f>(D16-C16)/C16</f>
        <v>#REF!</v>
      </c>
      <c r="E37" s="191">
        <f>(E16-D16)/D16</f>
        <v>0.24356958506037124</v>
      </c>
      <c r="F37" s="191">
        <f>(F16-E16)/E16</f>
        <v>2.5723812032624464E-2</v>
      </c>
      <c r="G37" s="191">
        <f>(G16-F16)/F16</f>
        <v>2.5955011312121995E-2</v>
      </c>
    </row>
    <row r="38" spans="1:24" x14ac:dyDescent="0.25">
      <c r="A38" s="300"/>
      <c r="B38" s="301"/>
      <c r="C38" s="302"/>
      <c r="D38" s="302"/>
      <c r="E38" s="302"/>
      <c r="F38" s="302"/>
      <c r="G38" s="302"/>
    </row>
    <row r="39" spans="1:24" x14ac:dyDescent="0.25">
      <c r="A39" s="57"/>
      <c r="B39" s="57"/>
      <c r="C39" s="57"/>
      <c r="D39" s="57"/>
      <c r="E39" s="57"/>
      <c r="F39" s="57"/>
      <c r="G39" s="57"/>
    </row>
    <row r="40" spans="1:24" x14ac:dyDescent="0.25">
      <c r="A40" s="57"/>
      <c r="B40" s="57"/>
      <c r="C40" s="57"/>
      <c r="D40" s="57"/>
      <c r="E40" s="57"/>
      <c r="F40" s="57"/>
      <c r="G40" s="57"/>
    </row>
  </sheetData>
  <sheetProtection password="C900" sheet="1" objects="1" scenarios="1"/>
  <pageMargins left="0.4" right="0.4" top="0.75" bottom="0.75" header="0.3" footer="0.3"/>
  <pageSetup scale="77" orientation="portrait" horizontalDpi="300" verticalDpi="300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23" defaultRowHeight="13.2" x14ac:dyDescent="0.25"/>
  <cols>
    <col min="1" max="1" width="20.109375" customWidth="1"/>
    <col min="2" max="2" width="34.88671875" customWidth="1"/>
    <col min="3" max="6" width="16.33203125" customWidth="1"/>
  </cols>
  <sheetData>
    <row r="1" spans="1:6" s="704" customFormat="1" ht="13.8" x14ac:dyDescent="0.25">
      <c r="A1" s="1137"/>
      <c r="B1" s="1138"/>
      <c r="C1" s="1139" t="s">
        <v>304</v>
      </c>
      <c r="D1" s="1139" t="s">
        <v>337</v>
      </c>
      <c r="E1" s="1139" t="s">
        <v>468</v>
      </c>
      <c r="F1" s="1139" t="s">
        <v>613</v>
      </c>
    </row>
    <row r="2" spans="1:6" s="704" customFormat="1" ht="13.8" x14ac:dyDescent="0.25">
      <c r="A2" s="1140"/>
      <c r="B2" s="1141"/>
      <c r="C2" s="1142" t="s">
        <v>1</v>
      </c>
      <c r="D2" s="1142" t="s">
        <v>0</v>
      </c>
      <c r="E2" s="1142" t="s">
        <v>0</v>
      </c>
      <c r="F2" s="1142" t="s">
        <v>0</v>
      </c>
    </row>
    <row r="3" spans="1:6" ht="13.8" x14ac:dyDescent="0.25">
      <c r="A3" s="290" t="s">
        <v>430</v>
      </c>
      <c r="B3" s="184"/>
      <c r="C3" s="182"/>
      <c r="D3" s="182"/>
      <c r="E3" s="182"/>
      <c r="F3" s="182"/>
    </row>
    <row r="4" spans="1:6" ht="13.8" x14ac:dyDescent="0.25">
      <c r="A4" s="291" t="s">
        <v>431</v>
      </c>
      <c r="B4" s="185"/>
      <c r="C4" s="186">
        <f>MYP!J48</f>
        <v>78644975.935441539</v>
      </c>
      <c r="D4" s="186">
        <f>MYP!K48</f>
        <v>79328415.039552733</v>
      </c>
      <c r="E4" s="186">
        <f>MYP!L48</f>
        <v>76874916.227186233</v>
      </c>
      <c r="F4" s="186">
        <f>MYP!M48</f>
        <v>76826448.390106007</v>
      </c>
    </row>
    <row r="5" spans="1:6" ht="13.8" x14ac:dyDescent="0.25">
      <c r="A5" s="292" t="s">
        <v>432</v>
      </c>
      <c r="B5" s="57"/>
      <c r="C5" s="186">
        <f>MYP!J49</f>
        <v>75686066.836771816</v>
      </c>
      <c r="D5" s="186">
        <f>MYP!K49</f>
        <v>84361279.5079</v>
      </c>
      <c r="E5" s="186">
        <f>MYP!L49</f>
        <v>77890347.111365736</v>
      </c>
      <c r="F5" s="186">
        <f>MYP!M49</f>
        <v>80148736.657335222</v>
      </c>
    </row>
    <row r="6" spans="1:6" ht="13.8" x14ac:dyDescent="0.25">
      <c r="A6" s="292" t="s">
        <v>433</v>
      </c>
      <c r="B6" s="57"/>
      <c r="C6" s="186">
        <f>MYP!J50</f>
        <v>2958909.0986697227</v>
      </c>
      <c r="D6" s="186">
        <f>MYP!K50</f>
        <v>-5032864.4683472663</v>
      </c>
      <c r="E6" s="186">
        <f>MYP!L50</f>
        <v>-1015430.8841795027</v>
      </c>
      <c r="F6" s="186">
        <f>MYP!M50</f>
        <v>-3322288.2672292143</v>
      </c>
    </row>
    <row r="7" spans="1:6" ht="13.8" x14ac:dyDescent="0.25">
      <c r="A7" s="292" t="s">
        <v>447</v>
      </c>
      <c r="B7" s="57"/>
      <c r="C7" s="186">
        <f>MYP!J51</f>
        <v>21415859.938669734</v>
      </c>
      <c r="D7" s="186">
        <f>MYP!K51</f>
        <v>16382995.470322456</v>
      </c>
      <c r="E7" s="186">
        <f>MYP!L51</f>
        <v>15367564.586142953</v>
      </c>
      <c r="F7" s="186">
        <f>MYP!M51</f>
        <v>12045276.318913743</v>
      </c>
    </row>
    <row r="8" spans="1:6" ht="13.8" x14ac:dyDescent="0.25">
      <c r="A8" s="292"/>
      <c r="B8" s="57"/>
      <c r="C8" s="186"/>
      <c r="D8" s="186"/>
      <c r="E8" s="186"/>
      <c r="F8" s="186"/>
    </row>
    <row r="9" spans="1:6" ht="13.8" x14ac:dyDescent="0.25">
      <c r="A9" s="290" t="s">
        <v>434</v>
      </c>
      <c r="B9" s="184"/>
      <c r="C9" s="186"/>
      <c r="D9" s="186"/>
      <c r="E9" s="186"/>
      <c r="F9" s="186"/>
    </row>
    <row r="10" spans="1:6" ht="13.8" x14ac:dyDescent="0.25">
      <c r="A10" s="293" t="s">
        <v>435</v>
      </c>
      <c r="B10" s="187"/>
      <c r="C10" s="188">
        <f>MYP!C19</f>
        <v>51368291.535441548</v>
      </c>
      <c r="D10" s="188">
        <f>MYP!D19</f>
        <v>52211161.08955273</v>
      </c>
      <c r="E10" s="188">
        <f>MYP!E19</f>
        <v>53271824.530845262</v>
      </c>
      <c r="F10" s="188">
        <f>MYP!F19</f>
        <v>53132879.122459255</v>
      </c>
    </row>
    <row r="11" spans="1:6" ht="13.8" x14ac:dyDescent="0.25">
      <c r="A11" s="293" t="s">
        <v>436</v>
      </c>
      <c r="B11" s="187"/>
      <c r="C11" s="188">
        <f>MYP!C35</f>
        <v>50562891.61677181</v>
      </c>
      <c r="D11" s="188">
        <f>MYP!D35</f>
        <v>53668015.497900009</v>
      </c>
      <c r="E11" s="188">
        <f>MYP!E35</f>
        <v>53803877.601365738</v>
      </c>
      <c r="F11" s="188">
        <f>MYP!F35</f>
        <v>55817002.684135221</v>
      </c>
    </row>
    <row r="12" spans="1:6" ht="13.8" x14ac:dyDescent="0.25">
      <c r="A12" s="292" t="s">
        <v>447</v>
      </c>
      <c r="B12" s="57"/>
      <c r="C12" s="189">
        <f>MYP!C41</f>
        <v>15516670.348669738</v>
      </c>
      <c r="D12" s="189">
        <f>MYP!D41</f>
        <v>14059815.940322459</v>
      </c>
      <c r="E12" s="189">
        <f>MYP!E41</f>
        <v>13527762.869801983</v>
      </c>
      <c r="F12" s="189">
        <f>MYP!F41</f>
        <v>10843639.308126017</v>
      </c>
    </row>
    <row r="13" spans="1:6" ht="13.8" x14ac:dyDescent="0.25">
      <c r="A13" s="292"/>
      <c r="B13" s="57"/>
      <c r="C13" s="189"/>
      <c r="D13" s="189"/>
      <c r="E13" s="189"/>
      <c r="F13" s="189"/>
    </row>
    <row r="14" spans="1:6" ht="13.8" x14ac:dyDescent="0.25">
      <c r="A14" s="290" t="s">
        <v>448</v>
      </c>
      <c r="B14" s="184"/>
      <c r="C14" s="189"/>
      <c r="D14" s="189"/>
      <c r="E14" s="189"/>
      <c r="F14" s="189"/>
    </row>
    <row r="15" spans="1:6" ht="13.8" x14ac:dyDescent="0.25">
      <c r="A15" s="293" t="s">
        <v>435</v>
      </c>
      <c r="B15" s="187"/>
      <c r="C15" s="188">
        <f>MYP!C6</f>
        <v>5026071.9202930611</v>
      </c>
      <c r="D15" s="188">
        <f>MYP!D6</f>
        <v>5811463.4626736436</v>
      </c>
      <c r="E15" s="188">
        <f>MYP!E6</f>
        <v>6325640.8372116713</v>
      </c>
      <c r="F15" s="188">
        <f>MYP!F6</f>
        <v>6383473.7879881654</v>
      </c>
    </row>
    <row r="16" spans="1:6" ht="13.8" x14ac:dyDescent="0.25">
      <c r="A16" s="293" t="s">
        <v>432</v>
      </c>
      <c r="B16" s="187"/>
      <c r="C16" s="188">
        <f>MYP!C32</f>
        <v>3135034.8600000008</v>
      </c>
      <c r="D16" s="188">
        <f>MYP!D32</f>
        <v>3898634</v>
      </c>
      <c r="E16" s="188">
        <f>MYP!E32</f>
        <v>3998921.7281999988</v>
      </c>
      <c r="F16" s="188">
        <f>MYP!F32</f>
        <v>4102713.7868917203</v>
      </c>
    </row>
    <row r="17" spans="1:6" ht="13.8" x14ac:dyDescent="0.25">
      <c r="A17" s="294"/>
      <c r="B17" s="193"/>
      <c r="C17" s="194"/>
      <c r="D17" s="194"/>
      <c r="E17" s="194"/>
      <c r="F17" s="194"/>
    </row>
    <row r="18" spans="1:6" ht="13.8" x14ac:dyDescent="0.25">
      <c r="A18" s="295" t="s">
        <v>445</v>
      </c>
      <c r="B18" s="196"/>
      <c r="C18" s="197">
        <f t="shared" ref="C18:F18" si="0">C12</f>
        <v>15516670.348669738</v>
      </c>
      <c r="D18" s="197">
        <f t="shared" si="0"/>
        <v>14059815.940322459</v>
      </c>
      <c r="E18" s="197">
        <f t="shared" si="0"/>
        <v>13527762.869801983</v>
      </c>
      <c r="F18" s="197">
        <f t="shared" si="0"/>
        <v>10843639.308126017</v>
      </c>
    </row>
    <row r="19" spans="1:6" ht="13.8" x14ac:dyDescent="0.25">
      <c r="A19" s="296" t="s">
        <v>446</v>
      </c>
      <c r="B19" s="195"/>
      <c r="C19" s="190"/>
      <c r="D19" s="190"/>
      <c r="E19" s="190"/>
      <c r="F19" s="190"/>
    </row>
    <row r="20" spans="1:6" ht="13.8" x14ac:dyDescent="0.25">
      <c r="A20" s="293" t="s">
        <v>454</v>
      </c>
      <c r="B20" s="187" t="s">
        <v>455</v>
      </c>
      <c r="C20" s="188">
        <f>C5*0.03</f>
        <v>2270582.0051031546</v>
      </c>
      <c r="D20" s="188">
        <f>D5*0.03</f>
        <v>2530838.385237</v>
      </c>
      <c r="E20" s="188">
        <f>E5*0.03</f>
        <v>2336710.4133409718</v>
      </c>
      <c r="F20" s="188">
        <f>F5*0.03</f>
        <v>2404462.0997200566</v>
      </c>
    </row>
    <row r="21" spans="1:6" ht="13.8" x14ac:dyDescent="0.25">
      <c r="A21" s="293" t="s">
        <v>453</v>
      </c>
      <c r="B21" s="187" t="s">
        <v>437</v>
      </c>
      <c r="C21" s="188">
        <v>10000</v>
      </c>
      <c r="D21" s="188">
        <v>10000</v>
      </c>
      <c r="E21" s="188">
        <v>10000</v>
      </c>
      <c r="F21" s="188">
        <v>10000</v>
      </c>
    </row>
    <row r="22" spans="1:6" ht="13.8" x14ac:dyDescent="0.25">
      <c r="A22" s="293" t="s">
        <v>452</v>
      </c>
      <c r="B22" s="187" t="s">
        <v>451</v>
      </c>
      <c r="C22" s="188">
        <v>200000</v>
      </c>
      <c r="D22" s="188">
        <v>200000</v>
      </c>
      <c r="E22" s="188">
        <v>200000</v>
      </c>
      <c r="F22" s="188">
        <v>200000</v>
      </c>
    </row>
    <row r="23" spans="1:6" ht="13.8" x14ac:dyDescent="0.25">
      <c r="A23" s="293"/>
      <c r="B23" s="187" t="s">
        <v>411</v>
      </c>
      <c r="C23" s="188">
        <v>1526770.63</v>
      </c>
      <c r="D23" s="188">
        <v>0</v>
      </c>
      <c r="E23" s="188">
        <v>0</v>
      </c>
      <c r="F23" s="188">
        <v>0</v>
      </c>
    </row>
    <row r="24" spans="1:6" ht="13.8" x14ac:dyDescent="0.25">
      <c r="A24" s="293"/>
      <c r="B24" s="187" t="s">
        <v>816</v>
      </c>
      <c r="C24" s="188">
        <v>323252</v>
      </c>
      <c r="D24" s="188">
        <v>0</v>
      </c>
      <c r="E24" s="188">
        <v>0</v>
      </c>
      <c r="F24" s="188">
        <v>0</v>
      </c>
    </row>
    <row r="25" spans="1:6" ht="13.8" x14ac:dyDescent="0.25">
      <c r="A25" s="293"/>
      <c r="B25" s="187" t="s">
        <v>639</v>
      </c>
      <c r="C25" s="188">
        <v>425000</v>
      </c>
      <c r="D25" s="188">
        <v>425000</v>
      </c>
      <c r="E25" s="188">
        <v>425000</v>
      </c>
      <c r="F25" s="188">
        <v>425000</v>
      </c>
    </row>
    <row r="26" spans="1:6" ht="13.8" x14ac:dyDescent="0.25">
      <c r="A26" s="293"/>
      <c r="B26" s="187" t="s">
        <v>555</v>
      </c>
      <c r="C26" s="188">
        <v>225000</v>
      </c>
      <c r="D26" s="188">
        <v>225000</v>
      </c>
      <c r="E26" s="188">
        <v>225000</v>
      </c>
      <c r="F26" s="188">
        <v>225000</v>
      </c>
    </row>
    <row r="27" spans="1:6" ht="13.8" x14ac:dyDescent="0.25">
      <c r="A27" s="297" t="s">
        <v>475</v>
      </c>
      <c r="B27" s="198"/>
      <c r="C27" s="285">
        <f>SUM(C21:C26)</f>
        <v>2710022.63</v>
      </c>
      <c r="D27" s="285">
        <f>SUM(D21:D26)</f>
        <v>860000</v>
      </c>
      <c r="E27" s="285">
        <f>SUM(E21:E26)</f>
        <v>860000</v>
      </c>
      <c r="F27" s="285">
        <f>SUM(F21:F26)</f>
        <v>860000</v>
      </c>
    </row>
    <row r="28" spans="1:6" ht="13.8" x14ac:dyDescent="0.25">
      <c r="A28" s="303" t="s">
        <v>443</v>
      </c>
      <c r="B28" s="187"/>
      <c r="C28" s="188">
        <f>C20+C27</f>
        <v>4980604.6351031549</v>
      </c>
      <c r="D28" s="188">
        <f>D20+D27</f>
        <v>3390838.385237</v>
      </c>
      <c r="E28" s="188">
        <f>E20+E27</f>
        <v>3196710.4133409718</v>
      </c>
      <c r="F28" s="188">
        <f>F20+F27</f>
        <v>3264462.0997200566</v>
      </c>
    </row>
    <row r="29" spans="1:6" ht="14.4" thickBot="1" x14ac:dyDescent="0.3">
      <c r="A29" s="298" t="s">
        <v>449</v>
      </c>
      <c r="B29" s="199"/>
      <c r="C29" s="200">
        <f>C18-C20-C27</f>
        <v>10536065.713566583</v>
      </c>
      <c r="D29" s="200">
        <f>D18-D20-D27</f>
        <v>10668977.555085458</v>
      </c>
      <c r="E29" s="200">
        <f>E18-E20-E27</f>
        <v>10331052.456461012</v>
      </c>
      <c r="F29" s="200">
        <f>F18-F20-F27</f>
        <v>7579177.2084059604</v>
      </c>
    </row>
    <row r="30" spans="1:6" ht="14.4" thickTop="1" x14ac:dyDescent="0.25">
      <c r="A30" s="294"/>
      <c r="B30" s="193"/>
      <c r="C30" s="304"/>
      <c r="D30" s="304"/>
      <c r="E30" s="304"/>
      <c r="F30" s="304"/>
    </row>
    <row r="31" spans="1:6" ht="13.8" x14ac:dyDescent="0.25">
      <c r="A31" s="299" t="s">
        <v>457</v>
      </c>
      <c r="B31" s="201"/>
      <c r="C31" s="202">
        <f>C12/C5</f>
        <v>0.20501356454595177</v>
      </c>
      <c r="D31" s="202">
        <f>D12/D5</f>
        <v>0.16666195702977488</v>
      </c>
      <c r="E31" s="202">
        <f>E12/E5</f>
        <v>0.17367701353879339</v>
      </c>
      <c r="F31" s="202">
        <f>F12/F5</f>
        <v>0.13529395172485986</v>
      </c>
    </row>
    <row r="32" spans="1:6" ht="13.8" x14ac:dyDescent="0.25">
      <c r="A32" s="299" t="s">
        <v>450</v>
      </c>
      <c r="B32" s="201"/>
      <c r="C32" s="202">
        <f>C29/C5</f>
        <v>0.13920746781952834</v>
      </c>
      <c r="D32" s="202">
        <f>D29/D5</f>
        <v>0.1264677067171126</v>
      </c>
      <c r="E32" s="202">
        <f>E29/E5</f>
        <v>0.13263585077737455</v>
      </c>
      <c r="F32" s="202">
        <f>F29/F5</f>
        <v>9.4563901123104144E-2</v>
      </c>
    </row>
    <row r="33" spans="1:6" ht="13.8" x14ac:dyDescent="0.25">
      <c r="A33" s="294"/>
      <c r="B33" s="193"/>
      <c r="C33" s="194"/>
      <c r="D33" s="194"/>
      <c r="E33" s="194"/>
      <c r="F33" s="194"/>
    </row>
    <row r="34" spans="1:6" ht="13.8" x14ac:dyDescent="0.25">
      <c r="A34" s="290" t="s">
        <v>438</v>
      </c>
      <c r="B34" s="184"/>
      <c r="C34" s="192"/>
      <c r="D34" s="192"/>
      <c r="E34" s="192"/>
      <c r="F34" s="192"/>
    </row>
    <row r="35" spans="1:6" ht="13.8" x14ac:dyDescent="0.25">
      <c r="A35" s="292" t="s">
        <v>439</v>
      </c>
      <c r="B35" s="57"/>
      <c r="C35" s="191">
        <v>0.11330879940538896</v>
      </c>
      <c r="D35" s="191">
        <f t="shared" ref="D35:F35" si="1">(D10-C10)/C10</f>
        <v>1.6408362608860465E-2</v>
      </c>
      <c r="E35" s="191">
        <f t="shared" si="1"/>
        <v>2.0314879408126527E-2</v>
      </c>
      <c r="F35" s="191">
        <f t="shared" si="1"/>
        <v>-2.6082344580774641E-3</v>
      </c>
    </row>
    <row r="36" spans="1:6" ht="13.8" x14ac:dyDescent="0.25">
      <c r="A36" s="292" t="s">
        <v>440</v>
      </c>
      <c r="B36" s="57"/>
      <c r="C36" s="191">
        <v>0.59024473553760415</v>
      </c>
      <c r="D36" s="191">
        <f t="shared" ref="D36:F36" si="2">(D15-C15)/C15</f>
        <v>0.15626349062167574</v>
      </c>
      <c r="E36" s="191">
        <f t="shared" si="2"/>
        <v>8.8476401484846173E-2</v>
      </c>
      <c r="F36" s="191">
        <f t="shared" si="2"/>
        <v>9.142623216335936E-3</v>
      </c>
    </row>
    <row r="37" spans="1:6" ht="13.8" x14ac:dyDescent="0.25">
      <c r="A37" s="292" t="s">
        <v>441</v>
      </c>
      <c r="B37" s="57"/>
      <c r="C37" s="191">
        <v>0.13387155019581809</v>
      </c>
      <c r="D37" s="191">
        <f>(D11-C11)/C11</f>
        <v>6.1411121513039096E-2</v>
      </c>
      <c r="E37" s="191">
        <f>(E11-D11)/D11</f>
        <v>2.5315283638733511E-3</v>
      </c>
      <c r="F37" s="191">
        <f>(F11-E11)/E11</f>
        <v>3.74159851021292E-2</v>
      </c>
    </row>
    <row r="38" spans="1:6" ht="13.8" x14ac:dyDescent="0.25">
      <c r="A38" s="292" t="s">
        <v>442</v>
      </c>
      <c r="B38" s="57"/>
      <c r="C38" s="191">
        <v>0.7031383356693508</v>
      </c>
      <c r="D38" s="191">
        <f>(D16-C16)/C16</f>
        <v>0.24356958506037124</v>
      </c>
      <c r="E38" s="191">
        <f>(E16-D16)/D16</f>
        <v>2.5723812032624464E-2</v>
      </c>
      <c r="F38" s="191">
        <f>(F16-E16)/E16</f>
        <v>2.5955011312121995E-2</v>
      </c>
    </row>
    <row r="39" spans="1:6" ht="13.8" x14ac:dyDescent="0.25">
      <c r="A39" s="300"/>
      <c r="B39" s="301"/>
      <c r="C39" s="302"/>
      <c r="D39" s="302"/>
      <c r="E39" s="302"/>
      <c r="F39" s="302"/>
    </row>
    <row r="40" spans="1:6" ht="13.8" x14ac:dyDescent="0.25">
      <c r="A40" s="57"/>
      <c r="B40" s="57"/>
      <c r="C40" s="57"/>
      <c r="D40" s="57"/>
      <c r="E40" s="57"/>
      <c r="F40" s="57"/>
    </row>
  </sheetData>
  <sheetProtection password="DBAD" sheet="1" objects="1" scenarios="1"/>
  <pageMargins left="0.25" right="0.25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pane ySplit="2" topLeftCell="A3" activePane="bottomLeft" state="frozen"/>
      <selection activeCell="A47" sqref="A47"/>
      <selection pane="bottomLeft" activeCell="C30" sqref="C30"/>
    </sheetView>
  </sheetViews>
  <sheetFormatPr defaultRowHeight="13.2" x14ac:dyDescent="0.25"/>
  <cols>
    <col min="1" max="1" width="14.109375" customWidth="1"/>
    <col min="2" max="2" width="43.6640625" customWidth="1"/>
    <col min="3" max="6" width="13.109375" customWidth="1"/>
    <col min="7" max="7" width="7.6640625" customWidth="1"/>
    <col min="8" max="8" width="14.109375" customWidth="1"/>
    <col min="9" max="9" width="43.6640625" customWidth="1"/>
    <col min="10" max="13" width="12.6640625" customWidth="1"/>
  </cols>
  <sheetData>
    <row r="1" spans="1:13" ht="13.8" x14ac:dyDescent="0.25">
      <c r="A1" s="237"/>
      <c r="B1" s="718"/>
      <c r="C1" s="881" t="s">
        <v>304</v>
      </c>
      <c r="D1" s="927" t="s">
        <v>337</v>
      </c>
      <c r="E1" s="916" t="s">
        <v>468</v>
      </c>
      <c r="F1" s="885" t="s">
        <v>613</v>
      </c>
      <c r="G1" s="884"/>
      <c r="H1" s="222"/>
      <c r="I1" s="545"/>
      <c r="J1" s="985" t="s">
        <v>304</v>
      </c>
      <c r="K1" s="927" t="s">
        <v>337</v>
      </c>
      <c r="L1" s="916" t="s">
        <v>468</v>
      </c>
      <c r="M1" s="976" t="s">
        <v>613</v>
      </c>
    </row>
    <row r="2" spans="1:13" x14ac:dyDescent="0.25">
      <c r="A2" s="214" t="s">
        <v>395</v>
      </c>
      <c r="B2" s="719"/>
      <c r="C2" s="882" t="s">
        <v>1</v>
      </c>
      <c r="D2" s="928" t="s">
        <v>0</v>
      </c>
      <c r="E2" s="917" t="s">
        <v>0</v>
      </c>
      <c r="F2" s="886" t="s">
        <v>0</v>
      </c>
      <c r="G2" s="219"/>
      <c r="H2" s="214" t="s">
        <v>392</v>
      </c>
      <c r="I2" s="546"/>
      <c r="J2" s="986" t="s">
        <v>1</v>
      </c>
      <c r="K2" s="928" t="s">
        <v>0</v>
      </c>
      <c r="L2" s="917" t="s">
        <v>0</v>
      </c>
      <c r="M2" s="977" t="s">
        <v>0</v>
      </c>
    </row>
    <row r="3" spans="1:13" ht="16.5" customHeight="1" x14ac:dyDescent="0.25">
      <c r="A3" s="161" t="s">
        <v>275</v>
      </c>
      <c r="B3" s="720" t="s">
        <v>469</v>
      </c>
      <c r="C3" s="908">
        <f>LCFF!E31</f>
        <v>33928631.075148501</v>
      </c>
      <c r="D3" s="929">
        <f>LCFF!I31+'Other Revenue'!E56+'Other Revenue'!E57</f>
        <v>34767197.626879089</v>
      </c>
      <c r="E3" s="918">
        <f>LCFF!M31</f>
        <v>37205191.076974571</v>
      </c>
      <c r="F3" s="887">
        <f>LCFF!Q31</f>
        <v>42253698.919473149</v>
      </c>
      <c r="G3" s="220"/>
      <c r="H3" s="223" t="s">
        <v>393</v>
      </c>
      <c r="I3" s="547" t="s">
        <v>246</v>
      </c>
      <c r="J3" s="987">
        <f>+SUM('Other Revenue'!D4:D5)</f>
        <v>1985047.21</v>
      </c>
      <c r="K3" s="1016">
        <f>+SUM('Other Revenue'!E4:E5)</f>
        <v>2690468.37</v>
      </c>
      <c r="L3" s="1002">
        <f>+SUM('Other Revenue'!F4:F5)</f>
        <v>1838807.04</v>
      </c>
      <c r="M3" s="978">
        <f>+SUM('Other Revenue'!G4:G5)</f>
        <v>1838807.04</v>
      </c>
    </row>
    <row r="4" spans="1:13" ht="16.5" customHeight="1" x14ac:dyDescent="0.25">
      <c r="A4" s="161"/>
      <c r="B4" s="721" t="s">
        <v>347</v>
      </c>
      <c r="C4" s="909">
        <f>LCFF!E28</f>
        <v>10458631</v>
      </c>
      <c r="D4" s="930">
        <f>LCFF!I28</f>
        <v>10049475</v>
      </c>
      <c r="E4" s="919">
        <f>LCFF!M28</f>
        <v>9154776</v>
      </c>
      <c r="F4" s="888">
        <f>LCFF!Q28</f>
        <v>4324657</v>
      </c>
      <c r="G4" s="221"/>
      <c r="H4" s="224"/>
      <c r="I4" s="547" t="s">
        <v>352</v>
      </c>
      <c r="J4" s="987">
        <f>+'Other Revenue'!D6</f>
        <v>7471.26</v>
      </c>
      <c r="K4" s="1016">
        <f>'Other Revenue'!E6</f>
        <v>0</v>
      </c>
      <c r="L4" s="1002">
        <f>'Other Revenue'!F6</f>
        <v>0</v>
      </c>
      <c r="M4" s="978">
        <f>'Other Revenue'!G6</f>
        <v>0</v>
      </c>
    </row>
    <row r="5" spans="1:13" ht="16.5" customHeight="1" x14ac:dyDescent="0.25">
      <c r="A5" s="161"/>
      <c r="B5" s="722" t="s">
        <v>344</v>
      </c>
      <c r="C5" s="883">
        <f>LCFF!E30</f>
        <v>450000</v>
      </c>
      <c r="D5" s="931">
        <f>LCFF!I30</f>
        <v>450000</v>
      </c>
      <c r="E5" s="920">
        <f>LCFF!M30</f>
        <v>450000</v>
      </c>
      <c r="F5" s="889">
        <f>LCFF!Q30</f>
        <v>450000</v>
      </c>
      <c r="G5" s="210"/>
      <c r="H5" s="224"/>
      <c r="I5" s="547" t="s">
        <v>286</v>
      </c>
      <c r="J5" s="987">
        <f>+SUM('Other Revenue'!D9:D11)</f>
        <v>299450.34999999998</v>
      </c>
      <c r="K5" s="1016">
        <f>+SUM('Other Revenue'!E9:E11)</f>
        <v>209774.78</v>
      </c>
      <c r="L5" s="1002">
        <f>+SUM('Other Revenue'!F9:F11)</f>
        <v>202421.75999999998</v>
      </c>
      <c r="M5" s="978">
        <f>+SUM('Other Revenue'!G9:G11)</f>
        <v>202421.75999999998</v>
      </c>
    </row>
    <row r="6" spans="1:13" ht="16.5" customHeight="1" x14ac:dyDescent="0.25">
      <c r="A6" s="162"/>
      <c r="B6" s="723" t="s">
        <v>428</v>
      </c>
      <c r="C6" s="910">
        <f>LCFF!E29</f>
        <v>5026071.9202930611</v>
      </c>
      <c r="D6" s="932">
        <f>LCFF!I29</f>
        <v>5811463.4626736436</v>
      </c>
      <c r="E6" s="921">
        <f>LCFF!M29</f>
        <v>6325640.8372116713</v>
      </c>
      <c r="F6" s="890">
        <f>LCFF!Q29</f>
        <v>6383473.7879881654</v>
      </c>
      <c r="G6" s="210"/>
      <c r="H6" s="225"/>
      <c r="I6" s="547" t="s">
        <v>289</v>
      </c>
      <c r="J6" s="987">
        <f>+SUM('Other Revenue'!D12:D15)</f>
        <v>116680.59</v>
      </c>
      <c r="K6" s="1016">
        <f>+SUM('Other Revenue'!E12:E15)</f>
        <v>173772.5</v>
      </c>
      <c r="L6" s="1002">
        <f>+SUM('Other Revenue'!F12:F15)</f>
        <v>128391.36</v>
      </c>
      <c r="M6" s="978">
        <f>+SUM('Other Revenue'!G12:G15)</f>
        <v>128391.36</v>
      </c>
    </row>
    <row r="7" spans="1:13" ht="16.5" customHeight="1" x14ac:dyDescent="0.25">
      <c r="A7" s="162"/>
      <c r="B7" s="722" t="s">
        <v>345</v>
      </c>
      <c r="C7" s="883">
        <f>-LCFF!E24</f>
        <v>11461711.43</v>
      </c>
      <c r="D7" s="931">
        <f>-LCFF!I24</f>
        <v>12882186</v>
      </c>
      <c r="E7" s="920">
        <f>-LCFF!M24</f>
        <v>12882186</v>
      </c>
      <c r="F7" s="889">
        <f>-LCFF!Q24</f>
        <v>12882186</v>
      </c>
      <c r="G7" s="210"/>
      <c r="H7" s="225"/>
      <c r="I7" s="547" t="s">
        <v>284</v>
      </c>
      <c r="J7" s="987">
        <f>+'Other Revenue'!D16</f>
        <v>102458.82</v>
      </c>
      <c r="K7" s="1016">
        <f>+'Other Revenue'!E16</f>
        <v>138803</v>
      </c>
      <c r="L7" s="1002">
        <f>+'Other Revenue'!F16</f>
        <v>138803</v>
      </c>
      <c r="M7" s="978">
        <f>+'Other Revenue'!G16</f>
        <v>138803</v>
      </c>
    </row>
    <row r="8" spans="1:13" ht="16.5" customHeight="1" x14ac:dyDescent="0.25">
      <c r="A8" s="162"/>
      <c r="B8" s="720" t="s">
        <v>429</v>
      </c>
      <c r="C8" s="883">
        <v>0</v>
      </c>
      <c r="D8" s="931">
        <v>0</v>
      </c>
      <c r="E8" s="920">
        <v>0</v>
      </c>
      <c r="F8" s="889">
        <v>0</v>
      </c>
      <c r="G8" s="210"/>
      <c r="H8" s="225"/>
      <c r="I8" s="547" t="s">
        <v>296</v>
      </c>
      <c r="J8" s="987">
        <f>'Other Revenue'!D27</f>
        <v>217800</v>
      </c>
      <c r="K8" s="1016">
        <f>'Other Revenue'!E27</f>
        <v>217800</v>
      </c>
      <c r="L8" s="1002">
        <f>'Other Revenue'!F27</f>
        <v>217800</v>
      </c>
      <c r="M8" s="978">
        <f>'Other Revenue'!G27</f>
        <v>217800</v>
      </c>
    </row>
    <row r="9" spans="1:13" ht="16.5" customHeight="1" x14ac:dyDescent="0.25">
      <c r="A9" s="162"/>
      <c r="B9" s="720" t="s">
        <v>274</v>
      </c>
      <c r="C9" s="883">
        <f>'Other Revenue'!D23+'Other Revenue'!D24</f>
        <v>1244584.28</v>
      </c>
      <c r="D9" s="931">
        <f>'Other Revenue'!E23+'Other Revenue'!E24</f>
        <v>1090180</v>
      </c>
      <c r="E9" s="920">
        <f>'Other Revenue'!F23+'Other Revenue'!F24</f>
        <v>1089089.82</v>
      </c>
      <c r="F9" s="889">
        <f>'Other Revenue'!G23+'Other Revenue'!G24</f>
        <v>1088980.911018</v>
      </c>
      <c r="G9" s="210"/>
      <c r="H9" s="225"/>
      <c r="I9" s="548" t="s">
        <v>342</v>
      </c>
      <c r="J9" s="987">
        <f>'Other Revenue'!D29</f>
        <v>305572</v>
      </c>
      <c r="K9" s="1016">
        <f>'Other Revenue'!E29</f>
        <v>466785</v>
      </c>
      <c r="L9" s="1002">
        <f>'Other Revenue'!F29</f>
        <v>332579</v>
      </c>
      <c r="M9" s="978">
        <f>'Other Revenue'!G29</f>
        <v>0</v>
      </c>
    </row>
    <row r="10" spans="1:13" ht="16.5" customHeight="1" x14ac:dyDescent="0.25">
      <c r="A10" s="162"/>
      <c r="B10" s="724" t="s">
        <v>279</v>
      </c>
      <c r="C10" s="883">
        <f>'Other Revenue'!D3</f>
        <v>149454.15</v>
      </c>
      <c r="D10" s="931">
        <f>'Other Revenue'!E3</f>
        <v>0</v>
      </c>
      <c r="E10" s="920">
        <f>'Other Revenue'!F3</f>
        <v>0</v>
      </c>
      <c r="F10" s="889">
        <f>'Other Revenue'!G3</f>
        <v>0</v>
      </c>
      <c r="G10" s="210"/>
      <c r="H10" s="225"/>
      <c r="I10" s="549" t="s">
        <v>654</v>
      </c>
      <c r="J10" s="987">
        <f>'Other Revenue'!D28</f>
        <v>662597</v>
      </c>
      <c r="K10" s="1016">
        <v>0</v>
      </c>
      <c r="L10" s="1002">
        <v>0</v>
      </c>
      <c r="M10" s="978">
        <v>0</v>
      </c>
    </row>
    <row r="11" spans="1:13" ht="16.5" customHeight="1" x14ac:dyDescent="0.25">
      <c r="A11" s="162"/>
      <c r="B11" s="720" t="s">
        <v>464</v>
      </c>
      <c r="C11" s="883">
        <f>'Other Revenue'!D19</f>
        <v>4212110</v>
      </c>
      <c r="D11" s="931">
        <f>'Other Revenue'!E19</f>
        <v>1683204</v>
      </c>
      <c r="E11" s="920">
        <v>0</v>
      </c>
      <c r="F11" s="889">
        <v>0</v>
      </c>
      <c r="G11" s="210"/>
      <c r="H11" s="225"/>
      <c r="I11" s="547" t="s">
        <v>285</v>
      </c>
      <c r="J11" s="987">
        <f>+SUM('Other Revenue'!D25:D26)</f>
        <v>429453.83</v>
      </c>
      <c r="K11" s="1016">
        <f>+SUM('Other Revenue'!E25:E26)</f>
        <v>345197</v>
      </c>
      <c r="L11" s="1002">
        <f>+SUM('Other Revenue'!F25:F26)</f>
        <v>318947.73300000001</v>
      </c>
      <c r="M11" s="978">
        <f>+SUM('Other Revenue'!G25:G26)</f>
        <v>318915.83822670003</v>
      </c>
    </row>
    <row r="12" spans="1:13" ht="16.5" customHeight="1" x14ac:dyDescent="0.25">
      <c r="A12" s="162"/>
      <c r="B12" s="720" t="s">
        <v>280</v>
      </c>
      <c r="C12" s="883">
        <f>'Other Revenue'!D18+'Other Revenue'!D20+'Other Revenue'!D21+'Other Revenue'!D22</f>
        <v>252001.48</v>
      </c>
      <c r="D12" s="931">
        <f>'Other Revenue'!E18+'Other Revenue'!E20+'Other Revenue'!E21+'Other Revenue'!E22</f>
        <v>249046</v>
      </c>
      <c r="E12" s="920">
        <f>'Other Revenue'!F18+'Other Revenue'!F20+'Other Revenue'!F21+'Other Revenue'!F22</f>
        <v>249046</v>
      </c>
      <c r="F12" s="889">
        <f>'Other Revenue'!G18+'Other Revenue'!G20+'Other Revenue'!G21+'Other Revenue'!G22</f>
        <v>249046</v>
      </c>
      <c r="G12" s="210"/>
      <c r="H12" s="225"/>
      <c r="I12" s="548" t="s">
        <v>343</v>
      </c>
      <c r="J12" s="987">
        <f>+SUM('Other Revenue'!D7:D8)</f>
        <v>1681080</v>
      </c>
      <c r="K12" s="1016">
        <f>+SUM('Other Revenue'!E7:E8)</f>
        <v>1653559</v>
      </c>
      <c r="L12" s="1002">
        <f>+SUM('Other Revenue'!F7:F8)</f>
        <v>1653559</v>
      </c>
      <c r="M12" s="978">
        <f>+SUM('Other Revenue'!G7:G8)</f>
        <v>1653559</v>
      </c>
    </row>
    <row r="13" spans="1:13" ht="16.5" customHeight="1" x14ac:dyDescent="0.25">
      <c r="A13" s="162"/>
      <c r="B13" s="720" t="s">
        <v>2</v>
      </c>
      <c r="C13" s="883">
        <f>'Other Revenue'!D38</f>
        <v>158432.89000000001</v>
      </c>
      <c r="D13" s="931">
        <f>'Other Revenue'!E38</f>
        <v>137897</v>
      </c>
      <c r="E13" s="920">
        <f>'Other Revenue'!F38</f>
        <v>137897</v>
      </c>
      <c r="F13" s="889">
        <f>'Other Revenue'!G38</f>
        <v>141234.10740000001</v>
      </c>
      <c r="G13" s="210"/>
      <c r="H13" s="225"/>
      <c r="I13" s="547" t="s">
        <v>294</v>
      </c>
      <c r="J13" s="987">
        <f>'Other Revenue'!D36+'Other Revenue'!D33+'Other Revenue'!D34</f>
        <v>4223289</v>
      </c>
      <c r="K13" s="1016">
        <f>'Other Revenue'!E36+'Other Revenue'!E33+'Other Revenue'!E34</f>
        <v>3987542</v>
      </c>
      <c r="L13" s="1002">
        <f>'Other Revenue'!F36+'Other Revenue'!F33</f>
        <v>3969542</v>
      </c>
      <c r="M13" s="978">
        <f>'Other Revenue'!G36+'Other Revenue'!G33</f>
        <v>3969542</v>
      </c>
    </row>
    <row r="14" spans="1:13" ht="16.5" customHeight="1" x14ac:dyDescent="0.25">
      <c r="A14" s="162"/>
      <c r="B14" s="720" t="s">
        <v>256</v>
      </c>
      <c r="C14" s="883">
        <f>SUM('Other Revenue'!D39:D49)</f>
        <v>150132.82</v>
      </c>
      <c r="D14" s="931">
        <f>SUM('Other Revenue'!E39:E49)</f>
        <v>890128</v>
      </c>
      <c r="E14" s="920">
        <f>SUM('Other Revenue'!F39:F49)</f>
        <v>102832</v>
      </c>
      <c r="F14" s="889">
        <f>SUM('Other Revenue'!G39:G49)</f>
        <v>102832</v>
      </c>
      <c r="G14" s="215"/>
      <c r="H14" s="225"/>
      <c r="I14" s="549" t="s">
        <v>812</v>
      </c>
      <c r="J14" s="987">
        <f>'Other Revenue'!D35</f>
        <v>285050.19</v>
      </c>
      <c r="K14" s="1016">
        <f>'Other Revenue'!E35</f>
        <v>464660</v>
      </c>
      <c r="L14" s="1002">
        <f>'Other Revenue'!F35</f>
        <v>469306.6</v>
      </c>
      <c r="M14" s="978">
        <f>'Other Revenue'!G35</f>
        <v>473999.66599999997</v>
      </c>
    </row>
    <row r="15" spans="1:13" ht="16.5" customHeight="1" x14ac:dyDescent="0.25">
      <c r="A15" s="162"/>
      <c r="B15" s="720" t="s">
        <v>281</v>
      </c>
      <c r="C15" s="883">
        <f>SUM('Other Revenue'!D50:D53)</f>
        <v>101471.48999999999</v>
      </c>
      <c r="D15" s="931">
        <f>SUM('Other Revenue'!E50:E53)</f>
        <v>20204</v>
      </c>
      <c r="E15" s="920">
        <f>SUM('Other Revenue'!F50:F53)</f>
        <v>0</v>
      </c>
      <c r="F15" s="889">
        <f>SUM('Other Revenue'!G50:G53)</f>
        <v>0</v>
      </c>
      <c r="G15" s="215"/>
      <c r="H15" s="225"/>
      <c r="I15" s="547" t="s">
        <v>295</v>
      </c>
      <c r="J15" s="987">
        <v>10734932.699999999</v>
      </c>
      <c r="K15" s="1016">
        <v>11347693</v>
      </c>
      <c r="L15" s="1002">
        <f>+K15*1.03</f>
        <v>11688123.790000001</v>
      </c>
      <c r="M15" s="978">
        <f>+L15*1.03</f>
        <v>12038767.503700001</v>
      </c>
    </row>
    <row r="16" spans="1:13" ht="16.5" customHeight="1" x14ac:dyDescent="0.25">
      <c r="A16" s="162"/>
      <c r="B16" s="720" t="s">
        <v>527</v>
      </c>
      <c r="C16" s="883">
        <v>-3300000</v>
      </c>
      <c r="D16" s="931">
        <v>-1961318</v>
      </c>
      <c r="E16" s="920">
        <v>-300000</v>
      </c>
      <c r="F16" s="889">
        <v>-300000</v>
      </c>
      <c r="G16" s="215"/>
      <c r="H16" s="225"/>
      <c r="I16" s="547" t="s">
        <v>634</v>
      </c>
      <c r="J16" s="987">
        <f>'Other Revenue'!D30</f>
        <v>617840.06000000006</v>
      </c>
      <c r="K16" s="1016">
        <f>'Other Revenue'!E30</f>
        <v>940972.3</v>
      </c>
      <c r="L16" s="1002">
        <f>'Other Revenue'!F30</f>
        <v>0</v>
      </c>
      <c r="M16" s="978">
        <f>'Other Revenue'!G30</f>
        <v>0</v>
      </c>
    </row>
    <row r="17" spans="1:13" ht="16.5" customHeight="1" x14ac:dyDescent="0.25">
      <c r="A17" s="162"/>
      <c r="B17" s="720" t="s">
        <v>397</v>
      </c>
      <c r="C17" s="883">
        <v>-10734933</v>
      </c>
      <c r="D17" s="931">
        <f>-K15</f>
        <v>-11347693</v>
      </c>
      <c r="E17" s="920">
        <f>-L15</f>
        <v>-11688123.790000001</v>
      </c>
      <c r="F17" s="889">
        <f>-M15</f>
        <v>-12038767.503700001</v>
      </c>
      <c r="G17" s="215"/>
      <c r="H17" s="225"/>
      <c r="I17" s="547" t="s">
        <v>292</v>
      </c>
      <c r="J17" s="987">
        <f>'Other Revenue'!D31</f>
        <v>0</v>
      </c>
      <c r="K17" s="1016">
        <v>8100</v>
      </c>
      <c r="L17" s="1002">
        <f>'Other Revenue'!F31</f>
        <v>8100</v>
      </c>
      <c r="M17" s="978">
        <f>'Other Revenue'!G31</f>
        <v>8100</v>
      </c>
    </row>
    <row r="18" spans="1:13" ht="16.5" customHeight="1" x14ac:dyDescent="0.25">
      <c r="A18" s="162"/>
      <c r="B18" s="720" t="s">
        <v>398</v>
      </c>
      <c r="C18" s="1082">
        <f>-2190008</f>
        <v>-2190008</v>
      </c>
      <c r="D18" s="931">
        <f>-K18</f>
        <v>-2510809</v>
      </c>
      <c r="E18" s="920">
        <f>-L18</f>
        <v>-2336710.4133409718</v>
      </c>
      <c r="F18" s="889">
        <f>-M18</f>
        <v>-2404462.0997200566</v>
      </c>
      <c r="G18" s="215"/>
      <c r="H18" s="225"/>
      <c r="I18" s="547" t="s">
        <v>290</v>
      </c>
      <c r="J18" s="987">
        <v>2190009</v>
      </c>
      <c r="K18" s="1016">
        <v>2510809</v>
      </c>
      <c r="L18" s="1002">
        <f>E47</f>
        <v>2336710.4133409718</v>
      </c>
      <c r="M18" s="978">
        <f>F47</f>
        <v>2404462.0997200566</v>
      </c>
    </row>
    <row r="19" spans="1:13" ht="16.5" customHeight="1" x14ac:dyDescent="0.25">
      <c r="A19" s="171" t="s">
        <v>566</v>
      </c>
      <c r="B19" s="879"/>
      <c r="C19" s="911">
        <f>SUM(C3:C18)</f>
        <v>51368291.535441548</v>
      </c>
      <c r="D19" s="933">
        <f>SUM(D3:D18)</f>
        <v>52211161.08955273</v>
      </c>
      <c r="E19" s="922">
        <f>SUM(E3:E18)</f>
        <v>53271824.530845262</v>
      </c>
      <c r="F19" s="891">
        <f>SUM(F3:F18)</f>
        <v>53132879.122459255</v>
      </c>
      <c r="G19" s="215"/>
      <c r="H19" s="225"/>
      <c r="I19" s="547" t="s">
        <v>293</v>
      </c>
      <c r="J19" s="987">
        <f>+'Other Revenue'!D54</f>
        <v>117952.39</v>
      </c>
      <c r="K19" s="1016">
        <v>0</v>
      </c>
      <c r="L19" s="1002">
        <v>0</v>
      </c>
      <c r="M19" s="978">
        <v>0</v>
      </c>
    </row>
    <row r="20" spans="1:13" ht="16.5" customHeight="1" x14ac:dyDescent="0.25">
      <c r="A20" s="203"/>
      <c r="B20" s="725"/>
      <c r="C20" s="912"/>
      <c r="D20" s="934"/>
      <c r="E20" s="923"/>
      <c r="F20" s="892"/>
      <c r="G20" s="215"/>
      <c r="H20" s="225"/>
      <c r="I20" s="549" t="s">
        <v>471</v>
      </c>
      <c r="J20" s="987">
        <f>-C16</f>
        <v>3300000</v>
      </c>
      <c r="K20" s="1016">
        <v>1961318</v>
      </c>
      <c r="L20" s="1002">
        <f>-E16</f>
        <v>300000</v>
      </c>
      <c r="M20" s="978">
        <f>-F16</f>
        <v>300000</v>
      </c>
    </row>
    <row r="21" spans="1:13" ht="16.5" customHeight="1" x14ac:dyDescent="0.25">
      <c r="A21" s="174" t="s">
        <v>394</v>
      </c>
      <c r="B21" s="726" t="s">
        <v>623</v>
      </c>
      <c r="C21" s="913">
        <f>Salaries!E65</f>
        <v>42248516.18677181</v>
      </c>
      <c r="D21" s="935">
        <f>+Salaries!G65</f>
        <v>43501616.727900006</v>
      </c>
      <c r="E21" s="924">
        <f>+Salaries!I65</f>
        <v>45069003.951359004</v>
      </c>
      <c r="F21" s="893">
        <f>+Salaries!K65</f>
        <v>46883874.371414036</v>
      </c>
      <c r="G21" s="215"/>
      <c r="H21" s="226" t="s">
        <v>565</v>
      </c>
      <c r="I21" s="550"/>
      <c r="J21" s="988">
        <f>SUM(J3:J20)</f>
        <v>27276684.399999995</v>
      </c>
      <c r="K21" s="1017">
        <f>SUM(K3:K20)</f>
        <v>27117253.949999999</v>
      </c>
      <c r="L21" s="1003">
        <f>SUM(L3:L20)</f>
        <v>23603091.696340971</v>
      </c>
      <c r="M21" s="979">
        <f>SUM(M3:M20)</f>
        <v>23693569.267646756</v>
      </c>
    </row>
    <row r="22" spans="1:13" ht="16.5" customHeight="1" x14ac:dyDescent="0.25">
      <c r="A22" s="174"/>
      <c r="B22" s="726" t="s">
        <v>276</v>
      </c>
      <c r="C22" s="913">
        <f>'Unrestricted-RS &amp; 4-7XXX'!F134</f>
        <v>506282.46999999991</v>
      </c>
      <c r="D22" s="935">
        <f>'Unrestricted-RS &amp; 4-7XXX'!G134</f>
        <v>534833</v>
      </c>
      <c r="E22" s="924">
        <f>'Unrestricted-RS &amp; 4-7XXX'!H134</f>
        <v>547615.50870000001</v>
      </c>
      <c r="F22" s="893">
        <f>'Unrestricted-RS &amp; 4-7XXX'!I134</f>
        <v>560703.51935793017</v>
      </c>
      <c r="G22" s="215"/>
      <c r="H22" s="203"/>
      <c r="I22" s="543"/>
      <c r="J22" s="989"/>
      <c r="K22" s="1018"/>
      <c r="L22" s="1004"/>
      <c r="M22" s="980"/>
    </row>
    <row r="23" spans="1:13" ht="16.5" customHeight="1" x14ac:dyDescent="0.25">
      <c r="A23" s="175"/>
      <c r="B23" s="726" t="s">
        <v>277</v>
      </c>
      <c r="C23" s="913">
        <f>'Unrestricted-RS &amp; 4-7XXX'!F6</f>
        <v>80992.89</v>
      </c>
      <c r="D23" s="935">
        <f>'Unrestricted-RS &amp; 4-7XXX'!G6</f>
        <v>64457</v>
      </c>
      <c r="E23" s="924">
        <f>'Unrestricted-RS &amp; 4-7XXX'!H6</f>
        <v>65993.09580000001</v>
      </c>
      <c r="F23" s="893">
        <f>'Unrestricted-RS &amp; 4-7XXX'!I6</f>
        <v>67611.20053668</v>
      </c>
      <c r="G23" s="215"/>
      <c r="H23" s="227" t="s">
        <v>394</v>
      </c>
      <c r="I23" s="551" t="s">
        <v>246</v>
      </c>
      <c r="J23" s="990">
        <f t="shared" ref="J23:J28" si="0">J3</f>
        <v>1985047.21</v>
      </c>
      <c r="K23" s="1019">
        <f>K3</f>
        <v>2690468.37</v>
      </c>
      <c r="L23" s="1005">
        <f>L3</f>
        <v>1838807.04</v>
      </c>
      <c r="M23" s="981">
        <f>M3</f>
        <v>1838807.04</v>
      </c>
    </row>
    <row r="24" spans="1:13" ht="16.5" customHeight="1" x14ac:dyDescent="0.25">
      <c r="A24" s="176"/>
      <c r="B24" s="726" t="s">
        <v>522</v>
      </c>
      <c r="C24" s="913">
        <f>'Unrestricted-RS &amp; 4-7XXX'!F232</f>
        <v>73006.899999999994</v>
      </c>
      <c r="D24" s="935">
        <f>'Unrestricted-RS &amp; 4-7XXX'!G232</f>
        <v>92640</v>
      </c>
      <c r="E24" s="924">
        <f>'Unrestricted-RS &amp; 4-7XXX'!H232</f>
        <v>99137.069000000003</v>
      </c>
      <c r="F24" s="893">
        <f>'Unrestricted-RS &amp; 4-7XXX'!I232</f>
        <v>100641.0408974</v>
      </c>
      <c r="G24" s="215"/>
      <c r="H24" s="228"/>
      <c r="I24" s="551" t="s">
        <v>351</v>
      </c>
      <c r="J24" s="990">
        <f t="shared" si="0"/>
        <v>7471.26</v>
      </c>
      <c r="K24" s="1019">
        <f t="shared" ref="K24:M28" si="1">K4</f>
        <v>0</v>
      </c>
      <c r="L24" s="1005">
        <f t="shared" si="1"/>
        <v>0</v>
      </c>
      <c r="M24" s="981">
        <f t="shared" si="1"/>
        <v>0</v>
      </c>
    </row>
    <row r="25" spans="1:13" ht="16.5" customHeight="1" x14ac:dyDescent="0.25">
      <c r="A25" s="176"/>
      <c r="B25" s="726" t="s">
        <v>3</v>
      </c>
      <c r="C25" s="913">
        <f>'Unrestricted-RS &amp; 4-7XXX'!F145</f>
        <v>1308127.5900000001</v>
      </c>
      <c r="D25" s="935">
        <f>'Unrestricted-RS &amp; 4-7XXX'!G145</f>
        <v>1306638</v>
      </c>
      <c r="E25" s="924">
        <f>'Unrestricted-RS &amp; 4-7XXX'!H145</f>
        <v>1337866.6482000002</v>
      </c>
      <c r="F25" s="893">
        <f>'Unrestricted-RS &amp; 4-7XXX'!I145</f>
        <v>1370778.1677457199</v>
      </c>
      <c r="G25" s="215"/>
      <c r="H25" s="229"/>
      <c r="I25" s="551" t="s">
        <v>282</v>
      </c>
      <c r="J25" s="990">
        <f t="shared" si="0"/>
        <v>299450.34999999998</v>
      </c>
      <c r="K25" s="1019">
        <f>K5</f>
        <v>209774.78</v>
      </c>
      <c r="L25" s="1005">
        <f>L5</f>
        <v>202421.75999999998</v>
      </c>
      <c r="M25" s="981">
        <f t="shared" si="1"/>
        <v>202421.75999999998</v>
      </c>
    </row>
    <row r="26" spans="1:13" ht="16.5" customHeight="1" x14ac:dyDescent="0.25">
      <c r="A26" s="176"/>
      <c r="B26" s="726" t="s">
        <v>278</v>
      </c>
      <c r="C26" s="913">
        <f>'Unrestricted-RS &amp; 4-7XXX'!F223+'Unrestricted-RS &amp; 4-7XXX'!F151</f>
        <v>998137.51000000024</v>
      </c>
      <c r="D26" s="935">
        <f>'Unrestricted-RS &amp; 4-7XXX'!G223+'Unrestricted-RS &amp; 4-7XXX'!G151</f>
        <v>1151937</v>
      </c>
      <c r="E26" s="924">
        <f>'Unrestricted-RS &amp; 4-7XXX'!H223+'Unrestricted-RS &amp; 4-7XXX'!H151</f>
        <v>1180327.8879067518</v>
      </c>
      <c r="F26" s="893">
        <f>'Unrestricted-RS &amp; 4-7XXX'!I223+'Unrestricted-RS &amp; 4-7XXX'!I151</f>
        <v>1206892.8312810592</v>
      </c>
      <c r="G26" s="215"/>
      <c r="H26" s="229"/>
      <c r="I26" s="551" t="s">
        <v>283</v>
      </c>
      <c r="J26" s="990">
        <f t="shared" si="0"/>
        <v>116680.59</v>
      </c>
      <c r="K26" s="1019">
        <f t="shared" si="1"/>
        <v>173772.5</v>
      </c>
      <c r="L26" s="1005">
        <f t="shared" si="1"/>
        <v>128391.36</v>
      </c>
      <c r="M26" s="981">
        <f t="shared" si="1"/>
        <v>128391.36</v>
      </c>
    </row>
    <row r="27" spans="1:13" ht="16.5" customHeight="1" x14ac:dyDescent="0.25">
      <c r="A27" s="176"/>
      <c r="B27" s="727" t="s">
        <v>279</v>
      </c>
      <c r="C27" s="913">
        <f>'Unrestricted-RS &amp; 4-7XXX'!F18</f>
        <v>198796.82000000004</v>
      </c>
      <c r="D27" s="935">
        <f>'Unrestricted-RS &amp; 4-7XXX'!G18</f>
        <v>210310</v>
      </c>
      <c r="E27" s="924">
        <f>'Unrestricted-RS &amp; 4-7XXX'!H18</f>
        <v>215770.74000000002</v>
      </c>
      <c r="F27" s="893">
        <f>'Unrestricted-RS &amp; 4-7XXX'!I18</f>
        <v>221404.34421000001</v>
      </c>
      <c r="G27" s="215"/>
      <c r="H27" s="229"/>
      <c r="I27" s="551" t="s">
        <v>284</v>
      </c>
      <c r="J27" s="990">
        <f t="shared" si="0"/>
        <v>102458.82</v>
      </c>
      <c r="K27" s="1019">
        <f t="shared" si="1"/>
        <v>138803</v>
      </c>
      <c r="L27" s="1005">
        <f t="shared" si="1"/>
        <v>138803</v>
      </c>
      <c r="M27" s="981">
        <f t="shared" si="1"/>
        <v>138803</v>
      </c>
    </row>
    <row r="28" spans="1:13" ht="16.5" customHeight="1" x14ac:dyDescent="0.25">
      <c r="A28" s="176"/>
      <c r="B28" s="726" t="s">
        <v>622</v>
      </c>
      <c r="C28" s="913">
        <f>+'Unrestricted-RS &amp; 4-7XXX'!F238+'Unrestricted-RS &amp; 4-7XXX'!F239</f>
        <v>-628283.01</v>
      </c>
      <c r="D28" s="935">
        <f>+'Unrestricted-RS &amp; 4-7XXX'!G238+'Unrestricted-RS &amp; 4-7XXX'!G239</f>
        <v>-735490</v>
      </c>
      <c r="E28" s="924">
        <f>+'Unrestricted-RS &amp; 4-7XXX'!H238+'Unrestricted-RS &amp; 4-7XXX'!H239</f>
        <v>-753068.21100000013</v>
      </c>
      <c r="F28" s="893">
        <f>+'Unrestricted-RS &amp; 4-7XXX'!I238+'Unrestricted-RS &amp; 4-7XXX'!I239</f>
        <v>-771593.68899059994</v>
      </c>
      <c r="G28" s="215"/>
      <c r="H28" s="229"/>
      <c r="I28" s="551" t="s">
        <v>291</v>
      </c>
      <c r="J28" s="990">
        <f t="shared" si="0"/>
        <v>217800</v>
      </c>
      <c r="K28" s="1019">
        <f t="shared" si="1"/>
        <v>217800</v>
      </c>
      <c r="L28" s="1005">
        <f t="shared" si="1"/>
        <v>217800</v>
      </c>
      <c r="M28" s="981">
        <f t="shared" si="1"/>
        <v>217800</v>
      </c>
    </row>
    <row r="29" spans="1:13" ht="16.5" customHeight="1" x14ac:dyDescent="0.25">
      <c r="A29" s="176"/>
      <c r="B29" s="726" t="s">
        <v>5</v>
      </c>
      <c r="C29" s="913">
        <f>'Unrestricted-RS &amp; 4-7XXX'!F106</f>
        <v>779427.69000000006</v>
      </c>
      <c r="D29" s="935">
        <f>'Unrestricted-RS &amp; 4-7XXX'!G106</f>
        <v>926539</v>
      </c>
      <c r="E29" s="924">
        <f>'Unrestricted-RS &amp; 4-7XXX'!H106</f>
        <v>955359.70320000011</v>
      </c>
      <c r="F29" s="893">
        <f>'Unrestricted-RS &amp; 4-7XXX'!I106</f>
        <v>985183.87358328025</v>
      </c>
      <c r="G29" s="215"/>
      <c r="H29" s="229"/>
      <c r="I29" s="551" t="s">
        <v>342</v>
      </c>
      <c r="J29" s="990">
        <v>1060712.75</v>
      </c>
      <c r="K29" s="1019">
        <v>238691.36</v>
      </c>
      <c r="L29" s="1005">
        <v>0</v>
      </c>
      <c r="M29" s="981">
        <v>0</v>
      </c>
    </row>
    <row r="30" spans="1:13" ht="16.5" customHeight="1" x14ac:dyDescent="0.25">
      <c r="A30" s="176"/>
      <c r="B30" s="726" t="s">
        <v>365</v>
      </c>
      <c r="C30" s="913">
        <f>'Unrestricted-RS &amp; 4-7XXX'!F22</f>
        <v>483908.37</v>
      </c>
      <c r="D30" s="935">
        <f>'Unrestricted-RS &amp; 4-7XXX'!G22</f>
        <v>1976770.77</v>
      </c>
      <c r="E30" s="924">
        <f>'Unrestricted-RS &amp; 4-7XXX'!H22</f>
        <v>524949.48</v>
      </c>
      <c r="F30" s="893">
        <f>'Unrestricted-RS &amp; 4-7XXX'!I22</f>
        <v>526793.23720800004</v>
      </c>
      <c r="G30" s="215"/>
      <c r="H30" s="229"/>
      <c r="I30" s="680" t="s">
        <v>571</v>
      </c>
      <c r="J30" s="990">
        <v>26146.17</v>
      </c>
      <c r="K30" s="1019">
        <v>314607</v>
      </c>
      <c r="L30" s="1005">
        <v>321843.83</v>
      </c>
      <c r="M30" s="981">
        <v>0</v>
      </c>
    </row>
    <row r="31" spans="1:13" ht="16.5" customHeight="1" x14ac:dyDescent="0.25">
      <c r="A31" s="176"/>
      <c r="B31" s="726" t="s">
        <v>621</v>
      </c>
      <c r="C31" s="913">
        <f>'Unrestricted-RS &amp; 4-7XXX'!F96</f>
        <v>797843.34000000008</v>
      </c>
      <c r="D31" s="935">
        <f>'Unrestricted-RS &amp; 4-7XXX'!G96</f>
        <v>177130</v>
      </c>
      <c r="E31" s="924">
        <f>'Unrestricted-RS &amp; 4-7XXX'!H96</f>
        <v>0</v>
      </c>
      <c r="F31" s="893">
        <f>'Unrestricted-RS &amp; 4-7XXX'!I96</f>
        <v>0</v>
      </c>
      <c r="G31" s="215"/>
      <c r="H31" s="229"/>
      <c r="I31" s="551" t="s">
        <v>285</v>
      </c>
      <c r="J31" s="990">
        <v>139923.32</v>
      </c>
      <c r="K31" s="1019">
        <v>654258</v>
      </c>
      <c r="L31" s="1005">
        <v>380000</v>
      </c>
      <c r="M31" s="981">
        <v>2000000</v>
      </c>
    </row>
    <row r="32" spans="1:13" ht="16.5" customHeight="1" x14ac:dyDescent="0.25">
      <c r="A32" s="176"/>
      <c r="B32" s="723" t="s">
        <v>428</v>
      </c>
      <c r="C32" s="910">
        <f>'Unrestricted-RS &amp; 4-7XXX'!F29+'Unrestricted-RS &amp; 4-7XXX'!F88</f>
        <v>3135034.8600000008</v>
      </c>
      <c r="D32" s="932">
        <f>'Unrestricted-RS &amp; 4-7XXX'!G29+'Unrestricted-RS &amp; 4-7XXX'!G88</f>
        <v>3898634</v>
      </c>
      <c r="E32" s="921">
        <f>'Unrestricted-RS &amp; 4-7XXX'!H29+'Unrestricted-RS &amp; 4-7XXX'!H88</f>
        <v>3998921.7281999988</v>
      </c>
      <c r="F32" s="890">
        <f>'Unrestricted-RS &amp; 4-7XXX'!I29+'Unrestricted-RS &amp; 4-7XXX'!I88</f>
        <v>4102713.7868917203</v>
      </c>
      <c r="G32" s="215"/>
      <c r="H32" s="229"/>
      <c r="I32" s="552" t="s">
        <v>335</v>
      </c>
      <c r="J32" s="990">
        <v>0</v>
      </c>
      <c r="K32" s="1019">
        <v>0</v>
      </c>
      <c r="L32" s="1005">
        <v>0</v>
      </c>
      <c r="M32" s="981">
        <v>0</v>
      </c>
    </row>
    <row r="33" spans="1:13" ht="16.5" customHeight="1" x14ac:dyDescent="0.25">
      <c r="A33" s="176"/>
      <c r="B33" s="726" t="s">
        <v>396</v>
      </c>
      <c r="C33" s="913">
        <f>SUM('Unrestricted-RS &amp; 4-7XXX'!F243:F245)</f>
        <v>425000</v>
      </c>
      <c r="D33" s="935">
        <f>SUM('Unrestricted-RS &amp; 4-7XXX'!G243:G245)</f>
        <v>225000</v>
      </c>
      <c r="E33" s="924">
        <f>SUM('Unrestricted-RS &amp; 4-7XXX'!H243:H245)</f>
        <v>225000</v>
      </c>
      <c r="F33" s="893">
        <f>SUM('Unrestricted-RS &amp; 4-7XXX'!I243:I245)</f>
        <v>225000</v>
      </c>
      <c r="G33" s="215"/>
      <c r="H33" s="229"/>
      <c r="I33" s="553" t="s">
        <v>287</v>
      </c>
      <c r="J33" s="990">
        <f>1004376+10734932.7+1679555+9000+1525</f>
        <v>13429388.699999999</v>
      </c>
      <c r="K33" s="1019">
        <f>+SUM(K12:K15)-K34</f>
        <v>15016618</v>
      </c>
      <c r="L33" s="1005">
        <f>(K33)*1.03</f>
        <v>15467116.540000001</v>
      </c>
      <c r="M33" s="981">
        <f>+L33*1.01</f>
        <v>15621787.705400001</v>
      </c>
    </row>
    <row r="34" spans="1:13" ht="16.5" customHeight="1" x14ac:dyDescent="0.25">
      <c r="A34" s="176"/>
      <c r="B34" s="728" t="s">
        <v>364</v>
      </c>
      <c r="C34" s="913">
        <f>+'Unrestricted-RS &amp; 4-7XXX'!F242</f>
        <v>156100</v>
      </c>
      <c r="D34" s="935">
        <f>+'Unrestricted-RS &amp; 4-7XXX'!G242</f>
        <v>337000</v>
      </c>
      <c r="E34" s="924">
        <f>+'Unrestricted-RS &amp; 4-7XXX'!H242</f>
        <v>337000</v>
      </c>
      <c r="F34" s="893">
        <f>+'Unrestricted-RS &amp; 4-7XXX'!I242</f>
        <v>337000</v>
      </c>
      <c r="G34" s="215"/>
      <c r="H34" s="229"/>
      <c r="I34" s="553" t="s">
        <v>288</v>
      </c>
      <c r="J34" s="990">
        <f>285050.19+3209913</f>
        <v>3494963.19</v>
      </c>
      <c r="K34" s="1019">
        <v>2436836</v>
      </c>
      <c r="L34" s="1005">
        <f t="shared" ref="L34" si="2">(K34)*1.03</f>
        <v>2509941.08</v>
      </c>
      <c r="M34" s="981">
        <f>+L34*1.01</f>
        <v>2535040.4908000003</v>
      </c>
    </row>
    <row r="35" spans="1:13" ht="16.5" customHeight="1" x14ac:dyDescent="0.25">
      <c r="A35" s="177" t="s">
        <v>567</v>
      </c>
      <c r="B35" s="729"/>
      <c r="C35" s="914">
        <f>SUM(C21:C34)</f>
        <v>50562891.61677181</v>
      </c>
      <c r="D35" s="936">
        <f>SUM(D21:D34)</f>
        <v>53668015.497900009</v>
      </c>
      <c r="E35" s="925">
        <f>SUM(E21:E34)</f>
        <v>53803877.601365738</v>
      </c>
      <c r="F35" s="894">
        <f>SUM(F21:F34)</f>
        <v>55817002.684135221</v>
      </c>
      <c r="G35" s="215"/>
      <c r="H35" s="229"/>
      <c r="I35" s="553" t="s">
        <v>634</v>
      </c>
      <c r="J35" s="990">
        <v>808150.36</v>
      </c>
      <c r="K35" s="1019">
        <v>750662</v>
      </c>
      <c r="L35" s="1005">
        <v>0</v>
      </c>
      <c r="M35" s="981">
        <v>0</v>
      </c>
    </row>
    <row r="36" spans="1:13" ht="16.5" customHeight="1" thickBot="1" x14ac:dyDescent="0.3">
      <c r="A36" s="213" t="s">
        <v>568</v>
      </c>
      <c r="B36" s="730"/>
      <c r="C36" s="915">
        <f t="shared" ref="C36:F36" si="3">C19-C35</f>
        <v>805399.91866973788</v>
      </c>
      <c r="D36" s="966">
        <f t="shared" si="3"/>
        <v>-1456854.4083472788</v>
      </c>
      <c r="E36" s="926">
        <f t="shared" si="3"/>
        <v>-532053.07052047551</v>
      </c>
      <c r="F36" s="895">
        <f t="shared" si="3"/>
        <v>-2684123.5616759658</v>
      </c>
      <c r="G36" s="215"/>
      <c r="H36" s="229"/>
      <c r="I36" s="551" t="s">
        <v>290</v>
      </c>
      <c r="J36" s="990">
        <v>2355908.64</v>
      </c>
      <c r="K36" s="1019">
        <v>2983130</v>
      </c>
      <c r="L36" s="1005">
        <f>(+K36-800000)*1.03</f>
        <v>2248623.9</v>
      </c>
      <c r="M36" s="981">
        <f>(+L36-850000)*1.03</f>
        <v>1440582.6169999999</v>
      </c>
    </row>
    <row r="37" spans="1:13" ht="16.5" customHeight="1" thickTop="1" thickBot="1" x14ac:dyDescent="0.3">
      <c r="A37" s="218"/>
      <c r="B37" s="244"/>
      <c r="C37" s="880"/>
      <c r="D37" s="965"/>
      <c r="E37" s="880"/>
      <c r="F37" s="880"/>
      <c r="G37" s="215"/>
      <c r="H37" s="229"/>
      <c r="I37" s="551" t="s">
        <v>292</v>
      </c>
      <c r="J37" s="990">
        <f>J17</f>
        <v>0</v>
      </c>
      <c r="K37" s="1019">
        <f>K17</f>
        <v>8100</v>
      </c>
      <c r="L37" s="1005">
        <f>L17</f>
        <v>8100</v>
      </c>
      <c r="M37" s="981">
        <f>M17</f>
        <v>8100</v>
      </c>
    </row>
    <row r="38" spans="1:13" ht="16.5" customHeight="1" x14ac:dyDescent="0.25">
      <c r="A38" s="204" t="s">
        <v>459</v>
      </c>
      <c r="B38" s="708"/>
      <c r="C38" s="937"/>
      <c r="D38" s="955"/>
      <c r="E38" s="946"/>
      <c r="F38" s="896"/>
      <c r="G38" s="215"/>
      <c r="H38" s="229"/>
      <c r="I38" s="551" t="s">
        <v>293</v>
      </c>
      <c r="J38" s="990">
        <f>J19</f>
        <v>117952.39</v>
      </c>
      <c r="K38" s="1019">
        <f>K19</f>
        <v>0</v>
      </c>
      <c r="L38" s="1005">
        <f>L19</f>
        <v>0</v>
      </c>
      <c r="M38" s="981">
        <f>M19</f>
        <v>0</v>
      </c>
    </row>
    <row r="39" spans="1:13" ht="16.5" customHeight="1" x14ac:dyDescent="0.25">
      <c r="A39" s="205" t="s">
        <v>461</v>
      </c>
      <c r="B39" s="709"/>
      <c r="C39" s="912">
        <v>14711270.43</v>
      </c>
      <c r="D39" s="934">
        <f>C41</f>
        <v>15516670.348669738</v>
      </c>
      <c r="E39" s="923">
        <f>D41</f>
        <v>14059815.940322459</v>
      </c>
      <c r="F39" s="897">
        <f>E41</f>
        <v>13527762.869801983</v>
      </c>
      <c r="G39" s="215"/>
      <c r="H39" s="229"/>
      <c r="I39" s="551" t="s">
        <v>471</v>
      </c>
      <c r="J39" s="990">
        <v>961121.47</v>
      </c>
      <c r="K39" s="1020">
        <v>4859743</v>
      </c>
      <c r="L39" s="1006">
        <f>324621+300000</f>
        <v>624621</v>
      </c>
      <c r="M39" s="982">
        <v>200000</v>
      </c>
    </row>
    <row r="40" spans="1:13" ht="16.5" customHeight="1" x14ac:dyDescent="0.25">
      <c r="A40" s="205" t="s">
        <v>568</v>
      </c>
      <c r="B40" s="709"/>
      <c r="C40" s="938">
        <f>C36</f>
        <v>805399.91866973788</v>
      </c>
      <c r="D40" s="956">
        <f>D36</f>
        <v>-1456854.4083472788</v>
      </c>
      <c r="E40" s="947">
        <f>E36</f>
        <v>-532053.07052047551</v>
      </c>
      <c r="F40" s="898">
        <f>F36</f>
        <v>-2684123.5616759658</v>
      </c>
      <c r="G40" s="215"/>
      <c r="H40" s="230" t="s">
        <v>713</v>
      </c>
      <c r="I40" s="554"/>
      <c r="J40" s="991">
        <f>SUM(J23:J39)</f>
        <v>25123175.219999999</v>
      </c>
      <c r="K40" s="1021">
        <f>SUM(K23:K39)</f>
        <v>30693264.009999998</v>
      </c>
      <c r="L40" s="1007">
        <f>SUM(L23:L39)</f>
        <v>24086469.509999998</v>
      </c>
      <c r="M40" s="983">
        <f>SUM(M23:M39)</f>
        <v>24331733.973200001</v>
      </c>
    </row>
    <row r="41" spans="1:13" ht="16.5" customHeight="1" thickBot="1" x14ac:dyDescent="0.3">
      <c r="A41" s="235" t="s">
        <v>463</v>
      </c>
      <c r="B41" s="710"/>
      <c r="C41" s="939">
        <f>SUM(C39:C40)</f>
        <v>15516670.348669738</v>
      </c>
      <c r="D41" s="957">
        <f>SUM(D39:D40)</f>
        <v>14059815.940322459</v>
      </c>
      <c r="E41" s="948">
        <f>SUM(E39:E40)</f>
        <v>13527762.869801983</v>
      </c>
      <c r="F41" s="899">
        <f>SUM(F39:F40)</f>
        <v>10843639.308126017</v>
      </c>
      <c r="G41" s="215"/>
      <c r="H41" s="231" t="s">
        <v>564</v>
      </c>
      <c r="I41" s="555"/>
      <c r="J41" s="992">
        <f>J21-J40</f>
        <v>2153509.179999996</v>
      </c>
      <c r="K41" s="1022">
        <f>K21-K40</f>
        <v>-3576010.0599999987</v>
      </c>
      <c r="L41" s="1008">
        <f>L21-L40</f>
        <v>-483377.81365902722</v>
      </c>
      <c r="M41" s="984">
        <f>M21-M40</f>
        <v>-638164.7055532448</v>
      </c>
    </row>
    <row r="42" spans="1:13" ht="16.5" customHeight="1" thickTop="1" thickBot="1" x14ac:dyDescent="0.3">
      <c r="A42" s="234" t="s">
        <v>572</v>
      </c>
      <c r="B42" s="711"/>
      <c r="C42" s="940">
        <f>C41/J49</f>
        <v>0.20501356454595177</v>
      </c>
      <c r="D42" s="958">
        <f>D41/K49</f>
        <v>0.16666195702977488</v>
      </c>
      <c r="E42" s="949">
        <f>E41/L49</f>
        <v>0.17367701353879339</v>
      </c>
      <c r="F42" s="900">
        <f>F41/M49</f>
        <v>0.13529395172485986</v>
      </c>
      <c r="G42" s="215"/>
      <c r="H42" s="372"/>
      <c r="I42" s="373"/>
      <c r="J42" s="374"/>
      <c r="K42" s="1023"/>
      <c r="L42" s="375"/>
      <c r="M42" s="375"/>
    </row>
    <row r="43" spans="1:13" ht="16.5" customHeight="1" x14ac:dyDescent="0.25">
      <c r="A43" s="236"/>
      <c r="B43" s="712"/>
      <c r="C43" s="544"/>
      <c r="D43" s="959"/>
      <c r="E43" s="901"/>
      <c r="F43" s="902"/>
      <c r="G43" s="215"/>
      <c r="H43" s="216" t="s">
        <v>460</v>
      </c>
      <c r="I43" s="731"/>
      <c r="J43" s="993"/>
      <c r="K43" s="1024"/>
      <c r="L43" s="1009"/>
      <c r="M43" s="967"/>
    </row>
    <row r="44" spans="1:13" ht="16.5" customHeight="1" x14ac:dyDescent="0.25">
      <c r="A44" s="236"/>
      <c r="B44" s="712"/>
      <c r="C44" s="544"/>
      <c r="D44" s="959"/>
      <c r="E44" s="901"/>
      <c r="F44" s="902"/>
      <c r="G44" s="215"/>
      <c r="H44" s="208" t="s">
        <v>462</v>
      </c>
      <c r="I44" s="732"/>
      <c r="J44" s="994">
        <v>3745680.41</v>
      </c>
      <c r="K44" s="956">
        <f t="shared" ref="K44:M44" si="4">J46</f>
        <v>5899189.5899999961</v>
      </c>
      <c r="L44" s="947">
        <f t="shared" si="4"/>
        <v>2323179.5299999975</v>
      </c>
      <c r="M44" s="968">
        <f t="shared" si="4"/>
        <v>1839801.7163409702</v>
      </c>
    </row>
    <row r="45" spans="1:13" ht="16.5" customHeight="1" x14ac:dyDescent="0.25">
      <c r="A45" s="236"/>
      <c r="B45" s="712"/>
      <c r="C45" s="544"/>
      <c r="D45" s="959"/>
      <c r="E45" s="901"/>
      <c r="F45" s="902"/>
      <c r="G45" s="215"/>
      <c r="H45" s="217" t="s">
        <v>563</v>
      </c>
      <c r="I45" s="733"/>
      <c r="J45" s="995">
        <f>J21-J40</f>
        <v>2153509.179999996</v>
      </c>
      <c r="K45" s="1025">
        <f>K21-K40</f>
        <v>-3576010.0599999987</v>
      </c>
      <c r="L45" s="1010">
        <f>L21-L40</f>
        <v>-483377.81365902722</v>
      </c>
      <c r="M45" s="969">
        <f>M21-M40</f>
        <v>-638164.7055532448</v>
      </c>
    </row>
    <row r="46" spans="1:13" ht="16.5" customHeight="1" thickBot="1" x14ac:dyDescent="0.3">
      <c r="A46" s="206" t="s">
        <v>458</v>
      </c>
      <c r="B46" s="713"/>
      <c r="C46" s="941"/>
      <c r="D46" s="960"/>
      <c r="E46" s="950"/>
      <c r="F46" s="903"/>
      <c r="G46" s="215"/>
      <c r="H46" s="315" t="s">
        <v>444</v>
      </c>
      <c r="I46" s="316"/>
      <c r="J46" s="996">
        <f>SUM(J44:J45)</f>
        <v>5899189.5899999961</v>
      </c>
      <c r="K46" s="1026">
        <f>SUM(K44:K45)</f>
        <v>2323179.5299999975</v>
      </c>
      <c r="L46" s="1011">
        <f>SUM(L44:L45)</f>
        <v>1839801.7163409702</v>
      </c>
      <c r="M46" s="970">
        <f>SUM(M44:M45)</f>
        <v>1201637.0107877254</v>
      </c>
    </row>
    <row r="47" spans="1:13" ht="16.5" customHeight="1" thickTop="1" thickBot="1" x14ac:dyDescent="0.3">
      <c r="A47" s="207" t="s">
        <v>456</v>
      </c>
      <c r="B47" s="714"/>
      <c r="C47" s="942">
        <f>J49*0.03</f>
        <v>2270582.0051031546</v>
      </c>
      <c r="D47" s="961">
        <f>K49*0.03</f>
        <v>2530838.385237</v>
      </c>
      <c r="E47" s="951">
        <f>L49*0.03</f>
        <v>2336710.4133409718</v>
      </c>
      <c r="F47" s="904">
        <f>M49*0.03</f>
        <v>2404462.0997200566</v>
      </c>
      <c r="G47" s="210"/>
      <c r="H47" s="245"/>
      <c r="I47" s="245"/>
      <c r="J47" s="997"/>
      <c r="K47" s="959"/>
      <c r="L47" s="901"/>
      <c r="M47" s="971"/>
    </row>
    <row r="48" spans="1:13" ht="16.5" customHeight="1" x14ac:dyDescent="0.25">
      <c r="A48" s="246" t="s">
        <v>475</v>
      </c>
      <c r="B48" s="715"/>
      <c r="C48" s="942">
        <f>+'Data Comparisons'!C27</f>
        <v>2710022.63</v>
      </c>
      <c r="D48" s="961">
        <f>+'Data Comparisons'!D27</f>
        <v>860000</v>
      </c>
      <c r="E48" s="951">
        <f>+'Data Comparisons'!E27</f>
        <v>860000</v>
      </c>
      <c r="F48" s="904">
        <f>+'Data Comparisons'!F27</f>
        <v>860000</v>
      </c>
      <c r="G48" s="210"/>
      <c r="H48" s="232" t="s">
        <v>562</v>
      </c>
      <c r="I48" s="734"/>
      <c r="J48" s="998">
        <f>C19+J21</f>
        <v>78644975.935441539</v>
      </c>
      <c r="K48" s="1027">
        <f>D19+K21</f>
        <v>79328415.039552733</v>
      </c>
      <c r="L48" s="1012">
        <f>E19+L21</f>
        <v>76874916.227186233</v>
      </c>
      <c r="M48" s="972">
        <f>F19+M21</f>
        <v>76826448.390106007</v>
      </c>
    </row>
    <row r="49" spans="1:13" ht="16.5" customHeight="1" x14ac:dyDescent="0.25">
      <c r="A49" s="557" t="s">
        <v>443</v>
      </c>
      <c r="B49" s="558"/>
      <c r="C49" s="943">
        <f>SUM(C47:C48)</f>
        <v>4980604.6351031549</v>
      </c>
      <c r="D49" s="962">
        <f>SUM(D47:D48)</f>
        <v>3390838.385237</v>
      </c>
      <c r="E49" s="952">
        <f>SUM(E47:E48)</f>
        <v>3196710.4133409718</v>
      </c>
      <c r="F49" s="905">
        <f>SUM(F47:F48)</f>
        <v>3264462.0997200566</v>
      </c>
      <c r="G49" s="210"/>
      <c r="H49" s="233" t="s">
        <v>561</v>
      </c>
      <c r="I49" s="14"/>
      <c r="J49" s="999">
        <f>C35+J40</f>
        <v>75686066.836771816</v>
      </c>
      <c r="K49" s="1028">
        <f>D35+K40</f>
        <v>84361279.5079</v>
      </c>
      <c r="L49" s="1013">
        <f>E35+L40</f>
        <v>77890347.111365736</v>
      </c>
      <c r="M49" s="973">
        <f>F35+M40</f>
        <v>80148736.657335222</v>
      </c>
    </row>
    <row r="50" spans="1:13" ht="16.5" customHeight="1" thickBot="1" x14ac:dyDescent="0.3">
      <c r="A50" s="212" t="s">
        <v>569</v>
      </c>
      <c r="B50" s="716"/>
      <c r="C50" s="944">
        <f>C41-C49</f>
        <v>10536065.713566583</v>
      </c>
      <c r="D50" s="963">
        <f>D41-D49</f>
        <v>10668977.555085458</v>
      </c>
      <c r="E50" s="953">
        <f>E41-E49</f>
        <v>10331052.456461012</v>
      </c>
      <c r="F50" s="906">
        <f>F41-F49</f>
        <v>7579177.2084059604</v>
      </c>
      <c r="G50" s="370"/>
      <c r="H50" s="233" t="s">
        <v>426</v>
      </c>
      <c r="I50" s="14"/>
      <c r="J50" s="1000">
        <f>J48-J49</f>
        <v>2958909.0986697227</v>
      </c>
      <c r="K50" s="1029">
        <f>K48-K49</f>
        <v>-5032864.4683472663</v>
      </c>
      <c r="L50" s="1014">
        <f>L48-L49</f>
        <v>-1015430.8841795027</v>
      </c>
      <c r="M50" s="974">
        <f>M48-M49</f>
        <v>-3322288.2672292143</v>
      </c>
    </row>
    <row r="51" spans="1:13" ht="16.5" customHeight="1" thickTop="1" thickBot="1" x14ac:dyDescent="0.3">
      <c r="A51" s="209" t="s">
        <v>573</v>
      </c>
      <c r="B51" s="717"/>
      <c r="C51" s="945">
        <f>C50/J49</f>
        <v>0.13920746781952834</v>
      </c>
      <c r="D51" s="964">
        <f>D50/K49</f>
        <v>0.1264677067171126</v>
      </c>
      <c r="E51" s="954">
        <f>E50/L49</f>
        <v>0.13263585077737455</v>
      </c>
      <c r="F51" s="907">
        <f>F50/M49</f>
        <v>9.4563901123104144E-2</v>
      </c>
      <c r="G51" s="371"/>
      <c r="H51" s="556" t="s">
        <v>427</v>
      </c>
      <c r="I51" s="735"/>
      <c r="J51" s="1001">
        <f>C41+J46</f>
        <v>21415859.938669734</v>
      </c>
      <c r="K51" s="1030">
        <f>D41+K46</f>
        <v>16382995.470322456</v>
      </c>
      <c r="L51" s="1015">
        <f>E41+L46</f>
        <v>15367564.586142953</v>
      </c>
      <c r="M51" s="975">
        <f>F41+M46</f>
        <v>12045276.318913743</v>
      </c>
    </row>
    <row r="52" spans="1:13" ht="16.5" customHeight="1" x14ac:dyDescent="0.25">
      <c r="G52" s="306"/>
      <c r="H52" s="560"/>
      <c r="I52" s="560"/>
      <c r="J52" s="560"/>
      <c r="K52" s="560"/>
      <c r="L52" s="560"/>
      <c r="M52" s="560"/>
    </row>
    <row r="53" spans="1:13" ht="16.5" customHeight="1" x14ac:dyDescent="0.25">
      <c r="G53" s="4"/>
      <c r="J53" s="75"/>
      <c r="K53" s="75"/>
      <c r="L53" s="75"/>
      <c r="M53" s="75"/>
    </row>
    <row r="54" spans="1:13" ht="16.5" customHeight="1" x14ac:dyDescent="0.25">
      <c r="G54" s="4"/>
      <c r="J54" s="75"/>
      <c r="K54" s="75"/>
      <c r="L54" s="75"/>
      <c r="M54" s="75"/>
    </row>
    <row r="55" spans="1:13" ht="16.5" customHeight="1" x14ac:dyDescent="0.25">
      <c r="G55" s="4"/>
    </row>
    <row r="56" spans="1:13" ht="14.25" customHeight="1" x14ac:dyDescent="0.25">
      <c r="I56" s="211"/>
    </row>
  </sheetData>
  <sheetProtection password="DBAD" sheet="1" objects="1" scenarios="1"/>
  <phoneticPr fontId="7" type="noConversion"/>
  <printOptions horizontalCentered="1"/>
  <pageMargins left="0" right="0.5" top="0.4" bottom="0.4" header="0.25" footer="0.25"/>
  <pageSetup paperSize="3" scale="88" orientation="landscape" horizontalDpi="300" verticalDpi="300" r:id="rId1"/>
  <headerFooter alignWithMargins="0">
    <oddHeader>&amp;L&amp;"Arial,Bold"&amp;11GENERAL FUND</oddHeader>
    <oddFooter>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workbookViewId="0">
      <pane xSplit="1" topLeftCell="B1" activePane="topRight" state="frozen"/>
      <selection activeCell="A47" sqref="A47"/>
      <selection pane="topRight" activeCell="B1" sqref="B1"/>
    </sheetView>
  </sheetViews>
  <sheetFormatPr defaultColWidth="9.109375" defaultRowHeight="13.8" x14ac:dyDescent="0.25"/>
  <cols>
    <col min="1" max="1" width="39.109375" style="73" customWidth="1"/>
    <col min="2" max="17" width="12.33203125" style="73" customWidth="1"/>
    <col min="18" max="16384" width="9.109375" style="73"/>
  </cols>
  <sheetData>
    <row r="1" spans="1:17" ht="14.4" thickBot="1" x14ac:dyDescent="0.3">
      <c r="A1" s="65" t="s">
        <v>370</v>
      </c>
    </row>
    <row r="2" spans="1:17" ht="14.4" thickBot="1" x14ac:dyDescent="0.3">
      <c r="A2" s="349"/>
      <c r="B2" s="1156" t="s">
        <v>303</v>
      </c>
      <c r="C2" s="1157"/>
      <c r="D2" s="1157"/>
      <c r="E2" s="1158"/>
      <c r="F2" s="1159" t="s">
        <v>339</v>
      </c>
      <c r="G2" s="1147"/>
      <c r="H2" s="1147"/>
      <c r="I2" s="1147"/>
      <c r="J2" s="1152" t="s">
        <v>467</v>
      </c>
      <c r="K2" s="1147"/>
      <c r="L2" s="1147"/>
      <c r="M2" s="1148"/>
      <c r="N2" s="1147" t="s">
        <v>614</v>
      </c>
      <c r="O2" s="1147"/>
      <c r="P2" s="1147"/>
      <c r="Q2" s="1148"/>
    </row>
    <row r="3" spans="1:17" ht="14.4" thickBot="1" x14ac:dyDescent="0.3">
      <c r="A3" s="350"/>
      <c r="B3" s="380" t="s">
        <v>315</v>
      </c>
      <c r="C3" s="381" t="s">
        <v>316</v>
      </c>
      <c r="D3" s="382" t="s">
        <v>317</v>
      </c>
      <c r="E3" s="383" t="s">
        <v>387</v>
      </c>
      <c r="F3" s="97" t="s">
        <v>315</v>
      </c>
      <c r="G3" s="88" t="s">
        <v>316</v>
      </c>
      <c r="H3" s="136" t="s">
        <v>317</v>
      </c>
      <c r="I3" s="564" t="s">
        <v>388</v>
      </c>
      <c r="J3" s="576" t="s">
        <v>315</v>
      </c>
      <c r="K3" s="88" t="s">
        <v>316</v>
      </c>
      <c r="L3" s="136" t="s">
        <v>317</v>
      </c>
      <c r="M3" s="154" t="s">
        <v>388</v>
      </c>
      <c r="N3" s="97" t="s">
        <v>315</v>
      </c>
      <c r="O3" s="88" t="s">
        <v>316</v>
      </c>
      <c r="P3" s="136" t="s">
        <v>317</v>
      </c>
      <c r="Q3" s="154" t="s">
        <v>388</v>
      </c>
    </row>
    <row r="4" spans="1:17" ht="14.4" x14ac:dyDescent="0.3">
      <c r="A4" s="351" t="s">
        <v>379</v>
      </c>
      <c r="B4" s="384">
        <v>3365.43</v>
      </c>
      <c r="C4" s="385">
        <v>2738.02</v>
      </c>
      <c r="D4" s="386">
        <v>1944.2</v>
      </c>
      <c r="E4" s="387">
        <f>SUM(B4:D4)</f>
        <v>8047.65</v>
      </c>
      <c r="F4" s="129">
        <v>3301.76</v>
      </c>
      <c r="G4" s="134">
        <v>2664.99</v>
      </c>
      <c r="H4" s="130">
        <v>1988.01</v>
      </c>
      <c r="I4" s="565">
        <f>SUM(F4:H4)</f>
        <v>7954.76</v>
      </c>
      <c r="J4" s="577">
        <v>3310.21</v>
      </c>
      <c r="K4" s="134">
        <v>2617.9899999999998</v>
      </c>
      <c r="L4" s="130">
        <v>1948.26</v>
      </c>
      <c r="M4" s="142">
        <f>SUM(J4:L4)</f>
        <v>7876.46</v>
      </c>
      <c r="N4" s="575">
        <v>3409.53</v>
      </c>
      <c r="O4" s="134">
        <v>2471.9899999999998</v>
      </c>
      <c r="P4" s="130">
        <v>1898.31</v>
      </c>
      <c r="Q4" s="142">
        <f>SUM(N4:P4)</f>
        <v>7779.83</v>
      </c>
    </row>
    <row r="5" spans="1:17" ht="14.4" x14ac:dyDescent="0.3">
      <c r="A5" s="352" t="s">
        <v>319</v>
      </c>
      <c r="B5" s="388">
        <v>7011</v>
      </c>
      <c r="C5" s="389">
        <v>7116</v>
      </c>
      <c r="D5" s="390">
        <v>7328</v>
      </c>
      <c r="E5" s="391"/>
      <c r="F5" s="98">
        <f>B8</f>
        <v>7083</v>
      </c>
      <c r="G5" s="85">
        <f>C8</f>
        <v>7189</v>
      </c>
      <c r="H5" s="137">
        <f>D8</f>
        <v>7403</v>
      </c>
      <c r="I5" s="566"/>
      <c r="J5" s="578">
        <f>F8</f>
        <v>7083</v>
      </c>
      <c r="K5" s="85">
        <f>G8</f>
        <v>7189</v>
      </c>
      <c r="L5" s="137">
        <f>H8</f>
        <v>7403</v>
      </c>
      <c r="M5" s="143"/>
      <c r="N5" s="98">
        <f>J8</f>
        <v>7162</v>
      </c>
      <c r="O5" s="85">
        <f>K8</f>
        <v>7269</v>
      </c>
      <c r="P5" s="137">
        <f>L8</f>
        <v>7485</v>
      </c>
      <c r="Q5" s="143"/>
    </row>
    <row r="6" spans="1:17" ht="14.4" x14ac:dyDescent="0.3">
      <c r="A6" s="352" t="s">
        <v>381</v>
      </c>
      <c r="B6" s="392">
        <v>1.0200000000000001E-2</v>
      </c>
      <c r="C6" s="393">
        <f>B6</f>
        <v>1.0200000000000001E-2</v>
      </c>
      <c r="D6" s="394">
        <f>B6</f>
        <v>1.0200000000000001E-2</v>
      </c>
      <c r="E6" s="395"/>
      <c r="F6" s="561">
        <v>0</v>
      </c>
      <c r="G6" s="562">
        <f>F6</f>
        <v>0</v>
      </c>
      <c r="H6" s="563">
        <f>F6</f>
        <v>0</v>
      </c>
      <c r="I6" s="567"/>
      <c r="J6" s="681">
        <v>1.11E-2</v>
      </c>
      <c r="K6" s="682">
        <f>J6</f>
        <v>1.11E-2</v>
      </c>
      <c r="L6" s="683">
        <f>J6</f>
        <v>1.11E-2</v>
      </c>
      <c r="M6" s="144"/>
      <c r="N6" s="684">
        <v>2.4199999999999999E-2</v>
      </c>
      <c r="O6" s="682">
        <f>N6</f>
        <v>2.4199999999999999E-2</v>
      </c>
      <c r="P6" s="683">
        <f>N6</f>
        <v>2.4199999999999999E-2</v>
      </c>
      <c r="Q6" s="144"/>
    </row>
    <row r="7" spans="1:17" ht="14.4" x14ac:dyDescent="0.3">
      <c r="A7" s="352" t="s">
        <v>380</v>
      </c>
      <c r="B7" s="388">
        <f>+ROUND(B5*B6,0)</f>
        <v>72</v>
      </c>
      <c r="C7" s="396">
        <f t="shared" ref="C7:D7" si="0">+ROUND(C5*C6,0)</f>
        <v>73</v>
      </c>
      <c r="D7" s="397">
        <f t="shared" si="0"/>
        <v>75</v>
      </c>
      <c r="E7" s="398"/>
      <c r="F7" s="98">
        <v>0</v>
      </c>
      <c r="G7" s="98">
        <v>0</v>
      </c>
      <c r="H7" s="98">
        <v>0</v>
      </c>
      <c r="I7" s="568"/>
      <c r="J7" s="578">
        <f>+ROUND(J5*J6,0)</f>
        <v>79</v>
      </c>
      <c r="K7" s="86">
        <f t="shared" ref="K7:L7" si="1">+ROUND(K5*K6,0)</f>
        <v>80</v>
      </c>
      <c r="L7" s="138">
        <f t="shared" si="1"/>
        <v>82</v>
      </c>
      <c r="M7" s="145"/>
      <c r="N7" s="98">
        <f>+ROUND(N5*N6,0)</f>
        <v>173</v>
      </c>
      <c r="O7" s="98">
        <f t="shared" ref="O7:P7" si="2">+ROUND(O5*O6,0)</f>
        <v>176</v>
      </c>
      <c r="P7" s="98">
        <f t="shared" si="2"/>
        <v>181</v>
      </c>
      <c r="Q7" s="145"/>
    </row>
    <row r="8" spans="1:17" ht="14.4" x14ac:dyDescent="0.3">
      <c r="A8" s="351" t="s">
        <v>318</v>
      </c>
      <c r="B8" s="399">
        <f>B7+B5</f>
        <v>7083</v>
      </c>
      <c r="C8" s="400">
        <f t="shared" ref="C8:D8" si="3">C7+C5</f>
        <v>7189</v>
      </c>
      <c r="D8" s="401">
        <f t="shared" si="3"/>
        <v>7403</v>
      </c>
      <c r="E8" s="402"/>
      <c r="F8" s="99">
        <f>F5+F7</f>
        <v>7083</v>
      </c>
      <c r="G8" s="87">
        <f>G5+G7</f>
        <v>7189</v>
      </c>
      <c r="H8" s="139">
        <f>H5+H7</f>
        <v>7403</v>
      </c>
      <c r="I8" s="569"/>
      <c r="J8" s="579">
        <f>J7+J5</f>
        <v>7162</v>
      </c>
      <c r="K8" s="87">
        <f t="shared" ref="K8:L8" si="4">K7+K5</f>
        <v>7269</v>
      </c>
      <c r="L8" s="139">
        <f t="shared" si="4"/>
        <v>7485</v>
      </c>
      <c r="M8" s="146"/>
      <c r="N8" s="99">
        <f>N7+N5</f>
        <v>7335</v>
      </c>
      <c r="O8" s="87">
        <f t="shared" ref="O8:P8" si="5">O7+O5</f>
        <v>7445</v>
      </c>
      <c r="P8" s="139">
        <f t="shared" si="5"/>
        <v>7666</v>
      </c>
      <c r="Q8" s="146"/>
    </row>
    <row r="9" spans="1:17" ht="14.4" x14ac:dyDescent="0.3">
      <c r="A9" s="351" t="s">
        <v>314</v>
      </c>
      <c r="B9" s="403">
        <v>737</v>
      </c>
      <c r="C9" s="400"/>
      <c r="D9" s="401"/>
      <c r="E9" s="402"/>
      <c r="F9" s="82">
        <v>737</v>
      </c>
      <c r="G9" s="87"/>
      <c r="H9" s="139"/>
      <c r="I9" s="569"/>
      <c r="J9" s="580">
        <f>ROUND(+F9*(1+J6),0)</f>
        <v>745</v>
      </c>
      <c r="K9" s="87"/>
      <c r="L9" s="139"/>
      <c r="M9" s="146"/>
      <c r="N9" s="580">
        <f>ROUND(+J9*(1+N6),0)</f>
        <v>763</v>
      </c>
      <c r="O9" s="87"/>
      <c r="P9" s="139"/>
      <c r="Q9" s="146"/>
    </row>
    <row r="10" spans="1:17" ht="14.4" x14ac:dyDescent="0.3">
      <c r="A10" s="351" t="s">
        <v>382</v>
      </c>
      <c r="B10" s="399">
        <f>SUM(B8:B9)</f>
        <v>7820</v>
      </c>
      <c r="C10" s="400">
        <f t="shared" ref="C10:D10" si="6">SUM(C8:C9)</f>
        <v>7189</v>
      </c>
      <c r="D10" s="401">
        <f t="shared" si="6"/>
        <v>7403</v>
      </c>
      <c r="E10" s="402"/>
      <c r="F10" s="99">
        <f>SUM(F8:F9)</f>
        <v>7820</v>
      </c>
      <c r="G10" s="87">
        <f>SUM(G8:G9)</f>
        <v>7189</v>
      </c>
      <c r="H10" s="139">
        <f>SUM(H8:H9)</f>
        <v>7403</v>
      </c>
      <c r="I10" s="569"/>
      <c r="J10" s="579">
        <f>SUM(J8:J9)</f>
        <v>7907</v>
      </c>
      <c r="K10" s="87">
        <f t="shared" ref="K10:L10" si="7">SUM(K8:K9)</f>
        <v>7269</v>
      </c>
      <c r="L10" s="139">
        <f t="shared" si="7"/>
        <v>7485</v>
      </c>
      <c r="M10" s="146"/>
      <c r="N10" s="99">
        <f>SUM(N8:N9)</f>
        <v>8098</v>
      </c>
      <c r="O10" s="87">
        <f t="shared" ref="O10:P10" si="8">SUM(O8:O9)</f>
        <v>7445</v>
      </c>
      <c r="P10" s="139">
        <f t="shared" si="8"/>
        <v>7666</v>
      </c>
      <c r="Q10" s="146"/>
    </row>
    <row r="11" spans="1:17" ht="14.4" x14ac:dyDescent="0.3">
      <c r="A11" s="351" t="s">
        <v>383</v>
      </c>
      <c r="B11" s="399">
        <f>B10*B4</f>
        <v>26317662.599999998</v>
      </c>
      <c r="C11" s="400">
        <f>C4*C10</f>
        <v>19683625.780000001</v>
      </c>
      <c r="D11" s="401">
        <f>D4*D10</f>
        <v>14392912.6</v>
      </c>
      <c r="E11" s="402">
        <f>SUM(B11:D11)</f>
        <v>60394200.979999997</v>
      </c>
      <c r="F11" s="694">
        <f>F10*F4</f>
        <v>25819763.200000003</v>
      </c>
      <c r="G11" s="695">
        <f>G4*G10</f>
        <v>19158613.109999999</v>
      </c>
      <c r="H11" s="696">
        <f>H4*H10</f>
        <v>14717238.029999999</v>
      </c>
      <c r="I11" s="697">
        <f>SUM(F11:H11)</f>
        <v>59695614.340000004</v>
      </c>
      <c r="J11" s="694">
        <f>J10*J4</f>
        <v>26173830.469999999</v>
      </c>
      <c r="K11" s="695">
        <f>K4*K10</f>
        <v>19030169.309999999</v>
      </c>
      <c r="L11" s="696">
        <f>L4*L10</f>
        <v>14582726.1</v>
      </c>
      <c r="M11" s="697">
        <f>SUM(J11:L11)</f>
        <v>59786725.880000003</v>
      </c>
      <c r="N11" s="694">
        <f>N10*N4</f>
        <v>27610373.940000001</v>
      </c>
      <c r="O11" s="695">
        <f>O4*O10</f>
        <v>18403965.549999997</v>
      </c>
      <c r="P11" s="696">
        <f>P4*P10</f>
        <v>14552444.459999999</v>
      </c>
      <c r="Q11" s="697">
        <f>SUM(N11:P11)</f>
        <v>60566783.949999996</v>
      </c>
    </row>
    <row r="12" spans="1:17" ht="14.4" x14ac:dyDescent="0.3">
      <c r="A12" s="351" t="s">
        <v>384</v>
      </c>
      <c r="B12" s="404">
        <v>0.5514</v>
      </c>
      <c r="C12" s="405">
        <f>B12</f>
        <v>0.5514</v>
      </c>
      <c r="D12" s="406">
        <f>B12</f>
        <v>0.5514</v>
      </c>
      <c r="E12" s="407"/>
      <c r="F12" s="131">
        <v>0.54649999999999999</v>
      </c>
      <c r="G12" s="132">
        <f>F12</f>
        <v>0.54649999999999999</v>
      </c>
      <c r="H12" s="140">
        <f>F12</f>
        <v>0.54649999999999999</v>
      </c>
      <c r="I12" s="570"/>
      <c r="J12" s="581">
        <v>0.54669999999999996</v>
      </c>
      <c r="K12" s="132">
        <f>J12</f>
        <v>0.54669999999999996</v>
      </c>
      <c r="L12" s="140">
        <f>J12</f>
        <v>0.54669999999999996</v>
      </c>
      <c r="M12" s="147"/>
      <c r="N12" s="131">
        <v>0.54349999999999998</v>
      </c>
      <c r="O12" s="132">
        <f>N12</f>
        <v>0.54349999999999998</v>
      </c>
      <c r="P12" s="140">
        <f>N12</f>
        <v>0.54349999999999998</v>
      </c>
      <c r="Q12" s="147"/>
    </row>
    <row r="13" spans="1:17" ht="14.4" x14ac:dyDescent="0.3">
      <c r="A13" s="351" t="s">
        <v>331</v>
      </c>
      <c r="B13" s="399">
        <f>+B10*0.2*B12*B4</f>
        <v>2902311.8315279996</v>
      </c>
      <c r="C13" s="400">
        <f>+C10*0.2*C12*C4</f>
        <v>2170710.2510184003</v>
      </c>
      <c r="D13" s="401">
        <f t="shared" ref="D13" si="9">+D10*0.2*D12*D4</f>
        <v>1587250.4015280001</v>
      </c>
      <c r="E13" s="402">
        <f>SUM(B13:D13)</f>
        <v>6660272.4840743998</v>
      </c>
      <c r="F13" s="99">
        <f>+F10*0.2*F12*F4</f>
        <v>2822100.1177600003</v>
      </c>
      <c r="G13" s="87">
        <f>+G10*0.2*G12*G4</f>
        <v>2094036.4129230001</v>
      </c>
      <c r="H13" s="139">
        <f t="shared" ref="H13" si="10">+H10*0.2*H12*H4</f>
        <v>1608594.1166790002</v>
      </c>
      <c r="I13" s="569">
        <f>SUM(F13:H13)</f>
        <v>6524730.6473620012</v>
      </c>
      <c r="J13" s="579">
        <f>+J10*0.2*J12*J4</f>
        <v>2861846.6235898002</v>
      </c>
      <c r="K13" s="87">
        <f>+K10*0.2*K12*K4</f>
        <v>2080758.7123553997</v>
      </c>
      <c r="L13" s="139">
        <f t="shared" ref="L13" si="11">+L10*0.2*L12*L4</f>
        <v>1594475.271774</v>
      </c>
      <c r="M13" s="146">
        <f>SUM(J13:L13)</f>
        <v>6537080.6077191997</v>
      </c>
      <c r="N13" s="99">
        <f>+N10*0.2*N12*N4</f>
        <v>3001247.6472780001</v>
      </c>
      <c r="O13" s="87">
        <f>+O10*0.2*O12*O4</f>
        <v>2000511.0552849998</v>
      </c>
      <c r="P13" s="139">
        <f t="shared" ref="P13" si="12">+P10*0.2*P12*P4</f>
        <v>1581850.7128020001</v>
      </c>
      <c r="Q13" s="146">
        <f>SUM(N13:P13)</f>
        <v>6583609.4153650003</v>
      </c>
    </row>
    <row r="14" spans="1:17" ht="14.4" x14ac:dyDescent="0.3">
      <c r="A14" s="351" t="s">
        <v>330</v>
      </c>
      <c r="B14" s="399">
        <f>IF(B12&gt;0.55,(B12-0.55)*B10*0.5*B4,0)</f>
        <v>18422.363819999431</v>
      </c>
      <c r="C14" s="399">
        <f t="shared" ref="C14:D14" si="13">IF(C12&gt;0.55,(C12-0.55)*C10*0.5*C4,0)</f>
        <v>13778.538045999574</v>
      </c>
      <c r="D14" s="399">
        <f t="shared" si="13"/>
        <v>10075.038819999691</v>
      </c>
      <c r="E14" s="402">
        <f>SUM(B14:D14)</f>
        <v>42275.940685998692</v>
      </c>
      <c r="F14" s="99">
        <f>IF(F12&gt;0.55,(F12-0.55)*F10*0.5*F4,0)</f>
        <v>0</v>
      </c>
      <c r="G14" s="99">
        <f t="shared" ref="G14:H14" si="14">IF(G12&gt;0.55,(G12-0.55)*G10*0.5*G4,0)</f>
        <v>0</v>
      </c>
      <c r="H14" s="99">
        <f t="shared" si="14"/>
        <v>0</v>
      </c>
      <c r="I14" s="569">
        <f>SUM(F14:H14)</f>
        <v>0</v>
      </c>
      <c r="J14" s="579">
        <f>IF(J12&gt;0.55,(J12-0.55)*J10*0.5*J4,)</f>
        <v>0</v>
      </c>
      <c r="K14" s="99">
        <f t="shared" ref="K14:L14" si="15">IF(K12&gt;0.55,(K12-0.55)*K10*0.5*K4,0)</f>
        <v>0</v>
      </c>
      <c r="L14" s="99">
        <f t="shared" si="15"/>
        <v>0</v>
      </c>
      <c r="M14" s="146">
        <f>SUM(J14:L14)</f>
        <v>0</v>
      </c>
      <c r="N14" s="99">
        <f>IF(N12&gt;0.55,(N12-0.55)*N10*0.5*N4,0)</f>
        <v>0</v>
      </c>
      <c r="O14" s="99">
        <f t="shared" ref="O14:P14" si="16">IF(O12&gt;0.55,(O12-0.55)*O10*0.5*O4,0)</f>
        <v>0</v>
      </c>
      <c r="P14" s="99">
        <f t="shared" si="16"/>
        <v>0</v>
      </c>
      <c r="Q14" s="135">
        <f>SUM(N14:P14)</f>
        <v>0</v>
      </c>
    </row>
    <row r="15" spans="1:17" x14ac:dyDescent="0.25">
      <c r="A15" s="353" t="s">
        <v>327</v>
      </c>
      <c r="B15" s="408">
        <f>ROUND(B11+B13+B14,0)</f>
        <v>29238397</v>
      </c>
      <c r="C15" s="409">
        <f t="shared" ref="C15:D15" si="17">ROUND(C11+C13+C14,0)</f>
        <v>21868115</v>
      </c>
      <c r="D15" s="410">
        <f t="shared" si="17"/>
        <v>15990238</v>
      </c>
      <c r="E15" s="411">
        <f>SUM(B15:D15)</f>
        <v>67096750</v>
      </c>
      <c r="F15" s="100">
        <f>F11+F13+F14</f>
        <v>28641863.317760002</v>
      </c>
      <c r="G15" s="89">
        <f>G11+G13+G14</f>
        <v>21252649.522923</v>
      </c>
      <c r="H15" s="141">
        <f>H11+H13+H14</f>
        <v>16325832.146678999</v>
      </c>
      <c r="I15" s="571">
        <f>SUM(F15:H15)</f>
        <v>66220344.987361997</v>
      </c>
      <c r="J15" s="582">
        <f>J11+J13+J14</f>
        <v>29035677.093589798</v>
      </c>
      <c r="K15" s="89">
        <f>K11+K13+K14</f>
        <v>21110928.0223554</v>
      </c>
      <c r="L15" s="141">
        <f>L11+L13+L14</f>
        <v>16177201.371773999</v>
      </c>
      <c r="M15" s="148">
        <f>SUM(J15:L15)</f>
        <v>66323806.487719193</v>
      </c>
      <c r="N15" s="100">
        <f>N11+N13+N14</f>
        <v>30611621.587278001</v>
      </c>
      <c r="O15" s="89">
        <f>O11+O13+O14</f>
        <v>20404476.605284996</v>
      </c>
      <c r="P15" s="141">
        <f>P11+P13+P14</f>
        <v>16134295.172801999</v>
      </c>
      <c r="Q15" s="148">
        <f>SUM(N15:P15)+1</f>
        <v>67150394.365364999</v>
      </c>
    </row>
    <row r="16" spans="1:17" ht="14.4" x14ac:dyDescent="0.3">
      <c r="A16" s="351" t="s">
        <v>322</v>
      </c>
      <c r="B16" s="403"/>
      <c r="C16" s="412"/>
      <c r="D16" s="413"/>
      <c r="E16" s="414">
        <v>446043</v>
      </c>
      <c r="F16" s="82"/>
      <c r="G16" s="106"/>
      <c r="H16" s="107"/>
      <c r="I16" s="572">
        <v>446043</v>
      </c>
      <c r="J16" s="580"/>
      <c r="K16" s="106"/>
      <c r="L16" s="107"/>
      <c r="M16" s="149">
        <v>446043</v>
      </c>
      <c r="N16" s="82"/>
      <c r="O16" s="106"/>
      <c r="P16" s="107"/>
      <c r="Q16" s="149">
        <v>446043</v>
      </c>
    </row>
    <row r="17" spans="1:17" x14ac:dyDescent="0.25">
      <c r="A17" s="351" t="s">
        <v>321</v>
      </c>
      <c r="B17" s="403"/>
      <c r="C17" s="403"/>
      <c r="D17" s="415"/>
      <c r="E17" s="416">
        <v>200268</v>
      </c>
      <c r="F17" s="82"/>
      <c r="G17" s="82"/>
      <c r="H17" s="133"/>
      <c r="I17" s="572">
        <v>200268</v>
      </c>
      <c r="J17" s="580"/>
      <c r="K17" s="82"/>
      <c r="L17" s="133"/>
      <c r="M17" s="149">
        <v>200268</v>
      </c>
      <c r="N17" s="82"/>
      <c r="O17" s="82"/>
      <c r="P17" s="133"/>
      <c r="Q17" s="149">
        <v>200268</v>
      </c>
    </row>
    <row r="18" spans="1:17" x14ac:dyDescent="0.25">
      <c r="A18" s="354" t="s">
        <v>320</v>
      </c>
      <c r="B18" s="403"/>
      <c r="C18" s="403"/>
      <c r="D18" s="403"/>
      <c r="E18" s="417">
        <f>SUM(E15:E17)</f>
        <v>67743061</v>
      </c>
      <c r="F18" s="82"/>
      <c r="G18" s="82"/>
      <c r="H18" s="82"/>
      <c r="I18" s="573">
        <f>SUM(I15:I17)+1</f>
        <v>66866656.987361997</v>
      </c>
      <c r="J18" s="580"/>
      <c r="K18" s="82"/>
      <c r="L18" s="82"/>
      <c r="M18" s="150">
        <f>SUM(M15:M17)</f>
        <v>66970117.487719193</v>
      </c>
      <c r="N18" s="82"/>
      <c r="O18" s="82"/>
      <c r="P18" s="82"/>
      <c r="Q18" s="150">
        <f>SUM(Q15:Q17)</f>
        <v>67796705.365364999</v>
      </c>
    </row>
    <row r="19" spans="1:17" x14ac:dyDescent="0.25">
      <c r="A19" s="351" t="s">
        <v>332</v>
      </c>
      <c r="B19" s="418"/>
      <c r="C19" s="418"/>
      <c r="D19" s="403"/>
      <c r="E19" s="419">
        <v>54214936</v>
      </c>
      <c r="F19" s="90"/>
      <c r="G19" s="90"/>
      <c r="H19" s="82"/>
      <c r="I19" s="574">
        <v>60651558</v>
      </c>
      <c r="J19" s="583"/>
      <c r="K19" s="90"/>
      <c r="L19" s="82"/>
      <c r="M19" s="151">
        <v>63444299</v>
      </c>
      <c r="N19" s="90"/>
      <c r="O19" s="90"/>
      <c r="P19" s="82"/>
      <c r="Q19" s="151">
        <v>65277105</v>
      </c>
    </row>
    <row r="20" spans="1:17" x14ac:dyDescent="0.25">
      <c r="A20" s="351" t="s">
        <v>328</v>
      </c>
      <c r="B20" s="420"/>
      <c r="C20" s="403"/>
      <c r="D20" s="421"/>
      <c r="E20" s="422">
        <f>E18-E19</f>
        <v>13528125</v>
      </c>
      <c r="F20" s="108"/>
      <c r="G20" s="82"/>
      <c r="H20" s="15"/>
      <c r="I20" s="155">
        <f>I18-I19-1</f>
        <v>6215097.9873619974</v>
      </c>
      <c r="J20" s="108"/>
      <c r="K20" s="82"/>
      <c r="L20" s="15"/>
      <c r="M20" s="155">
        <f>M18-M19</f>
        <v>3525818.4877191931</v>
      </c>
      <c r="N20" s="108"/>
      <c r="O20" s="82"/>
      <c r="P20" s="15"/>
      <c r="Q20" s="155">
        <f>Q18-Q19</f>
        <v>2519600.3653649986</v>
      </c>
    </row>
    <row r="21" spans="1:17" x14ac:dyDescent="0.25">
      <c r="A21" s="355" t="s">
        <v>329</v>
      </c>
      <c r="B21" s="423"/>
      <c r="C21" s="403"/>
      <c r="D21" s="421"/>
      <c r="E21" s="424">
        <v>0.52557615970000005</v>
      </c>
      <c r="F21" s="94"/>
      <c r="G21" s="82"/>
      <c r="H21" s="15"/>
      <c r="I21" s="238">
        <v>0.54179999999999995</v>
      </c>
      <c r="J21" s="94"/>
      <c r="K21" s="82"/>
      <c r="L21" s="15"/>
      <c r="M21" s="238">
        <v>0.72989999999999999</v>
      </c>
      <c r="N21" s="94"/>
      <c r="O21" s="82"/>
      <c r="P21" s="15"/>
      <c r="Q21" s="238">
        <v>0.40360000000000001</v>
      </c>
    </row>
    <row r="22" spans="1:17" x14ac:dyDescent="0.25">
      <c r="A22" s="355" t="s">
        <v>778</v>
      </c>
      <c r="B22" s="425"/>
      <c r="C22" s="403"/>
      <c r="D22" s="421"/>
      <c r="E22" s="426">
        <f>E20*E21</f>
        <v>7110059.9854415627</v>
      </c>
      <c r="F22" s="93"/>
      <c r="G22" s="82"/>
      <c r="H22" s="15"/>
      <c r="I22" s="152">
        <f>I20*I21</f>
        <v>3367340.0895527299</v>
      </c>
      <c r="J22" s="93"/>
      <c r="K22" s="82"/>
      <c r="L22" s="15"/>
      <c r="M22" s="152">
        <f>M20*M21</f>
        <v>2573494.9141862392</v>
      </c>
      <c r="N22" s="93"/>
      <c r="O22" s="82"/>
      <c r="P22" s="15"/>
      <c r="Q22" s="152">
        <f>Q20*Q21</f>
        <v>1016910.7074613135</v>
      </c>
    </row>
    <row r="23" spans="1:17" x14ac:dyDescent="0.25">
      <c r="A23" s="356" t="s">
        <v>777</v>
      </c>
      <c r="B23" s="427"/>
      <c r="C23" s="425"/>
      <c r="D23" s="421"/>
      <c r="E23" s="428">
        <f>E19+E22+49.44</f>
        <v>61325045.425441563</v>
      </c>
      <c r="F23" s="92"/>
      <c r="G23" s="1039"/>
      <c r="H23" s="1040"/>
      <c r="I23" s="153">
        <f>I19+I22-1</f>
        <v>64018897.08955273</v>
      </c>
      <c r="J23" s="92"/>
      <c r="K23" s="101"/>
      <c r="L23" s="15"/>
      <c r="M23" s="153">
        <f>M19+M22</f>
        <v>66017793.914186239</v>
      </c>
      <c r="N23" s="92"/>
      <c r="O23" s="101"/>
      <c r="P23" s="15"/>
      <c r="Q23" s="153">
        <f>Q19+Q22</f>
        <v>66294015.707461312</v>
      </c>
    </row>
    <row r="24" spans="1:17" x14ac:dyDescent="0.25">
      <c r="A24" s="352" t="s">
        <v>333</v>
      </c>
      <c r="B24" s="429"/>
      <c r="C24" s="403"/>
      <c r="D24" s="421"/>
      <c r="E24" s="416">
        <v>-11461711.43</v>
      </c>
      <c r="F24" s="91"/>
      <c r="G24" s="82"/>
      <c r="H24" s="15"/>
      <c r="I24" s="149">
        <v>-12882186</v>
      </c>
      <c r="J24" s="91"/>
      <c r="K24" s="82"/>
      <c r="L24" s="15"/>
      <c r="M24" s="149">
        <f>+I24</f>
        <v>-12882186</v>
      </c>
      <c r="N24" s="91"/>
      <c r="O24" s="82"/>
      <c r="P24" s="15"/>
      <c r="Q24" s="149">
        <f>+M24</f>
        <v>-12882186</v>
      </c>
    </row>
    <row r="25" spans="1:17" x14ac:dyDescent="0.25">
      <c r="A25" s="357" t="s">
        <v>776</v>
      </c>
      <c r="B25" s="403"/>
      <c r="C25" s="430"/>
      <c r="D25" s="431"/>
      <c r="E25" s="428">
        <f>SUM(E23:E24)</f>
        <v>49863333.995441563</v>
      </c>
      <c r="F25" s="82"/>
      <c r="G25" s="83"/>
      <c r="H25" s="37"/>
      <c r="I25" s="153">
        <f>SUM(I23:I24)</f>
        <v>51136711.08955273</v>
      </c>
      <c r="J25" s="82"/>
      <c r="K25" s="83"/>
      <c r="L25" s="37"/>
      <c r="M25" s="153">
        <f>SUM(M23:M24)</f>
        <v>53135607.914186239</v>
      </c>
      <c r="N25" s="82"/>
      <c r="O25" s="83"/>
      <c r="P25" s="37"/>
      <c r="Q25" s="153">
        <f>SUM(Q23:Q24)</f>
        <v>53411829.707461312</v>
      </c>
    </row>
    <row r="26" spans="1:17" ht="15" thickBot="1" x14ac:dyDescent="0.35">
      <c r="A26" s="358" t="s">
        <v>385</v>
      </c>
      <c r="B26" s="432"/>
      <c r="C26" s="433"/>
      <c r="D26" s="433"/>
      <c r="E26" s="434">
        <v>0.13379807688472312</v>
      </c>
      <c r="F26" s="95"/>
      <c r="G26" s="84"/>
      <c r="H26" s="84"/>
      <c r="I26" s="156">
        <f>(I23-E23)/E23</f>
        <v>4.3927430390350512E-2</v>
      </c>
      <c r="J26" s="95"/>
      <c r="K26" s="84"/>
      <c r="L26" s="84"/>
      <c r="M26" s="156">
        <f>(M23-I23)/I23</f>
        <v>3.1223543602092292E-2</v>
      </c>
      <c r="N26" s="95"/>
      <c r="O26" s="84"/>
      <c r="P26" s="84"/>
      <c r="Q26" s="156">
        <f>(Q23-M23)/M23</f>
        <v>4.1840506460140469E-3</v>
      </c>
    </row>
    <row r="27" spans="1:17" x14ac:dyDescent="0.25">
      <c r="A27" s="127" t="s">
        <v>348</v>
      </c>
      <c r="B27" s="435"/>
      <c r="C27" s="435"/>
      <c r="D27" s="435"/>
      <c r="E27" s="435"/>
      <c r="F27" s="103"/>
      <c r="G27" s="103"/>
      <c r="H27" s="103"/>
      <c r="J27" s="103"/>
      <c r="K27" s="103"/>
      <c r="L27" s="103"/>
      <c r="N27" s="103"/>
      <c r="O27" s="103"/>
      <c r="P27" s="103"/>
    </row>
    <row r="28" spans="1:17" x14ac:dyDescent="0.25">
      <c r="A28" s="96" t="s">
        <v>323</v>
      </c>
      <c r="B28" s="435"/>
      <c r="C28" s="435"/>
      <c r="D28" s="435"/>
      <c r="E28" s="435">
        <v>10458631</v>
      </c>
      <c r="F28" s="103"/>
      <c r="G28" s="103"/>
      <c r="H28" s="103"/>
      <c r="I28" s="705">
        <v>10049475</v>
      </c>
      <c r="J28" s="706"/>
      <c r="K28" s="706"/>
      <c r="L28" s="706"/>
      <c r="M28" s="705">
        <v>9154776</v>
      </c>
      <c r="N28" s="706"/>
      <c r="O28" s="706"/>
      <c r="P28" s="706"/>
      <c r="Q28" s="705">
        <v>4324657</v>
      </c>
    </row>
    <row r="29" spans="1:17" x14ac:dyDescent="0.25">
      <c r="A29" s="128" t="s">
        <v>369</v>
      </c>
      <c r="B29" s="436"/>
      <c r="C29" s="435"/>
      <c r="D29" s="435"/>
      <c r="E29" s="435">
        <f>+E45</f>
        <v>5026071.9202930611</v>
      </c>
      <c r="F29" s="239"/>
      <c r="G29" s="103"/>
      <c r="H29" s="103"/>
      <c r="I29" s="705">
        <f>+I45</f>
        <v>5811463.4626736436</v>
      </c>
      <c r="J29" s="707"/>
      <c r="K29" s="706"/>
      <c r="L29" s="706"/>
      <c r="M29" s="705">
        <f>M45</f>
        <v>6325640.8372116713</v>
      </c>
      <c r="N29" s="707"/>
      <c r="O29" s="706"/>
      <c r="P29" s="706"/>
      <c r="Q29" s="705">
        <f>Q45</f>
        <v>6383473.7879881654</v>
      </c>
    </row>
    <row r="30" spans="1:17" x14ac:dyDescent="0.25">
      <c r="A30" s="128" t="s">
        <v>643</v>
      </c>
      <c r="B30" s="435"/>
      <c r="C30" s="435"/>
      <c r="D30" s="435"/>
      <c r="E30" s="435">
        <v>450000</v>
      </c>
      <c r="F30" s="103"/>
      <c r="G30" s="103"/>
      <c r="H30" s="103"/>
      <c r="I30" s="705">
        <v>450000</v>
      </c>
      <c r="J30" s="706"/>
      <c r="K30" s="706"/>
      <c r="L30" s="706"/>
      <c r="M30" s="705">
        <v>450000</v>
      </c>
      <c r="N30" s="706"/>
      <c r="O30" s="706"/>
      <c r="P30" s="706"/>
      <c r="Q30" s="705">
        <v>450000</v>
      </c>
    </row>
    <row r="31" spans="1:17" x14ac:dyDescent="0.25">
      <c r="A31" s="104" t="s">
        <v>324</v>
      </c>
      <c r="B31" s="435"/>
      <c r="C31" s="435"/>
      <c r="D31" s="435"/>
      <c r="E31" s="435">
        <f>E25-E28-E29-E30</f>
        <v>33928631.075148501</v>
      </c>
      <c r="F31" s="103"/>
      <c r="G31" s="103"/>
      <c r="H31" s="103"/>
      <c r="I31" s="705">
        <f>I25-I28-I29-I30</f>
        <v>34825772.626879089</v>
      </c>
      <c r="J31" s="706"/>
      <c r="K31" s="706"/>
      <c r="L31" s="706"/>
      <c r="M31" s="705">
        <f>M25-M28-M29-M30</f>
        <v>37205191.076974571</v>
      </c>
      <c r="N31" s="706"/>
      <c r="O31" s="706"/>
      <c r="P31" s="706"/>
      <c r="Q31" s="705">
        <f>Q25-Q28-Q29-Q30</f>
        <v>42253698.919473149</v>
      </c>
    </row>
    <row r="32" spans="1:17" x14ac:dyDescent="0.25">
      <c r="A32" s="128" t="s">
        <v>386</v>
      </c>
      <c r="B32" s="435"/>
      <c r="C32" s="435"/>
      <c r="D32" s="435"/>
      <c r="E32" s="435">
        <v>-111258</v>
      </c>
      <c r="F32" s="103"/>
      <c r="G32" s="103"/>
      <c r="H32" s="103"/>
      <c r="I32" s="706">
        <v>-117374</v>
      </c>
      <c r="J32" s="706"/>
      <c r="K32" s="706"/>
      <c r="L32" s="706"/>
      <c r="M32" s="706">
        <f>I32+I32*M26</f>
        <v>-121038.83220675198</v>
      </c>
      <c r="N32" s="706"/>
      <c r="O32" s="706"/>
      <c r="P32" s="706"/>
      <c r="Q32" s="706">
        <f>M32+M32*Q26</f>
        <v>-121545.26481083942</v>
      </c>
    </row>
    <row r="33" spans="1:17" ht="14.4" thickBot="1" x14ac:dyDescent="0.3">
      <c r="B33" s="435"/>
      <c r="C33" s="435"/>
      <c r="D33" s="435"/>
      <c r="E33" s="435"/>
      <c r="F33" s="103"/>
      <c r="G33" s="103"/>
      <c r="H33" s="103"/>
      <c r="J33" s="103"/>
      <c r="K33" s="103"/>
      <c r="L33" s="103"/>
      <c r="N33" s="103"/>
      <c r="O33" s="103"/>
      <c r="P33" s="103"/>
    </row>
    <row r="34" spans="1:17" ht="15" thickTop="1" thickBot="1" x14ac:dyDescent="0.3">
      <c r="A34" s="359" t="s">
        <v>609</v>
      </c>
      <c r="B34" s="1153" t="s">
        <v>303</v>
      </c>
      <c r="C34" s="1154"/>
      <c r="D34" s="1154"/>
      <c r="E34" s="1155"/>
      <c r="F34" s="1149" t="s">
        <v>339</v>
      </c>
      <c r="G34" s="1150"/>
      <c r="H34" s="1150"/>
      <c r="I34" s="1151"/>
      <c r="J34" s="1149" t="s">
        <v>467</v>
      </c>
      <c r="K34" s="1150"/>
      <c r="L34" s="1150"/>
      <c r="M34" s="1151"/>
      <c r="N34" s="1149" t="s">
        <v>614</v>
      </c>
      <c r="O34" s="1150"/>
      <c r="P34" s="1150"/>
      <c r="Q34" s="1151"/>
    </row>
    <row r="35" spans="1:17" ht="14.4" thickBot="1" x14ac:dyDescent="0.3">
      <c r="A35" s="360"/>
      <c r="B35" s="437" t="s">
        <v>315</v>
      </c>
      <c r="C35" s="438" t="s">
        <v>316</v>
      </c>
      <c r="D35" s="439" t="s">
        <v>317</v>
      </c>
      <c r="E35" s="440"/>
      <c r="F35" s="110" t="s">
        <v>315</v>
      </c>
      <c r="G35" s="117" t="s">
        <v>316</v>
      </c>
      <c r="H35" s="110" t="s">
        <v>317</v>
      </c>
      <c r="I35" s="113"/>
      <c r="J35" s="110" t="s">
        <v>315</v>
      </c>
      <c r="K35" s="117" t="s">
        <v>316</v>
      </c>
      <c r="L35" s="110" t="s">
        <v>317</v>
      </c>
      <c r="M35" s="113"/>
      <c r="N35" s="110" t="s">
        <v>315</v>
      </c>
      <c r="O35" s="117" t="s">
        <v>316</v>
      </c>
      <c r="P35" s="110" t="s">
        <v>317</v>
      </c>
      <c r="Q35" s="113"/>
    </row>
    <row r="36" spans="1:17" x14ac:dyDescent="0.25">
      <c r="A36" s="361" t="s">
        <v>610</v>
      </c>
      <c r="B36" s="441">
        <f>(B10*0.2*B12)+(B12-0.55)*B10*0.5</f>
        <v>867.86359999999979</v>
      </c>
      <c r="C36" s="442">
        <f t="shared" ref="C36:D36" si="18">(C10*0.2*C12)+(C12-0.55)*C10*0.5</f>
        <v>797.83521999999994</v>
      </c>
      <c r="D36" s="443">
        <f t="shared" si="18"/>
        <v>821.58493999999996</v>
      </c>
      <c r="E36" s="444"/>
      <c r="F36" s="158">
        <f>(F10*0.2*F12)+(F12-0.55)*F10*0.5</f>
        <v>841.04099999999971</v>
      </c>
      <c r="G36" s="157">
        <f t="shared" ref="G36:H36" si="19">(G10*0.2*G12)+(G12-0.55)*G10*0.5</f>
        <v>773.17694999999992</v>
      </c>
      <c r="H36" s="158">
        <f t="shared" si="19"/>
        <v>796.19264999999984</v>
      </c>
      <c r="I36" s="118"/>
      <c r="J36" s="158">
        <f>(J10*0.2*J12)+(J12-0.55)*J10*0.5</f>
        <v>851.50482999999963</v>
      </c>
      <c r="K36" s="157">
        <f t="shared" ref="K36:L36" si="20">(K10*0.2*K12)+(K12-0.55)*K10*0.5</f>
        <v>782.79860999999971</v>
      </c>
      <c r="L36" s="158">
        <f t="shared" si="20"/>
        <v>806.05964999999969</v>
      </c>
      <c r="M36" s="118"/>
      <c r="N36" s="158">
        <f>(N10*0.2*N12)+(N12-0.55)*N10*0.5</f>
        <v>853.93409999999983</v>
      </c>
      <c r="O36" s="157">
        <f t="shared" ref="O36:P36" si="21">(O10*0.2*O12)+(O12-0.55)*O10*0.5</f>
        <v>785.07524999999976</v>
      </c>
      <c r="P36" s="158">
        <f t="shared" si="21"/>
        <v>808.37969999999984</v>
      </c>
      <c r="Q36" s="118"/>
    </row>
    <row r="37" spans="1:17" ht="14.4" x14ac:dyDescent="0.3">
      <c r="A37" s="362" t="s">
        <v>334</v>
      </c>
      <c r="B37" s="445">
        <f>B4</f>
        <v>3365.43</v>
      </c>
      <c r="C37" s="446">
        <f>C4</f>
        <v>2738.02</v>
      </c>
      <c r="D37" s="447">
        <f>D4</f>
        <v>1944.2</v>
      </c>
      <c r="E37" s="448">
        <f>SUM(B37:D37)</f>
        <v>8047.65</v>
      </c>
      <c r="F37" s="120">
        <f>F4</f>
        <v>3301.76</v>
      </c>
      <c r="G37" s="119">
        <f>G4</f>
        <v>2664.99</v>
      </c>
      <c r="H37" s="121">
        <f>H4</f>
        <v>1988.01</v>
      </c>
      <c r="I37" s="122">
        <f>SUM(F37:H37)</f>
        <v>7954.76</v>
      </c>
      <c r="J37" s="120">
        <f>J4</f>
        <v>3310.21</v>
      </c>
      <c r="K37" s="119">
        <f>K4</f>
        <v>2617.9899999999998</v>
      </c>
      <c r="L37" s="121">
        <f>L4</f>
        <v>1948.26</v>
      </c>
      <c r="M37" s="122">
        <f>SUM(J37:L37)</f>
        <v>7876.46</v>
      </c>
      <c r="N37" s="120">
        <f>N4</f>
        <v>3409.53</v>
      </c>
      <c r="O37" s="119">
        <f>O4</f>
        <v>2471.9899999999998</v>
      </c>
      <c r="P37" s="121">
        <f>P4</f>
        <v>1898.31</v>
      </c>
      <c r="Q37" s="122">
        <f>SUM(N37:P37)</f>
        <v>7779.83</v>
      </c>
    </row>
    <row r="38" spans="1:17" x14ac:dyDescent="0.25">
      <c r="A38" s="363" t="s">
        <v>340</v>
      </c>
      <c r="B38" s="449">
        <f>+B10*0.2*B12*B4</f>
        <v>2902311.8315279996</v>
      </c>
      <c r="C38" s="450">
        <f t="shared" ref="C38:D38" si="22">+C10*0.2*C12*C4</f>
        <v>2170710.2510184003</v>
      </c>
      <c r="D38" s="451">
        <f t="shared" si="22"/>
        <v>1587250.4015280001</v>
      </c>
      <c r="E38" s="452">
        <f>SUM(B38:D38)</f>
        <v>6660272.4840743998</v>
      </c>
      <c r="F38" s="124">
        <f>+F10*0.2*F12*F4</f>
        <v>2822100.1177600003</v>
      </c>
      <c r="G38" s="123">
        <f t="shared" ref="G38:H38" si="23">+G10*0.2*G12*G4</f>
        <v>2094036.4129230001</v>
      </c>
      <c r="H38" s="124">
        <f t="shared" si="23"/>
        <v>1608594.1166790002</v>
      </c>
      <c r="I38" s="125">
        <f>SUM(F38:H38)</f>
        <v>6524730.6473620012</v>
      </c>
      <c r="J38" s="124">
        <f>+J10*0.2*J12*J4</f>
        <v>2861846.6235898002</v>
      </c>
      <c r="K38" s="123">
        <f t="shared" ref="K38:L38" si="24">+K10*0.2*K12*K4</f>
        <v>2080758.7123553997</v>
      </c>
      <c r="L38" s="124">
        <f t="shared" si="24"/>
        <v>1594475.271774</v>
      </c>
      <c r="M38" s="125">
        <f>SUM(J38:L38)</f>
        <v>6537080.6077191997</v>
      </c>
      <c r="N38" s="124">
        <f>+N10*0.2*N12*N4</f>
        <v>3001247.6472780001</v>
      </c>
      <c r="O38" s="123">
        <f t="shared" ref="O38:P38" si="25">+O10*0.2*O12*O4</f>
        <v>2000511.0552849998</v>
      </c>
      <c r="P38" s="124">
        <f t="shared" si="25"/>
        <v>1581850.7128020001</v>
      </c>
      <c r="Q38" s="125">
        <f>SUM(N38:P38)</f>
        <v>6583609.4153650003</v>
      </c>
    </row>
    <row r="39" spans="1:17" x14ac:dyDescent="0.25">
      <c r="A39" s="360" t="s">
        <v>341</v>
      </c>
      <c r="B39" s="453">
        <f>IF(B12&gt;0.55,(B12-0.55)*B10*0.5*B4,0)</f>
        <v>18422.363819999431</v>
      </c>
      <c r="C39" s="454">
        <f t="shared" ref="C39:D39" si="26">IF(C12&gt;0.55,(C12-0.55)*C10*0.5*C4,0)</f>
        <v>13778.538045999574</v>
      </c>
      <c r="D39" s="455">
        <f t="shared" si="26"/>
        <v>10075.038819999691</v>
      </c>
      <c r="E39" s="456">
        <f>SUM(B39:D39)</f>
        <v>42275.940685998692</v>
      </c>
      <c r="F39" s="105">
        <f>IF(F12&gt;0.55,(F12-0.55)*F10*0.5*F4,0)</f>
        <v>0</v>
      </c>
      <c r="G39" s="126">
        <f t="shared" ref="G39:H39" si="27">IF(G12&gt;0.55,(G12-0.55)*G10*0.5*G4,0)</f>
        <v>0</v>
      </c>
      <c r="H39" s="105">
        <f t="shared" si="27"/>
        <v>0</v>
      </c>
      <c r="I39" s="114">
        <f>SUM(F39:H39)</f>
        <v>0</v>
      </c>
      <c r="J39" s="105">
        <f>IF(J12&gt;0.55,(J12-0.55)*J10*0.5*J4,0)</f>
        <v>0</v>
      </c>
      <c r="K39" s="126">
        <f t="shared" ref="K39:L39" si="28">IF(K12&gt;0.55,(K12-0.55)*K10*0.5*K4,0)</f>
        <v>0</v>
      </c>
      <c r="L39" s="105">
        <f t="shared" si="28"/>
        <v>0</v>
      </c>
      <c r="M39" s="114">
        <f>SUM(J39:L39)</f>
        <v>0</v>
      </c>
      <c r="N39" s="105">
        <f>IF(N12&gt;0.55,(N12-0.55)*N10*0.5*N4,0)</f>
        <v>0</v>
      </c>
      <c r="O39" s="126">
        <f t="shared" ref="O39:P39" si="29">IF(O12&gt;0.55,(O12-0.55)*O10*0.5*O4,0)</f>
        <v>0</v>
      </c>
      <c r="P39" s="105">
        <f t="shared" si="29"/>
        <v>0</v>
      </c>
      <c r="Q39" s="114">
        <f>SUM(N39:P39)</f>
        <v>0</v>
      </c>
    </row>
    <row r="40" spans="1:17" x14ac:dyDescent="0.25">
      <c r="A40" s="364" t="s">
        <v>327</v>
      </c>
      <c r="B40" s="457"/>
      <c r="C40" s="454"/>
      <c r="D40" s="455"/>
      <c r="E40" s="456">
        <f>SUM(E38:E39)</f>
        <v>6702548.4247603985</v>
      </c>
      <c r="F40" s="112"/>
      <c r="G40" s="105"/>
      <c r="H40" s="105"/>
      <c r="I40" s="114">
        <f>SUM(I38:I39)</f>
        <v>6524730.6473620012</v>
      </c>
      <c r="J40" s="112"/>
      <c r="K40" s="105"/>
      <c r="L40" s="105"/>
      <c r="M40" s="114">
        <f>SUM(M38:M39)</f>
        <v>6537080.6077191997</v>
      </c>
      <c r="N40" s="112"/>
      <c r="O40" s="105"/>
      <c r="P40" s="105"/>
      <c r="Q40" s="114">
        <f>SUM(Q38:Q39)</f>
        <v>6583609.4153650003</v>
      </c>
    </row>
    <row r="41" spans="1:17" x14ac:dyDescent="0.25">
      <c r="A41" s="365" t="s">
        <v>779</v>
      </c>
      <c r="B41" s="458"/>
      <c r="C41" s="454"/>
      <c r="D41" s="455"/>
      <c r="E41" s="456">
        <v>3168837.9278190457</v>
      </c>
      <c r="F41" s="105"/>
      <c r="G41" s="105"/>
      <c r="H41" s="105"/>
      <c r="I41" s="114">
        <f>E45/E37*I37</f>
        <v>4968058.4852311462</v>
      </c>
      <c r="J41" s="105"/>
      <c r="K41" s="105"/>
      <c r="L41" s="105"/>
      <c r="M41" s="114">
        <f>I45/I37*M37</f>
        <v>5754260.2800349034</v>
      </c>
      <c r="N41" s="105"/>
      <c r="O41" s="105"/>
      <c r="P41" s="105"/>
      <c r="Q41" s="114">
        <f>M45/M37*Q37</f>
        <v>6248036.599508469</v>
      </c>
    </row>
    <row r="42" spans="1:17" x14ac:dyDescent="0.25">
      <c r="A42" s="365" t="s">
        <v>328</v>
      </c>
      <c r="B42" s="459"/>
      <c r="C42" s="454"/>
      <c r="D42" s="455"/>
      <c r="E42" s="456">
        <f>E40-E41</f>
        <v>3533710.4969413527</v>
      </c>
      <c r="F42" s="74"/>
      <c r="G42" s="105"/>
      <c r="H42" s="105"/>
      <c r="I42" s="114">
        <f>I40-I41</f>
        <v>1556672.162130855</v>
      </c>
      <c r="J42" s="74"/>
      <c r="K42" s="105"/>
      <c r="L42" s="105"/>
      <c r="M42" s="114">
        <f>M40-M41</f>
        <v>782820.3276842963</v>
      </c>
      <c r="N42" s="74"/>
      <c r="O42" s="105"/>
      <c r="P42" s="105"/>
      <c r="Q42" s="114">
        <f>Q40-Q41</f>
        <v>335572.81585653126</v>
      </c>
    </row>
    <row r="43" spans="1:17" x14ac:dyDescent="0.25">
      <c r="A43" s="365" t="s">
        <v>329</v>
      </c>
      <c r="B43" s="460"/>
      <c r="C43" s="454"/>
      <c r="D43" s="455"/>
      <c r="E43" s="461">
        <f>E21</f>
        <v>0.52557615970000005</v>
      </c>
      <c r="F43" s="111"/>
      <c r="G43" s="105"/>
      <c r="H43" s="105"/>
      <c r="I43" s="160">
        <f>I21</f>
        <v>0.54179999999999995</v>
      </c>
      <c r="J43" s="111"/>
      <c r="K43" s="105"/>
      <c r="L43" s="105"/>
      <c r="M43" s="160">
        <f>M21</f>
        <v>0.72989999999999999</v>
      </c>
      <c r="N43" s="111"/>
      <c r="O43" s="105"/>
      <c r="P43" s="105"/>
      <c r="Q43" s="160">
        <f>Q21</f>
        <v>0.40360000000000001</v>
      </c>
    </row>
    <row r="44" spans="1:17" x14ac:dyDescent="0.25">
      <c r="A44" s="360" t="s">
        <v>780</v>
      </c>
      <c r="B44" s="459"/>
      <c r="C44" s="454"/>
      <c r="D44" s="455"/>
      <c r="E44" s="456">
        <f>E42*E43</f>
        <v>1857233.9924740149</v>
      </c>
      <c r="F44" s="74"/>
      <c r="G44" s="105"/>
      <c r="H44" s="105"/>
      <c r="I44" s="114">
        <f>I42*I43</f>
        <v>843404.97744249715</v>
      </c>
      <c r="J44" s="74"/>
      <c r="K44" s="105"/>
      <c r="L44" s="105"/>
      <c r="M44" s="114">
        <f>M42*M43</f>
        <v>571380.55717676785</v>
      </c>
      <c r="N44" s="74"/>
      <c r="O44" s="105"/>
      <c r="P44" s="105"/>
      <c r="Q44" s="114">
        <f>Q42*Q43</f>
        <v>135437.18847969602</v>
      </c>
    </row>
    <row r="45" spans="1:17" ht="14.4" thickBot="1" x14ac:dyDescent="0.3">
      <c r="A45" s="366" t="s">
        <v>781</v>
      </c>
      <c r="B45" s="462"/>
      <c r="C45" s="463"/>
      <c r="D45" s="464"/>
      <c r="E45" s="465">
        <f>E41+E44</f>
        <v>5026071.9202930611</v>
      </c>
      <c r="F45" s="159"/>
      <c r="G45" s="115"/>
      <c r="H45" s="115"/>
      <c r="I45" s="116">
        <f>I41+I44</f>
        <v>5811463.4626736436</v>
      </c>
      <c r="J45" s="159"/>
      <c r="K45" s="115"/>
      <c r="L45" s="115"/>
      <c r="M45" s="116">
        <f>M41+M44</f>
        <v>6325640.8372116713</v>
      </c>
      <c r="N45" s="159"/>
      <c r="O45" s="115"/>
      <c r="P45" s="115"/>
      <c r="Q45" s="116">
        <f>Q41+Q44</f>
        <v>6383473.7879881654</v>
      </c>
    </row>
    <row r="46" spans="1:17" ht="9" customHeight="1" thickTop="1" thickBot="1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x14ac:dyDescent="0.25">
      <c r="A47" s="367" t="s">
        <v>410</v>
      </c>
      <c r="B47" s="466"/>
      <c r="C47" s="467"/>
      <c r="D47" s="467"/>
      <c r="E47" s="468"/>
      <c r="F47" s="163"/>
      <c r="G47" s="163"/>
      <c r="H47" s="163"/>
      <c r="I47" s="164"/>
      <c r="J47" s="163"/>
      <c r="K47" s="163"/>
      <c r="L47" s="163"/>
      <c r="M47" s="164"/>
      <c r="N47" s="163"/>
      <c r="O47" s="163"/>
      <c r="P47" s="163"/>
      <c r="Q47" s="164"/>
    </row>
    <row r="48" spans="1:17" x14ac:dyDescent="0.25">
      <c r="A48" s="368" t="s">
        <v>399</v>
      </c>
      <c r="B48" s="469"/>
      <c r="C48" s="431"/>
      <c r="D48" s="431"/>
      <c r="E48" s="470">
        <f>E40</f>
        <v>6702548.4247603985</v>
      </c>
      <c r="F48" s="37"/>
      <c r="G48" s="37"/>
      <c r="H48" s="37"/>
      <c r="I48" s="165">
        <f>I40</f>
        <v>6524730.6473620012</v>
      </c>
      <c r="J48" s="37"/>
      <c r="K48" s="37"/>
      <c r="L48" s="37"/>
      <c r="M48" s="165">
        <f>M40</f>
        <v>6537080.6077191997</v>
      </c>
      <c r="N48" s="37"/>
      <c r="O48" s="37"/>
      <c r="P48" s="37"/>
      <c r="Q48" s="165">
        <f>Q40</f>
        <v>6583609.4153650003</v>
      </c>
    </row>
    <row r="49" spans="1:17" x14ac:dyDescent="0.25">
      <c r="A49" s="368" t="s">
        <v>400</v>
      </c>
      <c r="B49" s="469"/>
      <c r="C49" s="471"/>
      <c r="D49" s="472" t="s">
        <v>409</v>
      </c>
      <c r="E49" s="470">
        <v>1840740</v>
      </c>
      <c r="F49" s="37"/>
      <c r="G49" s="37"/>
      <c r="H49" s="170" t="s">
        <v>611</v>
      </c>
      <c r="I49" s="166">
        <f>+MYP!C32</f>
        <v>3135034.8600000008</v>
      </c>
      <c r="J49" s="37"/>
      <c r="K49" s="37"/>
      <c r="L49" s="170" t="s">
        <v>612</v>
      </c>
      <c r="M49" s="166">
        <f>+MYP!D32</f>
        <v>3898634</v>
      </c>
      <c r="N49" s="37"/>
      <c r="O49" s="37"/>
      <c r="P49" s="170" t="s">
        <v>739</v>
      </c>
      <c r="Q49" s="166">
        <f>+MYP!E32</f>
        <v>3998921.7281999988</v>
      </c>
    </row>
    <row r="50" spans="1:17" x14ac:dyDescent="0.25">
      <c r="A50" s="368" t="s">
        <v>401</v>
      </c>
      <c r="B50" s="469"/>
      <c r="C50" s="431"/>
      <c r="D50" s="431"/>
      <c r="E50" s="470">
        <f>E48-E49</f>
        <v>4861808.4247603985</v>
      </c>
      <c r="F50" s="37"/>
      <c r="G50" s="37"/>
      <c r="H50" s="37"/>
      <c r="I50" s="165">
        <f>I48-I49</f>
        <v>3389695.7873620004</v>
      </c>
      <c r="J50" s="37"/>
      <c r="K50" s="37"/>
      <c r="L50" s="37"/>
      <c r="M50" s="165">
        <f>M48-M49</f>
        <v>2638446.6077191997</v>
      </c>
      <c r="N50" s="37"/>
      <c r="O50" s="37"/>
      <c r="P50" s="37"/>
      <c r="Q50" s="165">
        <f>Q48-Q49</f>
        <v>2584687.6871650014</v>
      </c>
    </row>
    <row r="51" spans="1:17" x14ac:dyDescent="0.25">
      <c r="A51" s="368" t="s">
        <v>402</v>
      </c>
      <c r="B51" s="469"/>
      <c r="C51" s="431"/>
      <c r="D51" s="431"/>
      <c r="E51" s="470">
        <f>E50*E43</f>
        <v>2555250.601082677</v>
      </c>
      <c r="F51" s="37"/>
      <c r="G51" s="37"/>
      <c r="H51" s="37"/>
      <c r="I51" s="165">
        <f>I50*I43</f>
        <v>1836537.1775927315</v>
      </c>
      <c r="J51" s="37"/>
      <c r="K51" s="37"/>
      <c r="L51" s="37"/>
      <c r="M51" s="165">
        <f>M50*M43</f>
        <v>1925802.1789742438</v>
      </c>
      <c r="N51" s="37"/>
      <c r="O51" s="37"/>
      <c r="P51" s="37"/>
      <c r="Q51" s="165">
        <f>Q50*Q43</f>
        <v>1043179.9505397946</v>
      </c>
    </row>
    <row r="52" spans="1:17" x14ac:dyDescent="0.25">
      <c r="A52" s="368" t="s">
        <v>403</v>
      </c>
      <c r="B52" s="469"/>
      <c r="C52" s="431"/>
      <c r="D52" s="431"/>
      <c r="E52" s="470">
        <f>E49+E51</f>
        <v>4395990.601082677</v>
      </c>
      <c r="F52" s="37"/>
      <c r="G52" s="37"/>
      <c r="H52" s="37"/>
      <c r="I52" s="165">
        <f>I49+I51</f>
        <v>4971572.0375927323</v>
      </c>
      <c r="J52" s="37"/>
      <c r="K52" s="37"/>
      <c r="L52" s="37"/>
      <c r="M52" s="165">
        <f>M49+M51</f>
        <v>5824436.1789742438</v>
      </c>
      <c r="N52" s="37"/>
      <c r="O52" s="37"/>
      <c r="P52" s="37"/>
      <c r="Q52" s="165">
        <f>Q49+Q51</f>
        <v>5042101.6787397936</v>
      </c>
    </row>
    <row r="53" spans="1:17" x14ac:dyDescent="0.25">
      <c r="A53" s="368" t="s">
        <v>404</v>
      </c>
      <c r="B53" s="469"/>
      <c r="C53" s="431"/>
      <c r="D53" s="431"/>
      <c r="E53" s="470">
        <f>E23-E17-E16</f>
        <v>60678734.425441563</v>
      </c>
      <c r="F53" s="37"/>
      <c r="G53" s="37"/>
      <c r="H53" s="37"/>
      <c r="I53" s="165">
        <f>I23-I17-I16</f>
        <v>63372586.08955273</v>
      </c>
      <c r="J53" s="37"/>
      <c r="K53" s="37"/>
      <c r="L53" s="37"/>
      <c r="M53" s="165">
        <f>M23-M17-M16</f>
        <v>65371482.914186239</v>
      </c>
      <c r="N53" s="37"/>
      <c r="O53" s="37"/>
      <c r="P53" s="37"/>
      <c r="Q53" s="165">
        <f>Q23-Q17-Q16</f>
        <v>65647704.707461312</v>
      </c>
    </row>
    <row r="54" spans="1:17" x14ac:dyDescent="0.25">
      <c r="A54" s="368" t="s">
        <v>406</v>
      </c>
      <c r="B54" s="469"/>
      <c r="C54" s="431"/>
      <c r="D54" s="431"/>
      <c r="E54" s="470">
        <f>E53-E52</f>
        <v>56282743.824358888</v>
      </c>
      <c r="F54" s="37"/>
      <c r="G54" s="37"/>
      <c r="H54" s="37"/>
      <c r="I54" s="165">
        <f>I53-I52</f>
        <v>58401014.051959999</v>
      </c>
      <c r="J54" s="37"/>
      <c r="K54" s="37"/>
      <c r="L54" s="37"/>
      <c r="M54" s="165">
        <f>M53-M52</f>
        <v>59547046.735211998</v>
      </c>
      <c r="N54" s="37"/>
      <c r="O54" s="37"/>
      <c r="P54" s="37"/>
      <c r="Q54" s="165">
        <f>Q53-Q52</f>
        <v>60605603.028721519</v>
      </c>
    </row>
    <row r="55" spans="1:17" x14ac:dyDescent="0.25">
      <c r="A55" s="368" t="s">
        <v>405</v>
      </c>
      <c r="B55" s="469"/>
      <c r="C55" s="431"/>
      <c r="D55" s="431"/>
      <c r="E55" s="473">
        <f>E52/E54</f>
        <v>7.8105477849502322E-2</v>
      </c>
      <c r="F55" s="37"/>
      <c r="G55" s="37"/>
      <c r="H55" s="37"/>
      <c r="I55" s="167">
        <f>I52/I54</f>
        <v>8.5128180020461158E-2</v>
      </c>
      <c r="J55" s="37"/>
      <c r="K55" s="37"/>
      <c r="L55" s="37"/>
      <c r="M55" s="167">
        <f>M52/M54</f>
        <v>9.7812343320295606E-2</v>
      </c>
      <c r="N55" s="37"/>
      <c r="O55" s="37"/>
      <c r="P55" s="37"/>
      <c r="Q55" s="167">
        <f>Q52/Q54</f>
        <v>8.3195305825936552E-2</v>
      </c>
    </row>
    <row r="56" spans="1:17" x14ac:dyDescent="0.25">
      <c r="A56" s="368" t="s">
        <v>407</v>
      </c>
      <c r="B56" s="469"/>
      <c r="C56" s="431"/>
      <c r="D56" s="431"/>
      <c r="E56" s="470">
        <f>E49*E55</f>
        <v>143771.8772966929</v>
      </c>
      <c r="F56" s="37"/>
      <c r="G56" s="37"/>
      <c r="H56" s="37"/>
      <c r="I56" s="165">
        <f>I49*I55</f>
        <v>266879.81193250132</v>
      </c>
      <c r="J56" s="37"/>
      <c r="K56" s="37"/>
      <c r="L56" s="37"/>
      <c r="M56" s="165">
        <f>M49*M55</f>
        <v>381334.52728817734</v>
      </c>
      <c r="N56" s="37"/>
      <c r="O56" s="37"/>
      <c r="P56" s="37"/>
      <c r="Q56" s="165">
        <f>Q49*Q55</f>
        <v>332691.51615158166</v>
      </c>
    </row>
    <row r="57" spans="1:17" ht="14.4" thickBot="1" x14ac:dyDescent="0.3">
      <c r="A57" s="369" t="s">
        <v>408</v>
      </c>
      <c r="B57" s="474"/>
      <c r="C57" s="475"/>
      <c r="D57" s="475"/>
      <c r="E57" s="476">
        <f>E49+E56</f>
        <v>1984511.8772966929</v>
      </c>
      <c r="F57" s="168"/>
      <c r="G57" s="168"/>
      <c r="H57" s="168"/>
      <c r="I57" s="169">
        <f>I49+I56</f>
        <v>3401914.6719325022</v>
      </c>
      <c r="J57" s="168"/>
      <c r="K57" s="168"/>
      <c r="L57" s="168"/>
      <c r="M57" s="169">
        <f>M49+M56</f>
        <v>4279968.5272881771</v>
      </c>
      <c r="N57" s="168"/>
      <c r="O57" s="168"/>
      <c r="P57" s="168"/>
      <c r="Q57" s="169">
        <f>Q49+Q56</f>
        <v>4331613.2443515807</v>
      </c>
    </row>
  </sheetData>
  <sheetProtection password="DBAD" sheet="1" objects="1" scenarios="1"/>
  <mergeCells count="8">
    <mergeCell ref="N2:Q2"/>
    <mergeCell ref="N34:Q34"/>
    <mergeCell ref="J2:M2"/>
    <mergeCell ref="J34:M34"/>
    <mergeCell ref="B34:E34"/>
    <mergeCell ref="F34:I34"/>
    <mergeCell ref="B2:E2"/>
    <mergeCell ref="F2:I2"/>
  </mergeCells>
  <pageMargins left="0" right="0" top="0" bottom="0" header="0.3" footer="0.3"/>
  <pageSetup scale="8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130" zoomScaleNormal="130" workbookViewId="0">
      <pane ySplit="1" topLeftCell="A2" activePane="bottomLeft" state="frozen"/>
      <selection pane="bottomLeft" activeCell="A2" sqref="A2"/>
    </sheetView>
  </sheetViews>
  <sheetFormatPr defaultColWidth="9.109375" defaultRowHeight="13.8" x14ac:dyDescent="0.3"/>
  <cols>
    <col min="1" max="1" width="29.44140625" style="66" customWidth="1"/>
    <col min="2" max="3" width="5.5546875" style="66" customWidth="1"/>
    <col min="4" max="7" width="10.6640625" style="66" bestFit="1" customWidth="1"/>
    <col min="8" max="8" width="44.5546875" style="66" bestFit="1" customWidth="1"/>
    <col min="9" max="9" width="9.109375" style="66"/>
    <col min="10" max="10" width="14" style="66" bestFit="1" customWidth="1"/>
    <col min="11" max="16384" width="9.109375" style="66"/>
  </cols>
  <sheetData>
    <row r="1" spans="1:10" s="751" customFormat="1" ht="15" thickTop="1" x14ac:dyDescent="0.3">
      <c r="A1" s="322" t="s">
        <v>240</v>
      </c>
      <c r="B1" s="739" t="s">
        <v>241</v>
      </c>
      <c r="C1" s="740" t="s">
        <v>750</v>
      </c>
      <c r="D1" s="741" t="s">
        <v>302</v>
      </c>
      <c r="E1" s="1087" t="s">
        <v>338</v>
      </c>
      <c r="F1" s="741" t="s">
        <v>466</v>
      </c>
      <c r="G1" s="741" t="s">
        <v>615</v>
      </c>
      <c r="H1" s="741" t="s">
        <v>242</v>
      </c>
    </row>
    <row r="2" spans="1:10" ht="14.4" x14ac:dyDescent="0.3">
      <c r="A2" s="320" t="s">
        <v>243</v>
      </c>
      <c r="B2" s="317"/>
      <c r="C2" s="317"/>
      <c r="D2" s="319"/>
      <c r="E2" s="1088"/>
      <c r="F2" s="319"/>
      <c r="G2" s="319"/>
      <c r="H2" s="319"/>
    </row>
    <row r="3" spans="1:10" ht="14.4" x14ac:dyDescent="0.3">
      <c r="A3" s="67" t="s">
        <v>244</v>
      </c>
      <c r="B3" s="746" t="s">
        <v>20</v>
      </c>
      <c r="C3" s="746"/>
      <c r="D3" s="69">
        <v>149454.15</v>
      </c>
      <c r="E3" s="1089">
        <v>0</v>
      </c>
      <c r="F3" s="69">
        <v>0</v>
      </c>
      <c r="G3" s="69">
        <v>0</v>
      </c>
      <c r="H3" s="66" t="s">
        <v>245</v>
      </c>
    </row>
    <row r="4" spans="1:10" ht="14.4" x14ac:dyDescent="0.3">
      <c r="A4" s="67" t="s">
        <v>717</v>
      </c>
      <c r="B4" s="737">
        <v>3010</v>
      </c>
      <c r="C4" s="737">
        <v>8290</v>
      </c>
      <c r="D4" s="69">
        <v>885470.63</v>
      </c>
      <c r="E4" s="1089">
        <v>1628110</v>
      </c>
      <c r="F4" s="69">
        <f>1915424*0.96</f>
        <v>1838807.04</v>
      </c>
      <c r="G4" s="69">
        <f t="shared" ref="G4:G9" si="0">F4</f>
        <v>1838807.04</v>
      </c>
      <c r="H4" s="66" t="s">
        <v>421</v>
      </c>
      <c r="J4" s="69"/>
    </row>
    <row r="5" spans="1:10" ht="14.4" x14ac:dyDescent="0.3">
      <c r="A5" s="67" t="s">
        <v>718</v>
      </c>
      <c r="B5" s="737">
        <v>3010</v>
      </c>
      <c r="C5" s="737">
        <v>8290</v>
      </c>
      <c r="D5" s="69">
        <v>1099576.58</v>
      </c>
      <c r="E5" s="1089">
        <v>1062358.3700000001</v>
      </c>
      <c r="F5" s="69">
        <v>0</v>
      </c>
      <c r="G5" s="69">
        <v>0</v>
      </c>
      <c r="H5" s="66" t="s">
        <v>766</v>
      </c>
    </row>
    <row r="6" spans="1:10" ht="14.4" x14ac:dyDescent="0.3">
      <c r="A6" s="67" t="s">
        <v>350</v>
      </c>
      <c r="B6" s="737">
        <v>3011</v>
      </c>
      <c r="C6" s="737">
        <v>8287</v>
      </c>
      <c r="D6" s="69">
        <v>7471.26</v>
      </c>
      <c r="E6" s="1089">
        <v>0</v>
      </c>
      <c r="F6" s="69">
        <v>0</v>
      </c>
      <c r="G6" s="69">
        <v>0</v>
      </c>
      <c r="H6" s="66" t="s">
        <v>421</v>
      </c>
    </row>
    <row r="7" spans="1:10" ht="14.4" x14ac:dyDescent="0.3">
      <c r="A7" s="67" t="s">
        <v>745</v>
      </c>
      <c r="B7" s="737" t="s">
        <v>746</v>
      </c>
      <c r="C7" s="737">
        <v>8181</v>
      </c>
      <c r="D7" s="69">
        <v>1668877</v>
      </c>
      <c r="E7" s="1089">
        <v>1646059</v>
      </c>
      <c r="F7" s="69">
        <f>E7</f>
        <v>1646059</v>
      </c>
      <c r="G7" s="69">
        <f>F7</f>
        <v>1646059</v>
      </c>
      <c r="H7" s="66" t="s">
        <v>253</v>
      </c>
    </row>
    <row r="8" spans="1:10" ht="14.4" x14ac:dyDescent="0.3">
      <c r="A8" s="67" t="s">
        <v>745</v>
      </c>
      <c r="B8" s="737">
        <v>3310</v>
      </c>
      <c r="C8" s="737">
        <v>8287</v>
      </c>
      <c r="D8" s="69">
        <v>12203</v>
      </c>
      <c r="E8" s="1089">
        <v>7500</v>
      </c>
      <c r="F8" s="69">
        <f>+E8</f>
        <v>7500</v>
      </c>
      <c r="G8" s="69">
        <f>+F8</f>
        <v>7500</v>
      </c>
    </row>
    <row r="9" spans="1:10" ht="14.4" x14ac:dyDescent="0.3">
      <c r="A9" s="67" t="s">
        <v>740</v>
      </c>
      <c r="B9" s="737">
        <v>4035</v>
      </c>
      <c r="C9" s="737">
        <v>8290</v>
      </c>
      <c r="D9" s="69">
        <v>225859.22</v>
      </c>
      <c r="E9" s="1089">
        <v>210856</v>
      </c>
      <c r="F9" s="69">
        <f>E9*0.96</f>
        <v>202421.75999999998</v>
      </c>
      <c r="G9" s="69">
        <f t="shared" si="0"/>
        <v>202421.75999999998</v>
      </c>
      <c r="H9" s="66" t="s">
        <v>421</v>
      </c>
    </row>
    <row r="10" spans="1:10" ht="14.4" x14ac:dyDescent="0.3">
      <c r="A10" s="67" t="s">
        <v>741</v>
      </c>
      <c r="B10" s="737">
        <v>4035</v>
      </c>
      <c r="C10" s="737">
        <v>8290</v>
      </c>
      <c r="D10" s="69">
        <v>73591.13</v>
      </c>
      <c r="E10" s="1089">
        <v>-1081.22</v>
      </c>
      <c r="F10" s="69">
        <v>0</v>
      </c>
      <c r="G10" s="69">
        <v>0</v>
      </c>
      <c r="H10" s="66" t="s">
        <v>768</v>
      </c>
    </row>
    <row r="11" spans="1:10" ht="14.4" x14ac:dyDescent="0.3">
      <c r="A11" s="67" t="s">
        <v>762</v>
      </c>
      <c r="B11" s="737">
        <v>4036</v>
      </c>
      <c r="C11" s="737"/>
      <c r="D11" s="69">
        <v>0</v>
      </c>
      <c r="E11" s="1089">
        <v>0</v>
      </c>
      <c r="F11" s="69">
        <v>0</v>
      </c>
      <c r="G11" s="69">
        <v>0</v>
      </c>
      <c r="H11" s="66" t="s">
        <v>421</v>
      </c>
    </row>
    <row r="12" spans="1:10" ht="14.4" x14ac:dyDescent="0.3">
      <c r="A12" s="67" t="s">
        <v>761</v>
      </c>
      <c r="B12" s="737">
        <v>4201</v>
      </c>
      <c r="C12" s="737"/>
      <c r="D12" s="69">
        <f>14250-815.3</f>
        <v>13434.7</v>
      </c>
      <c r="E12" s="1089">
        <v>20112</v>
      </c>
      <c r="F12" s="69">
        <v>20112</v>
      </c>
      <c r="G12" s="69">
        <f>+F12</f>
        <v>20112</v>
      </c>
      <c r="H12" s="66" t="s">
        <v>765</v>
      </c>
    </row>
    <row r="13" spans="1:10" ht="14.4" x14ac:dyDescent="0.3">
      <c r="A13" s="67" t="s">
        <v>742</v>
      </c>
      <c r="B13" s="737">
        <v>4201</v>
      </c>
      <c r="C13" s="737"/>
      <c r="D13" s="69"/>
      <c r="E13" s="1089">
        <v>3416.3</v>
      </c>
      <c r="F13" s="69">
        <v>0</v>
      </c>
      <c r="G13" s="69">
        <v>0</v>
      </c>
      <c r="H13" s="66" t="s">
        <v>766</v>
      </c>
    </row>
    <row r="14" spans="1:10" ht="14.4" x14ac:dyDescent="0.3">
      <c r="A14" s="67" t="s">
        <v>743</v>
      </c>
      <c r="B14" s="737">
        <v>4203</v>
      </c>
      <c r="C14" s="737"/>
      <c r="D14" s="69">
        <v>90721</v>
      </c>
      <c r="E14" s="1089">
        <v>112791</v>
      </c>
      <c r="F14" s="69">
        <f>112791*0.96</f>
        <v>108279.36</v>
      </c>
      <c r="G14" s="69">
        <f>+F14</f>
        <v>108279.36</v>
      </c>
      <c r="H14" s="66" t="s">
        <v>421</v>
      </c>
    </row>
    <row r="15" spans="1:10" ht="14.4" x14ac:dyDescent="0.3">
      <c r="A15" s="67" t="s">
        <v>744</v>
      </c>
      <c r="B15" s="737">
        <v>4203</v>
      </c>
      <c r="C15" s="737"/>
      <c r="D15" s="69">
        <f>13413-888.11</f>
        <v>12524.89</v>
      </c>
      <c r="E15" s="1089">
        <v>37453.199999999997</v>
      </c>
      <c r="F15" s="69">
        <v>0</v>
      </c>
      <c r="G15" s="69">
        <v>0</v>
      </c>
      <c r="H15" s="66" t="s">
        <v>766</v>
      </c>
    </row>
    <row r="16" spans="1:10" ht="14.4" x14ac:dyDescent="0.3">
      <c r="A16" s="67" t="s">
        <v>247</v>
      </c>
      <c r="B16" s="737">
        <v>5640</v>
      </c>
      <c r="C16" s="737"/>
      <c r="D16" s="69">
        <v>102458.82</v>
      </c>
      <c r="E16" s="1089">
        <v>138803</v>
      </c>
      <c r="F16" s="69">
        <f>E16</f>
        <v>138803</v>
      </c>
      <c r="G16" s="69">
        <f>F16</f>
        <v>138803</v>
      </c>
      <c r="H16" s="66" t="s">
        <v>248</v>
      </c>
    </row>
    <row r="17" spans="1:10" s="752" customFormat="1" ht="14.4" x14ac:dyDescent="0.3">
      <c r="A17" s="738" t="s">
        <v>249</v>
      </c>
      <c r="B17" s="747"/>
      <c r="C17" s="747"/>
      <c r="D17" s="318"/>
      <c r="E17" s="757"/>
      <c r="F17" s="318"/>
      <c r="G17" s="318"/>
      <c r="H17" s="321"/>
    </row>
    <row r="18" spans="1:10" ht="14.4" x14ac:dyDescent="0.3">
      <c r="A18" s="67" t="s">
        <v>721</v>
      </c>
      <c r="B18" s="746" t="s">
        <v>10</v>
      </c>
      <c r="C18" s="746" t="s">
        <v>722</v>
      </c>
      <c r="D18" s="69">
        <v>226176</v>
      </c>
      <c r="E18" s="1089">
        <v>223536</v>
      </c>
      <c r="F18" s="69">
        <f>+E18</f>
        <v>223536</v>
      </c>
      <c r="G18" s="69">
        <f>+F18</f>
        <v>223536</v>
      </c>
      <c r="H18" s="66" t="s">
        <v>421</v>
      </c>
    </row>
    <row r="19" spans="1:10" ht="14.4" x14ac:dyDescent="0.3">
      <c r="A19" s="67" t="s">
        <v>560</v>
      </c>
      <c r="B19" s="746" t="s">
        <v>10</v>
      </c>
      <c r="C19" s="746" t="s">
        <v>722</v>
      </c>
      <c r="D19" s="69">
        <v>4212110</v>
      </c>
      <c r="E19" s="1089">
        <f>1906740-E18</f>
        <v>1683204</v>
      </c>
      <c r="F19" s="69">
        <v>0</v>
      </c>
      <c r="G19" s="69">
        <v>0</v>
      </c>
      <c r="H19" s="66" t="s">
        <v>751</v>
      </c>
    </row>
    <row r="20" spans="1:10" ht="14.4" x14ac:dyDescent="0.3">
      <c r="A20" s="67" t="s">
        <v>250</v>
      </c>
      <c r="B20" s="746" t="s">
        <v>10</v>
      </c>
      <c r="C20" s="746" t="s">
        <v>724</v>
      </c>
      <c r="D20" s="69">
        <v>1939.94</v>
      </c>
      <c r="E20" s="1089">
        <v>1940</v>
      </c>
      <c r="F20" s="69">
        <f t="shared" ref="F20:G22" si="1">E20</f>
        <v>1940</v>
      </c>
      <c r="G20" s="69">
        <f t="shared" si="1"/>
        <v>1940</v>
      </c>
      <c r="J20" s="753"/>
    </row>
    <row r="21" spans="1:10" ht="14.4" x14ac:dyDescent="0.3">
      <c r="A21" s="67" t="s">
        <v>625</v>
      </c>
      <c r="B21" s="746" t="s">
        <v>96</v>
      </c>
      <c r="C21" s="746" t="s">
        <v>724</v>
      </c>
      <c r="D21" s="69">
        <v>17360.54</v>
      </c>
      <c r="E21" s="1089">
        <v>17360</v>
      </c>
      <c r="F21" s="69">
        <f t="shared" si="1"/>
        <v>17360</v>
      </c>
      <c r="G21" s="69">
        <f t="shared" si="1"/>
        <v>17360</v>
      </c>
    </row>
    <row r="22" spans="1:10" ht="14.4" x14ac:dyDescent="0.3">
      <c r="A22" s="67" t="s">
        <v>624</v>
      </c>
      <c r="B22" s="746" t="s">
        <v>96</v>
      </c>
      <c r="C22" s="746" t="s">
        <v>724</v>
      </c>
      <c r="D22" s="69">
        <v>6525</v>
      </c>
      <c r="E22" s="1089">
        <f>23570-E21</f>
        <v>6210</v>
      </c>
      <c r="F22" s="69">
        <f t="shared" si="1"/>
        <v>6210</v>
      </c>
      <c r="G22" s="69">
        <f t="shared" si="1"/>
        <v>6210</v>
      </c>
    </row>
    <row r="23" spans="1:10" ht="14.4" x14ac:dyDescent="0.3">
      <c r="A23" s="67" t="s">
        <v>769</v>
      </c>
      <c r="B23" s="746" t="s">
        <v>44</v>
      </c>
      <c r="C23" s="746" t="s">
        <v>773</v>
      </c>
      <c r="D23" s="69">
        <v>1230587.26</v>
      </c>
      <c r="E23" s="1089">
        <v>1090180</v>
      </c>
      <c r="F23" s="69">
        <f>+E23*0.999</f>
        <v>1089089.82</v>
      </c>
      <c r="G23" s="69">
        <f>F23*0.9999</f>
        <v>1088980.911018</v>
      </c>
      <c r="H23" s="66" t="s">
        <v>422</v>
      </c>
    </row>
    <row r="24" spans="1:10" ht="14.4" x14ac:dyDescent="0.3">
      <c r="A24" s="67" t="s">
        <v>770</v>
      </c>
      <c r="B24" s="746" t="s">
        <v>44</v>
      </c>
      <c r="C24" s="746" t="s">
        <v>773</v>
      </c>
      <c r="D24" s="69">
        <v>13997.02</v>
      </c>
      <c r="E24" s="1089">
        <v>0</v>
      </c>
      <c r="F24" s="69"/>
      <c r="G24" s="69"/>
    </row>
    <row r="25" spans="1:10" ht="14.4" x14ac:dyDescent="0.3">
      <c r="A25" s="67" t="s">
        <v>771</v>
      </c>
      <c r="B25" s="748" t="s">
        <v>349</v>
      </c>
      <c r="C25" s="748" t="s">
        <v>773</v>
      </c>
      <c r="D25" s="69">
        <v>409115.19</v>
      </c>
      <c r="E25" s="1089">
        <v>319267</v>
      </c>
      <c r="F25" s="69">
        <f>+E25*0.999</f>
        <v>318947.73300000001</v>
      </c>
      <c r="G25" s="69">
        <f>F25*0.9999</f>
        <v>318915.83822670003</v>
      </c>
      <c r="H25" s="66" t="s">
        <v>422</v>
      </c>
    </row>
    <row r="26" spans="1:10" ht="14.4" x14ac:dyDescent="0.3">
      <c r="A26" s="67" t="s">
        <v>772</v>
      </c>
      <c r="B26" s="748" t="s">
        <v>349</v>
      </c>
      <c r="C26" s="748" t="s">
        <v>773</v>
      </c>
      <c r="D26" s="69">
        <v>20338.64</v>
      </c>
      <c r="E26" s="1089">
        <v>25930</v>
      </c>
      <c r="F26" s="69">
        <v>0</v>
      </c>
      <c r="G26" s="69">
        <v>0</v>
      </c>
    </row>
    <row r="27" spans="1:10" ht="14.4" x14ac:dyDescent="0.3">
      <c r="A27" s="67" t="s">
        <v>309</v>
      </c>
      <c r="B27" s="748" t="s">
        <v>310</v>
      </c>
      <c r="C27" s="748"/>
      <c r="D27" s="69">
        <v>217800</v>
      </c>
      <c r="E27" s="1089">
        <v>217800</v>
      </c>
      <c r="F27" s="69">
        <v>217800</v>
      </c>
      <c r="G27" s="69">
        <v>217800</v>
      </c>
      <c r="H27" s="66" t="s">
        <v>423</v>
      </c>
    </row>
    <row r="28" spans="1:10" ht="14.4" x14ac:dyDescent="0.3">
      <c r="A28" s="67" t="s">
        <v>570</v>
      </c>
      <c r="B28" s="748" t="s">
        <v>723</v>
      </c>
      <c r="C28" s="748" t="s">
        <v>724</v>
      </c>
      <c r="D28" s="69">
        <v>662597</v>
      </c>
      <c r="E28" s="1089">
        <v>0</v>
      </c>
      <c r="F28" s="69">
        <v>0</v>
      </c>
      <c r="G28" s="69">
        <v>0</v>
      </c>
      <c r="H28" s="66" t="s">
        <v>559</v>
      </c>
      <c r="J28" s="68"/>
    </row>
    <row r="29" spans="1:10" ht="14.4" x14ac:dyDescent="0.3">
      <c r="A29" s="67" t="s">
        <v>353</v>
      </c>
      <c r="B29" s="748" t="s">
        <v>354</v>
      </c>
      <c r="C29" s="748" t="s">
        <v>724</v>
      </c>
      <c r="D29" s="68">
        <v>305572</v>
      </c>
      <c r="E29" s="1089">
        <v>466785</v>
      </c>
      <c r="F29" s="68">
        <v>332579</v>
      </c>
      <c r="G29" s="68">
        <v>0</v>
      </c>
      <c r="H29" s="66" t="s">
        <v>655</v>
      </c>
    </row>
    <row r="30" spans="1:10" ht="14.4" x14ac:dyDescent="0.3">
      <c r="A30" s="67" t="s">
        <v>617</v>
      </c>
      <c r="B30" s="748" t="s">
        <v>715</v>
      </c>
      <c r="C30" s="748" t="s">
        <v>774</v>
      </c>
      <c r="D30" s="68">
        <v>617840.06000000006</v>
      </c>
      <c r="E30" s="1089">
        <v>940972.3</v>
      </c>
      <c r="F30" s="68">
        <v>0</v>
      </c>
      <c r="G30" s="68">
        <v>0</v>
      </c>
    </row>
    <row r="31" spans="1:10" ht="14.4" x14ac:dyDescent="0.3">
      <c r="A31" s="67" t="s">
        <v>254</v>
      </c>
      <c r="B31" s="748" t="s">
        <v>255</v>
      </c>
      <c r="C31" s="748" t="s">
        <v>264</v>
      </c>
      <c r="D31" s="69">
        <v>0</v>
      </c>
      <c r="E31" s="1089">
        <v>8100</v>
      </c>
      <c r="F31" s="69">
        <v>8100</v>
      </c>
      <c r="G31" s="69">
        <v>8100</v>
      </c>
      <c r="H31" s="66" t="s">
        <v>425</v>
      </c>
    </row>
    <row r="32" spans="1:10" s="308" customFormat="1" ht="14.4" x14ac:dyDescent="0.3">
      <c r="A32" s="736"/>
      <c r="B32" s="748"/>
      <c r="C32" s="748"/>
      <c r="D32" s="69"/>
      <c r="E32" s="1089"/>
      <c r="F32" s="69"/>
      <c r="G32" s="69"/>
    </row>
    <row r="33" spans="1:8" ht="14.4" x14ac:dyDescent="0.3">
      <c r="A33" s="67" t="s">
        <v>252</v>
      </c>
      <c r="B33" s="748" t="s">
        <v>77</v>
      </c>
      <c r="C33" s="748" t="s">
        <v>719</v>
      </c>
      <c r="D33" s="69">
        <v>1004376</v>
      </c>
      <c r="E33" s="1089">
        <v>1041447</v>
      </c>
      <c r="F33" s="69">
        <f t="shared" ref="F33:G33" si="2">E33</f>
        <v>1041447</v>
      </c>
      <c r="G33" s="69">
        <f t="shared" si="2"/>
        <v>1041447</v>
      </c>
      <c r="H33" s="66" t="s">
        <v>253</v>
      </c>
    </row>
    <row r="34" spans="1:8" ht="14.4" x14ac:dyDescent="0.3">
      <c r="A34" s="67" t="s">
        <v>749</v>
      </c>
      <c r="B34" s="748" t="s">
        <v>725</v>
      </c>
      <c r="C34" s="748" t="s">
        <v>724</v>
      </c>
      <c r="D34" s="69">
        <v>9000</v>
      </c>
      <c r="E34" s="1089">
        <v>18000</v>
      </c>
      <c r="F34" s="69">
        <v>0</v>
      </c>
      <c r="G34" s="69">
        <v>0</v>
      </c>
    </row>
    <row r="35" spans="1:8" ht="14.4" x14ac:dyDescent="0.3">
      <c r="A35" s="67" t="s">
        <v>748</v>
      </c>
      <c r="B35" s="748" t="s">
        <v>77</v>
      </c>
      <c r="C35" s="748" t="s">
        <v>264</v>
      </c>
      <c r="D35" s="69">
        <f>81200+203850.19</f>
        <v>285050.19</v>
      </c>
      <c r="E35" s="1089">
        <f>81200+383460</f>
        <v>464660</v>
      </c>
      <c r="F35" s="69">
        <f>E35*1.01</f>
        <v>469306.6</v>
      </c>
      <c r="G35" s="69">
        <f>F35*1.01</f>
        <v>473999.66599999997</v>
      </c>
      <c r="H35" s="66" t="s">
        <v>424</v>
      </c>
    </row>
    <row r="36" spans="1:8" ht="14.4" x14ac:dyDescent="0.3">
      <c r="A36" s="67" t="s">
        <v>747</v>
      </c>
      <c r="B36" s="748" t="s">
        <v>77</v>
      </c>
      <c r="C36" s="748" t="s">
        <v>720</v>
      </c>
      <c r="D36" s="69">
        <f>3209913</f>
        <v>3209913</v>
      </c>
      <c r="E36" s="1089">
        <v>2928095</v>
      </c>
      <c r="F36" s="69">
        <f>E36</f>
        <v>2928095</v>
      </c>
      <c r="G36" s="69">
        <f>F36</f>
        <v>2928095</v>
      </c>
      <c r="H36" s="66" t="s">
        <v>251</v>
      </c>
    </row>
    <row r="37" spans="1:8" ht="14.4" x14ac:dyDescent="0.3">
      <c r="A37" s="1032" t="s">
        <v>257</v>
      </c>
      <c r="B37" s="321"/>
      <c r="C37" s="321"/>
      <c r="D37" s="321"/>
      <c r="E37" s="1088"/>
      <c r="F37" s="321"/>
      <c r="G37" s="321"/>
      <c r="H37" s="321"/>
    </row>
    <row r="38" spans="1:8" ht="14.4" x14ac:dyDescent="0.3">
      <c r="A38" s="1033" t="s">
        <v>2</v>
      </c>
      <c r="B38" s="1031" t="s">
        <v>10</v>
      </c>
      <c r="C38" s="1031" t="s">
        <v>258</v>
      </c>
      <c r="D38" s="68">
        <v>158432.89000000001</v>
      </c>
      <c r="E38" s="1089">
        <v>137897</v>
      </c>
      <c r="F38" s="68">
        <f>E38</f>
        <v>137897</v>
      </c>
      <c r="G38" s="68">
        <f>F38*1.0242</f>
        <v>141234.10740000001</v>
      </c>
      <c r="H38" s="752"/>
    </row>
    <row r="39" spans="1:8" ht="14.4" x14ac:dyDescent="0.3">
      <c r="A39" s="1033" t="s">
        <v>259</v>
      </c>
      <c r="B39" s="1031" t="s">
        <v>10</v>
      </c>
      <c r="C39" s="1031" t="s">
        <v>260</v>
      </c>
      <c r="D39" s="68">
        <v>4746.1099999999997</v>
      </c>
      <c r="E39" s="1089">
        <v>1000</v>
      </c>
      <c r="F39" s="68">
        <v>1000</v>
      </c>
      <c r="G39" s="68">
        <v>1000</v>
      </c>
      <c r="H39" s="752"/>
    </row>
    <row r="40" spans="1:8" ht="14.4" x14ac:dyDescent="0.3">
      <c r="A40" s="1033" t="s">
        <v>261</v>
      </c>
      <c r="B40" s="1031" t="s">
        <v>10</v>
      </c>
      <c r="C40" s="1031" t="s">
        <v>262</v>
      </c>
      <c r="D40" s="71">
        <v>24506</v>
      </c>
      <c r="E40" s="1090">
        <v>15000</v>
      </c>
      <c r="F40" s="71">
        <v>14000</v>
      </c>
      <c r="G40" s="71">
        <v>14000</v>
      </c>
      <c r="H40" s="752"/>
    </row>
    <row r="41" spans="1:8" ht="14.4" x14ac:dyDescent="0.3">
      <c r="A41" s="1033" t="s">
        <v>263</v>
      </c>
      <c r="B41" s="1031" t="s">
        <v>10</v>
      </c>
      <c r="C41" s="1031" t="s">
        <v>264</v>
      </c>
      <c r="D41" s="71">
        <v>19553</v>
      </c>
      <c r="E41" s="1090">
        <v>18000</v>
      </c>
      <c r="F41" s="71">
        <v>18500</v>
      </c>
      <c r="G41" s="71">
        <v>18500</v>
      </c>
      <c r="H41" s="752"/>
    </row>
    <row r="42" spans="1:8" ht="14.4" x14ac:dyDescent="0.3">
      <c r="A42" s="1033" t="s">
        <v>265</v>
      </c>
      <c r="B42" s="1031" t="s">
        <v>10</v>
      </c>
      <c r="C42" s="1031" t="s">
        <v>266</v>
      </c>
      <c r="D42" s="71">
        <v>5873</v>
      </c>
      <c r="E42" s="1090">
        <v>6632</v>
      </c>
      <c r="F42" s="71">
        <f t="shared" ref="F42:G45" si="3">E42</f>
        <v>6632</v>
      </c>
      <c r="G42" s="71">
        <f t="shared" si="3"/>
        <v>6632</v>
      </c>
      <c r="H42" s="752"/>
    </row>
    <row r="43" spans="1:8" ht="14.4" x14ac:dyDescent="0.3">
      <c r="A43" s="1033" t="s">
        <v>267</v>
      </c>
      <c r="B43" s="1031" t="s">
        <v>10</v>
      </c>
      <c r="C43" s="1031" t="s">
        <v>266</v>
      </c>
      <c r="D43" s="71">
        <f>9610.05-D42</f>
        <v>3737.0499999999993</v>
      </c>
      <c r="E43" s="1090">
        <v>0</v>
      </c>
      <c r="F43" s="71">
        <v>0</v>
      </c>
      <c r="G43" s="71">
        <v>0</v>
      </c>
      <c r="H43" s="752"/>
    </row>
    <row r="44" spans="1:8" ht="14.4" x14ac:dyDescent="0.3">
      <c r="A44" s="1033" t="s">
        <v>642</v>
      </c>
      <c r="B44" s="1031" t="s">
        <v>506</v>
      </c>
      <c r="C44" s="1031" t="s">
        <v>268</v>
      </c>
      <c r="D44" s="71">
        <v>15063.14</v>
      </c>
      <c r="E44" s="1090">
        <v>6500</v>
      </c>
      <c r="F44" s="71">
        <v>6500</v>
      </c>
      <c r="G44" s="71">
        <v>6500</v>
      </c>
      <c r="H44" s="752"/>
    </row>
    <row r="45" spans="1:8" ht="14.4" x14ac:dyDescent="0.3">
      <c r="A45" s="1033" t="s">
        <v>269</v>
      </c>
      <c r="B45" s="1031" t="s">
        <v>10</v>
      </c>
      <c r="C45" s="1031" t="s">
        <v>268</v>
      </c>
      <c r="D45" s="71">
        <v>36698.120000000003</v>
      </c>
      <c r="E45" s="1090">
        <f>842996-E49</f>
        <v>56200</v>
      </c>
      <c r="F45" s="71">
        <f t="shared" si="3"/>
        <v>56200</v>
      </c>
      <c r="G45" s="71">
        <f t="shared" si="3"/>
        <v>56200</v>
      </c>
      <c r="H45" s="752"/>
    </row>
    <row r="46" spans="1:8" ht="14.4" x14ac:dyDescent="0.3">
      <c r="A46" s="1033" t="s">
        <v>270</v>
      </c>
      <c r="B46" s="1031" t="s">
        <v>10</v>
      </c>
      <c r="C46" s="1031" t="s">
        <v>268</v>
      </c>
      <c r="D46" s="71">
        <v>1150.45</v>
      </c>
      <c r="E46" s="1090">
        <v>0</v>
      </c>
      <c r="F46" s="71">
        <v>0</v>
      </c>
      <c r="G46" s="71">
        <v>0</v>
      </c>
      <c r="H46" s="752"/>
    </row>
    <row r="47" spans="1:8" ht="14.4" x14ac:dyDescent="0.3">
      <c r="A47" s="1033" t="s">
        <v>311</v>
      </c>
      <c r="B47" s="1031" t="s">
        <v>10</v>
      </c>
      <c r="C47" s="1031" t="s">
        <v>268</v>
      </c>
      <c r="D47" s="71">
        <v>9696.02</v>
      </c>
      <c r="E47" s="1090">
        <v>0</v>
      </c>
      <c r="F47" s="71">
        <v>0</v>
      </c>
      <c r="G47" s="71">
        <v>0</v>
      </c>
      <c r="H47" s="752"/>
    </row>
    <row r="48" spans="1:8" ht="14.4" x14ac:dyDescent="0.3">
      <c r="A48" s="1033" t="s">
        <v>271</v>
      </c>
      <c r="B48" s="1031" t="s">
        <v>10</v>
      </c>
      <c r="C48" s="1031" t="s">
        <v>268</v>
      </c>
      <c r="D48" s="71">
        <v>29109.93</v>
      </c>
      <c r="E48" s="1090">
        <v>0</v>
      </c>
      <c r="F48" s="71">
        <v>0</v>
      </c>
      <c r="G48" s="71">
        <v>0</v>
      </c>
      <c r="H48" s="752"/>
    </row>
    <row r="49" spans="1:8" ht="14.4" x14ac:dyDescent="0.3">
      <c r="A49" s="1033" t="s">
        <v>526</v>
      </c>
      <c r="B49" s="1031" t="s">
        <v>10</v>
      </c>
      <c r="C49" s="1031" t="s">
        <v>268</v>
      </c>
      <c r="D49" s="71">
        <v>0</v>
      </c>
      <c r="E49" s="1090">
        <f>807000-E50</f>
        <v>786796</v>
      </c>
      <c r="F49" s="71">
        <v>0</v>
      </c>
      <c r="G49" s="71">
        <v>0</v>
      </c>
      <c r="H49" s="752"/>
    </row>
    <row r="50" spans="1:8" ht="14.4" x14ac:dyDescent="0.3">
      <c r="A50" s="1033" t="s">
        <v>775</v>
      </c>
      <c r="B50" s="1031" t="s">
        <v>10</v>
      </c>
      <c r="C50" s="1031" t="s">
        <v>268</v>
      </c>
      <c r="D50" s="71">
        <v>0</v>
      </c>
      <c r="E50" s="1090">
        <v>20204</v>
      </c>
      <c r="F50" s="71">
        <v>0</v>
      </c>
      <c r="G50" s="71">
        <v>0</v>
      </c>
      <c r="H50" s="752"/>
    </row>
    <row r="51" spans="1:8" ht="14.4" x14ac:dyDescent="0.3">
      <c r="A51" s="1033" t="s">
        <v>272</v>
      </c>
      <c r="B51" s="1031" t="s">
        <v>10</v>
      </c>
      <c r="C51" s="1031" t="s">
        <v>268</v>
      </c>
      <c r="D51" s="71">
        <v>13452.82</v>
      </c>
      <c r="E51" s="1090">
        <v>0</v>
      </c>
      <c r="F51" s="71">
        <v>0</v>
      </c>
      <c r="G51" s="71">
        <v>0</v>
      </c>
      <c r="H51" s="752"/>
    </row>
    <row r="52" spans="1:8" ht="14.4" x14ac:dyDescent="0.3">
      <c r="A52" s="1033" t="s">
        <v>714</v>
      </c>
      <c r="B52" s="1031" t="s">
        <v>10</v>
      </c>
      <c r="C52" s="1031" t="s">
        <v>268</v>
      </c>
      <c r="D52" s="71">
        <v>10000</v>
      </c>
      <c r="E52" s="1090">
        <v>0</v>
      </c>
      <c r="F52" s="71">
        <v>0</v>
      </c>
      <c r="G52" s="71">
        <v>0</v>
      </c>
      <c r="H52" s="752"/>
    </row>
    <row r="53" spans="1:8" ht="14.4" x14ac:dyDescent="0.3">
      <c r="A53" s="1033" t="s">
        <v>273</v>
      </c>
      <c r="B53" s="1031" t="s">
        <v>10</v>
      </c>
      <c r="C53" s="1031" t="s">
        <v>268</v>
      </c>
      <c r="D53" s="71">
        <v>78018.67</v>
      </c>
      <c r="E53" s="1090">
        <v>0</v>
      </c>
      <c r="F53" s="71">
        <f>+E53</f>
        <v>0</v>
      </c>
      <c r="G53" s="71">
        <f>+F53</f>
        <v>0</v>
      </c>
      <c r="H53" s="752"/>
    </row>
    <row r="54" spans="1:8" ht="14.4" x14ac:dyDescent="0.3">
      <c r="A54" s="1033" t="s">
        <v>726</v>
      </c>
      <c r="B54" s="749" t="s">
        <v>727</v>
      </c>
      <c r="C54" s="749" t="s">
        <v>268</v>
      </c>
      <c r="D54" s="81">
        <v>117952.39</v>
      </c>
      <c r="E54" s="1091">
        <v>0</v>
      </c>
      <c r="F54" s="81">
        <v>0</v>
      </c>
      <c r="G54" s="81">
        <v>0</v>
      </c>
      <c r="H54" s="752"/>
    </row>
    <row r="55" spans="1:8" ht="14.4" x14ac:dyDescent="0.3">
      <c r="A55" s="1032" t="s">
        <v>782</v>
      </c>
      <c r="B55" s="321"/>
      <c r="C55" s="321"/>
      <c r="D55" s="321"/>
      <c r="E55" s="1088"/>
      <c r="F55" s="321"/>
      <c r="G55" s="321"/>
      <c r="H55" s="321"/>
    </row>
    <row r="56" spans="1:8" ht="14.4" x14ac:dyDescent="0.3">
      <c r="A56" s="1033" t="s">
        <v>783</v>
      </c>
      <c r="B56" s="1031" t="s">
        <v>10</v>
      </c>
      <c r="C56" s="1031" t="s">
        <v>785</v>
      </c>
      <c r="D56" s="71">
        <v>0</v>
      </c>
      <c r="E56" s="1090">
        <v>-31106</v>
      </c>
      <c r="F56" s="71">
        <v>0</v>
      </c>
      <c r="G56" s="71">
        <v>0</v>
      </c>
      <c r="H56" s="752"/>
    </row>
    <row r="57" spans="1:8" ht="14.4" x14ac:dyDescent="0.3">
      <c r="A57" s="1033" t="s">
        <v>784</v>
      </c>
      <c r="B57" s="749" t="s">
        <v>10</v>
      </c>
      <c r="C57" s="749" t="s">
        <v>785</v>
      </c>
      <c r="D57" s="81">
        <v>0</v>
      </c>
      <c r="E57" s="1091">
        <v>-27469</v>
      </c>
      <c r="F57" s="81">
        <v>0</v>
      </c>
      <c r="G57" s="81">
        <v>0</v>
      </c>
      <c r="H57" s="752"/>
    </row>
    <row r="58" spans="1:8" x14ac:dyDescent="0.3">
      <c r="E58" s="1092"/>
    </row>
    <row r="59" spans="1:8" ht="14.4" x14ac:dyDescent="0.3">
      <c r="A59" s="742" t="s">
        <v>6</v>
      </c>
      <c r="B59" s="744" t="s">
        <v>757</v>
      </c>
      <c r="C59" s="743"/>
      <c r="D59" s="743"/>
      <c r="E59" s="1093"/>
      <c r="F59" s="743"/>
      <c r="G59" s="743"/>
      <c r="H59" s="743"/>
    </row>
    <row r="60" spans="1:8" ht="14.4" x14ac:dyDescent="0.3">
      <c r="A60" s="67" t="s">
        <v>763</v>
      </c>
      <c r="B60" s="745" t="s">
        <v>764</v>
      </c>
      <c r="D60" s="72">
        <f>+LCFF!E23</f>
        <v>61325045.425441563</v>
      </c>
      <c r="E60" s="1090">
        <f>+LCFF!I23+E56+E57</f>
        <v>63960322.08955273</v>
      </c>
      <c r="F60" s="72">
        <f>+LCFF!M23</f>
        <v>66017793.914186239</v>
      </c>
      <c r="G60" s="72">
        <f>+LCFF!Q23</f>
        <v>66294015.707461312</v>
      </c>
    </row>
    <row r="61" spans="1:8" ht="14.4" x14ac:dyDescent="0.3">
      <c r="A61" s="67" t="s">
        <v>752</v>
      </c>
      <c r="B61" s="745" t="s">
        <v>758</v>
      </c>
      <c r="D61" s="72">
        <f>+SUM(D3)</f>
        <v>149454.15</v>
      </c>
      <c r="E61" s="1090">
        <f>+SUM(E3)</f>
        <v>0</v>
      </c>
      <c r="F61" s="72">
        <f>+SUM(F3)</f>
        <v>0</v>
      </c>
      <c r="G61" s="72">
        <f>+SUM(G3)</f>
        <v>0</v>
      </c>
    </row>
    <row r="62" spans="1:8" ht="14.4" x14ac:dyDescent="0.3">
      <c r="A62" s="67" t="s">
        <v>753</v>
      </c>
      <c r="B62" s="745" t="s">
        <v>759</v>
      </c>
      <c r="D62" s="72">
        <f>+SUM(D18:D24)</f>
        <v>5708695.7599999998</v>
      </c>
      <c r="E62" s="1090">
        <f t="shared" ref="E62:G62" si="4">+SUM(E18:E24)</f>
        <v>3022430</v>
      </c>
      <c r="F62" s="72">
        <f t="shared" si="4"/>
        <v>1338135.82</v>
      </c>
      <c r="G62" s="72">
        <f t="shared" si="4"/>
        <v>1338026.911018</v>
      </c>
    </row>
    <row r="63" spans="1:8" ht="14.4" x14ac:dyDescent="0.3">
      <c r="A63" s="67" t="s">
        <v>754</v>
      </c>
      <c r="B63" s="745" t="s">
        <v>760</v>
      </c>
      <c r="D63" s="750">
        <f>+SUM(D38:D53)</f>
        <v>410037.2</v>
      </c>
      <c r="E63" s="1094">
        <f t="shared" ref="E63:G63" si="5">+SUM(E38:E53)</f>
        <v>1048229</v>
      </c>
      <c r="F63" s="750">
        <f t="shared" si="5"/>
        <v>240729</v>
      </c>
      <c r="G63" s="750">
        <f t="shared" si="5"/>
        <v>244066.10740000001</v>
      </c>
    </row>
    <row r="64" spans="1:8" s="751" customFormat="1" ht="14.4" x14ac:dyDescent="0.3">
      <c r="A64" s="754"/>
      <c r="D64" s="756">
        <f>SUM(D60:D63)</f>
        <v>67593232.535441563</v>
      </c>
      <c r="E64" s="1095">
        <f t="shared" ref="E64:G64" si="6">SUM(E60:E63)</f>
        <v>68030981.08955273</v>
      </c>
      <c r="F64" s="756">
        <f t="shared" si="6"/>
        <v>67596658.734186232</v>
      </c>
      <c r="G64" s="756">
        <f t="shared" si="6"/>
        <v>67876108.725879312</v>
      </c>
    </row>
    <row r="65" spans="1:8" ht="14.4" x14ac:dyDescent="0.3">
      <c r="A65" s="67"/>
      <c r="D65" s="1080">
        <f>+D64-SUM(MYP!C3:C15)</f>
        <v>0</v>
      </c>
      <c r="E65" s="1096">
        <f>+E64-SUM(MYP!D3:D15)</f>
        <v>0</v>
      </c>
      <c r="F65" s="1080">
        <f>+F64-SUM(MYP!E3:E15)</f>
        <v>0</v>
      </c>
      <c r="G65" s="1080">
        <f>+G64-SUM(MYP!F3:F15)</f>
        <v>0</v>
      </c>
    </row>
    <row r="66" spans="1:8" ht="14.4" x14ac:dyDescent="0.3">
      <c r="A66" s="742" t="s">
        <v>755</v>
      </c>
      <c r="B66" s="743"/>
      <c r="C66" s="743"/>
      <c r="D66" s="743"/>
      <c r="E66" s="1093"/>
      <c r="F66" s="743"/>
      <c r="G66" s="743"/>
      <c r="H66" s="743"/>
    </row>
    <row r="67" spans="1:8" ht="14.4" x14ac:dyDescent="0.3">
      <c r="A67" s="67" t="s">
        <v>763</v>
      </c>
      <c r="B67" s="745" t="s">
        <v>764</v>
      </c>
      <c r="D67" s="72">
        <f>+D33</f>
        <v>1004376</v>
      </c>
      <c r="E67" s="1090">
        <f>+E33</f>
        <v>1041447</v>
      </c>
      <c r="F67" s="72">
        <f>+F33</f>
        <v>1041447</v>
      </c>
      <c r="G67" s="72">
        <f>+G33</f>
        <v>1041447</v>
      </c>
    </row>
    <row r="68" spans="1:8" ht="14.4" x14ac:dyDescent="0.3">
      <c r="A68" s="67" t="s">
        <v>752</v>
      </c>
      <c r="B68" s="745" t="s">
        <v>758</v>
      </c>
      <c r="D68" s="72">
        <f>+SUM(D4:D16)</f>
        <v>4192188.23</v>
      </c>
      <c r="E68" s="1090">
        <f>+SUM(E4:E16)</f>
        <v>4866377.6500000004</v>
      </c>
      <c r="F68" s="72">
        <f>+SUM(F4:F16)</f>
        <v>3961982.1599999997</v>
      </c>
      <c r="G68" s="72">
        <f>+SUM(G4:G16)</f>
        <v>3961982.1599999997</v>
      </c>
    </row>
    <row r="69" spans="1:8" ht="14.4" x14ac:dyDescent="0.3">
      <c r="A69" s="67" t="s">
        <v>753</v>
      </c>
      <c r="B69" s="745" t="s">
        <v>759</v>
      </c>
      <c r="D69" s="72">
        <f>+SUM(D25:D29,D34)</f>
        <v>1624422.83</v>
      </c>
      <c r="E69" s="1090">
        <f>+SUM(E25:E29,E34)</f>
        <v>1047782</v>
      </c>
      <c r="F69" s="72">
        <f>+SUM(F25:F29,F34)</f>
        <v>869326.73300000001</v>
      </c>
      <c r="G69" s="72">
        <f>+SUM(G25:G29,G34)</f>
        <v>536715.83822669997</v>
      </c>
    </row>
    <row r="70" spans="1:8" ht="14.4" x14ac:dyDescent="0.3">
      <c r="A70" s="67" t="s">
        <v>754</v>
      </c>
      <c r="B70" s="745" t="s">
        <v>760</v>
      </c>
      <c r="D70" s="750">
        <f>+SUM(D35:D36,D54,D31)</f>
        <v>3612915.58</v>
      </c>
      <c r="E70" s="1094">
        <f t="shared" ref="E70:G70" si="7">+SUM(E35:E36,E54,E31)</f>
        <v>3400855</v>
      </c>
      <c r="F70" s="750">
        <f t="shared" si="7"/>
        <v>3405501.6</v>
      </c>
      <c r="G70" s="750">
        <f t="shared" si="7"/>
        <v>3410194.6660000002</v>
      </c>
    </row>
    <row r="71" spans="1:8" ht="14.4" x14ac:dyDescent="0.3">
      <c r="A71" s="67"/>
      <c r="D71" s="756">
        <f>SUM(D67:D70)</f>
        <v>10433902.640000001</v>
      </c>
      <c r="E71" s="1095">
        <f t="shared" ref="E71:G71" si="8">SUM(E67:E70)</f>
        <v>10356461.65</v>
      </c>
      <c r="F71" s="756">
        <f t="shared" si="8"/>
        <v>9278257.4930000007</v>
      </c>
      <c r="G71" s="756">
        <f t="shared" si="8"/>
        <v>8950339.6642266996</v>
      </c>
    </row>
    <row r="72" spans="1:8" ht="14.4" x14ac:dyDescent="0.3">
      <c r="A72" s="67"/>
      <c r="D72" s="1083">
        <f>+D71-SUM(MYP!J3:J14,MYP!J17,MYP!J19)</f>
        <v>0</v>
      </c>
      <c r="E72" s="1097">
        <f>+E71-SUM(MYP!K3:K14,MYP!K17,MYP!K19)</f>
        <v>0</v>
      </c>
      <c r="F72" s="1083">
        <f>+F71-SUM(MYP!L3:L14,MYP!L17,MYP!L19)</f>
        <v>0</v>
      </c>
      <c r="G72" s="1083">
        <f>+G71-SUM(MYP!M3:M14,MYP!M17,MYP!M19)</f>
        <v>0</v>
      </c>
    </row>
    <row r="73" spans="1:8" ht="14.4" x14ac:dyDescent="0.3">
      <c r="A73" s="742" t="s">
        <v>756</v>
      </c>
      <c r="B73" s="743"/>
      <c r="C73" s="743"/>
      <c r="D73" s="743"/>
      <c r="E73" s="1093"/>
      <c r="F73" s="743"/>
      <c r="G73" s="743"/>
      <c r="H73" s="743"/>
    </row>
    <row r="74" spans="1:8" ht="14.4" x14ac:dyDescent="0.3">
      <c r="A74" s="67" t="s">
        <v>763</v>
      </c>
      <c r="B74" s="745" t="s">
        <v>764</v>
      </c>
      <c r="D74" s="71">
        <f>+D60+D67</f>
        <v>62329421.425441563</v>
      </c>
      <c r="E74" s="1090">
        <f t="shared" ref="E74:G74" si="9">+E60+E67</f>
        <v>65001769.08955273</v>
      </c>
      <c r="F74" s="71">
        <f t="shared" si="9"/>
        <v>67059240.914186239</v>
      </c>
      <c r="G74" s="71">
        <f t="shared" si="9"/>
        <v>67335462.707461312</v>
      </c>
    </row>
    <row r="75" spans="1:8" ht="14.4" x14ac:dyDescent="0.3">
      <c r="A75" s="67" t="s">
        <v>752</v>
      </c>
      <c r="B75" s="745" t="s">
        <v>758</v>
      </c>
      <c r="D75" s="71">
        <f t="shared" ref="D75:G77" si="10">+D61+D68</f>
        <v>4341642.38</v>
      </c>
      <c r="E75" s="1090">
        <f t="shared" si="10"/>
        <v>4866377.6500000004</v>
      </c>
      <c r="F75" s="71">
        <f t="shared" si="10"/>
        <v>3961982.1599999997</v>
      </c>
      <c r="G75" s="71">
        <f t="shared" si="10"/>
        <v>3961982.1599999997</v>
      </c>
    </row>
    <row r="76" spans="1:8" ht="14.4" x14ac:dyDescent="0.3">
      <c r="A76" s="67" t="s">
        <v>753</v>
      </c>
      <c r="B76" s="745" t="s">
        <v>759</v>
      </c>
      <c r="D76" s="71">
        <f t="shared" si="10"/>
        <v>7333118.5899999999</v>
      </c>
      <c r="E76" s="1090">
        <f t="shared" si="10"/>
        <v>4070212</v>
      </c>
      <c r="F76" s="71">
        <f t="shared" si="10"/>
        <v>2207462.5530000003</v>
      </c>
      <c r="G76" s="71">
        <f t="shared" si="10"/>
        <v>1874742.7492447</v>
      </c>
    </row>
    <row r="77" spans="1:8" ht="14.4" x14ac:dyDescent="0.3">
      <c r="A77" s="67" t="s">
        <v>754</v>
      </c>
      <c r="B77" s="745" t="s">
        <v>760</v>
      </c>
      <c r="D77" s="750">
        <f>+D63+D70</f>
        <v>4022952.7800000003</v>
      </c>
      <c r="E77" s="1094">
        <f t="shared" si="10"/>
        <v>4449084</v>
      </c>
      <c r="F77" s="750">
        <f t="shared" si="10"/>
        <v>3646230.6</v>
      </c>
      <c r="G77" s="750">
        <f t="shared" si="10"/>
        <v>3654260.7734000003</v>
      </c>
    </row>
    <row r="78" spans="1:8" x14ac:dyDescent="0.3">
      <c r="D78" s="755">
        <f>SUM(D74:D77)</f>
        <v>78027135.175441563</v>
      </c>
      <c r="E78" s="1098">
        <f t="shared" ref="E78:G78" si="11">SUM(E74:E77)</f>
        <v>78387442.739552736</v>
      </c>
      <c r="F78" s="755">
        <f t="shared" si="11"/>
        <v>76874916.227186233</v>
      </c>
      <c r="G78" s="755">
        <f t="shared" si="11"/>
        <v>76826448.390106007</v>
      </c>
    </row>
    <row r="79" spans="1:8" x14ac:dyDescent="0.3">
      <c r="E79" s="1092"/>
    </row>
    <row r="80" spans="1:8" x14ac:dyDescent="0.3">
      <c r="C80" s="1084" t="s">
        <v>813</v>
      </c>
      <c r="D80" s="1034">
        <f>+MYP!J16</f>
        <v>617840.06000000006</v>
      </c>
      <c r="E80" s="1099">
        <f>+MYP!K16</f>
        <v>940972.3</v>
      </c>
      <c r="F80" s="1034">
        <f>+MYP!L16</f>
        <v>0</v>
      </c>
      <c r="G80" s="1034">
        <f>+MYP!M16</f>
        <v>0</v>
      </c>
    </row>
    <row r="81" spans="3:7" ht="6" customHeight="1" x14ac:dyDescent="0.3">
      <c r="E81" s="1092"/>
    </row>
    <row r="82" spans="3:7" ht="14.4" thickBot="1" x14ac:dyDescent="0.35">
      <c r="C82" s="1084" t="s">
        <v>814</v>
      </c>
      <c r="D82" s="1085">
        <f>+D78+D80</f>
        <v>78644975.235441566</v>
      </c>
      <c r="E82" s="1100">
        <f>+E78+E80</f>
        <v>79328415.039552733</v>
      </c>
      <c r="F82" s="1085">
        <f>+F78+F80</f>
        <v>76874916.227186233</v>
      </c>
      <c r="G82" s="1085">
        <f>+G78+G80</f>
        <v>76826448.390106007</v>
      </c>
    </row>
    <row r="83" spans="3:7" ht="14.4" thickTop="1" x14ac:dyDescent="0.3">
      <c r="E83" s="1092"/>
    </row>
    <row r="84" spans="3:7" x14ac:dyDescent="0.3">
      <c r="C84" s="1086" t="s">
        <v>815</v>
      </c>
      <c r="D84" s="1034">
        <f>+MYP!C19+MYP!J21</f>
        <v>78644975.935441539</v>
      </c>
      <c r="E84" s="1099">
        <f>+MYP!D19+MYP!K21</f>
        <v>79328415.039552733</v>
      </c>
      <c r="F84" s="1034">
        <f>+MYP!E19+MYP!L21</f>
        <v>76874916.227186233</v>
      </c>
      <c r="G84" s="1034">
        <f>+MYP!F19+MYP!M21</f>
        <v>76826448.390106007</v>
      </c>
    </row>
    <row r="85" spans="3:7" ht="14.4" thickBot="1" x14ac:dyDescent="0.35">
      <c r="C85" s="1146" t="s">
        <v>811</v>
      </c>
      <c r="D85" s="1145">
        <f>+D82-D84</f>
        <v>-0.69999997317790985</v>
      </c>
      <c r="E85" s="1144">
        <f t="shared" ref="E85:G85" si="12">+E82-E84</f>
        <v>0</v>
      </c>
      <c r="F85" s="1143">
        <f t="shared" si="12"/>
        <v>0</v>
      </c>
      <c r="G85" s="1143">
        <f t="shared" si="12"/>
        <v>0</v>
      </c>
    </row>
    <row r="86" spans="3:7" ht="14.4" thickTop="1" x14ac:dyDescent="0.3"/>
  </sheetData>
  <sheetProtection password="DBAD" sheet="1" objects="1" scenarios="1"/>
  <phoneticPr fontId="7" type="noConversion"/>
  <hyperlinks>
    <hyperlink ref="H4" r:id="rId1"/>
    <hyperlink ref="H9" r:id="rId2"/>
    <hyperlink ref="H12" r:id="rId3"/>
    <hyperlink ref="H14" r:id="rId4"/>
    <hyperlink ref="H18" r:id="rId5"/>
  </hyperlinks>
  <pageMargins left="0.25" right="0.25" top="0.5" bottom="0.2" header="0.5" footer="0.17"/>
  <pageSetup orientation="portrait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3"/>
  <sheetViews>
    <sheetView zoomScale="120" zoomScaleNormal="120" workbookViewId="0">
      <pane ySplit="1" topLeftCell="A2" activePane="bottomLeft" state="frozen"/>
      <selection activeCell="A47" sqref="A47"/>
      <selection pane="bottomLeft" activeCell="A2" sqref="A2"/>
    </sheetView>
  </sheetViews>
  <sheetFormatPr defaultRowHeight="13.2" x14ac:dyDescent="0.25"/>
  <cols>
    <col min="1" max="1" width="10.109375" customWidth="1"/>
    <col min="2" max="2" width="35.6640625" customWidth="1"/>
    <col min="3" max="3" width="10.88671875" customWidth="1"/>
    <col min="4" max="4" width="9.5546875" bestFit="1" customWidth="1"/>
    <col min="5" max="5" width="8" bestFit="1" customWidth="1"/>
    <col min="6" max="8" width="13.44140625" bestFit="1" customWidth="1"/>
    <col min="9" max="9" width="13.33203125" bestFit="1" customWidth="1"/>
    <col min="10" max="10" width="3.44140625" customWidth="1"/>
    <col min="11" max="11" width="11.33203125" bestFit="1" customWidth="1"/>
    <col min="12" max="12" width="11.88671875" customWidth="1"/>
    <col min="13" max="14" width="11.33203125" bestFit="1" customWidth="1"/>
  </cols>
  <sheetData>
    <row r="1" spans="1:14" s="704" customFormat="1" ht="13.8" thickTop="1" x14ac:dyDescent="0.25">
      <c r="A1" s="700"/>
      <c r="B1" s="700"/>
      <c r="C1" s="701" t="s">
        <v>6</v>
      </c>
      <c r="D1" s="700"/>
      <c r="E1" s="700"/>
      <c r="F1" s="1101" t="s">
        <v>304</v>
      </c>
      <c r="G1" s="1103" t="s">
        <v>337</v>
      </c>
      <c r="H1" s="702" t="s">
        <v>468</v>
      </c>
      <c r="I1" s="703" t="s">
        <v>615</v>
      </c>
    </row>
    <row r="2" spans="1:14" x14ac:dyDescent="0.25">
      <c r="A2" s="251" t="s">
        <v>8</v>
      </c>
      <c r="B2" t="s">
        <v>9</v>
      </c>
      <c r="C2" s="1" t="s">
        <v>10</v>
      </c>
      <c r="D2" s="1" t="s">
        <v>11</v>
      </c>
      <c r="E2" s="76" t="s">
        <v>14</v>
      </c>
      <c r="F2" s="2">
        <f>370.82+105.4+134.65</f>
        <v>610.87</v>
      </c>
      <c r="G2" s="1104">
        <f>985+150</f>
        <v>1135</v>
      </c>
      <c r="H2" s="2">
        <f>+G2*(1+$L$2)</f>
        <v>1157.7</v>
      </c>
      <c r="I2" s="2">
        <f>+H2*(1+$L$2)</f>
        <v>1180.854</v>
      </c>
      <c r="L2" s="1035">
        <v>0.02</v>
      </c>
      <c r="M2" t="s">
        <v>790</v>
      </c>
    </row>
    <row r="3" spans="1:14" x14ac:dyDescent="0.25">
      <c r="A3" s="251" t="s">
        <v>12</v>
      </c>
      <c r="B3" t="s">
        <v>9</v>
      </c>
      <c r="C3" s="1" t="s">
        <v>10</v>
      </c>
      <c r="D3" s="1" t="s">
        <v>13</v>
      </c>
      <c r="E3" s="76" t="s">
        <v>14</v>
      </c>
      <c r="F3" s="2">
        <v>27028.84</v>
      </c>
      <c r="G3" s="1104">
        <v>26623</v>
      </c>
      <c r="H3" s="2">
        <f>+G3*(1+$L$4)</f>
        <v>27259.289700000001</v>
      </c>
      <c r="I3" s="2">
        <f>+H3*(1+$M$4)</f>
        <v>27929.868226620001</v>
      </c>
      <c r="J3" s="1035"/>
      <c r="L3" s="1036">
        <v>0.05</v>
      </c>
      <c r="M3" t="s">
        <v>792</v>
      </c>
    </row>
    <row r="4" spans="1:14" x14ac:dyDescent="0.25">
      <c r="A4" s="251" t="s">
        <v>15</v>
      </c>
      <c r="B4" t="s">
        <v>9</v>
      </c>
      <c r="C4" s="1" t="s">
        <v>10</v>
      </c>
      <c r="D4" s="1" t="s">
        <v>16</v>
      </c>
      <c r="E4" s="76" t="s">
        <v>14</v>
      </c>
      <c r="F4" s="2">
        <v>16773.59</v>
      </c>
      <c r="G4" s="1104">
        <v>11699</v>
      </c>
      <c r="H4" s="2">
        <f>+G4*(1+$L$4)</f>
        <v>11978.606100000001</v>
      </c>
      <c r="I4" s="2">
        <f>+H4*(1+$M$4)</f>
        <v>12273.279810060001</v>
      </c>
      <c r="L4" s="1035">
        <v>2.3900000000000001E-2</v>
      </c>
      <c r="M4" s="1035">
        <v>2.46E-2</v>
      </c>
      <c r="N4" t="s">
        <v>791</v>
      </c>
    </row>
    <row r="5" spans="1:14" x14ac:dyDescent="0.25">
      <c r="A5" s="251" t="s">
        <v>17</v>
      </c>
      <c r="B5" t="s">
        <v>9</v>
      </c>
      <c r="C5" s="179" t="s">
        <v>10</v>
      </c>
      <c r="D5" s="179" t="s">
        <v>418</v>
      </c>
      <c r="E5" s="76" t="s">
        <v>419</v>
      </c>
      <c r="F5" s="2">
        <v>36579.589999999997</v>
      </c>
      <c r="G5" s="1104">
        <v>25000</v>
      </c>
      <c r="H5" s="2">
        <f>+G5*(1+$L$4)</f>
        <v>25597.5</v>
      </c>
      <c r="I5" s="2">
        <f>+H5*(1+$M$4)</f>
        <v>26227.198499999999</v>
      </c>
    </row>
    <row r="6" spans="1:14" x14ac:dyDescent="0.25">
      <c r="C6" s="1"/>
      <c r="D6" s="1"/>
      <c r="E6" s="1"/>
      <c r="F6" s="3">
        <f>SUM(F2:F5)</f>
        <v>80992.89</v>
      </c>
      <c r="G6" s="1105">
        <f>SUM(G2:G5)</f>
        <v>64457</v>
      </c>
      <c r="H6" s="3">
        <f>SUM(H2:H5)</f>
        <v>65993.09580000001</v>
      </c>
      <c r="I6" s="3">
        <f>SUM(I2:I5)</f>
        <v>67611.20053668</v>
      </c>
      <c r="L6" s="2"/>
      <c r="M6" s="2"/>
    </row>
    <row r="7" spans="1:14" x14ac:dyDescent="0.25">
      <c r="C7" s="1"/>
      <c r="D7" s="1"/>
      <c r="E7" s="1"/>
      <c r="F7" s="2"/>
      <c r="G7" s="1104"/>
      <c r="H7" s="2"/>
      <c r="I7" s="2"/>
      <c r="L7" s="2"/>
      <c r="M7" s="2"/>
    </row>
    <row r="8" spans="1:14" x14ac:dyDescent="0.25">
      <c r="A8" s="251" t="s">
        <v>18</v>
      </c>
      <c r="B8" s="4" t="s">
        <v>19</v>
      </c>
      <c r="C8" s="689" t="s">
        <v>20</v>
      </c>
      <c r="D8" s="689" t="s">
        <v>21</v>
      </c>
      <c r="E8" s="689" t="s">
        <v>22</v>
      </c>
      <c r="F8" s="2">
        <v>6034.42</v>
      </c>
      <c r="G8" s="1104">
        <v>6035</v>
      </c>
      <c r="H8" s="2">
        <f>+G8*(1+$L$2)</f>
        <v>6155.7</v>
      </c>
      <c r="I8" s="2">
        <f>+H8*(1+$L$2)</f>
        <v>6278.8140000000003</v>
      </c>
      <c r="L8" s="2"/>
      <c r="M8" s="2"/>
    </row>
    <row r="9" spans="1:14" x14ac:dyDescent="0.25">
      <c r="A9" s="251"/>
      <c r="B9" s="309" t="s">
        <v>582</v>
      </c>
      <c r="C9" s="690" t="s">
        <v>20</v>
      </c>
      <c r="D9" s="690" t="s">
        <v>583</v>
      </c>
      <c r="E9" s="690" t="s">
        <v>25</v>
      </c>
      <c r="F9" s="2">
        <v>1005</v>
      </c>
      <c r="G9" s="1104">
        <v>1315</v>
      </c>
      <c r="H9" s="2">
        <f t="shared" ref="H9:I9" si="0">+G9*(1+$L$2)</f>
        <v>1341.3</v>
      </c>
      <c r="I9" s="2">
        <f t="shared" si="0"/>
        <v>1368.126</v>
      </c>
    </row>
    <row r="10" spans="1:14" x14ac:dyDescent="0.25">
      <c r="B10" s="4" t="s">
        <v>26</v>
      </c>
      <c r="C10" s="689" t="s">
        <v>20</v>
      </c>
      <c r="D10" s="689" t="s">
        <v>786</v>
      </c>
      <c r="E10" s="689" t="s">
        <v>25</v>
      </c>
      <c r="F10" s="2">
        <v>64139.55</v>
      </c>
      <c r="G10" s="1104">
        <v>66118</v>
      </c>
      <c r="H10" s="2">
        <f t="shared" ref="H10:I10" si="1">+G10*(1+$L$2)</f>
        <v>67440.36</v>
      </c>
      <c r="I10" s="2">
        <f t="shared" si="1"/>
        <v>68789.167199999996</v>
      </c>
    </row>
    <row r="11" spans="1:14" x14ac:dyDescent="0.25">
      <c r="B11" s="4" t="s">
        <v>23</v>
      </c>
      <c r="C11" s="689" t="s">
        <v>20</v>
      </c>
      <c r="D11" s="689" t="s">
        <v>787</v>
      </c>
      <c r="E11" s="689" t="s">
        <v>25</v>
      </c>
      <c r="F11" s="2">
        <v>72071.42</v>
      </c>
      <c r="G11" s="1104">
        <v>72070</v>
      </c>
      <c r="H11" s="2">
        <f t="shared" ref="H11:I11" si="2">+G11*(1+$L$2)</f>
        <v>73511.399999999994</v>
      </c>
      <c r="I11" s="2">
        <f t="shared" si="2"/>
        <v>74981.627999999997</v>
      </c>
    </row>
    <row r="12" spans="1:14" x14ac:dyDescent="0.25">
      <c r="B12" s="4" t="s">
        <v>27</v>
      </c>
      <c r="C12" s="689" t="s">
        <v>20</v>
      </c>
      <c r="D12" s="689" t="s">
        <v>24</v>
      </c>
      <c r="E12" s="690" t="s">
        <v>28</v>
      </c>
      <c r="F12" s="2">
        <v>3873.37</v>
      </c>
      <c r="G12" s="1104">
        <v>4049</v>
      </c>
      <c r="H12" s="2">
        <f t="shared" ref="H12:I13" si="3">+G12*(1+$L$2)</f>
        <v>4129.9800000000005</v>
      </c>
      <c r="I12" s="2">
        <f t="shared" si="3"/>
        <v>4212.5796000000009</v>
      </c>
    </row>
    <row r="13" spans="1:14" x14ac:dyDescent="0.25">
      <c r="B13" s="4" t="s">
        <v>789</v>
      </c>
      <c r="C13" s="689" t="s">
        <v>20</v>
      </c>
      <c r="D13" s="689" t="s">
        <v>788</v>
      </c>
      <c r="E13" s="689" t="s">
        <v>29</v>
      </c>
      <c r="F13" s="2">
        <f>275.86+16944.31</f>
        <v>17220.170000000002</v>
      </c>
      <c r="G13" s="1104">
        <f>17000+600</f>
        <v>17600</v>
      </c>
      <c r="H13" s="2">
        <f t="shared" si="3"/>
        <v>17952</v>
      </c>
      <c r="I13" s="2">
        <f t="shared" si="3"/>
        <v>18311.04</v>
      </c>
    </row>
    <row r="14" spans="1:14" x14ac:dyDescent="0.25">
      <c r="B14" s="4" t="s">
        <v>30</v>
      </c>
      <c r="C14" s="689" t="s">
        <v>20</v>
      </c>
      <c r="D14" s="689" t="s">
        <v>31</v>
      </c>
      <c r="E14" s="689" t="s">
        <v>32</v>
      </c>
      <c r="F14" s="2">
        <v>33693.29</v>
      </c>
      <c r="G14" s="1104">
        <v>41623</v>
      </c>
      <c r="H14" s="2">
        <f>G14*(1+$L$3)</f>
        <v>43704.15</v>
      </c>
      <c r="I14" s="2">
        <f>H14*(1+$L$3)</f>
        <v>45889.357500000006</v>
      </c>
    </row>
    <row r="15" spans="1:14" x14ac:dyDescent="0.25">
      <c r="B15" s="309" t="s">
        <v>465</v>
      </c>
      <c r="C15" s="689" t="s">
        <v>20</v>
      </c>
      <c r="D15" s="689" t="s">
        <v>13</v>
      </c>
      <c r="E15" s="690" t="s">
        <v>32</v>
      </c>
      <c r="F15" s="2">
        <v>759.6</v>
      </c>
      <c r="G15" s="1104">
        <v>1500</v>
      </c>
      <c r="H15" s="2">
        <f t="shared" ref="H15:H17" si="4">+G15*(1+$L$4)</f>
        <v>1535.8500000000001</v>
      </c>
      <c r="I15" s="2">
        <f t="shared" ref="I15:I17" si="5">+H15*(1+$M$4)</f>
        <v>1573.6319100000001</v>
      </c>
    </row>
    <row r="16" spans="1:14" x14ac:dyDescent="0.25">
      <c r="B16" s="309" t="s">
        <v>413</v>
      </c>
      <c r="C16" s="689" t="s">
        <v>20</v>
      </c>
      <c r="D16" s="690" t="s">
        <v>13</v>
      </c>
      <c r="E16" s="689" t="s">
        <v>32</v>
      </c>
      <c r="F16" s="2">
        <v>0</v>
      </c>
      <c r="G16" s="1104">
        <v>0</v>
      </c>
      <c r="H16" s="2">
        <f t="shared" si="4"/>
        <v>0</v>
      </c>
      <c r="I16" s="2">
        <f t="shared" si="5"/>
        <v>0</v>
      </c>
    </row>
    <row r="17" spans="1:14" x14ac:dyDescent="0.25">
      <c r="B17" s="309" t="s">
        <v>412</v>
      </c>
      <c r="C17" s="689" t="s">
        <v>20</v>
      </c>
      <c r="D17" s="689" t="s">
        <v>16</v>
      </c>
      <c r="E17" s="689" t="s">
        <v>33</v>
      </c>
      <c r="F17" s="2">
        <v>0</v>
      </c>
      <c r="G17" s="1104">
        <v>0</v>
      </c>
      <c r="H17" s="2">
        <f t="shared" si="4"/>
        <v>0</v>
      </c>
      <c r="I17" s="2">
        <f t="shared" si="5"/>
        <v>0</v>
      </c>
    </row>
    <row r="18" spans="1:14" x14ac:dyDescent="0.25">
      <c r="C18" s="1"/>
      <c r="D18" s="1"/>
      <c r="E18" s="1"/>
      <c r="F18" s="3">
        <f>SUM(F8:F17)</f>
        <v>198796.82000000004</v>
      </c>
      <c r="G18" s="1105">
        <f>SUM(G8:G17)</f>
        <v>210310</v>
      </c>
      <c r="H18" s="3">
        <f>SUM(H8:H17)</f>
        <v>215770.74000000002</v>
      </c>
      <c r="I18" s="3">
        <f>SUM(I8:I17)</f>
        <v>221404.34421000001</v>
      </c>
    </row>
    <row r="19" spans="1:14" x14ac:dyDescent="0.25">
      <c r="C19" s="1"/>
      <c r="D19" s="1"/>
      <c r="E19" s="1"/>
      <c r="F19" s="1073">
        <f>+F18-Salaries!E61</f>
        <v>0</v>
      </c>
      <c r="G19" s="1106">
        <f>+G18-Salaries!G61</f>
        <v>0</v>
      </c>
      <c r="H19" s="1073">
        <f>+H18-Salaries!I61</f>
        <v>0</v>
      </c>
      <c r="I19" s="1073">
        <f>+I18-Salaries!K61</f>
        <v>0</v>
      </c>
    </row>
    <row r="20" spans="1:14" ht="13.8" x14ac:dyDescent="0.3">
      <c r="A20" s="248" t="s">
        <v>512</v>
      </c>
      <c r="B20" s="178" t="s">
        <v>513</v>
      </c>
      <c r="C20" s="179" t="s">
        <v>514</v>
      </c>
      <c r="D20" s="179" t="s">
        <v>13</v>
      </c>
      <c r="E20" s="179" t="s">
        <v>28</v>
      </c>
      <c r="F20" s="5">
        <f>413234.62+1154.82</f>
        <v>414389.44</v>
      </c>
      <c r="G20" s="1107">
        <v>1903570.77</v>
      </c>
      <c r="H20" s="5">
        <v>450000</v>
      </c>
      <c r="I20" s="5">
        <v>450000</v>
      </c>
    </row>
    <row r="21" spans="1:14" ht="13.8" x14ac:dyDescent="0.3">
      <c r="A21" s="308"/>
      <c r="B21" s="178" t="s">
        <v>556</v>
      </c>
      <c r="C21" s="179" t="s">
        <v>514</v>
      </c>
      <c r="D21" s="179" t="s">
        <v>16</v>
      </c>
      <c r="E21" s="179" t="s">
        <v>28</v>
      </c>
      <c r="F21" s="2">
        <v>69518.929999999993</v>
      </c>
      <c r="G21" s="1104">
        <v>73200</v>
      </c>
      <c r="H21" s="2">
        <f t="shared" ref="H21" si="6">+G21*(1+$L$4)</f>
        <v>74949.48</v>
      </c>
      <c r="I21" s="2">
        <f t="shared" ref="I21" si="7">+H21*(1+$M$4)</f>
        <v>76793.237207999991</v>
      </c>
    </row>
    <row r="22" spans="1:14" ht="13.8" x14ac:dyDescent="0.3">
      <c r="A22" s="308"/>
      <c r="B22" s="178"/>
      <c r="C22" s="179"/>
      <c r="D22" s="179"/>
      <c r="E22" s="179"/>
      <c r="F22" s="253">
        <f>SUM(F20:F21)</f>
        <v>483908.37</v>
      </c>
      <c r="G22" s="1108">
        <f>SUM(G20:G21)</f>
        <v>1976770.77</v>
      </c>
      <c r="H22" s="253">
        <f>SUM(H20:H21)</f>
        <v>524949.48</v>
      </c>
      <c r="I22" s="253">
        <f>SUM(I20:I21)</f>
        <v>526793.23720800004</v>
      </c>
    </row>
    <row r="23" spans="1:14" ht="13.8" x14ac:dyDescent="0.3">
      <c r="A23" s="66"/>
      <c r="C23" s="1"/>
      <c r="D23" s="1"/>
      <c r="E23" s="1"/>
      <c r="F23" s="5"/>
      <c r="G23" s="1107"/>
      <c r="H23" s="5"/>
      <c r="I23" s="5"/>
    </row>
    <row r="24" spans="1:14" ht="13.8" x14ac:dyDescent="0.3">
      <c r="A24" s="248" t="s">
        <v>546</v>
      </c>
      <c r="B24" s="178" t="s">
        <v>480</v>
      </c>
      <c r="C24" s="179" t="s">
        <v>481</v>
      </c>
      <c r="D24" s="179" t="s">
        <v>21</v>
      </c>
      <c r="E24" s="1" t="s">
        <v>42</v>
      </c>
      <c r="F24" s="2">
        <v>12101.57</v>
      </c>
      <c r="G24" s="1104">
        <v>13276</v>
      </c>
      <c r="H24" s="2">
        <f t="shared" ref="H24:I24" si="8">+G24*(1+$L$2)</f>
        <v>13541.52</v>
      </c>
      <c r="I24" s="2">
        <f t="shared" si="8"/>
        <v>13812.350400000001</v>
      </c>
    </row>
    <row r="25" spans="1:14" ht="13.8" x14ac:dyDescent="0.3">
      <c r="A25" s="248" t="s">
        <v>545</v>
      </c>
      <c r="B25" s="178" t="s">
        <v>482</v>
      </c>
      <c r="C25" s="179" t="s">
        <v>481</v>
      </c>
      <c r="D25" s="179" t="s">
        <v>24</v>
      </c>
      <c r="E25" s="1" t="s">
        <v>42</v>
      </c>
      <c r="F25" s="2">
        <v>253.95</v>
      </c>
      <c r="G25" s="1104">
        <v>0</v>
      </c>
      <c r="H25" s="2">
        <f t="shared" ref="H25:I25" si="9">+G25*(1+$L$2)</f>
        <v>0</v>
      </c>
      <c r="I25" s="2">
        <f t="shared" si="9"/>
        <v>0</v>
      </c>
      <c r="K25" s="75"/>
      <c r="L25" s="75"/>
      <c r="M25" s="75"/>
      <c r="N25" s="75"/>
    </row>
    <row r="26" spans="1:14" ht="13.8" x14ac:dyDescent="0.3">
      <c r="A26" s="250" t="s">
        <v>529</v>
      </c>
      <c r="B26" s="178" t="s">
        <v>483</v>
      </c>
      <c r="C26" s="179" t="s">
        <v>481</v>
      </c>
      <c r="D26" s="179" t="s">
        <v>31</v>
      </c>
      <c r="E26" s="1" t="s">
        <v>42</v>
      </c>
      <c r="F26" s="2">
        <v>1376.98</v>
      </c>
      <c r="G26" s="1104">
        <v>2012</v>
      </c>
      <c r="H26" s="2">
        <f>G26*(1+$L$3)</f>
        <v>2112.6</v>
      </c>
      <c r="I26" s="2">
        <f>H26*(1+$L$3)</f>
        <v>2218.23</v>
      </c>
      <c r="J26" s="75"/>
      <c r="K26" s="75"/>
      <c r="L26" s="75"/>
      <c r="M26" s="75"/>
      <c r="N26" s="75"/>
    </row>
    <row r="27" spans="1:14" ht="13.8" x14ac:dyDescent="0.3">
      <c r="A27" s="66"/>
      <c r="B27" s="178" t="s">
        <v>484</v>
      </c>
      <c r="C27" s="179" t="s">
        <v>481</v>
      </c>
      <c r="D27" s="179" t="s">
        <v>13</v>
      </c>
      <c r="E27" s="1" t="s">
        <v>42</v>
      </c>
      <c r="F27" s="2">
        <v>16618.96</v>
      </c>
      <c r="G27" s="1104">
        <v>16988</v>
      </c>
      <c r="H27" s="2">
        <f t="shared" ref="H27:H28" si="10">+G27*(1+$L$4)</f>
        <v>17394.013200000001</v>
      </c>
      <c r="I27" s="2">
        <f t="shared" ref="I27:I28" si="11">+H27*(1+$M$4)</f>
        <v>17821.905924720002</v>
      </c>
      <c r="J27" s="75"/>
      <c r="K27" s="75"/>
      <c r="L27" s="75"/>
      <c r="M27" s="75"/>
      <c r="N27" s="75"/>
    </row>
    <row r="28" spans="1:14" ht="13.8" x14ac:dyDescent="0.3">
      <c r="A28" s="66"/>
      <c r="B28" s="178" t="s">
        <v>485</v>
      </c>
      <c r="C28" s="179" t="s">
        <v>481</v>
      </c>
      <c r="D28" s="179" t="s">
        <v>16</v>
      </c>
      <c r="E28" s="1" t="s">
        <v>42</v>
      </c>
      <c r="F28" s="2">
        <v>6260.8</v>
      </c>
      <c r="G28" s="1104">
        <v>2000</v>
      </c>
      <c r="H28" s="2">
        <f t="shared" si="10"/>
        <v>2047.8</v>
      </c>
      <c r="I28" s="2">
        <f t="shared" si="11"/>
        <v>2098.1758799999998</v>
      </c>
      <c r="K28" s="75"/>
      <c r="L28" s="75"/>
      <c r="M28" s="75"/>
      <c r="N28" s="75"/>
    </row>
    <row r="29" spans="1:14" ht="13.8" x14ac:dyDescent="0.3">
      <c r="A29" s="308"/>
      <c r="B29" s="305"/>
      <c r="C29" s="307"/>
      <c r="D29" s="307"/>
      <c r="E29" s="254"/>
      <c r="F29" s="257">
        <f>SUM(F24:F28)</f>
        <v>36612.26</v>
      </c>
      <c r="G29" s="1108">
        <f>SUM(G24:G28)</f>
        <v>34276</v>
      </c>
      <c r="H29" s="257">
        <f>SUM(H24:H28)</f>
        <v>35095.933200000007</v>
      </c>
      <c r="I29" s="257">
        <f>SUM(I24:I28)</f>
        <v>35950.662204720007</v>
      </c>
      <c r="K29" s="75"/>
      <c r="L29" s="75"/>
    </row>
    <row r="30" spans="1:14" ht="13.8" x14ac:dyDescent="0.3">
      <c r="A30" s="308"/>
      <c r="B30" s="305"/>
      <c r="C30" s="307"/>
      <c r="D30" s="307"/>
      <c r="E30" s="254"/>
      <c r="F30" s="249"/>
      <c r="G30" s="1107"/>
      <c r="H30" s="249"/>
      <c r="I30" s="249"/>
      <c r="J30" s="75"/>
    </row>
    <row r="31" spans="1:14" ht="13.8" x14ac:dyDescent="0.3">
      <c r="A31" s="248" t="s">
        <v>546</v>
      </c>
      <c r="B31" s="178" t="s">
        <v>473</v>
      </c>
      <c r="C31" s="690" t="s">
        <v>486</v>
      </c>
      <c r="D31" s="690" t="s">
        <v>729</v>
      </c>
      <c r="E31" s="690" t="s">
        <v>488</v>
      </c>
      <c r="F31" s="2">
        <v>1007427.93</v>
      </c>
      <c r="G31" s="1104">
        <v>1073431</v>
      </c>
      <c r="H31" s="2">
        <f t="shared" ref="H31:I31" si="12">+G31*(1+$L$2)</f>
        <v>1094899.6200000001</v>
      </c>
      <c r="I31" s="2">
        <f t="shared" si="12"/>
        <v>1116797.6124000002</v>
      </c>
      <c r="J31" s="75"/>
      <c r="K31" s="75"/>
      <c r="L31" s="75"/>
    </row>
    <row r="32" spans="1:14" ht="13.8" x14ac:dyDescent="0.3">
      <c r="A32" s="248" t="s">
        <v>545</v>
      </c>
      <c r="B32" s="178" t="s">
        <v>602</v>
      </c>
      <c r="C32" s="690" t="s">
        <v>486</v>
      </c>
      <c r="D32" s="690" t="s">
        <v>730</v>
      </c>
      <c r="E32" s="690" t="s">
        <v>488</v>
      </c>
      <c r="F32" s="2">
        <v>150338.97</v>
      </c>
      <c r="G32" s="1104">
        <v>152519</v>
      </c>
      <c r="H32" s="2">
        <f t="shared" ref="H32:I32" si="13">+G32*(1+$L$2)</f>
        <v>155569.38</v>
      </c>
      <c r="I32" s="2">
        <f t="shared" si="13"/>
        <v>158680.76760000002</v>
      </c>
      <c r="L32" s="75"/>
    </row>
    <row r="33" spans="1:12" ht="13.8" x14ac:dyDescent="0.3">
      <c r="A33" s="250" t="s">
        <v>487</v>
      </c>
      <c r="B33" s="178" t="s">
        <v>603</v>
      </c>
      <c r="C33" s="690" t="s">
        <v>486</v>
      </c>
      <c r="D33" s="690" t="s">
        <v>731</v>
      </c>
      <c r="E33" s="690" t="s">
        <v>488</v>
      </c>
      <c r="F33" s="2">
        <v>178344.05</v>
      </c>
      <c r="G33" s="1104">
        <v>180248</v>
      </c>
      <c r="H33" s="2">
        <f t="shared" ref="H33:I33" si="14">+G33*(1+$L$2)</f>
        <v>183852.96</v>
      </c>
      <c r="I33" s="2">
        <f t="shared" si="14"/>
        <v>187530.01919999998</v>
      </c>
      <c r="J33" s="75"/>
      <c r="K33" s="75"/>
      <c r="L33" s="75"/>
    </row>
    <row r="34" spans="1:12" ht="13.8" x14ac:dyDescent="0.3">
      <c r="A34" s="250"/>
      <c r="B34" s="178" t="s">
        <v>626</v>
      </c>
      <c r="C34" s="690" t="s">
        <v>486</v>
      </c>
      <c r="D34" s="690" t="s">
        <v>732</v>
      </c>
      <c r="E34" s="690" t="s">
        <v>537</v>
      </c>
      <c r="F34" s="2">
        <v>3273.97</v>
      </c>
      <c r="G34" s="1104">
        <v>0</v>
      </c>
      <c r="H34" s="2">
        <f t="shared" ref="H34:I34" si="15">+G34*(1+$L$2)</f>
        <v>0</v>
      </c>
      <c r="I34" s="2">
        <f t="shared" si="15"/>
        <v>0</v>
      </c>
      <c r="J34" s="75"/>
    </row>
    <row r="35" spans="1:12" ht="13.8" x14ac:dyDescent="0.3">
      <c r="A35" s="66"/>
      <c r="B35" s="178" t="s">
        <v>530</v>
      </c>
      <c r="C35" s="690" t="s">
        <v>486</v>
      </c>
      <c r="D35" s="690" t="s">
        <v>733</v>
      </c>
      <c r="E35" s="689" t="s">
        <v>42</v>
      </c>
      <c r="F35" s="2">
        <f>2031.6+2708.8+2708.8</f>
        <v>7449.2</v>
      </c>
      <c r="G35" s="1104">
        <v>3332</v>
      </c>
      <c r="H35" s="2">
        <f t="shared" ref="H35:I35" si="16">+G35*(1+$L$2)</f>
        <v>3398.64</v>
      </c>
      <c r="I35" s="2">
        <f t="shared" si="16"/>
        <v>3466.6127999999999</v>
      </c>
    </row>
    <row r="36" spans="1:12" ht="13.8" x14ac:dyDescent="0.3">
      <c r="A36" s="66"/>
      <c r="B36" s="178" t="s">
        <v>531</v>
      </c>
      <c r="C36" s="690" t="s">
        <v>486</v>
      </c>
      <c r="D36" s="690" t="s">
        <v>733</v>
      </c>
      <c r="E36" s="689" t="s">
        <v>42</v>
      </c>
      <c r="F36" s="2">
        <f>8126.4+6772+6094</f>
        <v>20992.400000000001</v>
      </c>
      <c r="G36" s="1104">
        <f>8126+6772+7449</f>
        <v>22347</v>
      </c>
      <c r="H36" s="2">
        <f t="shared" ref="H36:I36" si="17">+G36*(1+$L$2)</f>
        <v>22793.94</v>
      </c>
      <c r="I36" s="2">
        <f t="shared" si="17"/>
        <v>23249.818799999997</v>
      </c>
    </row>
    <row r="37" spans="1:12" ht="13.8" x14ac:dyDescent="0.3">
      <c r="A37" s="250"/>
      <c r="B37" s="178" t="s">
        <v>644</v>
      </c>
      <c r="C37" s="690" t="s">
        <v>486</v>
      </c>
      <c r="D37" s="690" t="s">
        <v>733</v>
      </c>
      <c r="E37" s="690" t="s">
        <v>42</v>
      </c>
      <c r="F37" s="2">
        <f>10*338.6</f>
        <v>3386</v>
      </c>
      <c r="G37" s="1104">
        <f>339*10</f>
        <v>3390</v>
      </c>
      <c r="H37" s="2">
        <f t="shared" ref="H37:I37" si="18">+G37*(1+$L$2)</f>
        <v>3457.8</v>
      </c>
      <c r="I37" s="2">
        <f t="shared" si="18"/>
        <v>3526.9560000000001</v>
      </c>
      <c r="J37" s="75"/>
      <c r="K37" s="75"/>
      <c r="L37" s="75"/>
    </row>
    <row r="38" spans="1:12" ht="13.8" x14ac:dyDescent="0.3">
      <c r="A38" s="66"/>
      <c r="B38" s="178" t="s">
        <v>490</v>
      </c>
      <c r="C38" s="690" t="s">
        <v>486</v>
      </c>
      <c r="D38" s="690" t="s">
        <v>734</v>
      </c>
      <c r="E38" s="690" t="s">
        <v>42</v>
      </c>
      <c r="F38" s="2">
        <v>41691.279999999999</v>
      </c>
      <c r="G38" s="1104">
        <v>39510</v>
      </c>
      <c r="H38" s="2">
        <f t="shared" ref="H38:I38" si="19">+G38*(1+$L$2)</f>
        <v>40300.199999999997</v>
      </c>
      <c r="I38" s="2">
        <f t="shared" si="19"/>
        <v>41106.203999999998</v>
      </c>
    </row>
    <row r="39" spans="1:12" ht="13.8" x14ac:dyDescent="0.3">
      <c r="A39" s="66"/>
      <c r="B39" s="178" t="s">
        <v>474</v>
      </c>
      <c r="C39" s="690" t="s">
        <v>486</v>
      </c>
      <c r="D39" s="690" t="s">
        <v>735</v>
      </c>
      <c r="E39" s="690" t="s">
        <v>488</v>
      </c>
      <c r="F39" s="2">
        <v>278474.94</v>
      </c>
      <c r="G39" s="1104">
        <v>278539</v>
      </c>
      <c r="H39" s="2">
        <f t="shared" ref="H39:I40" si="20">+G39*(1+$L$2)</f>
        <v>284109.78000000003</v>
      </c>
      <c r="I39" s="2">
        <f t="shared" si="20"/>
        <v>289791.97560000001</v>
      </c>
    </row>
    <row r="40" spans="1:12" ht="13.8" x14ac:dyDescent="0.3">
      <c r="A40" s="66"/>
      <c r="B40" s="178" t="s">
        <v>793</v>
      </c>
      <c r="C40" s="690" t="s">
        <v>486</v>
      </c>
      <c r="D40" s="690" t="s">
        <v>794</v>
      </c>
      <c r="E40" s="690" t="s">
        <v>537</v>
      </c>
      <c r="F40" s="2">
        <v>1725.72</v>
      </c>
      <c r="G40" s="1104">
        <v>0</v>
      </c>
      <c r="H40" s="2">
        <f t="shared" si="20"/>
        <v>0</v>
      </c>
      <c r="I40" s="2">
        <f t="shared" si="20"/>
        <v>0</v>
      </c>
    </row>
    <row r="41" spans="1:12" ht="13.8" x14ac:dyDescent="0.3">
      <c r="A41" s="66"/>
      <c r="B41" s="178" t="s">
        <v>574</v>
      </c>
      <c r="C41" s="690" t="s">
        <v>486</v>
      </c>
      <c r="D41" s="690" t="s">
        <v>736</v>
      </c>
      <c r="E41" s="690" t="s">
        <v>42</v>
      </c>
      <c r="F41" s="2">
        <v>0</v>
      </c>
      <c r="G41" s="1104">
        <v>334385</v>
      </c>
      <c r="H41" s="2">
        <f t="shared" ref="H41:I41" si="21">+G41*(1+$L$2)</f>
        <v>341072.7</v>
      </c>
      <c r="I41" s="2">
        <f t="shared" si="21"/>
        <v>347894.15400000004</v>
      </c>
    </row>
    <row r="42" spans="1:12" ht="13.8" x14ac:dyDescent="0.3">
      <c r="A42" s="66"/>
      <c r="B42" s="178" t="s">
        <v>489</v>
      </c>
      <c r="C42" s="690" t="s">
        <v>486</v>
      </c>
      <c r="D42" s="690" t="s">
        <v>737</v>
      </c>
      <c r="E42" s="690" t="s">
        <v>488</v>
      </c>
      <c r="F42" s="2">
        <v>254092.12</v>
      </c>
      <c r="G42" s="1104">
        <v>292683</v>
      </c>
      <c r="H42" s="2">
        <f t="shared" ref="H42:I42" si="22">+G42*(1+$L$2)</f>
        <v>298536.66000000003</v>
      </c>
      <c r="I42" s="2">
        <f t="shared" si="22"/>
        <v>304507.39320000005</v>
      </c>
    </row>
    <row r="43" spans="1:12" ht="13.8" x14ac:dyDescent="0.3">
      <c r="A43" s="66"/>
      <c r="B43" s="178" t="s">
        <v>532</v>
      </c>
      <c r="C43" s="690" t="s">
        <v>486</v>
      </c>
      <c r="D43" s="690" t="s">
        <v>736</v>
      </c>
      <c r="E43" s="689" t="s">
        <v>42</v>
      </c>
      <c r="F43" s="2">
        <v>22009</v>
      </c>
      <c r="G43" s="1104">
        <v>22009</v>
      </c>
      <c r="H43" s="2">
        <f t="shared" ref="H43:I43" si="23">+G43*(1+$L$2)</f>
        <v>22449.18</v>
      </c>
      <c r="I43" s="2">
        <f t="shared" si="23"/>
        <v>22898.1636</v>
      </c>
    </row>
    <row r="44" spans="1:12" ht="13.8" x14ac:dyDescent="0.3">
      <c r="A44" s="66"/>
      <c r="B44" s="178" t="s">
        <v>491</v>
      </c>
      <c r="C44" s="179" t="s">
        <v>486</v>
      </c>
      <c r="D44" s="690" t="s">
        <v>738</v>
      </c>
      <c r="E44" s="690" t="s">
        <v>22</v>
      </c>
      <c r="F44" s="2">
        <v>123.94</v>
      </c>
      <c r="G44" s="1104">
        <v>1811</v>
      </c>
      <c r="H44" s="2">
        <f t="shared" ref="H44:I44" si="24">+G44*(1+$L$2)</f>
        <v>1847.22</v>
      </c>
      <c r="I44" s="2">
        <f t="shared" si="24"/>
        <v>1884.1644000000001</v>
      </c>
    </row>
    <row r="45" spans="1:12" ht="13.8" x14ac:dyDescent="0.3">
      <c r="A45" s="66"/>
      <c r="B45" s="178" t="s">
        <v>601</v>
      </c>
      <c r="C45" s="179" t="s">
        <v>486</v>
      </c>
      <c r="D45" s="690" t="s">
        <v>575</v>
      </c>
      <c r="E45" s="690" t="s">
        <v>537</v>
      </c>
      <c r="F45" s="2">
        <v>645</v>
      </c>
      <c r="G45" s="1104">
        <v>645</v>
      </c>
      <c r="H45" s="2">
        <f t="shared" ref="H45:I45" si="25">+G45*(1+$L$2)</f>
        <v>657.9</v>
      </c>
      <c r="I45" s="2">
        <f t="shared" si="25"/>
        <v>671.05799999999999</v>
      </c>
    </row>
    <row r="46" spans="1:12" ht="13.8" x14ac:dyDescent="0.3">
      <c r="A46" s="66"/>
      <c r="B46" s="178" t="s">
        <v>640</v>
      </c>
      <c r="C46" s="179" t="s">
        <v>486</v>
      </c>
      <c r="D46" s="690" t="s">
        <v>533</v>
      </c>
      <c r="E46" s="689" t="s">
        <v>42</v>
      </c>
      <c r="F46" s="2">
        <v>0</v>
      </c>
      <c r="G46" s="1104">
        <f>79580+40</f>
        <v>79620</v>
      </c>
      <c r="H46" s="2">
        <f t="shared" ref="H46:I46" si="26">+G46*(1+$L$2)</f>
        <v>81212.399999999994</v>
      </c>
      <c r="I46" s="2">
        <f t="shared" si="26"/>
        <v>82836.648000000001</v>
      </c>
    </row>
    <row r="47" spans="1:12" ht="13.8" x14ac:dyDescent="0.3">
      <c r="A47" s="66"/>
      <c r="B47" s="178" t="s">
        <v>492</v>
      </c>
      <c r="C47" s="179" t="s">
        <v>486</v>
      </c>
      <c r="D47" s="690" t="s">
        <v>493</v>
      </c>
      <c r="E47" s="690" t="s">
        <v>488</v>
      </c>
      <c r="F47" s="2">
        <v>17430.349999999999</v>
      </c>
      <c r="G47" s="1104">
        <v>18222</v>
      </c>
      <c r="H47" s="2">
        <f t="shared" ref="H47:I47" si="27">+G47*(1+$L$2)</f>
        <v>18586.439999999999</v>
      </c>
      <c r="I47" s="2">
        <f t="shared" si="27"/>
        <v>18958.168799999999</v>
      </c>
    </row>
    <row r="48" spans="1:12" ht="13.8" x14ac:dyDescent="0.3">
      <c r="A48" s="66"/>
      <c r="B48" s="178" t="s">
        <v>494</v>
      </c>
      <c r="C48" s="179" t="s">
        <v>486</v>
      </c>
      <c r="D48" s="690" t="s">
        <v>493</v>
      </c>
      <c r="E48" s="690" t="s">
        <v>488</v>
      </c>
      <c r="F48" s="2">
        <v>85453.92</v>
      </c>
      <c r="G48" s="1104">
        <v>89388</v>
      </c>
      <c r="H48" s="2">
        <f t="shared" ref="H48:I48" si="28">+G48*(1+$L$2)</f>
        <v>91175.76</v>
      </c>
      <c r="I48" s="2">
        <f t="shared" si="28"/>
        <v>92999.275199999989</v>
      </c>
    </row>
    <row r="49" spans="1:13" ht="13.8" x14ac:dyDescent="0.3">
      <c r="A49" s="66"/>
      <c r="B49" s="178" t="s">
        <v>604</v>
      </c>
      <c r="C49" s="179" t="s">
        <v>486</v>
      </c>
      <c r="D49" s="690" t="s">
        <v>493</v>
      </c>
      <c r="E49" s="690" t="s">
        <v>32</v>
      </c>
      <c r="F49" s="2">
        <f>150.3+616.29+203.75</f>
        <v>970.33999999999992</v>
      </c>
      <c r="G49" s="1104">
        <f>620+200</f>
        <v>820</v>
      </c>
      <c r="H49" s="2">
        <f t="shared" ref="H49:I49" si="29">+G49*(1+$L$2)</f>
        <v>836.4</v>
      </c>
      <c r="I49" s="2">
        <f t="shared" si="29"/>
        <v>853.12800000000004</v>
      </c>
    </row>
    <row r="50" spans="1:13" ht="13.8" x14ac:dyDescent="0.3">
      <c r="A50" s="66"/>
      <c r="B50" s="178" t="s">
        <v>495</v>
      </c>
      <c r="C50" s="179" t="s">
        <v>486</v>
      </c>
      <c r="D50" s="690" t="s">
        <v>496</v>
      </c>
      <c r="E50" s="690" t="s">
        <v>22</v>
      </c>
      <c r="F50" s="2">
        <v>2830.79</v>
      </c>
      <c r="G50" s="1104">
        <v>2650</v>
      </c>
      <c r="H50" s="2">
        <f t="shared" ref="H50:I50" si="30">+G50*(1+$L$2)</f>
        <v>2703</v>
      </c>
      <c r="I50" s="2">
        <f t="shared" si="30"/>
        <v>2757.06</v>
      </c>
    </row>
    <row r="51" spans="1:13" ht="13.8" x14ac:dyDescent="0.3">
      <c r="A51" s="66"/>
      <c r="B51" s="178" t="s">
        <v>606</v>
      </c>
      <c r="C51" s="179" t="s">
        <v>486</v>
      </c>
      <c r="D51" s="690" t="s">
        <v>496</v>
      </c>
      <c r="E51" s="690" t="s">
        <v>42</v>
      </c>
      <c r="F51" s="2">
        <f>463.52+110.56</f>
        <v>574.07999999999993</v>
      </c>
      <c r="G51" s="1104">
        <f>4146+220</f>
        <v>4366</v>
      </c>
      <c r="H51" s="2">
        <f>+G51*(1+$L$2)</f>
        <v>4453.32</v>
      </c>
      <c r="I51" s="2">
        <f t="shared" ref="I51" si="31">+H51*(1+$L$2)</f>
        <v>4542.3863999999994</v>
      </c>
      <c r="J51" s="75"/>
      <c r="K51" s="75"/>
    </row>
    <row r="52" spans="1:13" ht="13.8" x14ac:dyDescent="0.3">
      <c r="A52" s="66"/>
      <c r="B52" s="178" t="s">
        <v>30</v>
      </c>
      <c r="C52" s="179" t="s">
        <v>486</v>
      </c>
      <c r="D52" s="690" t="s">
        <v>31</v>
      </c>
      <c r="E52" s="690" t="s">
        <v>32</v>
      </c>
      <c r="F52" s="2">
        <v>458497.73</v>
      </c>
      <c r="G52" s="1104">
        <v>660893</v>
      </c>
      <c r="H52" s="2">
        <f>G52*(1+$L$3)</f>
        <v>693937.65</v>
      </c>
      <c r="I52" s="2">
        <f>H52*(1+$L$3)</f>
        <v>728634.53250000009</v>
      </c>
      <c r="J52" s="75"/>
      <c r="K52" s="75"/>
      <c r="L52" s="75"/>
      <c r="M52" s="75"/>
    </row>
    <row r="53" spans="1:13" ht="13.8" x14ac:dyDescent="0.3">
      <c r="A53" s="66"/>
      <c r="B53" s="178" t="s">
        <v>607</v>
      </c>
      <c r="C53" s="179" t="s">
        <v>486</v>
      </c>
      <c r="D53" s="690" t="s">
        <v>41</v>
      </c>
      <c r="E53" s="690" t="s">
        <v>22</v>
      </c>
      <c r="F53" s="2">
        <v>279.92</v>
      </c>
      <c r="G53" s="1104">
        <v>500</v>
      </c>
      <c r="H53" s="2">
        <f t="shared" ref="H53:H86" si="32">+G53*(1+$L$4)</f>
        <v>511.95</v>
      </c>
      <c r="I53" s="2">
        <f t="shared" ref="I53:I86" si="33">+H53*(1+$M$4)</f>
        <v>524.54396999999994</v>
      </c>
      <c r="J53" s="75"/>
      <c r="K53" s="75"/>
    </row>
    <row r="54" spans="1:13" ht="13.8" x14ac:dyDescent="0.3">
      <c r="A54" s="66"/>
      <c r="B54" s="178" t="s">
        <v>600</v>
      </c>
      <c r="C54" s="179" t="s">
        <v>486</v>
      </c>
      <c r="D54" s="690" t="s">
        <v>41</v>
      </c>
      <c r="E54" s="690" t="s">
        <v>42</v>
      </c>
      <c r="F54" s="2">
        <f>477339.66-F53-F55-F90</f>
        <v>47380.419999999984</v>
      </c>
      <c r="G54" s="1104">
        <f>115942-G53-G55-G90</f>
        <v>62715</v>
      </c>
      <c r="H54" s="2">
        <f t="shared" si="32"/>
        <v>64213.888500000001</v>
      </c>
      <c r="I54" s="2">
        <f t="shared" si="33"/>
        <v>65793.550157099991</v>
      </c>
    </row>
    <row r="55" spans="1:13" ht="13.8" x14ac:dyDescent="0.3">
      <c r="A55" s="66"/>
      <c r="B55" s="178" t="s">
        <v>795</v>
      </c>
      <c r="C55" s="179" t="s">
        <v>486</v>
      </c>
      <c r="D55" s="690" t="s">
        <v>41</v>
      </c>
      <c r="E55" s="690" t="s">
        <v>102</v>
      </c>
      <c r="F55" s="2">
        <v>0</v>
      </c>
      <c r="G55" s="1104">
        <v>52727</v>
      </c>
      <c r="H55" s="2">
        <f t="shared" ref="H55" si="34">+G55*(1+$L$4)</f>
        <v>53987.175300000003</v>
      </c>
      <c r="I55" s="2">
        <f t="shared" ref="I55" si="35">+H55*(1+$M$4)</f>
        <v>55315.259812379998</v>
      </c>
    </row>
    <row r="56" spans="1:13" ht="13.8" x14ac:dyDescent="0.3">
      <c r="A56" s="66"/>
      <c r="B56" s="178" t="s">
        <v>598</v>
      </c>
      <c r="C56" s="179" t="s">
        <v>486</v>
      </c>
      <c r="D56" s="690" t="s">
        <v>53</v>
      </c>
      <c r="E56" s="690" t="s">
        <v>22</v>
      </c>
      <c r="F56" s="2">
        <v>2472.39</v>
      </c>
      <c r="G56" s="1104">
        <v>14250</v>
      </c>
      <c r="H56" s="2">
        <f t="shared" si="32"/>
        <v>14590.575000000001</v>
      </c>
      <c r="I56" s="2">
        <f t="shared" si="33"/>
        <v>14949.503145000001</v>
      </c>
      <c r="J56" s="75"/>
      <c r="K56" s="75"/>
    </row>
    <row r="57" spans="1:13" ht="13.8" x14ac:dyDescent="0.3">
      <c r="A57" s="66"/>
      <c r="B57" s="685" t="s">
        <v>497</v>
      </c>
      <c r="C57" s="686" t="s">
        <v>486</v>
      </c>
      <c r="D57" s="688" t="s">
        <v>584</v>
      </c>
      <c r="E57" s="688" t="s">
        <v>577</v>
      </c>
      <c r="F57" s="2">
        <f>319459.86-F91</f>
        <v>39184.359999999986</v>
      </c>
      <c r="G57" s="1104">
        <f>2000+197+29803</f>
        <v>32000</v>
      </c>
      <c r="H57" s="2">
        <f t="shared" si="32"/>
        <v>32764.799999999999</v>
      </c>
      <c r="I57" s="2">
        <f t="shared" si="33"/>
        <v>33570.814079999996</v>
      </c>
    </row>
    <row r="58" spans="1:13" ht="13.8" x14ac:dyDescent="0.3">
      <c r="A58" s="66"/>
      <c r="B58" s="178" t="s">
        <v>498</v>
      </c>
      <c r="C58" s="179" t="s">
        <v>486</v>
      </c>
      <c r="D58" s="690" t="s">
        <v>58</v>
      </c>
      <c r="E58" s="690" t="s">
        <v>577</v>
      </c>
      <c r="F58" s="2">
        <f>1078.17+12894.23+1983.35+50597.24+1882.26+1654.67+4033.61+1687.34</f>
        <v>75810.869999999981</v>
      </c>
      <c r="G58" s="1104">
        <f>1078+6000+5117+77805</f>
        <v>90000</v>
      </c>
      <c r="H58" s="2">
        <f t="shared" si="32"/>
        <v>92151</v>
      </c>
      <c r="I58" s="2">
        <f t="shared" si="33"/>
        <v>94417.914599999989</v>
      </c>
    </row>
    <row r="59" spans="1:13" ht="13.8" x14ac:dyDescent="0.3">
      <c r="A59" s="66"/>
      <c r="B59" s="178" t="s">
        <v>796</v>
      </c>
      <c r="C59" s="179" t="s">
        <v>486</v>
      </c>
      <c r="D59" s="690" t="s">
        <v>58</v>
      </c>
      <c r="E59" s="690" t="s">
        <v>102</v>
      </c>
      <c r="F59" s="2">
        <v>0</v>
      </c>
      <c r="G59" s="1104">
        <v>14893</v>
      </c>
      <c r="H59" s="2">
        <f t="shared" si="32"/>
        <v>15248.9427</v>
      </c>
      <c r="I59" s="2">
        <f t="shared" si="33"/>
        <v>15624.066690419999</v>
      </c>
    </row>
    <row r="60" spans="1:13" ht="13.8" x14ac:dyDescent="0.3">
      <c r="A60" s="66"/>
      <c r="B60" s="178" t="s">
        <v>535</v>
      </c>
      <c r="C60" s="179" t="s">
        <v>486</v>
      </c>
      <c r="D60" s="690" t="s">
        <v>536</v>
      </c>
      <c r="E60" s="690" t="s">
        <v>537</v>
      </c>
      <c r="F60" s="2">
        <v>104265.02</v>
      </c>
      <c r="G60" s="1104">
        <v>82900</v>
      </c>
      <c r="H60" s="2">
        <f t="shared" si="32"/>
        <v>84881.31</v>
      </c>
      <c r="I60" s="2">
        <f t="shared" si="33"/>
        <v>86969.390225999989</v>
      </c>
    </row>
    <row r="61" spans="1:13" ht="13.8" x14ac:dyDescent="0.3">
      <c r="A61" s="66"/>
      <c r="B61" s="178" t="s">
        <v>627</v>
      </c>
      <c r="C61" s="179" t="s">
        <v>486</v>
      </c>
      <c r="D61" s="690" t="s">
        <v>628</v>
      </c>
      <c r="E61" s="690" t="s">
        <v>537</v>
      </c>
      <c r="F61" s="2">
        <v>108.1</v>
      </c>
      <c r="G61" s="1104">
        <v>108</v>
      </c>
      <c r="H61" s="2">
        <f t="shared" si="32"/>
        <v>110.58120000000001</v>
      </c>
      <c r="I61" s="2">
        <f t="shared" si="33"/>
        <v>113.30149752</v>
      </c>
    </row>
    <row r="62" spans="1:13" ht="13.8" x14ac:dyDescent="0.3">
      <c r="A62" s="66"/>
      <c r="B62" s="178" t="s">
        <v>499</v>
      </c>
      <c r="C62" s="179" t="s">
        <v>486</v>
      </c>
      <c r="D62" s="690" t="s">
        <v>60</v>
      </c>
      <c r="E62" s="690" t="s">
        <v>641</v>
      </c>
      <c r="F62" s="2">
        <v>0</v>
      </c>
      <c r="G62" s="1104">
        <f>2323+4000+3000</f>
        <v>9323</v>
      </c>
      <c r="H62" s="2">
        <f t="shared" si="32"/>
        <v>9545.8197</v>
      </c>
      <c r="I62" s="2">
        <f t="shared" si="33"/>
        <v>9780.6468646199992</v>
      </c>
    </row>
    <row r="63" spans="1:13" ht="13.8" x14ac:dyDescent="0.3">
      <c r="A63" s="66"/>
      <c r="B63" s="178" t="s">
        <v>499</v>
      </c>
      <c r="C63" s="179" t="s">
        <v>486</v>
      </c>
      <c r="D63" s="690" t="s">
        <v>60</v>
      </c>
      <c r="E63" s="690" t="s">
        <v>22</v>
      </c>
      <c r="F63" s="2">
        <v>18815.080000000002</v>
      </c>
      <c r="G63" s="1104">
        <f>46921-G62</f>
        <v>37598</v>
      </c>
      <c r="H63" s="2">
        <f t="shared" si="32"/>
        <v>38496.592199999999</v>
      </c>
      <c r="I63" s="2">
        <f t="shared" si="33"/>
        <v>39443.608368119996</v>
      </c>
    </row>
    <row r="64" spans="1:13" ht="13.8" x14ac:dyDescent="0.3">
      <c r="A64" s="66"/>
      <c r="B64" s="178" t="s">
        <v>616</v>
      </c>
      <c r="C64" s="179" t="s">
        <v>486</v>
      </c>
      <c r="D64" s="690" t="s">
        <v>585</v>
      </c>
      <c r="E64" s="690" t="s">
        <v>120</v>
      </c>
      <c r="F64" s="2">
        <v>735</v>
      </c>
      <c r="G64" s="1104">
        <v>750</v>
      </c>
      <c r="H64" s="2">
        <f t="shared" si="32"/>
        <v>767.92500000000007</v>
      </c>
      <c r="I64" s="2">
        <f t="shared" si="33"/>
        <v>786.81595500000003</v>
      </c>
    </row>
    <row r="65" spans="1:9" ht="13.8" x14ac:dyDescent="0.3">
      <c r="A65" s="66"/>
      <c r="B65" s="178" t="s">
        <v>629</v>
      </c>
      <c r="C65" s="179" t="s">
        <v>486</v>
      </c>
      <c r="D65" s="690" t="s">
        <v>630</v>
      </c>
      <c r="E65" s="690" t="s">
        <v>537</v>
      </c>
      <c r="F65" s="2">
        <v>530.6</v>
      </c>
      <c r="G65" s="1104">
        <v>600</v>
      </c>
      <c r="H65" s="2">
        <f t="shared" si="32"/>
        <v>614.34</v>
      </c>
      <c r="I65" s="2">
        <f t="shared" si="33"/>
        <v>629.452764</v>
      </c>
    </row>
    <row r="66" spans="1:9" ht="13.8" x14ac:dyDescent="0.3">
      <c r="A66" s="66"/>
      <c r="B66" s="178" t="s">
        <v>557</v>
      </c>
      <c r="C66" s="179" t="s">
        <v>486</v>
      </c>
      <c r="D66" s="690" t="s">
        <v>558</v>
      </c>
      <c r="E66" s="690" t="s">
        <v>159</v>
      </c>
      <c r="F66" s="2">
        <v>356.86</v>
      </c>
      <c r="G66" s="1104">
        <v>5000</v>
      </c>
      <c r="H66" s="2">
        <f t="shared" si="32"/>
        <v>5119.5</v>
      </c>
      <c r="I66" s="2">
        <f t="shared" si="33"/>
        <v>5245.4396999999999</v>
      </c>
    </row>
    <row r="67" spans="1:9" ht="13.8" x14ac:dyDescent="0.3">
      <c r="A67" s="66"/>
      <c r="B67" s="178" t="s">
        <v>594</v>
      </c>
      <c r="C67" s="179" t="s">
        <v>486</v>
      </c>
      <c r="D67" s="690" t="s">
        <v>67</v>
      </c>
      <c r="E67" s="690" t="s">
        <v>116</v>
      </c>
      <c r="F67" s="2">
        <v>0</v>
      </c>
      <c r="G67" s="1104">
        <v>1230</v>
      </c>
      <c r="H67" s="2">
        <f t="shared" si="32"/>
        <v>1259.3969999999999</v>
      </c>
      <c r="I67" s="2">
        <f t="shared" si="33"/>
        <v>1290.3781661999999</v>
      </c>
    </row>
    <row r="68" spans="1:9" ht="13.8" x14ac:dyDescent="0.3">
      <c r="A68" s="66"/>
      <c r="B68" s="178" t="s">
        <v>595</v>
      </c>
      <c r="C68" s="179" t="s">
        <v>486</v>
      </c>
      <c r="D68" s="690" t="s">
        <v>67</v>
      </c>
      <c r="E68" s="690" t="s">
        <v>544</v>
      </c>
      <c r="F68" s="2">
        <v>290.86</v>
      </c>
      <c r="G68" s="1104">
        <v>1230</v>
      </c>
      <c r="H68" s="2">
        <f t="shared" si="32"/>
        <v>1259.3969999999999</v>
      </c>
      <c r="I68" s="2">
        <f t="shared" si="33"/>
        <v>1290.3781661999999</v>
      </c>
    </row>
    <row r="69" spans="1:9" ht="13.8" x14ac:dyDescent="0.3">
      <c r="A69" s="66"/>
      <c r="B69" s="178" t="s">
        <v>593</v>
      </c>
      <c r="C69" s="179" t="s">
        <v>486</v>
      </c>
      <c r="D69" s="690" t="s">
        <v>67</v>
      </c>
      <c r="E69" s="690" t="s">
        <v>537</v>
      </c>
      <c r="F69" s="2">
        <v>21249.68</v>
      </c>
      <c r="G69" s="1104">
        <v>19200</v>
      </c>
      <c r="H69" s="2">
        <f t="shared" si="32"/>
        <v>19658.88</v>
      </c>
      <c r="I69" s="2">
        <f t="shared" si="33"/>
        <v>20142.488448</v>
      </c>
    </row>
    <row r="70" spans="1:9" ht="13.8" x14ac:dyDescent="0.3">
      <c r="A70" s="66"/>
      <c r="B70" s="178" t="s">
        <v>543</v>
      </c>
      <c r="C70" s="179" t="s">
        <v>486</v>
      </c>
      <c r="D70" s="690" t="s">
        <v>67</v>
      </c>
      <c r="E70" s="689" t="s">
        <v>42</v>
      </c>
      <c r="F70" s="2">
        <f>28934.95-F69-F68-F67</f>
        <v>7394.4100000000008</v>
      </c>
      <c r="G70" s="1104">
        <f>43856-G69-G68-G67</f>
        <v>22196</v>
      </c>
      <c r="H70" s="2">
        <f t="shared" si="32"/>
        <v>22726.484400000001</v>
      </c>
      <c r="I70" s="2">
        <f t="shared" si="33"/>
        <v>23285.555916239999</v>
      </c>
    </row>
    <row r="71" spans="1:9" ht="13.8" x14ac:dyDescent="0.3">
      <c r="A71" s="66"/>
      <c r="B71" s="178" t="s">
        <v>592</v>
      </c>
      <c r="C71" s="179" t="s">
        <v>486</v>
      </c>
      <c r="D71" s="690" t="s">
        <v>500</v>
      </c>
      <c r="E71" s="690" t="s">
        <v>22</v>
      </c>
      <c r="F71" s="2">
        <v>545.72</v>
      </c>
      <c r="G71" s="1104">
        <v>300</v>
      </c>
      <c r="H71" s="2">
        <f t="shared" si="32"/>
        <v>307.17</v>
      </c>
      <c r="I71" s="2">
        <f t="shared" si="33"/>
        <v>314.726382</v>
      </c>
    </row>
    <row r="72" spans="1:9" ht="13.8" x14ac:dyDescent="0.3">
      <c r="A72" s="66"/>
      <c r="B72" s="178" t="s">
        <v>501</v>
      </c>
      <c r="C72" s="179" t="s">
        <v>486</v>
      </c>
      <c r="D72" s="690" t="s">
        <v>502</v>
      </c>
      <c r="E72" s="690" t="s">
        <v>22</v>
      </c>
      <c r="F72" s="2">
        <v>40.94</v>
      </c>
      <c r="G72" s="1104">
        <v>0</v>
      </c>
      <c r="H72" s="2">
        <f t="shared" si="32"/>
        <v>0</v>
      </c>
      <c r="I72" s="2">
        <f t="shared" si="33"/>
        <v>0</v>
      </c>
    </row>
    <row r="73" spans="1:9" ht="13.8" x14ac:dyDescent="0.3">
      <c r="A73" s="66"/>
      <c r="B73" s="178" t="s">
        <v>710</v>
      </c>
      <c r="C73" s="179" t="s">
        <v>486</v>
      </c>
      <c r="D73" s="690" t="s">
        <v>797</v>
      </c>
      <c r="E73" s="690" t="s">
        <v>116</v>
      </c>
      <c r="F73" s="2">
        <v>0</v>
      </c>
      <c r="G73" s="1104">
        <v>18360</v>
      </c>
      <c r="H73" s="2">
        <f t="shared" si="32"/>
        <v>18798.804</v>
      </c>
      <c r="I73" s="2">
        <f t="shared" si="33"/>
        <v>19261.254578399999</v>
      </c>
    </row>
    <row r="74" spans="1:9" ht="13.8" x14ac:dyDescent="0.3">
      <c r="A74" s="66"/>
      <c r="B74" s="178" t="s">
        <v>541</v>
      </c>
      <c r="C74" s="179" t="s">
        <v>486</v>
      </c>
      <c r="D74" s="690" t="s">
        <v>68</v>
      </c>
      <c r="E74" s="689" t="s">
        <v>42</v>
      </c>
      <c r="F74" s="2">
        <f>108390.06-F75-F76</f>
        <v>4390.0599999999977</v>
      </c>
      <c r="G74" s="1104">
        <v>8228</v>
      </c>
      <c r="H74" s="2">
        <f t="shared" si="32"/>
        <v>8424.6491999999998</v>
      </c>
      <c r="I74" s="2">
        <f t="shared" si="33"/>
        <v>8631.895570319999</v>
      </c>
    </row>
    <row r="75" spans="1:9" ht="13.8" x14ac:dyDescent="0.3">
      <c r="A75" s="66"/>
      <c r="B75" s="178" t="s">
        <v>542</v>
      </c>
      <c r="C75" s="179" t="s">
        <v>486</v>
      </c>
      <c r="D75" s="690" t="s">
        <v>68</v>
      </c>
      <c r="E75" s="690" t="s">
        <v>147</v>
      </c>
      <c r="F75" s="2">
        <f>74000+6000+8000+4000+2000</f>
        <v>94000</v>
      </c>
      <c r="G75" s="1104">
        <v>0</v>
      </c>
      <c r="H75" s="2">
        <f t="shared" si="32"/>
        <v>0</v>
      </c>
      <c r="I75" s="2">
        <f t="shared" si="33"/>
        <v>0</v>
      </c>
    </row>
    <row r="76" spans="1:9" ht="13.8" x14ac:dyDescent="0.3">
      <c r="A76" s="66"/>
      <c r="B76" s="178" t="s">
        <v>631</v>
      </c>
      <c r="C76" s="179" t="s">
        <v>486</v>
      </c>
      <c r="D76" s="690" t="s">
        <v>68</v>
      </c>
      <c r="E76" s="690" t="s">
        <v>147</v>
      </c>
      <c r="F76" s="2">
        <v>10000</v>
      </c>
      <c r="G76" s="1104">
        <v>0</v>
      </c>
      <c r="H76" s="2">
        <f t="shared" si="32"/>
        <v>0</v>
      </c>
      <c r="I76" s="2">
        <f t="shared" si="33"/>
        <v>0</v>
      </c>
    </row>
    <row r="77" spans="1:9" ht="13.8" x14ac:dyDescent="0.3">
      <c r="A77" s="66"/>
      <c r="B77" s="178" t="s">
        <v>538</v>
      </c>
      <c r="C77" s="179" t="s">
        <v>486</v>
      </c>
      <c r="D77" s="690" t="s">
        <v>539</v>
      </c>
      <c r="E77" s="690" t="s">
        <v>29</v>
      </c>
      <c r="F77" s="2">
        <v>0</v>
      </c>
      <c r="G77" s="1104">
        <v>2500</v>
      </c>
      <c r="H77" s="2">
        <f t="shared" si="32"/>
        <v>2559.75</v>
      </c>
      <c r="I77" s="2">
        <f t="shared" si="33"/>
        <v>2622.71985</v>
      </c>
    </row>
    <row r="78" spans="1:9" ht="13.8" x14ac:dyDescent="0.3">
      <c r="A78" s="66"/>
      <c r="B78" s="178" t="s">
        <v>503</v>
      </c>
      <c r="C78" s="179" t="s">
        <v>486</v>
      </c>
      <c r="D78" s="690" t="s">
        <v>70</v>
      </c>
      <c r="E78" s="690" t="s">
        <v>32</v>
      </c>
      <c r="F78" s="2">
        <v>619.27</v>
      </c>
      <c r="G78" s="1104">
        <v>820</v>
      </c>
      <c r="H78" s="2">
        <f t="shared" si="32"/>
        <v>839.59800000000007</v>
      </c>
      <c r="I78" s="2">
        <f t="shared" si="33"/>
        <v>860.25211080000008</v>
      </c>
    </row>
    <row r="79" spans="1:9" ht="13.8" x14ac:dyDescent="0.3">
      <c r="A79" s="66"/>
      <c r="B79" s="178" t="s">
        <v>632</v>
      </c>
      <c r="C79" s="179" t="s">
        <v>486</v>
      </c>
      <c r="D79" s="690" t="s">
        <v>70</v>
      </c>
      <c r="E79" s="690" t="s">
        <v>577</v>
      </c>
      <c r="F79" s="2">
        <v>3750.27</v>
      </c>
      <c r="G79" s="1104">
        <v>19500</v>
      </c>
      <c r="H79" s="2">
        <f t="shared" si="32"/>
        <v>19966.05</v>
      </c>
      <c r="I79" s="2">
        <f t="shared" si="33"/>
        <v>20457.214829999997</v>
      </c>
    </row>
    <row r="80" spans="1:9" ht="13.8" x14ac:dyDescent="0.3">
      <c r="A80" s="66"/>
      <c r="B80" s="178" t="s">
        <v>798</v>
      </c>
      <c r="C80" s="179" t="s">
        <v>486</v>
      </c>
      <c r="D80" s="690" t="s">
        <v>70</v>
      </c>
      <c r="E80" s="690" t="s">
        <v>24</v>
      </c>
      <c r="F80" s="2">
        <f>5869.54-F79-F78</f>
        <v>1500</v>
      </c>
      <c r="G80" s="1104">
        <f>43320-G79-G78</f>
        <v>23000</v>
      </c>
      <c r="H80" s="2">
        <f t="shared" si="32"/>
        <v>23549.7</v>
      </c>
      <c r="I80" s="2">
        <f t="shared" si="33"/>
        <v>24129.02262</v>
      </c>
    </row>
    <row r="81" spans="1:9" ht="13.8" x14ac:dyDescent="0.3">
      <c r="A81" s="66"/>
      <c r="B81" s="178" t="s">
        <v>596</v>
      </c>
      <c r="C81" s="179" t="s">
        <v>486</v>
      </c>
      <c r="D81" s="690" t="s">
        <v>73</v>
      </c>
      <c r="E81" s="690" t="s">
        <v>597</v>
      </c>
      <c r="F81" s="2">
        <v>0</v>
      </c>
      <c r="G81" s="1104">
        <v>6500</v>
      </c>
      <c r="H81" s="2">
        <f>+G81*(1+$L$4)</f>
        <v>6655.35</v>
      </c>
      <c r="I81" s="2">
        <f>+H81*(1+$M$4)</f>
        <v>6819.07161</v>
      </c>
    </row>
    <row r="82" spans="1:9" ht="13.8" x14ac:dyDescent="0.3">
      <c r="A82" s="66"/>
      <c r="B82" s="178" t="s">
        <v>591</v>
      </c>
      <c r="C82" s="179" t="s">
        <v>486</v>
      </c>
      <c r="D82" s="690" t="s">
        <v>73</v>
      </c>
      <c r="E82" s="690" t="s">
        <v>799</v>
      </c>
      <c r="F82" s="2">
        <f>2204.51+1200</f>
        <v>3404.51</v>
      </c>
      <c r="G82" s="1104">
        <f>3300+1200+10000</f>
        <v>14500</v>
      </c>
      <c r="H82" s="2">
        <f t="shared" si="32"/>
        <v>14846.550000000001</v>
      </c>
      <c r="I82" s="2">
        <f t="shared" si="33"/>
        <v>15211.77513</v>
      </c>
    </row>
    <row r="83" spans="1:9" ht="13.8" x14ac:dyDescent="0.3">
      <c r="A83" s="66"/>
      <c r="B83" s="178" t="s">
        <v>605</v>
      </c>
      <c r="C83" s="179" t="s">
        <v>486</v>
      </c>
      <c r="D83" s="690" t="s">
        <v>73</v>
      </c>
      <c r="E83" s="690" t="s">
        <v>21</v>
      </c>
      <c r="F83" s="2">
        <f>103.32+79.05</f>
        <v>182.37</v>
      </c>
      <c r="G83" s="1104">
        <v>350</v>
      </c>
      <c r="H83" s="2">
        <f t="shared" si="32"/>
        <v>358.36500000000001</v>
      </c>
      <c r="I83" s="2">
        <f t="shared" si="33"/>
        <v>367.18077899999997</v>
      </c>
    </row>
    <row r="84" spans="1:9" ht="13.8" x14ac:dyDescent="0.3">
      <c r="A84" s="66"/>
      <c r="B84" s="178" t="s">
        <v>540</v>
      </c>
      <c r="C84" s="179" t="s">
        <v>486</v>
      </c>
      <c r="D84" s="690" t="s">
        <v>73</v>
      </c>
      <c r="E84" s="690" t="s">
        <v>116</v>
      </c>
      <c r="F84" s="2">
        <v>0</v>
      </c>
      <c r="G84" s="1104">
        <v>2000</v>
      </c>
      <c r="H84" s="2">
        <f t="shared" si="32"/>
        <v>2047.8</v>
      </c>
      <c r="I84" s="2">
        <f t="shared" si="33"/>
        <v>2098.1758799999998</v>
      </c>
    </row>
    <row r="85" spans="1:9" ht="13.8" x14ac:dyDescent="0.3">
      <c r="A85" s="66"/>
      <c r="B85" s="178" t="s">
        <v>590</v>
      </c>
      <c r="C85" s="179" t="s">
        <v>486</v>
      </c>
      <c r="D85" s="690" t="s">
        <v>73</v>
      </c>
      <c r="E85" s="690" t="s">
        <v>38</v>
      </c>
      <c r="F85" s="2">
        <v>21000</v>
      </c>
      <c r="G85" s="1104">
        <v>11000</v>
      </c>
      <c r="H85" s="2">
        <f t="shared" si="32"/>
        <v>11262.9</v>
      </c>
      <c r="I85" s="2">
        <f t="shared" si="33"/>
        <v>11539.967339999999</v>
      </c>
    </row>
    <row r="86" spans="1:9" ht="13.8" x14ac:dyDescent="0.3">
      <c r="A86" s="66"/>
      <c r="B86" s="178" t="s">
        <v>504</v>
      </c>
      <c r="C86" s="179" t="s">
        <v>486</v>
      </c>
      <c r="D86" s="690" t="s">
        <v>73</v>
      </c>
      <c r="E86" s="690" t="s">
        <v>22</v>
      </c>
      <c r="F86" s="2">
        <v>92424.56</v>
      </c>
      <c r="G86" s="1104">
        <v>49272</v>
      </c>
      <c r="H86" s="2">
        <f t="shared" si="32"/>
        <v>50449.6008</v>
      </c>
      <c r="I86" s="2">
        <f t="shared" si="33"/>
        <v>51690.660979679997</v>
      </c>
    </row>
    <row r="87" spans="1:9" ht="13.8" x14ac:dyDescent="0.3">
      <c r="A87" s="66"/>
      <c r="B87" s="178" t="s">
        <v>576</v>
      </c>
      <c r="C87" s="179" t="s">
        <v>486</v>
      </c>
      <c r="D87" s="690" t="s">
        <v>77</v>
      </c>
      <c r="E87" s="690" t="s">
        <v>577</v>
      </c>
      <c r="F87" s="5">
        <v>11959.6</v>
      </c>
      <c r="G87" s="1107">
        <v>0</v>
      </c>
      <c r="H87" s="5">
        <v>0</v>
      </c>
      <c r="I87" s="5">
        <v>0</v>
      </c>
    </row>
    <row r="88" spans="1:9" ht="13.8" x14ac:dyDescent="0.3">
      <c r="A88" s="66"/>
      <c r="C88" s="179"/>
      <c r="D88" s="689"/>
      <c r="E88" s="689"/>
      <c r="F88" s="253">
        <f>SUM(F31:F87)</f>
        <v>3098422.600000001</v>
      </c>
      <c r="G88" s="1108">
        <f>SUM(G31:G87)</f>
        <v>3864358</v>
      </c>
      <c r="H88" s="253">
        <f>SUM(H31:H87)</f>
        <v>3963825.794999999</v>
      </c>
      <c r="I88" s="3">
        <f>SUM(I31:I87)</f>
        <v>4066763.1246870002</v>
      </c>
    </row>
    <row r="89" spans="1:9" ht="13.8" x14ac:dyDescent="0.3">
      <c r="A89" s="66"/>
      <c r="C89" s="179"/>
      <c r="D89" s="689"/>
      <c r="E89" s="689"/>
      <c r="F89" s="5"/>
      <c r="G89" s="1107"/>
      <c r="H89" s="5"/>
      <c r="I89" s="5"/>
    </row>
    <row r="90" spans="1:9" ht="13.8" x14ac:dyDescent="0.3">
      <c r="A90" s="248" t="s">
        <v>620</v>
      </c>
      <c r="B90" s="178" t="s">
        <v>618</v>
      </c>
      <c r="C90" s="179" t="s">
        <v>486</v>
      </c>
      <c r="D90" s="690" t="s">
        <v>41</v>
      </c>
      <c r="E90" s="690" t="s">
        <v>619</v>
      </c>
      <c r="F90" s="5">
        <v>429679.32</v>
      </c>
      <c r="G90" s="1107">
        <v>0</v>
      </c>
      <c r="H90" s="5">
        <v>0</v>
      </c>
      <c r="I90" s="5">
        <v>0</v>
      </c>
    </row>
    <row r="91" spans="1:9" ht="13.8" x14ac:dyDescent="0.3">
      <c r="A91" s="66"/>
      <c r="B91" s="687" t="s">
        <v>646</v>
      </c>
      <c r="C91" s="688" t="s">
        <v>486</v>
      </c>
      <c r="D91" s="688" t="s">
        <v>584</v>
      </c>
      <c r="E91" s="688" t="s">
        <v>599</v>
      </c>
      <c r="F91" s="5">
        <v>280275.5</v>
      </c>
      <c r="G91" s="1107">
        <v>0</v>
      </c>
      <c r="H91" s="5">
        <v>0</v>
      </c>
      <c r="I91" s="5">
        <v>0</v>
      </c>
    </row>
    <row r="92" spans="1:9" ht="13.8" x14ac:dyDescent="0.3">
      <c r="A92" s="66"/>
      <c r="B92" s="178" t="s">
        <v>534</v>
      </c>
      <c r="C92" s="179" t="s">
        <v>486</v>
      </c>
      <c r="D92" s="690" t="s">
        <v>58</v>
      </c>
      <c r="E92" s="690" t="s">
        <v>599</v>
      </c>
      <c r="F92" s="5">
        <v>54243</v>
      </c>
      <c r="G92" s="1107">
        <v>50000</v>
      </c>
      <c r="H92" s="5">
        <v>0</v>
      </c>
      <c r="I92" s="5">
        <v>0</v>
      </c>
    </row>
    <row r="93" spans="1:9" ht="13.8" x14ac:dyDescent="0.3">
      <c r="A93" s="66"/>
      <c r="B93" s="178" t="s">
        <v>633</v>
      </c>
      <c r="C93" s="179" t="s">
        <v>486</v>
      </c>
      <c r="D93" s="690" t="s">
        <v>58</v>
      </c>
      <c r="E93" s="690" t="s">
        <v>619</v>
      </c>
      <c r="F93" s="5">
        <v>1294.0899999999999</v>
      </c>
      <c r="G93" s="1107">
        <v>0</v>
      </c>
      <c r="H93" s="5">
        <v>0</v>
      </c>
      <c r="I93" s="5">
        <v>0</v>
      </c>
    </row>
    <row r="94" spans="1:9" ht="13.8" x14ac:dyDescent="0.3">
      <c r="A94" s="66"/>
      <c r="B94" s="178" t="s">
        <v>576</v>
      </c>
      <c r="C94" s="179" t="s">
        <v>486</v>
      </c>
      <c r="D94" s="690" t="s">
        <v>58</v>
      </c>
      <c r="E94" s="690" t="s">
        <v>55</v>
      </c>
      <c r="F94" s="5">
        <v>32351.43</v>
      </c>
      <c r="G94" s="1107">
        <v>0</v>
      </c>
      <c r="H94" s="5">
        <v>0</v>
      </c>
      <c r="I94" s="5">
        <v>0</v>
      </c>
    </row>
    <row r="95" spans="1:9" ht="13.8" x14ac:dyDescent="0.3">
      <c r="A95" s="66"/>
      <c r="B95" s="178" t="s">
        <v>645</v>
      </c>
      <c r="C95" s="179" t="s">
        <v>486</v>
      </c>
      <c r="D95" s="690" t="s">
        <v>163</v>
      </c>
      <c r="E95" s="690" t="s">
        <v>599</v>
      </c>
      <c r="F95" s="5">
        <v>0</v>
      </c>
      <c r="G95" s="1107">
        <v>127130</v>
      </c>
      <c r="H95" s="5">
        <v>0</v>
      </c>
      <c r="I95" s="5">
        <v>0</v>
      </c>
    </row>
    <row r="96" spans="1:9" ht="13.8" x14ac:dyDescent="0.3">
      <c r="A96" s="66"/>
      <c r="C96" s="179"/>
      <c r="D96" s="1"/>
      <c r="E96" s="1"/>
      <c r="F96" s="3">
        <f>SUM(F90:F95)</f>
        <v>797843.34000000008</v>
      </c>
      <c r="G96" s="1105">
        <f>SUM(G90:G95)</f>
        <v>177130</v>
      </c>
      <c r="H96" s="3">
        <f t="shared" ref="H96:I96" si="36">SUM(H90:H95)</f>
        <v>0</v>
      </c>
      <c r="I96" s="3">
        <f t="shared" si="36"/>
        <v>0</v>
      </c>
    </row>
    <row r="97" spans="1:9" s="4" customFormat="1" ht="13.8" x14ac:dyDescent="0.3">
      <c r="A97" s="308"/>
      <c r="C97" s="690"/>
      <c r="D97" s="689"/>
      <c r="E97" s="689"/>
      <c r="F97" s="5"/>
      <c r="G97" s="1107"/>
      <c r="H97" s="5"/>
      <c r="I97" s="5"/>
    </row>
    <row r="98" spans="1:9" s="4" customFormat="1" ht="13.8" x14ac:dyDescent="0.3">
      <c r="A98" s="308"/>
      <c r="C98" s="690"/>
      <c r="D98" s="689"/>
      <c r="E98" s="759" t="s">
        <v>767</v>
      </c>
      <c r="F98" s="1102">
        <f>F96+F88</f>
        <v>3896265.9400000013</v>
      </c>
      <c r="G98" s="1109">
        <f t="shared" ref="G98:I98" si="37">G96+G88</f>
        <v>4041488</v>
      </c>
      <c r="H98" s="758">
        <f t="shared" si="37"/>
        <v>3963825.794999999</v>
      </c>
      <c r="I98" s="758">
        <f t="shared" si="37"/>
        <v>4066763.1246870002</v>
      </c>
    </row>
    <row r="99" spans="1:9" s="4" customFormat="1" ht="13.8" x14ac:dyDescent="0.3">
      <c r="A99" s="308"/>
      <c r="C99" s="690"/>
      <c r="D99" s="689"/>
      <c r="E99" s="689"/>
      <c r="F99" s="5"/>
      <c r="G99" s="1107"/>
      <c r="H99" s="5"/>
      <c r="I99" s="5"/>
    </row>
    <row r="100" spans="1:9" ht="13.8" x14ac:dyDescent="0.3">
      <c r="A100" s="66"/>
      <c r="C100" s="179"/>
      <c r="D100" s="1"/>
      <c r="E100" s="1"/>
      <c r="F100" s="5"/>
      <c r="G100" s="1107"/>
      <c r="H100" s="5"/>
      <c r="I100" s="5"/>
    </row>
    <row r="101" spans="1:9" ht="13.8" x14ac:dyDescent="0.3">
      <c r="A101" s="248" t="s">
        <v>5</v>
      </c>
      <c r="B101" s="309" t="s">
        <v>505</v>
      </c>
      <c r="C101" s="690" t="s">
        <v>506</v>
      </c>
      <c r="D101" s="690" t="s">
        <v>24</v>
      </c>
      <c r="E101" s="690" t="s">
        <v>488</v>
      </c>
      <c r="F101" s="2">
        <v>549860.82999999996</v>
      </c>
      <c r="G101" s="1104">
        <v>610713</v>
      </c>
      <c r="H101" s="2">
        <f>+G101*(1+$L$2)</f>
        <v>622927.26</v>
      </c>
      <c r="I101" s="2">
        <f>+H101*(1+$L$2)</f>
        <v>635385.80520000006</v>
      </c>
    </row>
    <row r="102" spans="1:9" ht="13.8" x14ac:dyDescent="0.3">
      <c r="A102" s="66"/>
      <c r="B102" s="309" t="s">
        <v>30</v>
      </c>
      <c r="C102" s="690" t="s">
        <v>506</v>
      </c>
      <c r="D102" s="690" t="s">
        <v>31</v>
      </c>
      <c r="E102" s="690" t="s">
        <v>488</v>
      </c>
      <c r="F102" s="2">
        <v>164635.69</v>
      </c>
      <c r="G102" s="1104">
        <v>194614</v>
      </c>
      <c r="H102" s="2">
        <f>G102*(1+$L$3)</f>
        <v>204344.7</v>
      </c>
      <c r="I102" s="2">
        <f>H102*(1+$L$3)</f>
        <v>214561.93500000003</v>
      </c>
    </row>
    <row r="103" spans="1:9" ht="13.8" x14ac:dyDescent="0.3">
      <c r="A103" s="66"/>
      <c r="B103" s="309" t="s">
        <v>507</v>
      </c>
      <c r="C103" s="690" t="s">
        <v>506</v>
      </c>
      <c r="D103" s="690" t="s">
        <v>13</v>
      </c>
      <c r="E103" s="690" t="s">
        <v>508</v>
      </c>
      <c r="F103" s="2">
        <v>95210.14</v>
      </c>
      <c r="G103" s="1104">
        <v>152800</v>
      </c>
      <c r="H103" s="2">
        <f>+G103*(1+$L$4)</f>
        <v>156451.92000000001</v>
      </c>
      <c r="I103" s="2">
        <f>+H103*(1+$M$4)</f>
        <v>160300.63723200001</v>
      </c>
    </row>
    <row r="104" spans="1:9" ht="13.8" x14ac:dyDescent="0.3">
      <c r="A104" s="66"/>
      <c r="B104" s="309" t="s">
        <v>509</v>
      </c>
      <c r="C104" s="690" t="s">
        <v>506</v>
      </c>
      <c r="D104" s="690" t="s">
        <v>16</v>
      </c>
      <c r="E104" s="690" t="s">
        <v>508</v>
      </c>
      <c r="F104" s="2">
        <v>34683.120000000003</v>
      </c>
      <c r="G104" s="1104">
        <f>+-31588-G105</f>
        <v>51650</v>
      </c>
      <c r="H104" s="2">
        <f t="shared" ref="H104" si="38">+G104*(1+$L$4)</f>
        <v>52884.435000000005</v>
      </c>
      <c r="I104" s="2">
        <f t="shared" ref="I104" si="39">+H104*(1+$M$4)</f>
        <v>54185.392101000005</v>
      </c>
    </row>
    <row r="105" spans="1:9" ht="13.8" x14ac:dyDescent="0.3">
      <c r="A105" s="66"/>
      <c r="B105" s="309" t="s">
        <v>510</v>
      </c>
      <c r="C105" s="690" t="s">
        <v>506</v>
      </c>
      <c r="D105" s="690" t="s">
        <v>511</v>
      </c>
      <c r="E105" s="690" t="s">
        <v>508</v>
      </c>
      <c r="F105" s="2">
        <f>-34962.09-30000</f>
        <v>-64962.09</v>
      </c>
      <c r="G105" s="1104">
        <f>-53238-30000</f>
        <v>-83238</v>
      </c>
      <c r="H105" s="2">
        <f>+G105*(1-$L$4)</f>
        <v>-81248.611799999999</v>
      </c>
      <c r="I105" s="2">
        <f>+H105*(1-$M$4)</f>
        <v>-79249.895949719998</v>
      </c>
    </row>
    <row r="106" spans="1:9" ht="13.8" x14ac:dyDescent="0.3">
      <c r="A106" s="66"/>
      <c r="C106" s="179"/>
      <c r="D106" s="1"/>
      <c r="E106" s="1"/>
      <c r="F106" s="3">
        <f>SUM(F101:F105)</f>
        <v>779427.69000000006</v>
      </c>
      <c r="G106" s="1105">
        <f>SUM(G101:G105)</f>
        <v>926539</v>
      </c>
      <c r="H106" s="3">
        <f>SUM(H101:H105)</f>
        <v>955359.70320000011</v>
      </c>
      <c r="I106" s="3">
        <f>SUM(I101:I105)</f>
        <v>985183.87358328025</v>
      </c>
    </row>
    <row r="107" spans="1:9" ht="13.8" x14ac:dyDescent="0.3">
      <c r="A107" s="66"/>
      <c r="C107" s="179"/>
      <c r="D107" s="1"/>
      <c r="E107" s="1"/>
      <c r="F107" s="5"/>
      <c r="G107" s="1107"/>
      <c r="H107" s="5"/>
      <c r="I107" s="5"/>
    </row>
    <row r="108" spans="1:9" x14ac:dyDescent="0.25">
      <c r="A108" s="251" t="s">
        <v>34</v>
      </c>
      <c r="B108" s="4" t="s">
        <v>35</v>
      </c>
      <c r="C108" s="179" t="s">
        <v>36</v>
      </c>
      <c r="D108" s="179" t="s">
        <v>37</v>
      </c>
      <c r="E108" s="179" t="s">
        <v>38</v>
      </c>
      <c r="F108" s="2">
        <v>46966.6</v>
      </c>
      <c r="G108" s="1104">
        <v>52605</v>
      </c>
      <c r="H108" s="2">
        <f t="shared" ref="H108:H133" si="40">+G108*(1+$L$4)</f>
        <v>53862.2595</v>
      </c>
      <c r="I108" s="2">
        <f t="shared" ref="I108:I133" si="41">+H108*(1+$L$4)</f>
        <v>55149.567502049998</v>
      </c>
    </row>
    <row r="109" spans="1:9" x14ac:dyDescent="0.25">
      <c r="A109" s="251" t="s">
        <v>39</v>
      </c>
      <c r="B109" s="4" t="s">
        <v>40</v>
      </c>
      <c r="C109" s="179" t="s">
        <v>10</v>
      </c>
      <c r="D109" s="179" t="s">
        <v>41</v>
      </c>
      <c r="E109" s="179" t="s">
        <v>42</v>
      </c>
      <c r="F109" s="2">
        <v>213789.55</v>
      </c>
      <c r="G109" s="1104">
        <v>228678</v>
      </c>
      <c r="H109" s="2">
        <f t="shared" si="40"/>
        <v>234143.40420000002</v>
      </c>
      <c r="I109" s="2">
        <f t="shared" si="41"/>
        <v>239739.43156038004</v>
      </c>
    </row>
    <row r="110" spans="1:9" x14ac:dyDescent="0.25">
      <c r="A110" s="251"/>
      <c r="B110" s="379" t="s">
        <v>648</v>
      </c>
      <c r="C110" s="179" t="s">
        <v>44</v>
      </c>
      <c r="D110" s="179" t="s">
        <v>41</v>
      </c>
      <c r="E110" s="179" t="s">
        <v>55</v>
      </c>
      <c r="F110" s="2">
        <v>0</v>
      </c>
      <c r="G110" s="1104">
        <v>0</v>
      </c>
      <c r="H110" s="2">
        <f t="shared" si="40"/>
        <v>0</v>
      </c>
      <c r="I110" s="2">
        <f t="shared" si="41"/>
        <v>0</v>
      </c>
    </row>
    <row r="111" spans="1:9" x14ac:dyDescent="0.25">
      <c r="B111" s="4" t="s">
        <v>43</v>
      </c>
      <c r="C111" s="179" t="s">
        <v>44</v>
      </c>
      <c r="D111" s="179" t="s">
        <v>45</v>
      </c>
      <c r="E111" s="179" t="s">
        <v>38</v>
      </c>
      <c r="F111" s="2">
        <v>3730.7</v>
      </c>
      <c r="G111" s="1104">
        <v>3590</v>
      </c>
      <c r="H111" s="2">
        <f t="shared" si="40"/>
        <v>3675.8009999999999</v>
      </c>
      <c r="I111" s="2">
        <f t="shared" si="41"/>
        <v>3763.6526438999999</v>
      </c>
    </row>
    <row r="112" spans="1:9" x14ac:dyDescent="0.25">
      <c r="B112" s="309" t="s">
        <v>647</v>
      </c>
      <c r="C112" s="179" t="s">
        <v>10</v>
      </c>
      <c r="D112" s="179" t="s">
        <v>46</v>
      </c>
      <c r="E112" s="179" t="s">
        <v>25</v>
      </c>
      <c r="F112" s="2">
        <v>3949.62</v>
      </c>
      <c r="G112" s="1104">
        <v>0</v>
      </c>
      <c r="H112" s="2">
        <f t="shared" si="40"/>
        <v>0</v>
      </c>
      <c r="I112" s="2">
        <f t="shared" si="41"/>
        <v>0</v>
      </c>
    </row>
    <row r="113" spans="2:9" x14ac:dyDescent="0.25">
      <c r="B113" s="4" t="s">
        <v>47</v>
      </c>
      <c r="C113" s="179" t="s">
        <v>10</v>
      </c>
      <c r="D113" s="179" t="s">
        <v>48</v>
      </c>
      <c r="E113" s="179" t="s">
        <v>49</v>
      </c>
      <c r="F113" s="2">
        <v>56632.34</v>
      </c>
      <c r="G113" s="1104">
        <v>56921</v>
      </c>
      <c r="H113" s="2">
        <f t="shared" si="40"/>
        <v>58281.411899999999</v>
      </c>
      <c r="I113" s="2">
        <f t="shared" si="41"/>
        <v>59674.337644409999</v>
      </c>
    </row>
    <row r="114" spans="2:9" x14ac:dyDescent="0.25">
      <c r="B114" s="4" t="s">
        <v>50</v>
      </c>
      <c r="C114" s="179" t="s">
        <v>10</v>
      </c>
      <c r="D114" s="179" t="s">
        <v>51</v>
      </c>
      <c r="E114" s="179" t="s">
        <v>42</v>
      </c>
      <c r="F114" s="2">
        <f>9124.48+494.37</f>
        <v>9618.85</v>
      </c>
      <c r="G114" s="1104">
        <v>10121</v>
      </c>
      <c r="H114" s="2">
        <f t="shared" si="40"/>
        <v>10362.891900000001</v>
      </c>
      <c r="I114" s="2">
        <f t="shared" si="41"/>
        <v>10610.565016410001</v>
      </c>
    </row>
    <row r="115" spans="2:9" x14ac:dyDescent="0.25">
      <c r="B115" s="4" t="s">
        <v>52</v>
      </c>
      <c r="C115" s="179" t="s">
        <v>36</v>
      </c>
      <c r="D115" s="690" t="s">
        <v>53</v>
      </c>
      <c r="E115" s="690" t="s">
        <v>42</v>
      </c>
      <c r="F115" s="2">
        <f>146.29+(37500.52-F116-F117)</f>
        <v>2234.9699999999966</v>
      </c>
      <c r="G115" s="1104">
        <v>5654</v>
      </c>
      <c r="H115" s="2">
        <f t="shared" si="40"/>
        <v>5789.1306000000004</v>
      </c>
      <c r="I115" s="2">
        <f t="shared" si="41"/>
        <v>5927.4908213400004</v>
      </c>
    </row>
    <row r="116" spans="2:9" x14ac:dyDescent="0.25">
      <c r="B116" s="379" t="s">
        <v>608</v>
      </c>
      <c r="C116" s="179" t="s">
        <v>44</v>
      </c>
      <c r="D116" s="690" t="s">
        <v>53</v>
      </c>
      <c r="E116" s="690" t="s">
        <v>42</v>
      </c>
      <c r="F116" s="2">
        <v>6702.87</v>
      </c>
      <c r="G116" s="1104">
        <v>0</v>
      </c>
      <c r="H116" s="2">
        <f t="shared" si="40"/>
        <v>0</v>
      </c>
      <c r="I116" s="2">
        <f t="shared" si="41"/>
        <v>0</v>
      </c>
    </row>
    <row r="117" spans="2:9" x14ac:dyDescent="0.25">
      <c r="B117" s="4" t="s">
        <v>54</v>
      </c>
      <c r="C117" s="179" t="s">
        <v>44</v>
      </c>
      <c r="D117" s="690" t="s">
        <v>53</v>
      </c>
      <c r="E117" s="690" t="s">
        <v>55</v>
      </c>
      <c r="F117" s="2">
        <v>28708.97</v>
      </c>
      <c r="G117" s="1104">
        <v>21666</v>
      </c>
      <c r="H117" s="2">
        <f t="shared" si="40"/>
        <v>22183.8174</v>
      </c>
      <c r="I117" s="2">
        <f t="shared" si="41"/>
        <v>22714.010635860002</v>
      </c>
    </row>
    <row r="118" spans="2:9" x14ac:dyDescent="0.25">
      <c r="B118" s="4" t="s">
        <v>56</v>
      </c>
      <c r="C118" s="76" t="s">
        <v>57</v>
      </c>
      <c r="D118" s="179" t="s">
        <v>58</v>
      </c>
      <c r="E118" s="179" t="s">
        <v>42</v>
      </c>
      <c r="F118" s="2">
        <v>0</v>
      </c>
      <c r="G118" s="1104">
        <v>0</v>
      </c>
      <c r="H118" s="2">
        <f t="shared" si="40"/>
        <v>0</v>
      </c>
      <c r="I118" s="2">
        <f t="shared" si="41"/>
        <v>0</v>
      </c>
    </row>
    <row r="119" spans="2:9" x14ac:dyDescent="0.25">
      <c r="B119" s="4" t="s">
        <v>59</v>
      </c>
      <c r="C119" s="179" t="s">
        <v>44</v>
      </c>
      <c r="D119" s="179" t="s">
        <v>58</v>
      </c>
      <c r="E119" s="179" t="s">
        <v>55</v>
      </c>
      <c r="F119" s="2">
        <f>706.16+17688.43</f>
        <v>18394.59</v>
      </c>
      <c r="G119" s="1104">
        <v>631</v>
      </c>
      <c r="H119" s="2">
        <f t="shared" si="40"/>
        <v>646.08090000000004</v>
      </c>
      <c r="I119" s="2">
        <f t="shared" si="41"/>
        <v>661.52223351000009</v>
      </c>
    </row>
    <row r="120" spans="2:9" x14ac:dyDescent="0.25">
      <c r="B120" s="4" t="s">
        <v>61</v>
      </c>
      <c r="C120" s="179" t="s">
        <v>44</v>
      </c>
      <c r="D120" s="179" t="s">
        <v>62</v>
      </c>
      <c r="E120" s="179" t="s">
        <v>42</v>
      </c>
      <c r="F120" s="2">
        <v>4234.68</v>
      </c>
      <c r="G120" s="1104">
        <v>4500</v>
      </c>
      <c r="H120" s="2">
        <f t="shared" si="40"/>
        <v>4607.55</v>
      </c>
      <c r="I120" s="2">
        <f t="shared" si="41"/>
        <v>4717.6704450000007</v>
      </c>
    </row>
    <row r="121" spans="2:9" x14ac:dyDescent="0.25">
      <c r="B121" s="4" t="s">
        <v>63</v>
      </c>
      <c r="C121" s="179" t="s">
        <v>10</v>
      </c>
      <c r="D121" s="179" t="s">
        <v>64</v>
      </c>
      <c r="E121" s="179" t="s">
        <v>42</v>
      </c>
      <c r="F121" s="2">
        <v>741.19</v>
      </c>
      <c r="G121" s="1104">
        <v>5876</v>
      </c>
      <c r="H121" s="2">
        <f t="shared" si="40"/>
        <v>6016.4364000000005</v>
      </c>
      <c r="I121" s="2">
        <f t="shared" si="41"/>
        <v>6160.2292299600003</v>
      </c>
    </row>
    <row r="122" spans="2:9" x14ac:dyDescent="0.25">
      <c r="B122" s="77" t="s">
        <v>65</v>
      </c>
      <c r="C122" s="179" t="s">
        <v>44</v>
      </c>
      <c r="D122" s="179" t="s">
        <v>66</v>
      </c>
      <c r="E122" s="179" t="s">
        <v>42</v>
      </c>
      <c r="F122" s="2">
        <v>49680.4</v>
      </c>
      <c r="G122" s="1104">
        <v>66145</v>
      </c>
      <c r="H122" s="2">
        <f t="shared" si="40"/>
        <v>67725.8655</v>
      </c>
      <c r="I122" s="2">
        <f t="shared" si="41"/>
        <v>69344.513685450002</v>
      </c>
    </row>
    <row r="123" spans="2:9" x14ac:dyDescent="0.25">
      <c r="B123" s="309" t="s">
        <v>548</v>
      </c>
      <c r="C123" s="179" t="s">
        <v>44</v>
      </c>
      <c r="D123" s="179" t="s">
        <v>549</v>
      </c>
      <c r="E123" s="179" t="s">
        <v>42</v>
      </c>
      <c r="F123" s="2">
        <f>73.14+582.52</f>
        <v>655.66</v>
      </c>
      <c r="G123" s="1104">
        <v>0</v>
      </c>
      <c r="H123" s="2">
        <f t="shared" si="40"/>
        <v>0</v>
      </c>
      <c r="I123" s="2">
        <f t="shared" si="41"/>
        <v>0</v>
      </c>
    </row>
    <row r="124" spans="2:9" x14ac:dyDescent="0.25">
      <c r="B124" s="4" t="s">
        <v>390</v>
      </c>
      <c r="C124" s="179" t="s">
        <v>10</v>
      </c>
      <c r="D124" s="179" t="s">
        <v>68</v>
      </c>
      <c r="E124" s="179" t="s">
        <v>42</v>
      </c>
      <c r="F124" s="2">
        <f>400+413</f>
        <v>813</v>
      </c>
      <c r="G124" s="1104">
        <v>709</v>
      </c>
      <c r="H124" s="2">
        <f t="shared" si="40"/>
        <v>725.94510000000002</v>
      </c>
      <c r="I124" s="2">
        <f t="shared" si="41"/>
        <v>743.29518789000008</v>
      </c>
    </row>
    <row r="125" spans="2:9" x14ac:dyDescent="0.25">
      <c r="B125" s="4" t="s">
        <v>69</v>
      </c>
      <c r="C125" s="179" t="s">
        <v>44</v>
      </c>
      <c r="D125" s="179" t="s">
        <v>70</v>
      </c>
      <c r="E125" s="179" t="s">
        <v>42</v>
      </c>
      <c r="F125" s="2">
        <f>5.31+3.59+372.96</f>
        <v>381.85999999999996</v>
      </c>
      <c r="G125" s="1104">
        <f>225+225+225</f>
        <v>675</v>
      </c>
      <c r="H125" s="2">
        <f t="shared" si="40"/>
        <v>691.13250000000005</v>
      </c>
      <c r="I125" s="2">
        <f t="shared" si="41"/>
        <v>707.65056675000005</v>
      </c>
    </row>
    <row r="126" spans="2:9" x14ac:dyDescent="0.25">
      <c r="B126" s="4" t="s">
        <v>71</v>
      </c>
      <c r="C126" s="179" t="s">
        <v>36</v>
      </c>
      <c r="D126" s="179" t="s">
        <v>70</v>
      </c>
      <c r="E126" s="179" t="s">
        <v>42</v>
      </c>
      <c r="F126" s="2">
        <f>30221.94-F125</f>
        <v>29840.079999999998</v>
      </c>
      <c r="G126" s="1104">
        <f>55958-G125</f>
        <v>55283</v>
      </c>
      <c r="H126" s="2">
        <f t="shared" si="40"/>
        <v>56604.263700000003</v>
      </c>
      <c r="I126" s="2">
        <f t="shared" si="41"/>
        <v>57957.105602430005</v>
      </c>
    </row>
    <row r="127" spans="2:9" x14ac:dyDescent="0.25">
      <c r="B127" s="4" t="s">
        <v>72</v>
      </c>
      <c r="C127" s="179" t="s">
        <v>44</v>
      </c>
      <c r="D127" s="179" t="s">
        <v>73</v>
      </c>
      <c r="E127" s="179" t="s">
        <v>38</v>
      </c>
      <c r="F127" s="2">
        <f>8425.16-F128</f>
        <v>8176.21</v>
      </c>
      <c r="G127" s="1104">
        <f>5622-G128</f>
        <v>5218</v>
      </c>
      <c r="H127" s="2">
        <f t="shared" si="40"/>
        <v>5342.7102000000004</v>
      </c>
      <c r="I127" s="2">
        <f t="shared" si="41"/>
        <v>5470.4009737800006</v>
      </c>
    </row>
    <row r="128" spans="2:9" x14ac:dyDescent="0.25">
      <c r="B128" s="4" t="s">
        <v>74</v>
      </c>
      <c r="C128" s="179" t="s">
        <v>44</v>
      </c>
      <c r="D128" s="179" t="s">
        <v>73</v>
      </c>
      <c r="E128" s="179" t="s">
        <v>42</v>
      </c>
      <c r="F128" s="2">
        <f>99.95+149</f>
        <v>248.95</v>
      </c>
      <c r="G128" s="1104">
        <f>155+142+107</f>
        <v>404</v>
      </c>
      <c r="H128" s="2">
        <f t="shared" si="40"/>
        <v>413.65559999999999</v>
      </c>
      <c r="I128" s="2">
        <f t="shared" si="41"/>
        <v>423.54196883999998</v>
      </c>
    </row>
    <row r="129" spans="1:9" x14ac:dyDescent="0.25">
      <c r="B129" s="4" t="s">
        <v>75</v>
      </c>
      <c r="C129" s="1" t="s">
        <v>44</v>
      </c>
      <c r="D129" s="1" t="s">
        <v>76</v>
      </c>
      <c r="E129" s="1" t="s">
        <v>42</v>
      </c>
      <c r="F129" s="2">
        <v>20781.38</v>
      </c>
      <c r="G129" s="1104">
        <v>16157</v>
      </c>
      <c r="H129" s="2">
        <f t="shared" si="40"/>
        <v>16543.152300000002</v>
      </c>
      <c r="I129" s="2">
        <f t="shared" si="41"/>
        <v>16938.533639970003</v>
      </c>
    </row>
    <row r="130" spans="1:9" x14ac:dyDescent="0.25">
      <c r="B130" t="s">
        <v>587</v>
      </c>
      <c r="C130" s="1" t="s">
        <v>44</v>
      </c>
      <c r="D130" s="1" t="s">
        <v>588</v>
      </c>
      <c r="E130" s="1" t="s">
        <v>42</v>
      </c>
      <c r="F130" s="2">
        <v>0</v>
      </c>
      <c r="G130" s="1104">
        <v>0</v>
      </c>
      <c r="H130" s="2">
        <f t="shared" si="40"/>
        <v>0</v>
      </c>
      <c r="I130" s="2">
        <f t="shared" si="41"/>
        <v>0</v>
      </c>
    </row>
    <row r="131" spans="1:9" x14ac:dyDescent="0.25">
      <c r="B131" s="4" t="s">
        <v>521</v>
      </c>
      <c r="C131" s="1" t="s">
        <v>44</v>
      </c>
      <c r="D131" s="1" t="s">
        <v>77</v>
      </c>
      <c r="E131" s="1" t="s">
        <v>42</v>
      </c>
      <c r="F131" s="2">
        <v>0</v>
      </c>
      <c r="G131" s="1104">
        <v>0</v>
      </c>
      <c r="H131" s="2">
        <f t="shared" si="40"/>
        <v>0</v>
      </c>
      <c r="I131" s="2">
        <f t="shared" si="41"/>
        <v>0</v>
      </c>
    </row>
    <row r="132" spans="1:9" x14ac:dyDescent="0.25">
      <c r="B132" s="4" t="s">
        <v>78</v>
      </c>
      <c r="C132" s="1" t="s">
        <v>44</v>
      </c>
      <c r="D132" s="1" t="s">
        <v>79</v>
      </c>
      <c r="E132" s="1" t="s">
        <v>42</v>
      </c>
      <c r="F132" s="2">
        <v>0</v>
      </c>
      <c r="G132" s="1104">
        <v>0</v>
      </c>
      <c r="H132" s="2">
        <f t="shared" si="40"/>
        <v>0</v>
      </c>
      <c r="I132" s="2">
        <f t="shared" si="41"/>
        <v>0</v>
      </c>
    </row>
    <row r="133" spans="1:9" x14ac:dyDescent="0.25">
      <c r="B133" s="4" t="s">
        <v>80</v>
      </c>
      <c r="C133" s="1" t="s">
        <v>44</v>
      </c>
      <c r="D133" s="1" t="s">
        <v>81</v>
      </c>
      <c r="E133" s="1" t="s">
        <v>42</v>
      </c>
      <c r="F133" s="2">
        <v>0</v>
      </c>
      <c r="G133" s="1104">
        <v>0</v>
      </c>
      <c r="H133" s="2">
        <f t="shared" si="40"/>
        <v>0</v>
      </c>
      <c r="I133" s="2">
        <f t="shared" si="41"/>
        <v>0</v>
      </c>
    </row>
    <row r="134" spans="1:9" x14ac:dyDescent="0.25">
      <c r="C134" s="1"/>
      <c r="D134" s="1"/>
      <c r="E134" s="1"/>
      <c r="F134" s="3">
        <f>SUM(F108:F133)</f>
        <v>506282.46999999991</v>
      </c>
      <c r="G134" s="1105">
        <f>SUM(G108:G133)</f>
        <v>534833</v>
      </c>
      <c r="H134" s="3">
        <f>SUM(H108:H133)</f>
        <v>547615.50870000001</v>
      </c>
      <c r="I134" s="3">
        <f>SUM(I108:I133)</f>
        <v>560703.51935793017</v>
      </c>
    </row>
    <row r="135" spans="1:9" x14ac:dyDescent="0.25">
      <c r="C135" s="1"/>
      <c r="D135" s="1"/>
      <c r="E135" s="1"/>
      <c r="F135" s="5"/>
      <c r="G135" s="1107"/>
      <c r="H135" s="5"/>
      <c r="I135" s="5"/>
    </row>
    <row r="136" spans="1:9" x14ac:dyDescent="0.25">
      <c r="A136" s="251" t="s">
        <v>3</v>
      </c>
      <c r="B136" s="4"/>
      <c r="C136" s="689"/>
      <c r="D136" s="689"/>
      <c r="E136" s="689"/>
      <c r="F136" s="2"/>
      <c r="G136" s="1104"/>
      <c r="H136" s="2"/>
      <c r="I136" s="2"/>
    </row>
    <row r="137" spans="1:9" x14ac:dyDescent="0.25">
      <c r="B137" s="309" t="s">
        <v>518</v>
      </c>
      <c r="C137" s="689" t="s">
        <v>10</v>
      </c>
      <c r="D137" s="689" t="s">
        <v>82</v>
      </c>
      <c r="E137" s="689"/>
      <c r="F137" s="2">
        <v>233373.96</v>
      </c>
      <c r="G137" s="1104">
        <v>243815</v>
      </c>
      <c r="H137" s="2">
        <f t="shared" ref="H137:H144" si="42">+G137*(1+$L$4)</f>
        <v>249642.17850000001</v>
      </c>
      <c r="I137" s="2">
        <f t="shared" ref="I137:I144" si="43">+H137*(1+$M$4)</f>
        <v>255783.37609109998</v>
      </c>
    </row>
    <row r="138" spans="1:9" x14ac:dyDescent="0.25">
      <c r="B138" s="4" t="s">
        <v>83</v>
      </c>
      <c r="C138" s="689" t="s">
        <v>10</v>
      </c>
      <c r="D138" s="689" t="s">
        <v>84</v>
      </c>
      <c r="E138" s="689"/>
      <c r="F138" s="2">
        <v>92764.83</v>
      </c>
      <c r="G138" s="1104">
        <v>86400</v>
      </c>
      <c r="H138" s="2">
        <f t="shared" si="42"/>
        <v>88464.960000000006</v>
      </c>
      <c r="I138" s="2">
        <f t="shared" si="43"/>
        <v>90641.198016000009</v>
      </c>
    </row>
    <row r="139" spans="1:9" x14ac:dyDescent="0.25">
      <c r="B139" s="4" t="s">
        <v>85</v>
      </c>
      <c r="C139" s="689" t="s">
        <v>10</v>
      </c>
      <c r="D139" s="689" t="s">
        <v>86</v>
      </c>
      <c r="E139" s="689"/>
      <c r="F139" s="2">
        <v>856113.24</v>
      </c>
      <c r="G139" s="1104">
        <v>845251</v>
      </c>
      <c r="H139" s="2">
        <f t="shared" si="42"/>
        <v>865452.49890000001</v>
      </c>
      <c r="I139" s="2">
        <f t="shared" si="43"/>
        <v>886742.63037293998</v>
      </c>
    </row>
    <row r="140" spans="1:9" x14ac:dyDescent="0.25">
      <c r="B140" s="4" t="s">
        <v>87</v>
      </c>
      <c r="C140" s="689" t="s">
        <v>10</v>
      </c>
      <c r="D140" s="689" t="s">
        <v>88</v>
      </c>
      <c r="E140" s="689"/>
      <c r="F140" s="2">
        <v>90637.8</v>
      </c>
      <c r="G140" s="1104">
        <v>96776</v>
      </c>
      <c r="H140" s="2">
        <f t="shared" si="42"/>
        <v>99088.946400000001</v>
      </c>
      <c r="I140" s="2">
        <f t="shared" si="43"/>
        <v>101526.53448144</v>
      </c>
    </row>
    <row r="141" spans="1:9" x14ac:dyDescent="0.25">
      <c r="B141" s="4" t="s">
        <v>89</v>
      </c>
      <c r="C141" s="689" t="s">
        <v>10</v>
      </c>
      <c r="D141" s="689" t="s">
        <v>90</v>
      </c>
      <c r="E141" s="689"/>
      <c r="F141" s="2">
        <v>1936.04</v>
      </c>
      <c r="G141" s="1104">
        <v>867</v>
      </c>
      <c r="H141" s="2">
        <f t="shared" si="42"/>
        <v>887.72130000000004</v>
      </c>
      <c r="I141" s="2">
        <f t="shared" si="43"/>
        <v>909.55924398000002</v>
      </c>
    </row>
    <row r="142" spans="1:9" x14ac:dyDescent="0.25">
      <c r="B142" s="4" t="s">
        <v>91</v>
      </c>
      <c r="C142" s="689" t="s">
        <v>10</v>
      </c>
      <c r="D142" s="689" t="s">
        <v>92</v>
      </c>
      <c r="E142" s="689"/>
      <c r="F142" s="2">
        <v>20162.560000000001</v>
      </c>
      <c r="G142" s="1104">
        <v>18630</v>
      </c>
      <c r="H142" s="2">
        <f t="shared" si="42"/>
        <v>19075.257000000001</v>
      </c>
      <c r="I142" s="2">
        <f t="shared" si="43"/>
        <v>19544.508322199999</v>
      </c>
    </row>
    <row r="143" spans="1:9" x14ac:dyDescent="0.25">
      <c r="B143" s="309" t="s">
        <v>649</v>
      </c>
      <c r="C143" s="690" t="s">
        <v>10</v>
      </c>
      <c r="D143" s="690" t="s">
        <v>94</v>
      </c>
      <c r="E143" s="689"/>
      <c r="F143" s="2">
        <v>13139.16</v>
      </c>
      <c r="G143" s="1104">
        <v>13260</v>
      </c>
      <c r="H143" s="2">
        <f t="shared" si="42"/>
        <v>13576.914000000001</v>
      </c>
      <c r="I143" s="2">
        <f t="shared" si="43"/>
        <v>13910.9060844</v>
      </c>
    </row>
    <row r="144" spans="1:9" x14ac:dyDescent="0.25">
      <c r="B144" s="4" t="s">
        <v>93</v>
      </c>
      <c r="C144" s="689" t="s">
        <v>10</v>
      </c>
      <c r="D144" s="689" t="s">
        <v>94</v>
      </c>
      <c r="E144" s="689"/>
      <c r="F144" s="2">
        <v>0</v>
      </c>
      <c r="G144" s="1104">
        <v>1639</v>
      </c>
      <c r="H144" s="2">
        <f t="shared" si="42"/>
        <v>1678.1721</v>
      </c>
      <c r="I144" s="2">
        <f t="shared" si="43"/>
        <v>1719.45513366</v>
      </c>
    </row>
    <row r="145" spans="1:9" x14ac:dyDescent="0.25">
      <c r="C145" s="1"/>
      <c r="D145" s="1"/>
      <c r="E145" s="1"/>
      <c r="F145" s="3">
        <f>SUM(F137:F144)</f>
        <v>1308127.5900000001</v>
      </c>
      <c r="G145" s="1105">
        <f>SUM(G137:G144)</f>
        <v>1306638</v>
      </c>
      <c r="H145" s="3">
        <f>SUM(H137:H144)</f>
        <v>1337866.6482000002</v>
      </c>
      <c r="I145" s="3">
        <f>SUM(I137:I144)</f>
        <v>1370778.1677457199</v>
      </c>
    </row>
    <row r="146" spans="1:9" x14ac:dyDescent="0.25">
      <c r="C146" s="1"/>
      <c r="D146" s="1"/>
      <c r="E146" s="1"/>
      <c r="F146" s="2"/>
      <c r="G146" s="1104"/>
      <c r="H146" s="2"/>
      <c r="I146" s="2"/>
    </row>
    <row r="147" spans="1:9" x14ac:dyDescent="0.25">
      <c r="A147" s="251" t="s">
        <v>95</v>
      </c>
      <c r="B147" s="178" t="s">
        <v>507</v>
      </c>
      <c r="C147" s="1" t="s">
        <v>96</v>
      </c>
      <c r="D147" s="6">
        <v>4000</v>
      </c>
      <c r="E147" s="1" t="s">
        <v>97</v>
      </c>
      <c r="F147" s="2">
        <v>0</v>
      </c>
      <c r="G147" s="1104">
        <v>0</v>
      </c>
      <c r="H147" s="2">
        <f t="shared" ref="H147" si="44">+G147*(1+$L$4)</f>
        <v>0</v>
      </c>
      <c r="I147" s="2">
        <f t="shared" ref="I147" si="45">+H147*(1+$M$4)</f>
        <v>0</v>
      </c>
    </row>
    <row r="148" spans="1:9" x14ac:dyDescent="0.25">
      <c r="A148" s="256" t="s">
        <v>519</v>
      </c>
      <c r="B148" s="178" t="s">
        <v>509</v>
      </c>
      <c r="C148" s="1" t="s">
        <v>96</v>
      </c>
      <c r="D148" s="6">
        <v>5813</v>
      </c>
      <c r="E148" s="1" t="s">
        <v>28</v>
      </c>
      <c r="F148" s="2">
        <v>2682.89</v>
      </c>
      <c r="G148" s="1104">
        <v>12656</v>
      </c>
      <c r="H148" s="2">
        <f>+G148*(1+$L$4)</f>
        <v>12958.4784</v>
      </c>
      <c r="I148" s="2">
        <f>+H148*(1+$M$4)</f>
        <v>13277.25696864</v>
      </c>
    </row>
    <row r="149" spans="1:9" x14ac:dyDescent="0.25">
      <c r="A149" s="251" t="s">
        <v>99</v>
      </c>
      <c r="B149" s="178" t="s">
        <v>520</v>
      </c>
      <c r="C149" s="1" t="s">
        <v>96</v>
      </c>
      <c r="D149" s="6">
        <v>5814</v>
      </c>
      <c r="E149" s="1" t="s">
        <v>97</v>
      </c>
      <c r="F149" s="2">
        <v>34639.29</v>
      </c>
      <c r="G149" s="1104">
        <v>28911</v>
      </c>
      <c r="H149" s="2">
        <f>+G149*(1+$L$4)</f>
        <v>29601.972900000001</v>
      </c>
      <c r="I149" s="2">
        <f>+H149*(1+$M$4)</f>
        <v>30330.18143334</v>
      </c>
    </row>
    <row r="150" spans="1:9" x14ac:dyDescent="0.25">
      <c r="B150" s="305" t="s">
        <v>155</v>
      </c>
      <c r="C150" s="254" t="s">
        <v>96</v>
      </c>
      <c r="D150" s="255">
        <v>5908</v>
      </c>
      <c r="E150" s="254" t="s">
        <v>28</v>
      </c>
      <c r="F150" s="2">
        <v>0</v>
      </c>
      <c r="G150" s="1104">
        <v>1000</v>
      </c>
      <c r="H150" s="2">
        <f>+G150*(1+$L$4)</f>
        <v>1023.9</v>
      </c>
      <c r="I150" s="2">
        <f>+H150*(1+$M$4)</f>
        <v>1049.0879399999999</v>
      </c>
    </row>
    <row r="151" spans="1:9" x14ac:dyDescent="0.25">
      <c r="B151" s="1136"/>
      <c r="C151" s="254"/>
      <c r="D151" s="255"/>
      <c r="E151" s="254"/>
      <c r="F151" s="257">
        <f t="shared" ref="F151:H151" si="46">SUM(F147:F150)</f>
        <v>37322.18</v>
      </c>
      <c r="G151" s="1108">
        <f t="shared" si="46"/>
        <v>42567</v>
      </c>
      <c r="H151" s="257">
        <f t="shared" si="46"/>
        <v>43584.351300000002</v>
      </c>
      <c r="I151" s="257">
        <f t="shared" ref="I151" si="47">SUM(I147:I150)</f>
        <v>44656.526341979996</v>
      </c>
    </row>
    <row r="152" spans="1:9" x14ac:dyDescent="0.25">
      <c r="B152" s="247"/>
      <c r="C152" s="254"/>
      <c r="D152" s="255"/>
      <c r="E152" s="254"/>
      <c r="F152" s="252"/>
      <c r="G152" s="1104"/>
      <c r="H152" s="252"/>
      <c r="I152" s="252"/>
    </row>
    <row r="153" spans="1:9" x14ac:dyDescent="0.25">
      <c r="A153" s="251" t="s">
        <v>95</v>
      </c>
      <c r="B153" s="178" t="s">
        <v>589</v>
      </c>
      <c r="C153" s="1" t="s">
        <v>44</v>
      </c>
      <c r="D153" s="6">
        <v>4310</v>
      </c>
      <c r="E153" s="6">
        <v>2026</v>
      </c>
      <c r="F153" s="2">
        <v>0</v>
      </c>
      <c r="G153" s="1104">
        <v>250</v>
      </c>
      <c r="H153" s="2">
        <f t="shared" ref="H153:H217" si="48">+G153*(1+$L$4)</f>
        <v>255.97499999999999</v>
      </c>
      <c r="I153" s="2">
        <f t="shared" ref="I153:I217" si="49">+H153*(1+$M$4)</f>
        <v>262.27198499999997</v>
      </c>
    </row>
    <row r="154" spans="1:9" x14ac:dyDescent="0.25">
      <c r="A154" s="251" t="s">
        <v>98</v>
      </c>
      <c r="B154" t="s">
        <v>101</v>
      </c>
      <c r="C154" s="1" t="s">
        <v>44</v>
      </c>
      <c r="D154" s="6">
        <v>4310</v>
      </c>
      <c r="E154" s="1" t="s">
        <v>102</v>
      </c>
      <c r="F154" s="2">
        <v>747.12</v>
      </c>
      <c r="G154" s="1104">
        <v>1000</v>
      </c>
      <c r="H154" s="2">
        <f t="shared" si="48"/>
        <v>1023.9</v>
      </c>
      <c r="I154" s="2">
        <f t="shared" si="49"/>
        <v>1049.0879399999999</v>
      </c>
    </row>
    <row r="155" spans="1:9" x14ac:dyDescent="0.25">
      <c r="A155" s="251" t="s">
        <v>99</v>
      </c>
      <c r="B155" t="s">
        <v>103</v>
      </c>
      <c r="C155" s="1" t="s">
        <v>10</v>
      </c>
      <c r="D155" s="6">
        <v>4340</v>
      </c>
      <c r="E155" s="1" t="s">
        <v>104</v>
      </c>
      <c r="F155" s="2">
        <v>33979.06</v>
      </c>
      <c r="G155" s="1104">
        <v>52500</v>
      </c>
      <c r="H155" s="2">
        <f t="shared" si="48"/>
        <v>53754.75</v>
      </c>
      <c r="I155" s="2">
        <f t="shared" si="49"/>
        <v>55077.116849999999</v>
      </c>
    </row>
    <row r="156" spans="1:9" x14ac:dyDescent="0.25">
      <c r="B156" t="s">
        <v>106</v>
      </c>
      <c r="C156" s="1" t="s">
        <v>10</v>
      </c>
      <c r="D156" s="6">
        <v>4344</v>
      </c>
      <c r="E156" s="1" t="s">
        <v>25</v>
      </c>
      <c r="F156" s="2">
        <v>0</v>
      </c>
      <c r="G156" s="1104">
        <v>330</v>
      </c>
      <c r="H156" s="2">
        <f t="shared" si="48"/>
        <v>337.887</v>
      </c>
      <c r="I156" s="2">
        <f t="shared" si="49"/>
        <v>346.19902020000001</v>
      </c>
    </row>
    <row r="157" spans="1:9" x14ac:dyDescent="0.25">
      <c r="B157" t="s">
        <v>107</v>
      </c>
      <c r="C157" s="1" t="s">
        <v>10</v>
      </c>
      <c r="D157" s="6">
        <v>4345</v>
      </c>
      <c r="E157" s="1" t="s">
        <v>24</v>
      </c>
      <c r="F157" s="2">
        <v>0</v>
      </c>
      <c r="G157" s="1104">
        <v>615</v>
      </c>
      <c r="H157" s="2">
        <f t="shared" si="48"/>
        <v>629.69849999999997</v>
      </c>
      <c r="I157" s="2">
        <f t="shared" si="49"/>
        <v>645.18908309999995</v>
      </c>
    </row>
    <row r="158" spans="1:9" x14ac:dyDescent="0.25">
      <c r="A158" s="4"/>
      <c r="B158" t="s">
        <v>108</v>
      </c>
      <c r="C158" s="1" t="s">
        <v>10</v>
      </c>
      <c r="D158" s="6">
        <v>4347</v>
      </c>
      <c r="E158" s="1" t="s">
        <v>105</v>
      </c>
      <c r="F158" s="2">
        <v>9159.1</v>
      </c>
      <c r="G158" s="1104">
        <v>12500</v>
      </c>
      <c r="H158" s="2">
        <f t="shared" si="48"/>
        <v>12798.75</v>
      </c>
      <c r="I158" s="2">
        <f t="shared" si="49"/>
        <v>13113.599249999999</v>
      </c>
    </row>
    <row r="159" spans="1:9" x14ac:dyDescent="0.25">
      <c r="B159" t="s">
        <v>109</v>
      </c>
      <c r="C159" s="1" t="s">
        <v>10</v>
      </c>
      <c r="D159" s="6">
        <v>4349</v>
      </c>
      <c r="E159" s="1" t="s">
        <v>104</v>
      </c>
      <c r="F159" s="2">
        <v>456.18</v>
      </c>
      <c r="G159" s="1104">
        <v>825</v>
      </c>
      <c r="H159" s="2">
        <f t="shared" si="48"/>
        <v>844.71749999999997</v>
      </c>
      <c r="I159" s="2">
        <f t="shared" si="49"/>
        <v>865.49755049999999</v>
      </c>
    </row>
    <row r="160" spans="1:9" x14ac:dyDescent="0.25">
      <c r="B160" t="s">
        <v>110</v>
      </c>
      <c r="C160" s="1" t="s">
        <v>10</v>
      </c>
      <c r="D160" s="6">
        <v>4352</v>
      </c>
      <c r="E160" s="1" t="s">
        <v>105</v>
      </c>
      <c r="F160" s="2">
        <v>12325.63</v>
      </c>
      <c r="G160" s="1104">
        <v>12189</v>
      </c>
      <c r="H160" s="2">
        <f t="shared" si="48"/>
        <v>12480.3171</v>
      </c>
      <c r="I160" s="2">
        <f t="shared" si="49"/>
        <v>12787.33290066</v>
      </c>
    </row>
    <row r="161" spans="2:10" x14ac:dyDescent="0.25">
      <c r="B161" t="s">
        <v>111</v>
      </c>
      <c r="C161" s="76" t="s">
        <v>57</v>
      </c>
      <c r="D161" s="6">
        <v>4353</v>
      </c>
      <c r="E161" s="1" t="s">
        <v>105</v>
      </c>
      <c r="F161" s="2">
        <v>14019.97</v>
      </c>
      <c r="G161" s="1104">
        <v>32204</v>
      </c>
      <c r="H161" s="2">
        <f t="shared" si="48"/>
        <v>32973.675600000002</v>
      </c>
      <c r="I161" s="2">
        <f t="shared" si="49"/>
        <v>33784.828019760003</v>
      </c>
    </row>
    <row r="162" spans="2:10" x14ac:dyDescent="0.25">
      <c r="B162" s="178" t="s">
        <v>420</v>
      </c>
      <c r="C162" s="79" t="s">
        <v>44</v>
      </c>
      <c r="D162" s="6">
        <v>4354</v>
      </c>
      <c r="E162" s="79" t="s">
        <v>120</v>
      </c>
      <c r="F162" s="2">
        <v>11171.48</v>
      </c>
      <c r="G162" s="1104">
        <v>2000</v>
      </c>
      <c r="H162" s="2">
        <f t="shared" si="48"/>
        <v>2047.8</v>
      </c>
      <c r="I162" s="2">
        <f t="shared" si="49"/>
        <v>2098.1758799999998</v>
      </c>
    </row>
    <row r="163" spans="2:10" x14ac:dyDescent="0.25">
      <c r="B163" t="s">
        <v>391</v>
      </c>
      <c r="C163" s="1" t="s">
        <v>44</v>
      </c>
      <c r="D163" s="6">
        <v>4400</v>
      </c>
      <c r="E163" s="1" t="s">
        <v>102</v>
      </c>
      <c r="F163" s="2">
        <v>0</v>
      </c>
      <c r="G163" s="1104">
        <v>0</v>
      </c>
      <c r="H163" s="2">
        <f t="shared" si="48"/>
        <v>0</v>
      </c>
      <c r="I163" s="2">
        <f t="shared" si="49"/>
        <v>0</v>
      </c>
    </row>
    <row r="164" spans="2:10" x14ac:dyDescent="0.25">
      <c r="B164" t="s">
        <v>112</v>
      </c>
      <c r="C164" s="1" t="s">
        <v>44</v>
      </c>
      <c r="D164" s="6">
        <v>4400</v>
      </c>
      <c r="E164" s="1" t="s">
        <v>113</v>
      </c>
      <c r="F164" s="2">
        <v>0</v>
      </c>
      <c r="G164" s="1104">
        <f>3830+3460+1000</f>
        <v>8290</v>
      </c>
      <c r="H164" s="2">
        <f t="shared" si="48"/>
        <v>8488.1309999999994</v>
      </c>
      <c r="I164" s="2">
        <f t="shared" si="49"/>
        <v>8696.9390225999996</v>
      </c>
      <c r="J164" s="75"/>
    </row>
    <row r="165" spans="2:10" x14ac:dyDescent="0.25">
      <c r="B165" t="s">
        <v>114</v>
      </c>
      <c r="C165" s="1" t="s">
        <v>10</v>
      </c>
      <c r="D165" s="691">
        <v>5204</v>
      </c>
      <c r="E165" s="689" t="s">
        <v>105</v>
      </c>
      <c r="F165" s="2">
        <v>706.34</v>
      </c>
      <c r="G165" s="1104">
        <v>1470</v>
      </c>
      <c r="H165" s="2">
        <f t="shared" si="48"/>
        <v>1505.133</v>
      </c>
      <c r="I165" s="2">
        <f t="shared" si="49"/>
        <v>1542.1592717999999</v>
      </c>
      <c r="J165" s="75"/>
    </row>
    <row r="166" spans="2:10" x14ac:dyDescent="0.25">
      <c r="B166" t="s">
        <v>121</v>
      </c>
      <c r="C166" s="1" t="s">
        <v>10</v>
      </c>
      <c r="D166" s="1038">
        <v>5213</v>
      </c>
      <c r="E166" s="690" t="s">
        <v>49</v>
      </c>
      <c r="F166" s="2">
        <v>0</v>
      </c>
      <c r="G166" s="1104">
        <v>100</v>
      </c>
      <c r="H166" s="2">
        <f t="shared" si="48"/>
        <v>102.39</v>
      </c>
      <c r="I166" s="2">
        <f t="shared" si="49"/>
        <v>104.908794</v>
      </c>
    </row>
    <row r="167" spans="2:10" x14ac:dyDescent="0.25">
      <c r="B167" t="s">
        <v>115</v>
      </c>
      <c r="C167" s="1" t="s">
        <v>44</v>
      </c>
      <c r="D167" s="1038">
        <v>5213</v>
      </c>
      <c r="E167" s="690" t="s">
        <v>116</v>
      </c>
      <c r="F167" s="2">
        <v>4333.47</v>
      </c>
      <c r="G167" s="1104">
        <v>6000</v>
      </c>
      <c r="H167" s="2">
        <f t="shared" si="48"/>
        <v>6143.4000000000005</v>
      </c>
      <c r="I167" s="2">
        <f t="shared" si="49"/>
        <v>6294.5276400000002</v>
      </c>
    </row>
    <row r="168" spans="2:10" x14ac:dyDescent="0.25">
      <c r="B168" t="s">
        <v>117</v>
      </c>
      <c r="C168" s="1" t="s">
        <v>44</v>
      </c>
      <c r="D168" s="1038">
        <v>5213</v>
      </c>
      <c r="E168" s="690" t="s">
        <v>100</v>
      </c>
      <c r="F168" s="2">
        <v>11563.84</v>
      </c>
      <c r="G168" s="1104">
        <v>11500</v>
      </c>
      <c r="H168" s="2">
        <f t="shared" si="48"/>
        <v>11774.85</v>
      </c>
      <c r="I168" s="2">
        <f t="shared" si="49"/>
        <v>12064.51131</v>
      </c>
    </row>
    <row r="169" spans="2:10" x14ac:dyDescent="0.25">
      <c r="B169" t="s">
        <v>118</v>
      </c>
      <c r="C169" s="1" t="s">
        <v>44</v>
      </c>
      <c r="D169" s="1038">
        <v>5213</v>
      </c>
      <c r="E169" s="690" t="s">
        <v>29</v>
      </c>
      <c r="F169" s="2">
        <f>4710.73+105</f>
        <v>4815.7299999999996</v>
      </c>
      <c r="G169" s="1104">
        <v>7200</v>
      </c>
      <c r="H169" s="2">
        <f t="shared" si="48"/>
        <v>7372.08</v>
      </c>
      <c r="I169" s="2">
        <f t="shared" si="49"/>
        <v>7553.4331679999996</v>
      </c>
    </row>
    <row r="170" spans="2:10" x14ac:dyDescent="0.25">
      <c r="B170" t="s">
        <v>119</v>
      </c>
      <c r="C170" s="1" t="s">
        <v>44</v>
      </c>
      <c r="D170" s="1038">
        <v>5213</v>
      </c>
      <c r="E170" s="690" t="s">
        <v>120</v>
      </c>
      <c r="F170" s="2">
        <v>6493.96</v>
      </c>
      <c r="G170" s="1104">
        <v>7800</v>
      </c>
      <c r="H170" s="2">
        <f t="shared" si="48"/>
        <v>7986.42</v>
      </c>
      <c r="I170" s="2">
        <f t="shared" si="49"/>
        <v>8182.8859320000001</v>
      </c>
      <c r="J170" s="75"/>
    </row>
    <row r="171" spans="2:10" x14ac:dyDescent="0.25">
      <c r="B171" s="178" t="s">
        <v>650</v>
      </c>
      <c r="C171" s="1" t="s">
        <v>44</v>
      </c>
      <c r="D171" s="6">
        <v>5310</v>
      </c>
      <c r="E171" s="179" t="s">
        <v>651</v>
      </c>
      <c r="F171" s="2">
        <v>12690</v>
      </c>
      <c r="G171" s="1104">
        <v>16530</v>
      </c>
      <c r="H171" s="2">
        <f t="shared" si="48"/>
        <v>16925.066999999999</v>
      </c>
      <c r="I171" s="2">
        <f t="shared" si="49"/>
        <v>17341.423648199998</v>
      </c>
    </row>
    <row r="172" spans="2:10" x14ac:dyDescent="0.25">
      <c r="B172" t="s">
        <v>122</v>
      </c>
      <c r="C172" s="1" t="s">
        <v>44</v>
      </c>
      <c r="D172" s="6">
        <v>5310</v>
      </c>
      <c r="E172" s="1" t="s">
        <v>120</v>
      </c>
      <c r="F172" s="2">
        <v>0</v>
      </c>
      <c r="G172" s="1104">
        <v>0</v>
      </c>
      <c r="H172" s="2">
        <f t="shared" si="48"/>
        <v>0</v>
      </c>
      <c r="I172" s="2">
        <f t="shared" si="49"/>
        <v>0</v>
      </c>
    </row>
    <row r="173" spans="2:10" x14ac:dyDescent="0.25">
      <c r="B173" t="s">
        <v>123</v>
      </c>
      <c r="C173" s="1" t="s">
        <v>10</v>
      </c>
      <c r="D173" s="6">
        <v>5450</v>
      </c>
      <c r="E173" s="1" t="s">
        <v>120</v>
      </c>
      <c r="F173" s="2">
        <v>220928.93</v>
      </c>
      <c r="G173" s="1104">
        <v>240349</v>
      </c>
      <c r="H173" s="2">
        <f t="shared" si="48"/>
        <v>246093.34110000002</v>
      </c>
      <c r="I173" s="2">
        <f t="shared" si="49"/>
        <v>252147.23729106001</v>
      </c>
    </row>
    <row r="174" spans="2:10" x14ac:dyDescent="0.25">
      <c r="B174" t="s">
        <v>124</v>
      </c>
      <c r="C174" s="76" t="s">
        <v>57</v>
      </c>
      <c r="D174" s="6">
        <v>5601</v>
      </c>
      <c r="E174" s="1" t="s">
        <v>105</v>
      </c>
      <c r="F174" s="2">
        <v>4891.2</v>
      </c>
      <c r="G174" s="1104">
        <v>5470</v>
      </c>
      <c r="H174" s="2">
        <f t="shared" si="48"/>
        <v>5600.7330000000002</v>
      </c>
      <c r="I174" s="2">
        <f t="shared" si="49"/>
        <v>5738.5110317999997</v>
      </c>
    </row>
    <row r="175" spans="2:10" x14ac:dyDescent="0.25">
      <c r="B175" s="4" t="s">
        <v>125</v>
      </c>
      <c r="C175" s="689" t="s">
        <v>10</v>
      </c>
      <c r="D175" s="691">
        <v>5604</v>
      </c>
      <c r="E175" s="689" t="s">
        <v>104</v>
      </c>
      <c r="F175" s="2">
        <v>168</v>
      </c>
      <c r="G175" s="1104">
        <v>2000</v>
      </c>
      <c r="H175" s="2">
        <f t="shared" si="48"/>
        <v>2047.8</v>
      </c>
      <c r="I175" s="2">
        <f t="shared" si="49"/>
        <v>2098.1758799999998</v>
      </c>
    </row>
    <row r="176" spans="2:10" x14ac:dyDescent="0.25">
      <c r="B176" s="4" t="s">
        <v>126</v>
      </c>
      <c r="C176" s="689" t="s">
        <v>44</v>
      </c>
      <c r="D176" s="691">
        <v>5604</v>
      </c>
      <c r="E176" s="689" t="s">
        <v>25</v>
      </c>
      <c r="F176" s="2">
        <v>0</v>
      </c>
      <c r="G176" s="1104">
        <v>600</v>
      </c>
      <c r="H176" s="2">
        <f t="shared" si="48"/>
        <v>614.34</v>
      </c>
      <c r="I176" s="2">
        <f t="shared" si="49"/>
        <v>629.452764</v>
      </c>
    </row>
    <row r="177" spans="2:10" x14ac:dyDescent="0.25">
      <c r="B177" s="4" t="s">
        <v>127</v>
      </c>
      <c r="C177" s="689" t="s">
        <v>44</v>
      </c>
      <c r="D177" s="691">
        <v>5604</v>
      </c>
      <c r="E177" s="689" t="s">
        <v>102</v>
      </c>
      <c r="F177" s="2">
        <v>7482.45</v>
      </c>
      <c r="G177" s="1104">
        <v>9500</v>
      </c>
      <c r="H177" s="2">
        <f t="shared" si="48"/>
        <v>9727.0500000000011</v>
      </c>
      <c r="I177" s="2">
        <f t="shared" si="49"/>
        <v>9966.335430000001</v>
      </c>
    </row>
    <row r="178" spans="2:10" x14ac:dyDescent="0.25">
      <c r="B178" s="4" t="s">
        <v>128</v>
      </c>
      <c r="C178" s="689" t="s">
        <v>44</v>
      </c>
      <c r="D178" s="691">
        <v>5604</v>
      </c>
      <c r="E178" s="689" t="s">
        <v>120</v>
      </c>
      <c r="F178" s="2">
        <v>0</v>
      </c>
      <c r="G178" s="1104">
        <v>0</v>
      </c>
      <c r="H178" s="2">
        <f t="shared" si="48"/>
        <v>0</v>
      </c>
      <c r="I178" s="2">
        <f t="shared" si="49"/>
        <v>0</v>
      </c>
      <c r="J178" s="75"/>
    </row>
    <row r="179" spans="2:10" x14ac:dyDescent="0.25">
      <c r="B179" t="s">
        <v>129</v>
      </c>
      <c r="C179" s="1" t="s">
        <v>44</v>
      </c>
      <c r="D179" s="6">
        <v>5608</v>
      </c>
      <c r="E179" s="1" t="s">
        <v>120</v>
      </c>
      <c r="F179" s="2">
        <v>1859.37</v>
      </c>
      <c r="G179" s="1104">
        <v>3000</v>
      </c>
      <c r="H179" s="2">
        <f t="shared" si="48"/>
        <v>3071.7000000000003</v>
      </c>
      <c r="I179" s="2">
        <f t="shared" si="49"/>
        <v>3147.2638200000001</v>
      </c>
    </row>
    <row r="180" spans="2:10" x14ac:dyDescent="0.25">
      <c r="B180" t="s">
        <v>130</v>
      </c>
      <c r="C180" s="1" t="s">
        <v>44</v>
      </c>
      <c r="D180" s="6">
        <v>5752</v>
      </c>
      <c r="E180" s="1" t="s">
        <v>105</v>
      </c>
      <c r="F180" s="2">
        <v>1329.9</v>
      </c>
      <c r="G180" s="1104">
        <v>750</v>
      </c>
      <c r="H180" s="2">
        <f t="shared" si="48"/>
        <v>767.92500000000007</v>
      </c>
      <c r="I180" s="2">
        <f t="shared" si="49"/>
        <v>786.81595500000003</v>
      </c>
    </row>
    <row r="181" spans="2:10" x14ac:dyDescent="0.25">
      <c r="B181" t="s">
        <v>131</v>
      </c>
      <c r="C181" s="1" t="s">
        <v>10</v>
      </c>
      <c r="D181" s="6">
        <v>5802</v>
      </c>
      <c r="E181" s="1" t="s">
        <v>28</v>
      </c>
      <c r="F181" s="2">
        <v>1637.45</v>
      </c>
      <c r="G181" s="1104">
        <v>2000</v>
      </c>
      <c r="H181" s="2">
        <f t="shared" si="48"/>
        <v>2047.8</v>
      </c>
      <c r="I181" s="2">
        <f t="shared" si="49"/>
        <v>2098.1758799999998</v>
      </c>
    </row>
    <row r="182" spans="2:10" x14ac:dyDescent="0.25">
      <c r="B182" t="s">
        <v>132</v>
      </c>
      <c r="C182" s="1" t="s">
        <v>10</v>
      </c>
      <c r="D182" s="6">
        <v>5802</v>
      </c>
      <c r="E182" s="1" t="s">
        <v>29</v>
      </c>
      <c r="F182" s="2">
        <v>1670.25</v>
      </c>
      <c r="G182" s="1104">
        <v>2000</v>
      </c>
      <c r="H182" s="2">
        <f t="shared" si="48"/>
        <v>2047.8</v>
      </c>
      <c r="I182" s="2">
        <f t="shared" si="49"/>
        <v>2098.1758799999998</v>
      </c>
    </row>
    <row r="183" spans="2:10" x14ac:dyDescent="0.25">
      <c r="B183" t="s">
        <v>133</v>
      </c>
      <c r="C183" s="1" t="s">
        <v>10</v>
      </c>
      <c r="D183" s="6">
        <v>5802</v>
      </c>
      <c r="E183" s="1" t="s">
        <v>120</v>
      </c>
      <c r="F183" s="2">
        <v>1949.66</v>
      </c>
      <c r="G183" s="1104">
        <v>2000</v>
      </c>
      <c r="H183" s="2">
        <f t="shared" si="48"/>
        <v>2047.8</v>
      </c>
      <c r="I183" s="2">
        <f t="shared" si="49"/>
        <v>2098.1758799999998</v>
      </c>
    </row>
    <row r="184" spans="2:10" x14ac:dyDescent="0.25">
      <c r="B184" t="s">
        <v>134</v>
      </c>
      <c r="C184" s="1" t="s">
        <v>10</v>
      </c>
      <c r="D184" s="6">
        <v>5804</v>
      </c>
      <c r="E184" s="1" t="s">
        <v>116</v>
      </c>
      <c r="F184" s="2">
        <v>52702.09</v>
      </c>
      <c r="G184" s="1104">
        <v>35000</v>
      </c>
      <c r="H184" s="2">
        <f t="shared" si="48"/>
        <v>35836.5</v>
      </c>
      <c r="I184" s="2">
        <f t="shared" si="49"/>
        <v>36718.077899999997</v>
      </c>
    </row>
    <row r="185" spans="2:10" x14ac:dyDescent="0.25">
      <c r="B185" t="s">
        <v>525</v>
      </c>
      <c r="C185" s="1" t="s">
        <v>10</v>
      </c>
      <c r="D185" s="6">
        <v>5805</v>
      </c>
      <c r="E185" s="1" t="s">
        <v>100</v>
      </c>
      <c r="F185" s="2">
        <v>27195</v>
      </c>
      <c r="G185" s="1104">
        <v>27530</v>
      </c>
      <c r="H185" s="2">
        <f t="shared" si="48"/>
        <v>28187.967000000001</v>
      </c>
      <c r="I185" s="2">
        <f t="shared" si="49"/>
        <v>28881.390988200001</v>
      </c>
    </row>
    <row r="186" spans="2:10" x14ac:dyDescent="0.25">
      <c r="B186" t="s">
        <v>135</v>
      </c>
      <c r="C186" s="1" t="s">
        <v>44</v>
      </c>
      <c r="D186" s="6">
        <v>5806</v>
      </c>
      <c r="E186" s="1" t="s">
        <v>22</v>
      </c>
      <c r="F186" s="2">
        <v>565</v>
      </c>
      <c r="G186" s="1104">
        <v>600</v>
      </c>
      <c r="H186" s="2">
        <f t="shared" si="48"/>
        <v>614.34</v>
      </c>
      <c r="I186" s="2">
        <f t="shared" si="49"/>
        <v>629.452764</v>
      </c>
    </row>
    <row r="187" spans="2:10" x14ac:dyDescent="0.25">
      <c r="B187" t="s">
        <v>136</v>
      </c>
      <c r="C187" s="1" t="s">
        <v>10</v>
      </c>
      <c r="D187" s="6">
        <v>5808</v>
      </c>
      <c r="E187" s="1" t="s">
        <v>100</v>
      </c>
      <c r="F187" s="2">
        <v>0</v>
      </c>
      <c r="G187" s="1104">
        <v>0</v>
      </c>
      <c r="H187" s="2">
        <f t="shared" si="48"/>
        <v>0</v>
      </c>
      <c r="I187" s="2">
        <f t="shared" si="49"/>
        <v>0</v>
      </c>
    </row>
    <row r="188" spans="2:10" x14ac:dyDescent="0.25">
      <c r="B188" s="178" t="s">
        <v>652</v>
      </c>
      <c r="C188" s="1" t="s">
        <v>10</v>
      </c>
      <c r="D188" s="6">
        <v>5809</v>
      </c>
      <c r="E188" s="1" t="s">
        <v>113</v>
      </c>
      <c r="F188" s="2">
        <v>1097.18</v>
      </c>
      <c r="G188" s="1104">
        <v>2275</v>
      </c>
      <c r="H188" s="2">
        <f t="shared" si="48"/>
        <v>2329.3724999999999</v>
      </c>
      <c r="I188" s="2">
        <f t="shared" si="49"/>
        <v>2386.6750634999999</v>
      </c>
    </row>
    <row r="189" spans="2:10" x14ac:dyDescent="0.25">
      <c r="B189" t="s">
        <v>137</v>
      </c>
      <c r="C189" s="1" t="s">
        <v>10</v>
      </c>
      <c r="D189" s="6">
        <v>5810</v>
      </c>
      <c r="E189" s="1" t="s">
        <v>29</v>
      </c>
      <c r="F189" s="2">
        <v>18464</v>
      </c>
      <c r="G189" s="1104">
        <v>20000</v>
      </c>
      <c r="H189" s="2">
        <f t="shared" si="48"/>
        <v>20478</v>
      </c>
      <c r="I189" s="2">
        <f t="shared" si="49"/>
        <v>20981.7588</v>
      </c>
    </row>
    <row r="190" spans="2:10" x14ac:dyDescent="0.25">
      <c r="B190" s="178" t="s">
        <v>301</v>
      </c>
      <c r="C190" s="179" t="s">
        <v>44</v>
      </c>
      <c r="D190" s="692">
        <v>5813</v>
      </c>
      <c r="E190" s="179" t="s">
        <v>116</v>
      </c>
      <c r="F190" s="2">
        <v>1187.58</v>
      </c>
      <c r="G190" s="1104">
        <v>2139</v>
      </c>
      <c r="H190" s="2">
        <f t="shared" si="48"/>
        <v>2190.1221</v>
      </c>
      <c r="I190" s="2">
        <f t="shared" si="49"/>
        <v>2243.9991036599999</v>
      </c>
    </row>
    <row r="191" spans="2:10" x14ac:dyDescent="0.25">
      <c r="B191" s="178" t="s">
        <v>138</v>
      </c>
      <c r="C191" s="179" t="s">
        <v>10</v>
      </c>
      <c r="D191" s="692">
        <v>5813</v>
      </c>
      <c r="E191" s="179" t="s">
        <v>100</v>
      </c>
      <c r="F191" s="2">
        <v>5700</v>
      </c>
      <c r="G191" s="1104">
        <v>5800</v>
      </c>
      <c r="H191" s="2">
        <f t="shared" si="48"/>
        <v>5938.62</v>
      </c>
      <c r="I191" s="2">
        <f t="shared" si="49"/>
        <v>6084.7100519999995</v>
      </c>
    </row>
    <row r="192" spans="2:10" x14ac:dyDescent="0.25">
      <c r="B192" s="178" t="s">
        <v>300</v>
      </c>
      <c r="C192" s="179" t="s">
        <v>10</v>
      </c>
      <c r="D192" s="692">
        <v>5813</v>
      </c>
      <c r="E192" s="179" t="s">
        <v>29</v>
      </c>
      <c r="F192" s="2">
        <f>290+1208.84</f>
        <v>1498.84</v>
      </c>
      <c r="G192" s="1104">
        <f>2500+2500</f>
        <v>5000</v>
      </c>
      <c r="H192" s="2">
        <f t="shared" si="48"/>
        <v>5119.5</v>
      </c>
      <c r="I192" s="2">
        <f t="shared" si="49"/>
        <v>5245.4396999999999</v>
      </c>
    </row>
    <row r="193" spans="2:10" x14ac:dyDescent="0.25">
      <c r="B193" s="178" t="s">
        <v>297</v>
      </c>
      <c r="C193" s="179" t="s">
        <v>44</v>
      </c>
      <c r="D193" s="692">
        <v>5813</v>
      </c>
      <c r="E193" s="179" t="s">
        <v>120</v>
      </c>
      <c r="F193" s="2">
        <f>240.9+3468.85</f>
        <v>3709.75</v>
      </c>
      <c r="G193" s="1104">
        <v>4500</v>
      </c>
      <c r="H193" s="2">
        <f t="shared" si="48"/>
        <v>4607.55</v>
      </c>
      <c r="I193" s="2">
        <f t="shared" si="49"/>
        <v>4720.8957300000002</v>
      </c>
    </row>
    <row r="194" spans="2:10" x14ac:dyDescent="0.25">
      <c r="B194" s="178" t="s">
        <v>139</v>
      </c>
      <c r="C194" s="179" t="s">
        <v>10</v>
      </c>
      <c r="D194" s="692">
        <v>5813</v>
      </c>
      <c r="E194" s="179" t="s">
        <v>120</v>
      </c>
      <c r="F194" s="2">
        <v>1027.07</v>
      </c>
      <c r="G194" s="1104">
        <v>1600</v>
      </c>
      <c r="H194" s="2">
        <f t="shared" si="48"/>
        <v>1638.24</v>
      </c>
      <c r="I194" s="2">
        <f t="shared" si="49"/>
        <v>1678.540704</v>
      </c>
    </row>
    <row r="195" spans="2:10" x14ac:dyDescent="0.25">
      <c r="B195" s="178" t="s">
        <v>142</v>
      </c>
      <c r="C195" s="179" t="s">
        <v>44</v>
      </c>
      <c r="D195" s="692">
        <v>5813</v>
      </c>
      <c r="E195" s="179" t="s">
        <v>104</v>
      </c>
      <c r="F195" s="2">
        <v>0</v>
      </c>
      <c r="G195" s="1104">
        <v>500</v>
      </c>
      <c r="H195" s="2">
        <f t="shared" si="48"/>
        <v>511.95</v>
      </c>
      <c r="I195" s="2">
        <f t="shared" si="49"/>
        <v>524.54396999999994</v>
      </c>
      <c r="J195" s="75"/>
    </row>
    <row r="196" spans="2:10" x14ac:dyDescent="0.25">
      <c r="B196" s="178" t="s">
        <v>140</v>
      </c>
      <c r="C196" s="179" t="s">
        <v>10</v>
      </c>
      <c r="D196" s="692">
        <v>5813</v>
      </c>
      <c r="E196" s="179" t="s">
        <v>49</v>
      </c>
      <c r="F196" s="2">
        <v>58200.97</v>
      </c>
      <c r="G196" s="1104">
        <v>90000</v>
      </c>
      <c r="H196" s="2">
        <f t="shared" si="48"/>
        <v>92151</v>
      </c>
      <c r="I196" s="2">
        <f t="shared" si="49"/>
        <v>94417.914599999989</v>
      </c>
      <c r="J196" s="75"/>
    </row>
    <row r="197" spans="2:10" x14ac:dyDescent="0.25">
      <c r="B197" s="178" t="s">
        <v>800</v>
      </c>
      <c r="C197" s="179" t="s">
        <v>44</v>
      </c>
      <c r="D197" s="692">
        <v>5813</v>
      </c>
      <c r="E197" s="179" t="s">
        <v>801</v>
      </c>
      <c r="F197" s="2">
        <v>0</v>
      </c>
      <c r="G197" s="1104">
        <v>1000</v>
      </c>
      <c r="H197" s="2">
        <f t="shared" si="48"/>
        <v>1023.9</v>
      </c>
      <c r="I197" s="2">
        <f t="shared" si="49"/>
        <v>1049.0879399999999</v>
      </c>
      <c r="J197" s="75"/>
    </row>
    <row r="198" spans="2:10" x14ac:dyDescent="0.25">
      <c r="B198" s="178" t="s">
        <v>141</v>
      </c>
      <c r="C198" s="179" t="s">
        <v>44</v>
      </c>
      <c r="D198" s="692">
        <v>5813</v>
      </c>
      <c r="E198" s="179" t="s">
        <v>28</v>
      </c>
      <c r="F198" s="2">
        <f>42345.06+67.8</f>
        <v>42412.86</v>
      </c>
      <c r="G198" s="1104">
        <v>40000</v>
      </c>
      <c r="H198" s="2">
        <f t="shared" si="48"/>
        <v>40956</v>
      </c>
      <c r="I198" s="2">
        <f t="shared" si="49"/>
        <v>41963.517599999999</v>
      </c>
      <c r="J198" s="75"/>
    </row>
    <row r="199" spans="2:10" x14ac:dyDescent="0.25">
      <c r="B199" s="178" t="s">
        <v>145</v>
      </c>
      <c r="C199" s="179" t="s">
        <v>44</v>
      </c>
      <c r="D199" s="692">
        <v>5814</v>
      </c>
      <c r="E199" s="179" t="s">
        <v>38</v>
      </c>
      <c r="F199" s="2">
        <v>6500</v>
      </c>
      <c r="G199" s="1104">
        <v>16237</v>
      </c>
      <c r="H199" s="2">
        <f t="shared" si="48"/>
        <v>16625.064300000002</v>
      </c>
      <c r="I199" s="2">
        <f t="shared" si="49"/>
        <v>17034.040881780002</v>
      </c>
    </row>
    <row r="200" spans="2:10" x14ac:dyDescent="0.25">
      <c r="B200" s="178" t="s">
        <v>414</v>
      </c>
      <c r="C200" s="179" t="s">
        <v>44</v>
      </c>
      <c r="D200" s="692">
        <v>5814</v>
      </c>
      <c r="E200" s="179" t="s">
        <v>116</v>
      </c>
      <c r="F200" s="2">
        <v>79.95</v>
      </c>
      <c r="G200" s="1104">
        <v>341</v>
      </c>
      <c r="H200" s="2">
        <f t="shared" si="48"/>
        <v>349.1499</v>
      </c>
      <c r="I200" s="2">
        <f t="shared" si="49"/>
        <v>357.73898753999998</v>
      </c>
    </row>
    <row r="201" spans="2:10" x14ac:dyDescent="0.25">
      <c r="B201" s="178" t="s">
        <v>415</v>
      </c>
      <c r="C201" s="179" t="s">
        <v>10</v>
      </c>
      <c r="D201" s="692">
        <v>5814</v>
      </c>
      <c r="E201" s="179" t="s">
        <v>100</v>
      </c>
      <c r="F201" s="2">
        <v>0</v>
      </c>
      <c r="G201" s="1104">
        <v>0</v>
      </c>
      <c r="H201" s="2">
        <f t="shared" si="48"/>
        <v>0</v>
      </c>
      <c r="I201" s="2">
        <f t="shared" si="49"/>
        <v>0</v>
      </c>
    </row>
    <row r="202" spans="2:10" x14ac:dyDescent="0.25">
      <c r="B202" s="178" t="s">
        <v>299</v>
      </c>
      <c r="C202" s="179" t="s">
        <v>10</v>
      </c>
      <c r="D202" s="692">
        <v>5814</v>
      </c>
      <c r="E202" s="179" t="s">
        <v>29</v>
      </c>
      <c r="F202" s="2">
        <v>9733</v>
      </c>
      <c r="G202" s="1104">
        <v>22000</v>
      </c>
      <c r="H202" s="2">
        <f t="shared" si="48"/>
        <v>22525.8</v>
      </c>
      <c r="I202" s="2">
        <f t="shared" si="49"/>
        <v>23079.934679999998</v>
      </c>
    </row>
    <row r="203" spans="2:10" x14ac:dyDescent="0.25">
      <c r="B203" s="178" t="s">
        <v>416</v>
      </c>
      <c r="C203" s="179" t="s">
        <v>10</v>
      </c>
      <c r="D203" s="692">
        <v>5814</v>
      </c>
      <c r="E203" s="179" t="s">
        <v>29</v>
      </c>
      <c r="F203" s="2">
        <v>0</v>
      </c>
      <c r="G203" s="1104">
        <v>0</v>
      </c>
      <c r="H203" s="2">
        <f t="shared" si="48"/>
        <v>0</v>
      </c>
      <c r="I203" s="2">
        <f t="shared" si="49"/>
        <v>0</v>
      </c>
    </row>
    <row r="204" spans="2:10" x14ac:dyDescent="0.25">
      <c r="B204" s="178" t="s">
        <v>146</v>
      </c>
      <c r="C204" s="179" t="s">
        <v>44</v>
      </c>
      <c r="D204" s="692">
        <v>5814</v>
      </c>
      <c r="E204" s="179" t="s">
        <v>147</v>
      </c>
      <c r="F204" s="2">
        <v>17240</v>
      </c>
      <c r="G204" s="1104">
        <v>26700</v>
      </c>
      <c r="H204" s="2">
        <f t="shared" si="48"/>
        <v>27338.13</v>
      </c>
      <c r="I204" s="2">
        <f t="shared" si="49"/>
        <v>28010.647998</v>
      </c>
    </row>
    <row r="205" spans="2:10" x14ac:dyDescent="0.25">
      <c r="B205" s="178" t="s">
        <v>524</v>
      </c>
      <c r="C205" s="179" t="s">
        <v>10</v>
      </c>
      <c r="D205" s="692">
        <v>5814</v>
      </c>
      <c r="E205" s="179" t="s">
        <v>120</v>
      </c>
      <c r="F205" s="2">
        <v>52261.86</v>
      </c>
      <c r="G205" s="1104">
        <v>28000</v>
      </c>
      <c r="H205" s="2">
        <f t="shared" si="48"/>
        <v>28669.200000000001</v>
      </c>
      <c r="I205" s="2">
        <f t="shared" si="49"/>
        <v>29374.462319999999</v>
      </c>
    </row>
    <row r="206" spans="2:10" x14ac:dyDescent="0.25">
      <c r="B206" s="178" t="s">
        <v>417</v>
      </c>
      <c r="C206" s="179" t="s">
        <v>44</v>
      </c>
      <c r="D206" s="692">
        <v>5814</v>
      </c>
      <c r="E206" s="179" t="s">
        <v>120</v>
      </c>
      <c r="F206" s="2">
        <v>1604</v>
      </c>
      <c r="G206" s="1104">
        <v>1604</v>
      </c>
      <c r="H206" s="2">
        <f t="shared" si="48"/>
        <v>1642.3356000000001</v>
      </c>
      <c r="I206" s="2">
        <f t="shared" si="49"/>
        <v>1682.73705576</v>
      </c>
    </row>
    <row r="207" spans="2:10" x14ac:dyDescent="0.25">
      <c r="B207" s="178" t="s">
        <v>144</v>
      </c>
      <c r="C207" s="179" t="s">
        <v>10</v>
      </c>
      <c r="D207" s="692">
        <v>5814</v>
      </c>
      <c r="E207" s="179" t="s">
        <v>104</v>
      </c>
      <c r="F207" s="2">
        <v>0</v>
      </c>
      <c r="G207" s="1104">
        <v>3500</v>
      </c>
      <c r="H207" s="2">
        <f t="shared" si="48"/>
        <v>3583.65</v>
      </c>
      <c r="I207" s="2">
        <f t="shared" si="49"/>
        <v>3671.8077899999998</v>
      </c>
    </row>
    <row r="208" spans="2:10" x14ac:dyDescent="0.25">
      <c r="B208" s="178" t="s">
        <v>336</v>
      </c>
      <c r="C208" s="179" t="s">
        <v>10</v>
      </c>
      <c r="D208" s="692">
        <v>5814</v>
      </c>
      <c r="E208" s="179" t="s">
        <v>49</v>
      </c>
      <c r="F208" s="2">
        <v>12831.4</v>
      </c>
      <c r="G208" s="1104">
        <v>13000</v>
      </c>
      <c r="H208" s="2">
        <f t="shared" si="48"/>
        <v>13310.7</v>
      </c>
      <c r="I208" s="2">
        <f t="shared" si="49"/>
        <v>13638.14322</v>
      </c>
    </row>
    <row r="209" spans="1:10" x14ac:dyDescent="0.25">
      <c r="B209" s="178" t="s">
        <v>362</v>
      </c>
      <c r="C209" s="179" t="s">
        <v>44</v>
      </c>
      <c r="D209" s="692">
        <v>5814</v>
      </c>
      <c r="E209" s="179" t="s">
        <v>28</v>
      </c>
      <c r="F209" s="2">
        <f>1178.78+2975</f>
        <v>4153.78</v>
      </c>
      <c r="G209" s="1104">
        <v>0</v>
      </c>
      <c r="H209" s="2">
        <f t="shared" si="48"/>
        <v>0</v>
      </c>
      <c r="I209" s="2">
        <f t="shared" si="49"/>
        <v>0</v>
      </c>
    </row>
    <row r="210" spans="1:10" x14ac:dyDescent="0.25">
      <c r="B210" s="178" t="s">
        <v>143</v>
      </c>
      <c r="C210" s="179" t="s">
        <v>10</v>
      </c>
      <c r="D210" s="692">
        <v>5814</v>
      </c>
      <c r="E210" s="179" t="s">
        <v>22</v>
      </c>
      <c r="F210" s="2">
        <v>2908.91</v>
      </c>
      <c r="G210" s="1104">
        <v>6500</v>
      </c>
      <c r="H210" s="2">
        <f t="shared" si="48"/>
        <v>6655.35</v>
      </c>
      <c r="I210" s="2">
        <f t="shared" si="49"/>
        <v>6819.07161</v>
      </c>
    </row>
    <row r="211" spans="1:10" x14ac:dyDescent="0.25">
      <c r="B211" s="178" t="s">
        <v>638</v>
      </c>
      <c r="C211" s="179" t="s">
        <v>44</v>
      </c>
      <c r="D211" s="692">
        <v>5814</v>
      </c>
      <c r="E211" s="179" t="s">
        <v>159</v>
      </c>
      <c r="F211" s="2">
        <v>0</v>
      </c>
      <c r="G211" s="1104">
        <v>0</v>
      </c>
      <c r="H211" s="2">
        <f t="shared" si="48"/>
        <v>0</v>
      </c>
      <c r="I211" s="2">
        <f t="shared" si="49"/>
        <v>0</v>
      </c>
      <c r="J211" s="75"/>
    </row>
    <row r="212" spans="1:10" x14ac:dyDescent="0.25">
      <c r="B212" t="s">
        <v>148</v>
      </c>
      <c r="C212" s="1" t="s">
        <v>10</v>
      </c>
      <c r="D212" s="6">
        <v>5818</v>
      </c>
      <c r="E212" s="1" t="s">
        <v>149</v>
      </c>
      <c r="F212" s="2">
        <v>507.96</v>
      </c>
      <c r="G212" s="1104">
        <v>508</v>
      </c>
      <c r="H212" s="2">
        <f t="shared" si="48"/>
        <v>520.14120000000003</v>
      </c>
      <c r="I212" s="2">
        <f t="shared" si="49"/>
        <v>532.93667352</v>
      </c>
    </row>
    <row r="213" spans="1:10" x14ac:dyDescent="0.25">
      <c r="B213" t="s">
        <v>363</v>
      </c>
      <c r="C213" s="1" t="s">
        <v>10</v>
      </c>
      <c r="D213" s="6">
        <v>5836</v>
      </c>
      <c r="E213" s="1" t="s">
        <v>147</v>
      </c>
      <c r="F213" s="2">
        <v>15750</v>
      </c>
      <c r="G213" s="1104">
        <v>14350</v>
      </c>
      <c r="H213" s="2">
        <f t="shared" si="48"/>
        <v>14692.965</v>
      </c>
      <c r="I213" s="2">
        <f t="shared" si="49"/>
        <v>15054.411939</v>
      </c>
    </row>
    <row r="214" spans="1:10" x14ac:dyDescent="0.25">
      <c r="B214" t="s">
        <v>150</v>
      </c>
      <c r="C214" s="1" t="s">
        <v>10</v>
      </c>
      <c r="D214" s="6">
        <v>5839</v>
      </c>
      <c r="E214" s="1" t="s">
        <v>120</v>
      </c>
      <c r="F214" s="2">
        <v>5048.16</v>
      </c>
      <c r="G214" s="1104">
        <v>30000</v>
      </c>
      <c r="H214" s="2">
        <f t="shared" si="48"/>
        <v>30717</v>
      </c>
      <c r="I214" s="2">
        <f t="shared" si="49"/>
        <v>31472.638199999998</v>
      </c>
    </row>
    <row r="215" spans="1:10" x14ac:dyDescent="0.25">
      <c r="B215" t="s">
        <v>298</v>
      </c>
      <c r="C215" s="1" t="s">
        <v>10</v>
      </c>
      <c r="D215" s="6">
        <v>5860</v>
      </c>
      <c r="E215" s="1" t="s">
        <v>38</v>
      </c>
      <c r="F215" s="2">
        <v>9831.7999999999993</v>
      </c>
      <c r="G215" s="1104">
        <v>10040</v>
      </c>
      <c r="H215" s="2">
        <f t="shared" si="48"/>
        <v>10279.956</v>
      </c>
      <c r="I215" s="2">
        <f t="shared" si="49"/>
        <v>10532.842917599999</v>
      </c>
    </row>
    <row r="216" spans="1:10" x14ac:dyDescent="0.25">
      <c r="B216" t="s">
        <v>151</v>
      </c>
      <c r="C216" s="1" t="s">
        <v>10</v>
      </c>
      <c r="D216" s="6">
        <v>5861</v>
      </c>
      <c r="E216" s="1" t="s">
        <v>25</v>
      </c>
      <c r="F216" s="2">
        <v>17370.14</v>
      </c>
      <c r="G216" s="1104">
        <v>17666</v>
      </c>
      <c r="H216" s="2">
        <f t="shared" si="48"/>
        <v>18088.217400000001</v>
      </c>
      <c r="I216" s="2">
        <f t="shared" si="49"/>
        <v>18533.187548040001</v>
      </c>
    </row>
    <row r="217" spans="1:10" x14ac:dyDescent="0.25">
      <c r="B217" s="178" t="s">
        <v>653</v>
      </c>
      <c r="C217" s="1" t="s">
        <v>10</v>
      </c>
      <c r="D217" s="6">
        <v>5862</v>
      </c>
      <c r="E217" s="1" t="s">
        <v>28</v>
      </c>
      <c r="F217" s="2">
        <v>21200.06</v>
      </c>
      <c r="G217" s="1104">
        <v>10000</v>
      </c>
      <c r="H217" s="2">
        <f t="shared" si="48"/>
        <v>10239</v>
      </c>
      <c r="I217" s="2">
        <f t="shared" si="49"/>
        <v>10490.8794</v>
      </c>
    </row>
    <row r="218" spans="1:10" x14ac:dyDescent="0.25">
      <c r="B218" t="s">
        <v>152</v>
      </c>
      <c r="C218" s="1" t="s">
        <v>10</v>
      </c>
      <c r="D218" s="6">
        <v>5863</v>
      </c>
      <c r="E218" s="1" t="s">
        <v>153</v>
      </c>
      <c r="F218" s="2">
        <v>83969</v>
      </c>
      <c r="G218" s="1104">
        <v>83949</v>
      </c>
      <c r="H218" s="2">
        <f t="shared" ref="H218:H221" si="50">+G218*(1+$L$4)</f>
        <v>85955.381099999999</v>
      </c>
      <c r="I218" s="2">
        <f t="shared" ref="I218:I221" si="51">+H218*(1+$M$4)</f>
        <v>88069.883475059993</v>
      </c>
    </row>
    <row r="219" spans="1:10" x14ac:dyDescent="0.25">
      <c r="B219" t="s">
        <v>154</v>
      </c>
      <c r="C219" s="1" t="s">
        <v>10</v>
      </c>
      <c r="D219" s="6">
        <v>5866</v>
      </c>
      <c r="E219" s="1" t="s">
        <v>104</v>
      </c>
      <c r="F219" s="2">
        <v>3110</v>
      </c>
      <c r="G219" s="1104">
        <v>3185</v>
      </c>
      <c r="H219" s="2">
        <f t="shared" si="50"/>
        <v>3261.1215000000002</v>
      </c>
      <c r="I219" s="2">
        <f t="shared" si="51"/>
        <v>3341.3450889000001</v>
      </c>
    </row>
    <row r="220" spans="1:10" x14ac:dyDescent="0.25">
      <c r="A220" s="4"/>
      <c r="B220" t="s">
        <v>155</v>
      </c>
      <c r="C220" s="1" t="s">
        <v>44</v>
      </c>
      <c r="D220" s="6">
        <v>5908</v>
      </c>
      <c r="E220" s="1" t="s">
        <v>49</v>
      </c>
      <c r="F220" s="2">
        <v>16258.88</v>
      </c>
      <c r="G220" s="1104">
        <v>20000</v>
      </c>
      <c r="H220" s="2">
        <f t="shared" si="50"/>
        <v>20478</v>
      </c>
      <c r="I220" s="2">
        <f t="shared" si="51"/>
        <v>20981.7588</v>
      </c>
    </row>
    <row r="221" spans="1:10" x14ac:dyDescent="0.25">
      <c r="B221" t="s">
        <v>156</v>
      </c>
      <c r="C221" s="1" t="s">
        <v>10</v>
      </c>
      <c r="D221" s="6">
        <v>7130</v>
      </c>
      <c r="E221" s="1" t="s">
        <v>22</v>
      </c>
      <c r="F221" s="2">
        <v>5526</v>
      </c>
      <c r="G221" s="1104">
        <v>7500</v>
      </c>
      <c r="H221" s="2">
        <f t="shared" si="50"/>
        <v>7679.25</v>
      </c>
      <c r="I221" s="2">
        <f t="shared" si="51"/>
        <v>7868.1595499999994</v>
      </c>
    </row>
    <row r="222" spans="1:10" x14ac:dyDescent="0.25">
      <c r="B222" t="s">
        <v>389</v>
      </c>
      <c r="C222" s="1" t="s">
        <v>10</v>
      </c>
      <c r="D222" s="6">
        <v>7142</v>
      </c>
      <c r="E222" s="1" t="s">
        <v>29</v>
      </c>
      <c r="F222" s="2">
        <v>96791</v>
      </c>
      <c r="G222" s="1104">
        <f>-LCFF!I32</f>
        <v>117374</v>
      </c>
      <c r="H222" s="2">
        <f>-LCFF!M32</f>
        <v>121038.83220675198</v>
      </c>
      <c r="I222" s="2">
        <f>-LCFF!Q32</f>
        <v>121545.26481083942</v>
      </c>
      <c r="J222" s="1037"/>
    </row>
    <row r="223" spans="1:10" x14ac:dyDescent="0.25">
      <c r="C223" s="1"/>
      <c r="D223" s="1"/>
      <c r="E223" s="1"/>
      <c r="F223" s="3">
        <f>SUM(F153:F222)</f>
        <v>960815.33000000019</v>
      </c>
      <c r="G223" s="1105">
        <f>SUM(G153:G222)</f>
        <v>1109370</v>
      </c>
      <c r="H223" s="3">
        <f>SUM(H153:H222)</f>
        <v>1136743.5366067518</v>
      </c>
      <c r="I223" s="3">
        <f>SUM(I153:I222)</f>
        <v>1162236.3049390791</v>
      </c>
    </row>
    <row r="224" spans="1:10" x14ac:dyDescent="0.25">
      <c r="C224" s="1"/>
      <c r="D224" s="1"/>
      <c r="E224" s="1"/>
      <c r="F224" s="2"/>
      <c r="G224" s="1104"/>
      <c r="H224" s="2"/>
      <c r="I224" s="2"/>
    </row>
    <row r="225" spans="1:10" x14ac:dyDescent="0.25">
      <c r="A225" s="251" t="s">
        <v>157</v>
      </c>
      <c r="B225" t="s">
        <v>158</v>
      </c>
      <c r="C225" s="1" t="s">
        <v>44</v>
      </c>
      <c r="D225" s="179" t="s">
        <v>584</v>
      </c>
      <c r="E225" s="79" t="s">
        <v>325</v>
      </c>
      <c r="F225" s="2">
        <v>5495.93</v>
      </c>
      <c r="G225" s="1104">
        <f>17096-G162</f>
        <v>15096</v>
      </c>
      <c r="H225" s="2">
        <v>18000</v>
      </c>
      <c r="I225" s="2">
        <v>18000</v>
      </c>
    </row>
    <row r="226" spans="1:10" x14ac:dyDescent="0.25">
      <c r="B226" t="s">
        <v>160</v>
      </c>
      <c r="C226" s="1" t="s">
        <v>44</v>
      </c>
      <c r="D226" s="1" t="s">
        <v>58</v>
      </c>
      <c r="E226" s="79" t="s">
        <v>325</v>
      </c>
      <c r="F226" s="2">
        <v>13734.57</v>
      </c>
      <c r="G226" s="1104">
        <f>26124-G164</f>
        <v>17834</v>
      </c>
      <c r="H226" s="2">
        <v>20000</v>
      </c>
      <c r="I226" s="2">
        <v>20000</v>
      </c>
    </row>
    <row r="227" spans="1:10" x14ac:dyDescent="0.25">
      <c r="B227" t="s">
        <v>161</v>
      </c>
      <c r="C227" s="1" t="s">
        <v>44</v>
      </c>
      <c r="D227" s="1" t="s">
        <v>60</v>
      </c>
      <c r="E227" s="1" t="s">
        <v>159</v>
      </c>
      <c r="F227" s="2">
        <v>0</v>
      </c>
      <c r="G227" s="1104">
        <v>0</v>
      </c>
      <c r="H227" s="2">
        <v>0</v>
      </c>
      <c r="I227" s="2">
        <v>0</v>
      </c>
    </row>
    <row r="228" spans="1:10" x14ac:dyDescent="0.25">
      <c r="B228" t="s">
        <v>162</v>
      </c>
      <c r="C228" s="1" t="s">
        <v>44</v>
      </c>
      <c r="D228" s="1" t="s">
        <v>163</v>
      </c>
      <c r="E228" s="79" t="s">
        <v>159</v>
      </c>
      <c r="F228" s="2">
        <v>0</v>
      </c>
      <c r="G228" s="1104">
        <v>0</v>
      </c>
      <c r="H228" s="2">
        <v>0</v>
      </c>
      <c r="I228" s="2">
        <v>0</v>
      </c>
    </row>
    <row r="229" spans="1:10" x14ac:dyDescent="0.25">
      <c r="B229" t="s">
        <v>164</v>
      </c>
      <c r="C229" s="1" t="s">
        <v>44</v>
      </c>
      <c r="D229" s="1" t="s">
        <v>66</v>
      </c>
      <c r="E229" s="1" t="s">
        <v>159</v>
      </c>
      <c r="F229" s="2">
        <v>15875.03</v>
      </c>
      <c r="G229" s="1104">
        <v>25000</v>
      </c>
      <c r="H229" s="2">
        <f t="shared" ref="H229:H231" si="52">+G229*(1+$L$4)</f>
        <v>25597.5</v>
      </c>
      <c r="I229" s="2">
        <f t="shared" ref="I229:I231" si="53">+H229*(1+$M$4)</f>
        <v>26227.198499999999</v>
      </c>
    </row>
    <row r="230" spans="1:10" x14ac:dyDescent="0.25">
      <c r="B230" t="s">
        <v>165</v>
      </c>
      <c r="C230" s="1" t="s">
        <v>44</v>
      </c>
      <c r="D230" s="1" t="s">
        <v>166</v>
      </c>
      <c r="E230" s="1" t="s">
        <v>159</v>
      </c>
      <c r="F230" s="2">
        <v>7009.97</v>
      </c>
      <c r="G230" s="1104">
        <f>8000+17710</f>
        <v>25710</v>
      </c>
      <c r="H230" s="2">
        <f t="shared" si="52"/>
        <v>26324.469000000001</v>
      </c>
      <c r="I230" s="2">
        <f t="shared" si="53"/>
        <v>26972.050937399999</v>
      </c>
    </row>
    <row r="231" spans="1:10" x14ac:dyDescent="0.25">
      <c r="B231" t="s">
        <v>167</v>
      </c>
      <c r="C231" s="1" t="s">
        <v>44</v>
      </c>
      <c r="D231" s="1" t="s">
        <v>77</v>
      </c>
      <c r="E231" s="1" t="s">
        <v>159</v>
      </c>
      <c r="F231" s="2">
        <v>30891.4</v>
      </c>
      <c r="G231" s="1104">
        <v>9000</v>
      </c>
      <c r="H231" s="2">
        <f t="shared" si="52"/>
        <v>9215.1</v>
      </c>
      <c r="I231" s="2">
        <f t="shared" si="53"/>
        <v>9441.7914600000004</v>
      </c>
      <c r="J231" s="249"/>
    </row>
    <row r="232" spans="1:10" x14ac:dyDescent="0.25">
      <c r="C232" s="1"/>
      <c r="D232" s="1"/>
      <c r="E232" s="1"/>
      <c r="F232" s="760">
        <f>SUM(F225:F231)</f>
        <v>73006.899999999994</v>
      </c>
      <c r="G232" s="1110">
        <f>SUM(G225:G231)</f>
        <v>92640</v>
      </c>
      <c r="H232" s="760">
        <f>SUM(H225:H231)</f>
        <v>99137.069000000003</v>
      </c>
      <c r="I232" s="760">
        <f>SUM(I225:I231)</f>
        <v>100641.0408974</v>
      </c>
    </row>
    <row r="233" spans="1:10" x14ac:dyDescent="0.25">
      <c r="C233" s="1"/>
      <c r="D233" s="1"/>
      <c r="E233" s="1"/>
      <c r="F233" s="5"/>
      <c r="G233" s="1107"/>
      <c r="H233" s="5"/>
      <c r="I233" s="5"/>
    </row>
    <row r="234" spans="1:10" x14ac:dyDescent="0.25">
      <c r="A234" s="251" t="s">
        <v>168</v>
      </c>
      <c r="B234" s="4" t="s">
        <v>169</v>
      </c>
      <c r="C234" s="689" t="s">
        <v>10</v>
      </c>
      <c r="D234" s="691">
        <v>5712</v>
      </c>
      <c r="E234" s="689" t="s">
        <v>22</v>
      </c>
      <c r="F234" s="2">
        <v>0</v>
      </c>
      <c r="G234" s="1104">
        <v>0</v>
      </c>
      <c r="H234" s="2">
        <v>0</v>
      </c>
      <c r="I234" s="2">
        <v>0</v>
      </c>
    </row>
    <row r="235" spans="1:10" x14ac:dyDescent="0.25">
      <c r="A235" s="251"/>
      <c r="B235" s="309" t="s">
        <v>586</v>
      </c>
      <c r="C235" s="690" t="s">
        <v>10</v>
      </c>
      <c r="D235" s="691">
        <v>5719</v>
      </c>
      <c r="E235" s="690" t="s">
        <v>104</v>
      </c>
      <c r="F235" s="2">
        <v>-73.14</v>
      </c>
      <c r="G235" s="1104">
        <v>0</v>
      </c>
      <c r="H235" s="2">
        <v>0</v>
      </c>
      <c r="I235" s="2">
        <v>0</v>
      </c>
    </row>
    <row r="236" spans="1:10" x14ac:dyDescent="0.25">
      <c r="B236" s="4" t="s">
        <v>170</v>
      </c>
      <c r="C236" s="689" t="s">
        <v>10</v>
      </c>
      <c r="D236" s="691">
        <v>5753</v>
      </c>
      <c r="E236" s="689" t="s">
        <v>120</v>
      </c>
      <c r="F236" s="2">
        <v>-12000</v>
      </c>
      <c r="G236" s="1104">
        <f>F236</f>
        <v>-12000</v>
      </c>
      <c r="H236" s="2">
        <f>G236</f>
        <v>-12000</v>
      </c>
      <c r="I236" s="2">
        <f>H236</f>
        <v>-12000</v>
      </c>
    </row>
    <row r="237" spans="1:10" x14ac:dyDescent="0.25">
      <c r="B237" s="4" t="s">
        <v>171</v>
      </c>
      <c r="C237" s="689" t="s">
        <v>10</v>
      </c>
      <c r="D237" s="691">
        <v>5756</v>
      </c>
      <c r="E237" s="689" t="s">
        <v>120</v>
      </c>
      <c r="F237" s="2">
        <v>-2874.58</v>
      </c>
      <c r="G237" s="1104">
        <v>-3500</v>
      </c>
      <c r="H237" s="2">
        <v>-3500</v>
      </c>
      <c r="I237" s="2">
        <v>-3500</v>
      </c>
    </row>
    <row r="238" spans="1:10" x14ac:dyDescent="0.25">
      <c r="B238" s="4" t="s">
        <v>4</v>
      </c>
      <c r="C238" s="689" t="s">
        <v>10</v>
      </c>
      <c r="D238" s="691">
        <v>7310</v>
      </c>
      <c r="E238" s="689" t="s">
        <v>153</v>
      </c>
      <c r="F238" s="2">
        <v>-517668.14</v>
      </c>
      <c r="G238" s="1104">
        <v>-603434</v>
      </c>
      <c r="H238" s="2">
        <f t="shared" ref="H238:H239" si="54">+G238*(1+$L$4)</f>
        <v>-617856.07260000007</v>
      </c>
      <c r="I238" s="2">
        <f t="shared" ref="I238:I239" si="55">+H238*(1+$M$4)</f>
        <v>-633055.33198596002</v>
      </c>
    </row>
    <row r="239" spans="1:10" x14ac:dyDescent="0.25">
      <c r="B239" s="4" t="s">
        <v>172</v>
      </c>
      <c r="C239" s="689" t="s">
        <v>10</v>
      </c>
      <c r="D239" s="691">
        <v>7350</v>
      </c>
      <c r="E239" s="689" t="s">
        <v>120</v>
      </c>
      <c r="F239" s="2">
        <v>-110614.87</v>
      </c>
      <c r="G239" s="1104">
        <v>-132056</v>
      </c>
      <c r="H239" s="2">
        <f t="shared" si="54"/>
        <v>-135212.1384</v>
      </c>
      <c r="I239" s="2">
        <f t="shared" si="55"/>
        <v>-138538.35700463998</v>
      </c>
    </row>
    <row r="240" spans="1:10" x14ac:dyDescent="0.25">
      <c r="C240" s="1"/>
      <c r="D240" s="1"/>
      <c r="E240" s="1"/>
      <c r="F240" s="3">
        <f>SUM(F234:F239)</f>
        <v>-643230.73</v>
      </c>
      <c r="G240" s="1105">
        <f>SUM(G234:G239)</f>
        <v>-750990</v>
      </c>
      <c r="H240" s="3">
        <f>SUM(H234:H239)</f>
        <v>-768568.21100000013</v>
      </c>
      <c r="I240" s="3">
        <f>SUM(I234:I239)</f>
        <v>-787093.68899059994</v>
      </c>
    </row>
    <row r="241" spans="1:9" x14ac:dyDescent="0.25">
      <c r="C241" s="1"/>
      <c r="D241" s="1"/>
      <c r="E241" s="1"/>
      <c r="F241" s="2"/>
      <c r="G241" s="1104"/>
      <c r="H241" s="2"/>
      <c r="I241" s="2"/>
    </row>
    <row r="242" spans="1:9" x14ac:dyDescent="0.25">
      <c r="A242" s="251" t="s">
        <v>173</v>
      </c>
      <c r="B242" s="309" t="s">
        <v>517</v>
      </c>
      <c r="C242" s="690" t="s">
        <v>10</v>
      </c>
      <c r="D242" s="690" t="s">
        <v>174</v>
      </c>
      <c r="E242" s="690" t="s">
        <v>120</v>
      </c>
      <c r="F242" s="258">
        <v>156100</v>
      </c>
      <c r="G242" s="1111">
        <v>337000</v>
      </c>
      <c r="H242" s="258">
        <v>337000</v>
      </c>
      <c r="I242" s="258">
        <v>337000</v>
      </c>
    </row>
    <row r="243" spans="1:9" ht="13.8" x14ac:dyDescent="0.3">
      <c r="A243" s="66"/>
      <c r="B243" s="309" t="s">
        <v>515</v>
      </c>
      <c r="C243" s="690" t="s">
        <v>10</v>
      </c>
      <c r="D243" s="690" t="s">
        <v>174</v>
      </c>
      <c r="E243" s="690" t="s">
        <v>120</v>
      </c>
      <c r="F243" s="2">
        <v>25000</v>
      </c>
      <c r="G243" s="1104">
        <v>25000</v>
      </c>
      <c r="H243" s="2">
        <v>25000</v>
      </c>
      <c r="I243" s="2">
        <v>25000</v>
      </c>
    </row>
    <row r="244" spans="1:9" ht="13.8" x14ac:dyDescent="0.3">
      <c r="A244" s="66"/>
      <c r="B244" s="309" t="s">
        <v>516</v>
      </c>
      <c r="C244" s="690" t="s">
        <v>10</v>
      </c>
      <c r="D244" s="690" t="s">
        <v>174</v>
      </c>
      <c r="E244" s="690" t="s">
        <v>120</v>
      </c>
      <c r="F244" s="2">
        <v>200000</v>
      </c>
      <c r="G244" s="1104">
        <v>200000</v>
      </c>
      <c r="H244" s="2">
        <v>200000</v>
      </c>
      <c r="I244" s="2">
        <v>200000</v>
      </c>
    </row>
    <row r="245" spans="1:9" x14ac:dyDescent="0.25">
      <c r="B245" s="309" t="s">
        <v>547</v>
      </c>
      <c r="C245" s="689" t="s">
        <v>10</v>
      </c>
      <c r="D245" s="689" t="s">
        <v>174</v>
      </c>
      <c r="E245" s="689" t="s">
        <v>120</v>
      </c>
      <c r="F245" s="5">
        <v>200000</v>
      </c>
      <c r="G245" s="1107">
        <v>0</v>
      </c>
      <c r="H245" s="5">
        <v>0</v>
      </c>
      <c r="I245" s="5">
        <v>0</v>
      </c>
    </row>
    <row r="246" spans="1:9" x14ac:dyDescent="0.25">
      <c r="B246" s="78"/>
      <c r="C246" s="1"/>
      <c r="D246" s="1"/>
      <c r="E246" s="1"/>
      <c r="F246" s="180">
        <f>SUM(F242:F245)</f>
        <v>581100</v>
      </c>
      <c r="G246" s="1112">
        <f>SUM(G242:G245)</f>
        <v>562000</v>
      </c>
      <c r="H246" s="180">
        <f>SUM(H242:H245)</f>
        <v>562000</v>
      </c>
      <c r="I246" s="180">
        <f>SUM(I242:I245)</f>
        <v>562000</v>
      </c>
    </row>
    <row r="247" spans="1:9" x14ac:dyDescent="0.25">
      <c r="C247" s="1"/>
      <c r="D247" s="1"/>
      <c r="E247" s="1"/>
      <c r="F247" s="2"/>
      <c r="G247" s="1104"/>
      <c r="H247" s="2"/>
      <c r="I247" s="2"/>
    </row>
    <row r="248" spans="1:9" x14ac:dyDescent="0.25">
      <c r="C248" s="1"/>
      <c r="D248" s="1"/>
      <c r="E248" s="1069"/>
      <c r="F248" s="2">
        <f>+SUM(F246,F240,F232,F223,F151,F145,F134,F106,F98,F29,F22,F18,F6)</f>
        <v>8299427.7100000009</v>
      </c>
      <c r="G248" s="1104">
        <f t="shared" ref="G248:I248" si="56">+SUM(G246,G240,G232,G223,G151,G145,G134,G106,G98,G29,G22,G18,G6)</f>
        <v>10150898.77</v>
      </c>
      <c r="H248" s="2">
        <f t="shared" si="56"/>
        <v>8719373.6500067506</v>
      </c>
      <c r="I248" s="2">
        <f t="shared" si="56"/>
        <v>8917628.3127211891</v>
      </c>
    </row>
    <row r="249" spans="1:9" x14ac:dyDescent="0.25">
      <c r="C249" s="1"/>
      <c r="D249" s="1"/>
      <c r="E249" s="1081"/>
      <c r="F249" s="2"/>
      <c r="G249" s="1104"/>
      <c r="H249" s="2"/>
      <c r="I249" s="2"/>
    </row>
    <row r="250" spans="1:9" x14ac:dyDescent="0.25">
      <c r="E250" s="1081"/>
      <c r="F250" s="75"/>
      <c r="G250" s="1113"/>
      <c r="H250" s="75"/>
      <c r="I250" s="75"/>
    </row>
    <row r="251" spans="1:9" x14ac:dyDescent="0.25">
      <c r="E251" s="1081"/>
      <c r="F251" s="75"/>
      <c r="G251" s="1113"/>
      <c r="H251" s="75"/>
      <c r="I251" s="75"/>
    </row>
    <row r="252" spans="1:9" ht="13.8" thickBot="1" x14ac:dyDescent="0.3">
      <c r="G252" s="1114"/>
    </row>
    <row r="253" spans="1:9" ht="13.8" thickTop="1" x14ac:dyDescent="0.25"/>
  </sheetData>
  <sheetProtection password="DBAD" sheet="1" objects="1" scenarios="1"/>
  <phoneticPr fontId="7" type="noConversion"/>
  <pageMargins left="0.25" right="0.25" top="0" bottom="0" header="0.18" footer="0.2"/>
  <pageSetup scale="2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workbookViewId="0">
      <pane ySplit="2" topLeftCell="A3" activePane="bottomLeft" state="frozen"/>
      <selection pane="bottomLeft" activeCell="A3" sqref="A3"/>
    </sheetView>
  </sheetViews>
  <sheetFormatPr defaultRowHeight="13.2" x14ac:dyDescent="0.25"/>
  <cols>
    <col min="1" max="1" width="39.109375" customWidth="1"/>
    <col min="2" max="3" width="2.6640625" style="247" customWidth="1"/>
    <col min="4" max="4" width="9.6640625" customWidth="1"/>
    <col min="5" max="5" width="13.33203125" bestFit="1" customWidth="1"/>
    <col min="6" max="6" width="9.6640625" customWidth="1"/>
    <col min="7" max="7" width="13.33203125" bestFit="1" customWidth="1"/>
    <col min="8" max="8" width="9.6640625" customWidth="1"/>
    <col min="9" max="9" width="13.33203125" bestFit="1" customWidth="1"/>
    <col min="10" max="10" width="9.6640625" customWidth="1"/>
    <col min="11" max="11" width="13.33203125" bestFit="1" customWidth="1"/>
    <col min="12" max="12" width="4.6640625" customWidth="1"/>
    <col min="14" max="15" width="12.33203125" customWidth="1"/>
    <col min="16" max="16" width="12.33203125" bestFit="1" customWidth="1"/>
    <col min="17" max="17" width="2.6640625" customWidth="1"/>
    <col min="18" max="18" width="15" bestFit="1" customWidth="1"/>
  </cols>
  <sheetData>
    <row r="1" spans="1:18" ht="15.6" x14ac:dyDescent="0.3">
      <c r="A1" s="323" t="s">
        <v>175</v>
      </c>
      <c r="B1" s="516"/>
      <c r="C1" s="259"/>
      <c r="D1" s="7"/>
      <c r="E1" s="7" t="s">
        <v>303</v>
      </c>
      <c r="F1" s="822"/>
      <c r="G1" s="823" t="s">
        <v>339</v>
      </c>
      <c r="H1" s="8"/>
      <c r="I1" s="259" t="s">
        <v>467</v>
      </c>
      <c r="J1" s="8"/>
      <c r="K1" s="9" t="s">
        <v>614</v>
      </c>
    </row>
    <row r="2" spans="1:18" ht="15.6" x14ac:dyDescent="0.3">
      <c r="A2" s="495"/>
      <c r="B2" s="516"/>
      <c r="C2" s="259"/>
      <c r="D2" s="240"/>
      <c r="E2" s="240" t="s">
        <v>728</v>
      </c>
      <c r="F2" s="824"/>
      <c r="G2" s="825" t="s">
        <v>176</v>
      </c>
      <c r="H2" s="10"/>
      <c r="I2" s="260" t="s">
        <v>176</v>
      </c>
      <c r="J2" s="10"/>
      <c r="K2" s="11" t="s">
        <v>176</v>
      </c>
      <c r="N2" s="1054" t="str">
        <f>+G1</f>
        <v>2016/2017</v>
      </c>
      <c r="O2" s="1054" t="str">
        <f>+I1</f>
        <v>2017/2018</v>
      </c>
      <c r="P2" s="1054" t="str">
        <f>+K1</f>
        <v>2018/2019</v>
      </c>
      <c r="R2" s="1054" t="s">
        <v>478</v>
      </c>
    </row>
    <row r="3" spans="1:18" ht="15.6" x14ac:dyDescent="0.3">
      <c r="A3" s="323" t="s">
        <v>177</v>
      </c>
      <c r="B3" s="517"/>
      <c r="C3" s="261"/>
      <c r="D3" s="70" t="s">
        <v>178</v>
      </c>
      <c r="E3" s="809"/>
      <c r="F3" s="826" t="s">
        <v>178</v>
      </c>
      <c r="G3" s="827"/>
      <c r="H3" s="12" t="s">
        <v>178</v>
      </c>
      <c r="I3" s="261"/>
      <c r="J3" s="12" t="s">
        <v>178</v>
      </c>
      <c r="K3" s="13"/>
      <c r="M3" s="1054" t="s">
        <v>476</v>
      </c>
      <c r="N3" s="1058">
        <v>0.1258</v>
      </c>
      <c r="O3" s="1058">
        <v>0.14430000000000001</v>
      </c>
      <c r="P3" s="1058">
        <v>0.1628</v>
      </c>
      <c r="R3" s="1065">
        <v>0.18129999999999999</v>
      </c>
    </row>
    <row r="4" spans="1:18" x14ac:dyDescent="0.25">
      <c r="A4" s="247" t="s">
        <v>179</v>
      </c>
      <c r="B4" s="518"/>
      <c r="C4" s="261"/>
      <c r="D4" s="1051">
        <v>1.4500000000000001E-2</v>
      </c>
      <c r="E4" s="1126"/>
      <c r="F4" s="1127">
        <v>1.4E-2</v>
      </c>
      <c r="G4" s="1128"/>
      <c r="H4" s="1049">
        <v>0.02</v>
      </c>
      <c r="I4" s="1050"/>
      <c r="J4" s="1049">
        <v>0.02</v>
      </c>
      <c r="K4" s="13"/>
      <c r="M4" s="1054" t="s">
        <v>477</v>
      </c>
      <c r="N4" s="1059">
        <v>0.13888</v>
      </c>
      <c r="O4" s="1063">
        <v>0.155</v>
      </c>
      <c r="P4" s="1063">
        <v>0.17100000000000001</v>
      </c>
      <c r="Q4" s="1062"/>
      <c r="R4" s="1066">
        <v>0.18600000000000003</v>
      </c>
    </row>
    <row r="5" spans="1:18" ht="13.8" x14ac:dyDescent="0.25">
      <c r="A5" s="496" t="s">
        <v>180</v>
      </c>
      <c r="B5" s="519"/>
      <c r="C5" s="262"/>
      <c r="D5" s="15">
        <v>353970.92489424662</v>
      </c>
      <c r="E5" s="36">
        <f>29656283.21-E8-E38-E40</f>
        <v>26567635.989999998</v>
      </c>
      <c r="F5" s="870">
        <f>(E5+E6)*F4</f>
        <v>390544.24905300001</v>
      </c>
      <c r="G5" s="876">
        <f>30408545-G8-G38-G40</f>
        <v>26812988</v>
      </c>
      <c r="H5" s="16">
        <f>(G5+G6)*$H$4</f>
        <v>536259.76</v>
      </c>
      <c r="I5" s="262">
        <f>+(G5+G6+H5)</f>
        <v>27349247.760000002</v>
      </c>
      <c r="J5" s="16">
        <f>(I5+I6)*$J$4</f>
        <v>546984.95520000008</v>
      </c>
      <c r="K5" s="17">
        <f>+I5+I6+J5</f>
        <v>27896232.715200003</v>
      </c>
      <c r="M5" s="1054" t="s">
        <v>808</v>
      </c>
      <c r="N5" s="1055">
        <v>6.2E-2</v>
      </c>
      <c r="O5" s="1055">
        <f t="shared" ref="O5:P8" si="0">+N5</f>
        <v>6.2E-2</v>
      </c>
      <c r="P5" s="1055">
        <f t="shared" si="0"/>
        <v>6.2E-2</v>
      </c>
      <c r="R5" s="1067">
        <f>+P5</f>
        <v>6.2E-2</v>
      </c>
    </row>
    <row r="6" spans="1:18" ht="14.4" x14ac:dyDescent="0.3">
      <c r="A6" s="497" t="s">
        <v>183</v>
      </c>
      <c r="B6" s="520"/>
      <c r="C6" s="262"/>
      <c r="D6" s="479">
        <v>0.05</v>
      </c>
      <c r="E6" s="36">
        <f>+E5*D6</f>
        <v>1328381.7995</v>
      </c>
      <c r="F6" s="1129">
        <v>0</v>
      </c>
      <c r="G6" s="876">
        <f>G5*F6</f>
        <v>0</v>
      </c>
      <c r="H6" s="18">
        <v>0</v>
      </c>
      <c r="I6" s="262">
        <f>I5*H6</f>
        <v>0</v>
      </c>
      <c r="J6" s="18">
        <v>0</v>
      </c>
      <c r="K6" s="17">
        <f>K5*J6</f>
        <v>0</v>
      </c>
      <c r="M6" s="1054" t="s">
        <v>809</v>
      </c>
      <c r="N6" s="1056">
        <v>1.4500000000000001E-2</v>
      </c>
      <c r="O6" s="1056">
        <f t="shared" si="0"/>
        <v>1.4500000000000001E-2</v>
      </c>
      <c r="P6" s="1056">
        <f t="shared" si="0"/>
        <v>1.4500000000000001E-2</v>
      </c>
      <c r="R6" s="1068">
        <f t="shared" ref="R6:R8" si="1">+P6</f>
        <v>1.4500000000000001E-2</v>
      </c>
    </row>
    <row r="7" spans="1:18" ht="13.8" x14ac:dyDescent="0.25">
      <c r="A7" s="498" t="s">
        <v>181</v>
      </c>
      <c r="B7" s="521"/>
      <c r="C7" s="263"/>
      <c r="D7" s="23"/>
      <c r="E7" s="1130">
        <f>(E5+E6)*0.1314</f>
        <v>3665536.7375402995</v>
      </c>
      <c r="F7" s="1131"/>
      <c r="G7" s="1132">
        <f>(G5+G6)*$N$10</f>
        <v>4070211.5784000005</v>
      </c>
      <c r="H7" s="19"/>
      <c r="I7" s="263">
        <f>(I5+I6)*$O$10</f>
        <v>4657576.8935280014</v>
      </c>
      <c r="J7" s="19"/>
      <c r="K7" s="20">
        <f>(K5+K6)*$P$10</f>
        <v>5266808.7366297608</v>
      </c>
      <c r="M7" s="1054" t="s">
        <v>373</v>
      </c>
      <c r="N7" s="1056">
        <v>5.0000000000000001E-4</v>
      </c>
      <c r="O7" s="1056">
        <f t="shared" si="0"/>
        <v>5.0000000000000001E-4</v>
      </c>
      <c r="P7" s="1056">
        <f t="shared" si="0"/>
        <v>5.0000000000000001E-4</v>
      </c>
      <c r="R7" s="1068">
        <f t="shared" si="1"/>
        <v>5.0000000000000001E-4</v>
      </c>
    </row>
    <row r="8" spans="1:18" ht="13.8" x14ac:dyDescent="0.25">
      <c r="A8" s="496" t="s">
        <v>182</v>
      </c>
      <c r="B8" s="519"/>
      <c r="C8" s="262"/>
      <c r="D8" s="15">
        <v>37114</v>
      </c>
      <c r="E8" s="36">
        <v>2477552.17</v>
      </c>
      <c r="F8" s="870">
        <v>30950</v>
      </c>
      <c r="G8" s="876">
        <f>183988+290810+1416274+716493+416679+21333+22009</f>
        <v>3067586</v>
      </c>
      <c r="H8" s="16">
        <f>(G8+G9)*$H$4</f>
        <v>61351.72</v>
      </c>
      <c r="I8" s="262">
        <f>+(G8+G9+H8)</f>
        <v>3128937.72</v>
      </c>
      <c r="J8" s="16">
        <f>(I8+I9)*$J$4</f>
        <v>62578.754400000005</v>
      </c>
      <c r="K8" s="17">
        <f>+I8+I9+J8</f>
        <v>3191516.4744000002</v>
      </c>
      <c r="M8" s="1054" t="s">
        <v>810</v>
      </c>
      <c r="N8" s="1055">
        <v>1.0999999999999999E-2</v>
      </c>
      <c r="O8" s="1055">
        <f t="shared" si="0"/>
        <v>1.0999999999999999E-2</v>
      </c>
      <c r="P8" s="1055">
        <f t="shared" si="0"/>
        <v>1.0999999999999999E-2</v>
      </c>
      <c r="R8" s="1067">
        <f t="shared" si="1"/>
        <v>1.0999999999999999E-2</v>
      </c>
    </row>
    <row r="9" spans="1:18" ht="14.4" x14ac:dyDescent="0.3">
      <c r="A9" s="496" t="s">
        <v>183</v>
      </c>
      <c r="B9" s="520"/>
      <c r="C9" s="262"/>
      <c r="D9" s="479">
        <v>0.05</v>
      </c>
      <c r="E9" s="36">
        <f>+E8*D9</f>
        <v>123877.6085</v>
      </c>
      <c r="F9" s="1129">
        <v>0</v>
      </c>
      <c r="G9" s="876">
        <f>G8*F9</f>
        <v>0</v>
      </c>
      <c r="H9" s="18">
        <v>0</v>
      </c>
      <c r="I9" s="262">
        <f>I8*H9</f>
        <v>0</v>
      </c>
      <c r="J9" s="18">
        <v>0</v>
      </c>
      <c r="K9" s="17">
        <f>K8*J9</f>
        <v>0</v>
      </c>
      <c r="M9" s="704"/>
      <c r="R9" s="1069"/>
    </row>
    <row r="10" spans="1:18" ht="13.8" x14ac:dyDescent="0.25">
      <c r="A10" s="498" t="s">
        <v>181</v>
      </c>
      <c r="B10" s="522"/>
      <c r="C10" s="263"/>
      <c r="D10" s="241"/>
      <c r="E10" s="1130">
        <f>(E8+E9)*0.1315</f>
        <v>342088.01587275002</v>
      </c>
      <c r="F10" s="1133"/>
      <c r="G10" s="1132">
        <f>(G8+G9)*$N$10</f>
        <v>465659.55480000004</v>
      </c>
      <c r="H10" s="21"/>
      <c r="I10" s="263">
        <f>(I8+I9)*$O$10</f>
        <v>532858.09371600009</v>
      </c>
      <c r="J10" s="21"/>
      <c r="K10" s="20">
        <f>(K8+K9)*$P$10</f>
        <v>602558.31036672008</v>
      </c>
      <c r="M10" s="1054" t="s">
        <v>806</v>
      </c>
      <c r="N10" s="1035">
        <f>+N3+N6+N7+N8</f>
        <v>0.15180000000000002</v>
      </c>
      <c r="O10" s="1035">
        <f t="shared" ref="O10:P10" si="2">+O3+O6+O7+O8</f>
        <v>0.17030000000000003</v>
      </c>
      <c r="P10" s="1035">
        <f t="shared" si="2"/>
        <v>0.18880000000000002</v>
      </c>
      <c r="R10" s="1068">
        <f t="shared" ref="R10" si="3">+R3+R6+R7+R8</f>
        <v>0.20730000000000001</v>
      </c>
    </row>
    <row r="11" spans="1:18" ht="13.8" x14ac:dyDescent="0.25">
      <c r="A11" s="247" t="s">
        <v>184</v>
      </c>
      <c r="B11" s="523"/>
      <c r="C11" s="262"/>
      <c r="D11" s="480">
        <v>1.9800000000000002E-2</v>
      </c>
      <c r="E11" s="36"/>
      <c r="F11" s="1134">
        <v>2.1999999999999999E-2</v>
      </c>
      <c r="G11" s="876"/>
      <c r="H11" s="22">
        <v>2.1999999999999999E-2</v>
      </c>
      <c r="I11" s="262"/>
      <c r="J11" s="22">
        <v>2.1999999999999999E-2</v>
      </c>
      <c r="K11" s="17"/>
      <c r="M11" s="704"/>
      <c r="O11" s="1061">
        <f>+O10-N10</f>
        <v>1.8500000000000016E-2</v>
      </c>
      <c r="P11" s="1061">
        <f>+P10-O10</f>
        <v>1.8499999999999989E-2</v>
      </c>
      <c r="R11" s="1070">
        <f>+R10-P10</f>
        <v>1.8499999999999989E-2</v>
      </c>
    </row>
    <row r="12" spans="1:18" ht="13.8" x14ac:dyDescent="0.25">
      <c r="A12" s="496" t="s">
        <v>185</v>
      </c>
      <c r="B12" s="519"/>
      <c r="C12" s="262"/>
      <c r="D12" s="16">
        <v>99006.39924174911</v>
      </c>
      <c r="E12" s="36">
        <f>6322238.25-E15-E18</f>
        <v>5818686.75</v>
      </c>
      <c r="F12" s="870">
        <f>(E12+E13)*F11</f>
        <v>134411.663925</v>
      </c>
      <c r="G12" s="876">
        <f>6709870-G15-G18</f>
        <v>6182001</v>
      </c>
      <c r="H12" s="16">
        <f>(G12+G13)*$H$11</f>
        <v>136004.022</v>
      </c>
      <c r="I12" s="262">
        <f>+(G12+G13+H12)</f>
        <v>6318005.0219999999</v>
      </c>
      <c r="J12" s="16">
        <f>(I12+I13)*$J$11</f>
        <v>138996.11048399998</v>
      </c>
      <c r="K12" s="17">
        <f>+I12+I13+J12</f>
        <v>6457001.1324840002</v>
      </c>
      <c r="M12" s="1054" t="s">
        <v>184</v>
      </c>
      <c r="N12" s="1057">
        <f>+SUM(N4:N8)</f>
        <v>0.22688000000000003</v>
      </c>
      <c r="O12" s="1057">
        <f>+SUM(O4:O8)</f>
        <v>0.24300000000000002</v>
      </c>
      <c r="P12" s="1057">
        <f>+SUM(P4:P8)</f>
        <v>0.25900000000000001</v>
      </c>
      <c r="R12" s="1071">
        <f>+SUM(R4:R8)</f>
        <v>0.27400000000000002</v>
      </c>
    </row>
    <row r="13" spans="1:18" ht="14.4" x14ac:dyDescent="0.3">
      <c r="A13" s="496" t="s">
        <v>183</v>
      </c>
      <c r="B13" s="520"/>
      <c r="C13" s="262"/>
      <c r="D13" s="479">
        <v>0.05</v>
      </c>
      <c r="E13" s="36">
        <f>+E12*D13</f>
        <v>290934.33750000002</v>
      </c>
      <c r="F13" s="1129">
        <v>0</v>
      </c>
      <c r="G13" s="876">
        <f>G12*F13</f>
        <v>0</v>
      </c>
      <c r="H13" s="18">
        <v>0</v>
      </c>
      <c r="I13" s="262">
        <f>I12*H13</f>
        <v>0</v>
      </c>
      <c r="J13" s="18">
        <v>0</v>
      </c>
      <c r="K13" s="17">
        <f>K12*J13</f>
        <v>0</v>
      </c>
      <c r="M13" s="704"/>
      <c r="O13" s="1060">
        <f>+O12-N12</f>
        <v>1.6119999999999995E-2</v>
      </c>
      <c r="P13" s="1060">
        <f>+P12-O12</f>
        <v>1.5999999999999986E-2</v>
      </c>
      <c r="R13" s="1072">
        <f>+R12-P12</f>
        <v>1.5000000000000013E-2</v>
      </c>
    </row>
    <row r="14" spans="1:18" ht="13.8" x14ac:dyDescent="0.25">
      <c r="A14" s="498" t="s">
        <v>181</v>
      </c>
      <c r="B14" s="521"/>
      <c r="C14" s="264"/>
      <c r="D14" s="23"/>
      <c r="E14" s="1118">
        <f>(E12+E13)*0.19821</f>
        <v>1210987.9957533751</v>
      </c>
      <c r="F14" s="1135"/>
      <c r="G14" s="1119">
        <f>(G12+G13)*$N$12</f>
        <v>1402572.3868800001</v>
      </c>
      <c r="H14" s="1043"/>
      <c r="I14" s="1044">
        <f>(I12+I13)*$O$12</f>
        <v>1535275.220346</v>
      </c>
      <c r="J14" s="1043"/>
      <c r="K14" s="1045">
        <f>(K12+K13)*$P$12</f>
        <v>1672363.2933133561</v>
      </c>
    </row>
    <row r="15" spans="1:18" ht="13.8" x14ac:dyDescent="0.25">
      <c r="A15" s="496" t="s">
        <v>186</v>
      </c>
      <c r="B15" s="519"/>
      <c r="C15" s="265"/>
      <c r="D15" s="15">
        <v>2226</v>
      </c>
      <c r="E15" s="559">
        <f>101646.84+68164.59</f>
        <v>169811.43</v>
      </c>
      <c r="F15" s="870">
        <v>5756</v>
      </c>
      <c r="G15" s="1125">
        <f>149509+50572</f>
        <v>200081</v>
      </c>
      <c r="H15" s="16">
        <f>(G15+G16)*0.015</f>
        <v>3001.2149999999997</v>
      </c>
      <c r="I15" s="262">
        <v>155000</v>
      </c>
      <c r="J15" s="16">
        <f>(I15+I16)*$J$11</f>
        <v>3410</v>
      </c>
      <c r="K15" s="17">
        <f>+I15+I16+J15</f>
        <v>158410</v>
      </c>
    </row>
    <row r="16" spans="1:18" ht="14.4" x14ac:dyDescent="0.3">
      <c r="A16" s="496" t="s">
        <v>183</v>
      </c>
      <c r="B16" s="520"/>
      <c r="C16" s="262"/>
      <c r="D16" s="479">
        <v>0.05</v>
      </c>
      <c r="E16" s="36">
        <f>+E15*D16</f>
        <v>8490.5715</v>
      </c>
      <c r="F16" s="1129">
        <v>0</v>
      </c>
      <c r="G16" s="876">
        <f>G15*F16</f>
        <v>0</v>
      </c>
      <c r="H16" s="18">
        <v>0</v>
      </c>
      <c r="I16" s="262">
        <f>I15*H16</f>
        <v>0</v>
      </c>
      <c r="J16" s="18">
        <v>0</v>
      </c>
      <c r="K16" s="17">
        <f>K15*J16</f>
        <v>0</v>
      </c>
      <c r="P16" s="75"/>
    </row>
    <row r="17" spans="1:15" ht="13.8" x14ac:dyDescent="0.25">
      <c r="A17" s="498" t="s">
        <v>181</v>
      </c>
      <c r="B17" s="521"/>
      <c r="C17" s="264"/>
      <c r="D17" s="23"/>
      <c r="E17" s="1118">
        <f>(E15+E16)*0.20246</f>
        <v>36099.023223689997</v>
      </c>
      <c r="F17" s="1135"/>
      <c r="G17" s="1119">
        <f>(G15+G16)*$N$12</f>
        <v>45394.377280000008</v>
      </c>
      <c r="H17" s="1043"/>
      <c r="I17" s="1044">
        <f>(I15+I16)*$O$12</f>
        <v>37665</v>
      </c>
      <c r="J17" s="1043"/>
      <c r="K17" s="1045">
        <f>(K15+K16)*$P$12</f>
        <v>41028.19</v>
      </c>
    </row>
    <row r="18" spans="1:15" ht="13.8" x14ac:dyDescent="0.25">
      <c r="A18" s="496" t="s">
        <v>182</v>
      </c>
      <c r="B18" s="519"/>
      <c r="C18" s="265"/>
      <c r="D18" s="15">
        <v>3807</v>
      </c>
      <c r="E18" s="559">
        <v>333740.07</v>
      </c>
      <c r="F18" s="870">
        <v>2369</v>
      </c>
      <c r="G18" s="1125">
        <v>327788</v>
      </c>
      <c r="H18" s="16">
        <f>(G18+G19)*$H$11</f>
        <v>7211.3359999999993</v>
      </c>
      <c r="I18" s="262">
        <f>+(G18+G19+H18)</f>
        <v>334999.33600000001</v>
      </c>
      <c r="J18" s="16">
        <f>(I18+I19)*$J$11</f>
        <v>7369.9853919999996</v>
      </c>
      <c r="K18" s="17">
        <f>+I18+I19+J18</f>
        <v>342369.32139200001</v>
      </c>
    </row>
    <row r="19" spans="1:15" ht="14.4" x14ac:dyDescent="0.3">
      <c r="A19" s="496" t="s">
        <v>183</v>
      </c>
      <c r="B19" s="520"/>
      <c r="C19" s="262"/>
      <c r="D19" s="479">
        <v>0.05</v>
      </c>
      <c r="E19" s="36">
        <f>+E18*D19</f>
        <v>16687.003500000003</v>
      </c>
      <c r="F19" s="1129">
        <v>0</v>
      </c>
      <c r="G19" s="876">
        <f>G18*F19</f>
        <v>0</v>
      </c>
      <c r="H19" s="18">
        <v>0</v>
      </c>
      <c r="I19" s="262">
        <f>I18*H19</f>
        <v>0</v>
      </c>
      <c r="J19" s="18">
        <v>0</v>
      </c>
      <c r="K19" s="17">
        <f>K18*J19</f>
        <v>0</v>
      </c>
    </row>
    <row r="20" spans="1:15" ht="13.8" x14ac:dyDescent="0.25">
      <c r="A20" s="498" t="s">
        <v>181</v>
      </c>
      <c r="B20" s="521"/>
      <c r="C20" s="264"/>
      <c r="D20" s="23"/>
      <c r="E20" s="23">
        <f>(E18+E19)*0.1902</f>
        <v>66651.229379700002</v>
      </c>
      <c r="F20" s="830"/>
      <c r="G20" s="1048">
        <f>(G18+G19)*$N$12</f>
        <v>74368.541440000015</v>
      </c>
      <c r="H20" s="19"/>
      <c r="I20" s="1044">
        <f>(I18+I19)*$O$12</f>
        <v>81404.838648000004</v>
      </c>
      <c r="J20" s="19"/>
      <c r="K20" s="1045">
        <f>(K18+K19)*$P$12</f>
        <v>88673.654240528005</v>
      </c>
    </row>
    <row r="21" spans="1:15" x14ac:dyDescent="0.25">
      <c r="A21" s="499"/>
      <c r="B21" s="524"/>
      <c r="C21" s="266"/>
      <c r="D21" s="481"/>
      <c r="E21" s="811"/>
      <c r="F21" s="832"/>
      <c r="G21" s="833"/>
      <c r="H21" s="25"/>
      <c r="I21" s="266"/>
      <c r="J21" s="25"/>
      <c r="K21" s="26"/>
    </row>
    <row r="22" spans="1:15" ht="15.6" x14ac:dyDescent="0.3">
      <c r="A22" s="323" t="s">
        <v>187</v>
      </c>
      <c r="B22" s="525"/>
      <c r="C22" s="267"/>
      <c r="D22" s="247"/>
      <c r="E22" s="247"/>
      <c r="F22" s="834"/>
      <c r="G22" s="835"/>
      <c r="H22" s="27"/>
      <c r="I22" s="267"/>
      <c r="J22" s="27"/>
      <c r="K22" s="14"/>
    </row>
    <row r="23" spans="1:15" x14ac:dyDescent="0.25">
      <c r="A23" s="247" t="s">
        <v>188</v>
      </c>
      <c r="B23" s="526"/>
      <c r="C23" s="493"/>
      <c r="D23" s="482">
        <v>4.7500000000000001E-2</v>
      </c>
      <c r="E23" s="252"/>
      <c r="F23" s="836">
        <v>0.05</v>
      </c>
      <c r="G23" s="837"/>
      <c r="H23" s="28">
        <v>7.0000000000000007E-2</v>
      </c>
      <c r="I23" s="268"/>
      <c r="J23" s="28">
        <v>7.0000000000000007E-2</v>
      </c>
      <c r="K23" s="29"/>
    </row>
    <row r="24" spans="1:15" x14ac:dyDescent="0.25">
      <c r="A24" s="247" t="s">
        <v>189</v>
      </c>
      <c r="B24" s="527"/>
      <c r="C24" s="493"/>
      <c r="D24" s="252"/>
      <c r="E24" s="252"/>
      <c r="F24" s="838"/>
      <c r="G24" s="837"/>
      <c r="H24" s="30"/>
      <c r="I24" s="268"/>
      <c r="J24" s="30"/>
      <c r="K24" s="29"/>
    </row>
    <row r="25" spans="1:15" ht="13.8" x14ac:dyDescent="0.25">
      <c r="A25" s="496" t="s">
        <v>190</v>
      </c>
      <c r="B25" s="519"/>
      <c r="C25" s="262"/>
      <c r="D25" s="15">
        <v>0</v>
      </c>
      <c r="E25" s="15">
        <f>3466416.23*(E5/SUM($E$5,$E$8,$E$12,$E$15,$E$18))</f>
        <v>2603935.1441876125</v>
      </c>
      <c r="F25" s="828">
        <f t="shared" ref="F25:F30" si="4">E25*$F$23</f>
        <v>130196.75720938062</v>
      </c>
      <c r="G25" s="829">
        <f>3740801*(G5/SUM($G$5,$G$8,$G$12,$G$15,$G$18))</f>
        <v>2741208.9430614179</v>
      </c>
      <c r="H25" s="16">
        <f>G25*$H$23</f>
        <v>191884.62601429928</v>
      </c>
      <c r="I25" s="262">
        <f>G25+H25</f>
        <v>2933093.5690757171</v>
      </c>
      <c r="J25" s="16">
        <f t="shared" ref="J25:J30" si="5">I25*$J$23</f>
        <v>205316.54983530022</v>
      </c>
      <c r="K25" s="17">
        <f t="shared" ref="K25:K30" si="6">I25+J25</f>
        <v>3138410.1189110172</v>
      </c>
    </row>
    <row r="26" spans="1:15" ht="13.8" x14ac:dyDescent="0.25">
      <c r="A26" s="496" t="s">
        <v>191</v>
      </c>
      <c r="B26" s="519"/>
      <c r="C26" s="262"/>
      <c r="D26" s="15">
        <v>0</v>
      </c>
      <c r="E26" s="15">
        <f>3466416.23*(E8/SUM($E$5,$E$8,$E$12,$E$15,$E$18))</f>
        <v>242828.72474801936</v>
      </c>
      <c r="F26" s="828">
        <f t="shared" si="4"/>
        <v>12141.436237400969</v>
      </c>
      <c r="G26" s="829">
        <f>3740801*(G8/SUM($G$5,$G$8,$G$12,$G$15,$G$18))</f>
        <v>313612.72293897276</v>
      </c>
      <c r="H26" s="16">
        <f t="shared" ref="H26:H30" si="7">G26*$H$23</f>
        <v>21952.890605728095</v>
      </c>
      <c r="I26" s="262">
        <f t="shared" ref="I26:I30" si="8">G26+H26</f>
        <v>335565.61354470084</v>
      </c>
      <c r="J26" s="16">
        <f t="shared" si="5"/>
        <v>23489.592948129062</v>
      </c>
      <c r="K26" s="17">
        <f t="shared" si="6"/>
        <v>359055.20649282989</v>
      </c>
    </row>
    <row r="27" spans="1:15" ht="13.8" x14ac:dyDescent="0.25">
      <c r="A27" s="496" t="s">
        <v>192</v>
      </c>
      <c r="B27" s="519"/>
      <c r="C27" s="262"/>
      <c r="D27" s="15">
        <v>0</v>
      </c>
      <c r="E27" s="15">
        <f>3466416.23*(E12/SUM($E$5,$E$8,$E$12,$E$15,$E$18))</f>
        <v>570298.49878426467</v>
      </c>
      <c r="F27" s="828">
        <f t="shared" si="4"/>
        <v>28514.924939213233</v>
      </c>
      <c r="G27" s="829">
        <f>3740801*(G12/SUM($G$5,$G$8,$G$12,$G$15,$G$18))</f>
        <v>632012.97920301266</v>
      </c>
      <c r="H27" s="16">
        <f t="shared" si="7"/>
        <v>44240.908544210892</v>
      </c>
      <c r="I27" s="262">
        <f t="shared" si="8"/>
        <v>676253.88774722349</v>
      </c>
      <c r="J27" s="16">
        <f t="shared" si="5"/>
        <v>47337.77214230565</v>
      </c>
      <c r="K27" s="17">
        <f t="shared" si="6"/>
        <v>723591.65988952911</v>
      </c>
    </row>
    <row r="28" spans="1:15" ht="13.8" x14ac:dyDescent="0.25">
      <c r="A28" s="496" t="s">
        <v>193</v>
      </c>
      <c r="B28" s="519"/>
      <c r="C28" s="262"/>
      <c r="D28" s="15">
        <v>0</v>
      </c>
      <c r="E28" s="15">
        <f>3466416.23*(E15/SUM($E$5,$E$8,$E$12,$E$15,$E$18))</f>
        <v>16643.481212562136</v>
      </c>
      <c r="F28" s="828">
        <f t="shared" si="4"/>
        <v>832.17406062810687</v>
      </c>
      <c r="G28" s="829">
        <f>3740801*(G15/SUM($G$5,$G$8,$G$12,$G$15,$G$18))</f>
        <v>20455.155036681161</v>
      </c>
      <c r="H28" s="16">
        <f t="shared" si="7"/>
        <v>1431.8608525676814</v>
      </c>
      <c r="I28" s="262">
        <f t="shared" si="8"/>
        <v>21887.015889248843</v>
      </c>
      <c r="J28" s="16">
        <f t="shared" si="5"/>
        <v>1532.0911122474192</v>
      </c>
      <c r="K28" s="17">
        <f t="shared" si="6"/>
        <v>23419.107001496264</v>
      </c>
    </row>
    <row r="29" spans="1:15" ht="13.8" x14ac:dyDescent="0.25">
      <c r="A29" s="496" t="s">
        <v>194</v>
      </c>
      <c r="B29" s="519"/>
      <c r="C29" s="262"/>
      <c r="D29" s="15">
        <v>0</v>
      </c>
      <c r="E29" s="15">
        <f>3466416.23*(E18/SUM($E$5,$E$8,$E$12,$E$15,$E$18))</f>
        <v>32710.381067541639</v>
      </c>
      <c r="F29" s="828">
        <f t="shared" si="4"/>
        <v>1635.5190533770819</v>
      </c>
      <c r="G29" s="829">
        <f>3740801*(G18/SUM($G$5,$G$8,$G$12,$G$15,$G$18))</f>
        <v>33511.199759915457</v>
      </c>
      <c r="H29" s="16">
        <f t="shared" si="7"/>
        <v>2345.7839831940823</v>
      </c>
      <c r="I29" s="262">
        <f t="shared" si="8"/>
        <v>35856.983743109537</v>
      </c>
      <c r="J29" s="16">
        <f t="shared" si="5"/>
        <v>2509.988862017668</v>
      </c>
      <c r="K29" s="17">
        <f t="shared" si="6"/>
        <v>38366.972605127201</v>
      </c>
    </row>
    <row r="30" spans="1:15" ht="13.8" x14ac:dyDescent="0.25">
      <c r="A30" s="496" t="s">
        <v>195</v>
      </c>
      <c r="B30" s="519"/>
      <c r="C30" s="262"/>
      <c r="D30" s="15">
        <v>0</v>
      </c>
      <c r="E30" s="15">
        <v>34562.51</v>
      </c>
      <c r="F30" s="828">
        <f t="shared" si="4"/>
        <v>1728.1255000000001</v>
      </c>
      <c r="G30" s="829">
        <f>E30+F30</f>
        <v>36290.635500000004</v>
      </c>
      <c r="H30" s="16">
        <f t="shared" si="7"/>
        <v>2540.3444850000005</v>
      </c>
      <c r="I30" s="262">
        <f t="shared" si="8"/>
        <v>38830.979985000005</v>
      </c>
      <c r="J30" s="16">
        <f t="shared" si="5"/>
        <v>2718.1685989500006</v>
      </c>
      <c r="K30" s="17">
        <f t="shared" si="6"/>
        <v>41549.148583950009</v>
      </c>
    </row>
    <row r="31" spans="1:15" ht="13.8" x14ac:dyDescent="0.25">
      <c r="A31" s="247" t="s">
        <v>196</v>
      </c>
      <c r="B31" s="519"/>
      <c r="C31" s="262"/>
      <c r="D31" s="15">
        <f t="shared" ref="D31:K31" si="9">SUM(D25:D30)</f>
        <v>0</v>
      </c>
      <c r="E31" s="15">
        <f t="shared" si="9"/>
        <v>3500978.7399999993</v>
      </c>
      <c r="F31" s="828">
        <f t="shared" si="9"/>
        <v>175048.93700000003</v>
      </c>
      <c r="G31" s="829">
        <f t="shared" si="9"/>
        <v>3777091.6354999999</v>
      </c>
      <c r="H31" s="16">
        <f t="shared" si="9"/>
        <v>264396.41448500002</v>
      </c>
      <c r="I31" s="262">
        <f t="shared" si="9"/>
        <v>4041488.0499849999</v>
      </c>
      <c r="J31" s="16">
        <f t="shared" si="9"/>
        <v>282904.16349895007</v>
      </c>
      <c r="K31" s="17">
        <f t="shared" si="9"/>
        <v>4324392.2134839501</v>
      </c>
    </row>
    <row r="32" spans="1:15" ht="14.4" x14ac:dyDescent="0.3">
      <c r="A32" s="1052" t="s">
        <v>197</v>
      </c>
      <c r="B32" s="519"/>
      <c r="C32" s="262"/>
      <c r="D32" s="15"/>
      <c r="E32" s="15">
        <v>161696.04</v>
      </c>
      <c r="F32" s="828"/>
      <c r="G32" s="829">
        <f>+E32*(1+F23)</f>
        <v>169780.842</v>
      </c>
      <c r="H32" s="16"/>
      <c r="I32" s="262">
        <f>+G32*(1+H23)</f>
        <v>181665.50094000003</v>
      </c>
      <c r="J32" s="16"/>
      <c r="K32" s="17">
        <f>+I32*(1+J23)</f>
        <v>194382.08600580005</v>
      </c>
      <c r="L32" s="178"/>
      <c r="M32" s="178"/>
      <c r="N32" s="178"/>
      <c r="O32" s="178"/>
    </row>
    <row r="33" spans="1:15" ht="13.8" x14ac:dyDescent="0.25">
      <c r="A33" s="1053" t="s">
        <v>716</v>
      </c>
      <c r="B33" s="519"/>
      <c r="C33" s="262"/>
      <c r="D33" s="15"/>
      <c r="E33" s="15"/>
      <c r="F33" s="828"/>
      <c r="G33" s="829"/>
      <c r="H33" s="16"/>
      <c r="I33" s="262"/>
      <c r="J33" s="16"/>
      <c r="K33" s="17"/>
    </row>
    <row r="34" spans="1:15" ht="13.8" x14ac:dyDescent="0.25">
      <c r="A34" s="211" t="s">
        <v>198</v>
      </c>
      <c r="B34" s="519"/>
      <c r="C34" s="262"/>
      <c r="D34" s="15">
        <f>D23*C34</f>
        <v>0</v>
      </c>
      <c r="E34" s="15">
        <f>C34+C34*0.05</f>
        <v>0</v>
      </c>
      <c r="F34" s="1064">
        <f>F23*E34</f>
        <v>0</v>
      </c>
      <c r="G34" s="829">
        <f>E34+E34*0.05</f>
        <v>0</v>
      </c>
      <c r="H34" s="16">
        <f>H23*G34</f>
        <v>0</v>
      </c>
      <c r="I34" s="262">
        <f>G34+G34*0.05</f>
        <v>0</v>
      </c>
      <c r="J34" s="16">
        <f>J23*I34</f>
        <v>0</v>
      </c>
      <c r="K34" s="17">
        <f>I34+I34*0.05</f>
        <v>0</v>
      </c>
    </row>
    <row r="35" spans="1:15" ht="13.8" x14ac:dyDescent="0.25">
      <c r="A35" s="211" t="s">
        <v>199</v>
      </c>
      <c r="B35" s="519"/>
      <c r="C35" s="265"/>
      <c r="D35" s="15">
        <f>C35*D23</f>
        <v>0</v>
      </c>
      <c r="E35" s="810">
        <f>C35+D35</f>
        <v>0</v>
      </c>
      <c r="F35" s="828">
        <f>E35*F23</f>
        <v>0</v>
      </c>
      <c r="G35" s="831">
        <f>E35+F35</f>
        <v>0</v>
      </c>
      <c r="H35" s="16">
        <f>G35*H23</f>
        <v>0</v>
      </c>
      <c r="I35" s="265">
        <f>G35+H35</f>
        <v>0</v>
      </c>
      <c r="J35" s="16">
        <f>I35*J23</f>
        <v>0</v>
      </c>
      <c r="K35" s="24">
        <f>I35+J35</f>
        <v>0</v>
      </c>
    </row>
    <row r="36" spans="1:15" ht="13.8" x14ac:dyDescent="0.25">
      <c r="A36" s="500"/>
      <c r="B36" s="528"/>
      <c r="C36" s="269"/>
      <c r="D36" s="483"/>
      <c r="E36" s="242"/>
      <c r="F36" s="839"/>
      <c r="G36" s="840"/>
      <c r="H36" s="31"/>
      <c r="I36" s="269"/>
      <c r="J36" s="31"/>
      <c r="K36" s="32"/>
    </row>
    <row r="37" spans="1:15" ht="15.6" x14ac:dyDescent="0.3">
      <c r="A37" s="323" t="s">
        <v>200</v>
      </c>
      <c r="B37" s="529"/>
      <c r="C37" s="270"/>
      <c r="D37" s="243"/>
      <c r="E37" s="243"/>
      <c r="F37" s="841"/>
      <c r="G37" s="842"/>
      <c r="H37" s="33"/>
      <c r="I37" s="270"/>
      <c r="J37" s="33"/>
      <c r="K37" s="34"/>
    </row>
    <row r="38" spans="1:15" ht="13.8" x14ac:dyDescent="0.25">
      <c r="A38" s="496" t="s">
        <v>201</v>
      </c>
      <c r="B38" s="529"/>
      <c r="C38" s="262"/>
      <c r="D38" s="243"/>
      <c r="E38" s="1115">
        <f>+(443541.64+85420.22)</f>
        <v>528961.86</v>
      </c>
      <c r="F38" s="1116"/>
      <c r="G38" s="1117">
        <f>474795+40825</f>
        <v>515620</v>
      </c>
      <c r="H38" s="33"/>
      <c r="I38" s="271">
        <f>+G38*(1+$H$4)</f>
        <v>525932.4</v>
      </c>
      <c r="J38" s="33"/>
      <c r="K38" s="49">
        <f>+I38*(1+$J$4)</f>
        <v>536451.04800000007</v>
      </c>
    </row>
    <row r="39" spans="1:15" ht="13.8" x14ac:dyDescent="0.25">
      <c r="A39" s="498" t="s">
        <v>181</v>
      </c>
      <c r="B39" s="529"/>
      <c r="C39" s="262"/>
      <c r="D39" s="243"/>
      <c r="E39" s="1118">
        <f>+E38*0.1314</f>
        <v>69505.588403999995</v>
      </c>
      <c r="F39" s="1116"/>
      <c r="G39" s="1119">
        <f>+G38*$N$10</f>
        <v>78271.116000000009</v>
      </c>
      <c r="H39" s="1043"/>
      <c r="I39" s="1044">
        <f>+I38*O10</f>
        <v>89566.287720000022</v>
      </c>
      <c r="J39" s="1043"/>
      <c r="K39" s="1045">
        <f>+K38*P10</f>
        <v>101281.95786240003</v>
      </c>
    </row>
    <row r="40" spans="1:15" ht="13.8" x14ac:dyDescent="0.25">
      <c r="A40" s="496" t="s">
        <v>326</v>
      </c>
      <c r="B40" s="529"/>
      <c r="C40" s="262"/>
      <c r="D40" s="243"/>
      <c r="E40" s="36">
        <v>82133.19</v>
      </c>
      <c r="F40" s="1116"/>
      <c r="G40" s="876">
        <v>12351</v>
      </c>
      <c r="H40" s="33"/>
      <c r="I40" s="262">
        <v>0</v>
      </c>
      <c r="J40" s="33"/>
      <c r="K40" s="17">
        <v>0</v>
      </c>
    </row>
    <row r="41" spans="1:15" ht="13.8" x14ac:dyDescent="0.25">
      <c r="A41" s="498" t="s">
        <v>181</v>
      </c>
      <c r="B41" s="529"/>
      <c r="C41" s="262"/>
      <c r="D41" s="243"/>
      <c r="E41" s="1118">
        <f>+E40*0.1314</f>
        <v>10792.301165999999</v>
      </c>
      <c r="F41" s="1116"/>
      <c r="G41" s="1119">
        <f>+G40*$N$10</f>
        <v>1874.8818000000001</v>
      </c>
      <c r="H41" s="1043"/>
      <c r="I41" s="1044">
        <f>+I40*O12</f>
        <v>0</v>
      </c>
      <c r="J41" s="1043"/>
      <c r="K41" s="1045">
        <f>+K40*P12</f>
        <v>0</v>
      </c>
    </row>
    <row r="42" spans="1:15" ht="14.4" x14ac:dyDescent="0.3">
      <c r="A42" s="1041" t="s">
        <v>804</v>
      </c>
      <c r="B42" s="529"/>
      <c r="C42" s="262"/>
      <c r="D42" s="243"/>
      <c r="E42" s="36">
        <f>(25603.34+2182.04)*1.1314</f>
        <v>31436.378932</v>
      </c>
      <c r="F42" s="1116"/>
      <c r="G42" s="876">
        <f>(30984+2587)*(1+N10)</f>
        <v>38667.077799999999</v>
      </c>
      <c r="H42" s="33"/>
      <c r="I42" s="271">
        <f>+G42*(1+$H$4)</f>
        <v>39440.419355999999</v>
      </c>
      <c r="J42" s="33"/>
      <c r="K42" s="49">
        <f>+I42*(1+$J$4)</f>
        <v>40229.227743119998</v>
      </c>
      <c r="L42" s="178"/>
      <c r="M42" s="178"/>
      <c r="N42" s="178"/>
    </row>
    <row r="43" spans="1:15" ht="14.4" x14ac:dyDescent="0.3">
      <c r="A43" s="1041" t="s">
        <v>803</v>
      </c>
      <c r="B43" s="529"/>
      <c r="C43" s="262"/>
      <c r="D43" s="243"/>
      <c r="E43" s="1120">
        <f>(55800+24440)*1.1314</f>
        <v>90783.535999999993</v>
      </c>
      <c r="F43" s="1116"/>
      <c r="G43" s="1121">
        <f>+(62380+26040)*(1+N10)</f>
        <v>101842.15599999999</v>
      </c>
      <c r="H43" s="33"/>
      <c r="I43" s="272">
        <f>+G43*(1+$H$4)</f>
        <v>103878.99911999999</v>
      </c>
      <c r="J43" s="33"/>
      <c r="K43" s="35">
        <f>+I43*(1+$J$4)</f>
        <v>105956.57910239999</v>
      </c>
      <c r="L43" s="178"/>
      <c r="M43" s="178"/>
      <c r="N43" s="178"/>
      <c r="O43" s="178"/>
    </row>
    <row r="44" spans="1:15" ht="13.8" x14ac:dyDescent="0.25">
      <c r="A44" s="496"/>
      <c r="B44" s="529"/>
      <c r="C44" s="262"/>
      <c r="D44" s="243"/>
      <c r="E44" s="15">
        <f>SUM(E38:E43)</f>
        <v>813612.85450200003</v>
      </c>
      <c r="F44" s="841"/>
      <c r="G44" s="829">
        <f>SUM(G38:G43)</f>
        <v>748626.23159999994</v>
      </c>
      <c r="H44" s="33"/>
      <c r="I44" s="262">
        <f>SUM(I38:I43)</f>
        <v>758818.10619600001</v>
      </c>
      <c r="J44" s="33"/>
      <c r="K44" s="17">
        <f>SUM(K38:K43)</f>
        <v>783918.81270792009</v>
      </c>
    </row>
    <row r="45" spans="1:15" ht="13.8" x14ac:dyDescent="0.25">
      <c r="A45" s="500"/>
      <c r="B45" s="528"/>
      <c r="C45" s="269"/>
      <c r="D45" s="483"/>
      <c r="E45" s="242"/>
      <c r="F45" s="839"/>
      <c r="G45" s="840"/>
      <c r="H45" s="31"/>
      <c r="I45" s="269"/>
      <c r="J45" s="31"/>
      <c r="K45" s="32"/>
    </row>
    <row r="46" spans="1:15" ht="15.6" x14ac:dyDescent="0.3">
      <c r="A46" s="323" t="s">
        <v>202</v>
      </c>
      <c r="B46" s="530"/>
      <c r="C46" s="273"/>
      <c r="D46" s="484"/>
      <c r="E46" s="37"/>
      <c r="F46" s="845"/>
      <c r="G46" s="846"/>
      <c r="H46" s="38"/>
      <c r="I46" s="273"/>
      <c r="J46" s="38"/>
      <c r="K46" s="39"/>
    </row>
    <row r="47" spans="1:15" ht="13.8" x14ac:dyDescent="0.25">
      <c r="A47" s="305" t="s">
        <v>581</v>
      </c>
      <c r="B47" s="531"/>
      <c r="C47" s="494"/>
      <c r="D47" s="477"/>
      <c r="E47" s="1122">
        <v>339264</v>
      </c>
      <c r="F47" s="1123"/>
      <c r="G47" s="1124">
        <v>0</v>
      </c>
      <c r="H47" s="102"/>
      <c r="I47" s="274">
        <v>0</v>
      </c>
      <c r="J47" s="102"/>
      <c r="K47" s="80">
        <v>0</v>
      </c>
      <c r="L47" s="178"/>
      <c r="M47" s="178"/>
      <c r="N47" s="178"/>
      <c r="O47" s="178"/>
    </row>
    <row r="48" spans="1:15" ht="13.8" x14ac:dyDescent="0.25">
      <c r="A48" s="305" t="s">
        <v>802</v>
      </c>
      <c r="B48" s="519"/>
      <c r="C48" s="265"/>
      <c r="D48" s="15"/>
      <c r="E48" s="559"/>
      <c r="F48" s="870"/>
      <c r="G48" s="1125"/>
      <c r="H48" s="16"/>
      <c r="I48" s="265"/>
      <c r="J48" s="16"/>
      <c r="K48" s="24"/>
    </row>
    <row r="49" spans="1:18" ht="9" customHeight="1" x14ac:dyDescent="0.25">
      <c r="A49" s="502"/>
      <c r="B49" s="519"/>
      <c r="C49" s="265"/>
      <c r="D49" s="15"/>
      <c r="E49" s="559"/>
      <c r="F49" s="870"/>
      <c r="G49" s="1125"/>
      <c r="H49" s="16"/>
      <c r="I49" s="265"/>
      <c r="J49" s="16"/>
      <c r="K49" s="24"/>
    </row>
    <row r="50" spans="1:18" ht="14.4" x14ac:dyDescent="0.3">
      <c r="A50" s="752" t="s">
        <v>805</v>
      </c>
      <c r="B50" s="519"/>
      <c r="C50" s="262"/>
      <c r="D50" s="15">
        <v>0</v>
      </c>
      <c r="E50" s="36">
        <f>71386.14+326614.35+21749.26</f>
        <v>419749.75</v>
      </c>
      <c r="F50" s="870">
        <f>+G50-E50</f>
        <v>-42297.75</v>
      </c>
      <c r="G50" s="876">
        <f>304833+16354+56265</f>
        <v>377452</v>
      </c>
      <c r="H50" s="16">
        <f>G52*H23</f>
        <v>26421.640000000003</v>
      </c>
      <c r="I50" s="262">
        <f>G52+H50</f>
        <v>403873.64</v>
      </c>
      <c r="J50" s="16">
        <f>I52*J23</f>
        <v>28271.154800000004</v>
      </c>
      <c r="K50" s="17">
        <f>I52+J50</f>
        <v>432144.79480000003</v>
      </c>
      <c r="L50" s="178"/>
      <c r="M50" s="178"/>
      <c r="N50" s="178"/>
      <c r="O50" s="178"/>
    </row>
    <row r="51" spans="1:18" ht="13.8" x14ac:dyDescent="0.25">
      <c r="A51" s="305" t="s">
        <v>203</v>
      </c>
      <c r="B51" s="519"/>
      <c r="C51" s="262"/>
      <c r="D51" s="15"/>
      <c r="E51" s="1120">
        <v>0</v>
      </c>
      <c r="F51" s="870"/>
      <c r="G51" s="1121">
        <v>0</v>
      </c>
      <c r="H51" s="16"/>
      <c r="I51" s="272">
        <f>0*(I34+I35)/2</f>
        <v>0</v>
      </c>
      <c r="J51" s="16"/>
      <c r="K51" s="35">
        <f>0*(K34+K35)/2</f>
        <v>0</v>
      </c>
    </row>
    <row r="52" spans="1:18" ht="13.8" x14ac:dyDescent="0.25">
      <c r="A52" s="247"/>
      <c r="B52" s="519"/>
      <c r="C52" s="265"/>
      <c r="D52" s="15"/>
      <c r="E52" s="810">
        <f>SUM(E50:E51)</f>
        <v>419749.75</v>
      </c>
      <c r="F52" s="828"/>
      <c r="G52" s="831">
        <f>SUM(G50:G51)</f>
        <v>377452</v>
      </c>
      <c r="H52" s="16"/>
      <c r="I52" s="265">
        <f>SUM(I50:I51)</f>
        <v>403873.64</v>
      </c>
      <c r="J52" s="16"/>
      <c r="K52" s="24">
        <f>SUM(K50:K51)</f>
        <v>432144.79480000003</v>
      </c>
    </row>
    <row r="53" spans="1:18" ht="13.8" x14ac:dyDescent="0.25">
      <c r="A53" s="500"/>
      <c r="B53" s="532"/>
      <c r="C53" s="269"/>
      <c r="D53" s="40"/>
      <c r="E53" s="242"/>
      <c r="F53" s="847"/>
      <c r="G53" s="840"/>
      <c r="H53" s="40"/>
      <c r="I53" s="269"/>
      <c r="J53" s="40"/>
      <c r="K53" s="32"/>
    </row>
    <row r="54" spans="1:18" ht="15.6" x14ac:dyDescent="0.3">
      <c r="A54" s="323" t="s">
        <v>204</v>
      </c>
      <c r="B54" s="533"/>
      <c r="C54" s="262"/>
      <c r="D54" s="37"/>
      <c r="E54" s="15"/>
      <c r="F54" s="848"/>
      <c r="G54" s="829"/>
      <c r="H54" s="41"/>
      <c r="I54" s="262"/>
      <c r="J54" s="41"/>
      <c r="K54" s="17"/>
    </row>
    <row r="55" spans="1:18" ht="13.8" x14ac:dyDescent="0.25">
      <c r="A55" s="305" t="s">
        <v>205</v>
      </c>
      <c r="B55" s="519"/>
      <c r="C55" s="262"/>
      <c r="D55" s="15"/>
      <c r="E55" s="15">
        <f>SUM(E5:E20)</f>
        <v>42457160.732269809</v>
      </c>
      <c r="F55" s="828"/>
      <c r="G55" s="829">
        <f>SUM(G5:G20)</f>
        <v>42648650.438800007</v>
      </c>
      <c r="H55" s="16"/>
      <c r="I55" s="262">
        <f>SUM(I5:I20)</f>
        <v>44130969.884238005</v>
      </c>
      <c r="J55" s="16"/>
      <c r="K55" s="17">
        <f>SUM(K5:K20)</f>
        <v>45716961.828026362</v>
      </c>
      <c r="O55" s="1047" t="s">
        <v>806</v>
      </c>
      <c r="P55" s="75">
        <f>+E40+E38+E5+E8</f>
        <v>29656283.210000001</v>
      </c>
      <c r="Q55" s="1042"/>
      <c r="R55" s="1042">
        <f>+G40+G38+G5+G8</f>
        <v>30408545</v>
      </c>
    </row>
    <row r="56" spans="1:18" ht="15.6" x14ac:dyDescent="0.4">
      <c r="A56" s="305" t="s">
        <v>206</v>
      </c>
      <c r="B56" s="519"/>
      <c r="C56" s="262"/>
      <c r="D56" s="15"/>
      <c r="E56" s="15">
        <f>E31+E32</f>
        <v>3662674.7799999993</v>
      </c>
      <c r="F56" s="828"/>
      <c r="G56" s="829">
        <f>G31+G32</f>
        <v>3946872.4775</v>
      </c>
      <c r="H56" s="16"/>
      <c r="I56" s="262">
        <f>I31+I32</f>
        <v>4223153.5509249996</v>
      </c>
      <c r="J56" s="16"/>
      <c r="K56" s="17">
        <f>K31+K32</f>
        <v>4518774.2994897505</v>
      </c>
      <c r="O56" s="1047" t="s">
        <v>184</v>
      </c>
      <c r="P56" s="1046">
        <f>+E12+E15+E18</f>
        <v>6322238.25</v>
      </c>
      <c r="Q56" s="1046"/>
      <c r="R56" s="1046">
        <f>+G12+G15+G18</f>
        <v>6709870</v>
      </c>
    </row>
    <row r="57" spans="1:18" ht="13.8" x14ac:dyDescent="0.25">
      <c r="A57" s="305" t="s">
        <v>209</v>
      </c>
      <c r="B57" s="519"/>
      <c r="C57" s="262"/>
      <c r="D57" s="15"/>
      <c r="E57" s="15">
        <f>E44</f>
        <v>813612.85450200003</v>
      </c>
      <c r="F57" s="828"/>
      <c r="G57" s="829">
        <f>G44</f>
        <v>748626.23159999994</v>
      </c>
      <c r="H57" s="16"/>
      <c r="I57" s="262">
        <f>I44</f>
        <v>758818.10619600001</v>
      </c>
      <c r="J57" s="16"/>
      <c r="K57" s="17">
        <f>K44</f>
        <v>783918.81270792009</v>
      </c>
      <c r="O57" s="1047" t="s">
        <v>807</v>
      </c>
      <c r="P57" s="75">
        <f>+P55+P56</f>
        <v>35978521.460000001</v>
      </c>
      <c r="R57" s="75">
        <f>+R55+R56</f>
        <v>37118415</v>
      </c>
    </row>
    <row r="58" spans="1:18" ht="13.8" x14ac:dyDescent="0.25">
      <c r="A58" s="305" t="s">
        <v>207</v>
      </c>
      <c r="B58" s="519"/>
      <c r="C58" s="262"/>
      <c r="D58" s="15"/>
      <c r="E58" s="15">
        <f>E52</f>
        <v>419749.75</v>
      </c>
      <c r="F58" s="828"/>
      <c r="G58" s="829">
        <f>G52</f>
        <v>377452</v>
      </c>
      <c r="H58" s="16"/>
      <c r="I58" s="262">
        <f>I52</f>
        <v>403873.64</v>
      </c>
      <c r="J58" s="16"/>
      <c r="K58" s="17">
        <f>K52</f>
        <v>432144.79480000003</v>
      </c>
    </row>
    <row r="59" spans="1:18" ht="13.8" x14ac:dyDescent="0.25">
      <c r="A59" s="305" t="s">
        <v>208</v>
      </c>
      <c r="B59" s="519"/>
      <c r="C59" s="262"/>
      <c r="D59" s="15"/>
      <c r="E59" s="15">
        <f>E47</f>
        <v>339264</v>
      </c>
      <c r="F59" s="828"/>
      <c r="G59" s="829">
        <f>G47</f>
        <v>0</v>
      </c>
      <c r="H59" s="16"/>
      <c r="I59" s="262">
        <f>I47</f>
        <v>0</v>
      </c>
      <c r="J59" s="16"/>
      <c r="K59" s="17">
        <f>K47</f>
        <v>0</v>
      </c>
    </row>
    <row r="60" spans="1:18" ht="14.4" thickBot="1" x14ac:dyDescent="0.3">
      <c r="A60" s="501" t="s">
        <v>312</v>
      </c>
      <c r="B60" s="519"/>
      <c r="C60" s="262"/>
      <c r="D60" s="15"/>
      <c r="E60" s="814">
        <f>SUM(E55:E59)</f>
        <v>47692462.11677181</v>
      </c>
      <c r="F60" s="828"/>
      <c r="G60" s="849">
        <f>SUM(G55:G59)</f>
        <v>47721601.147900008</v>
      </c>
      <c r="H60" s="16"/>
      <c r="I60" s="275">
        <f>SUM(I55:I59)</f>
        <v>49516815.181359008</v>
      </c>
      <c r="J60" s="16"/>
      <c r="K60" s="42">
        <f>SUM(K55:K59)</f>
        <v>51451799.735024035</v>
      </c>
    </row>
    <row r="61" spans="1:18" ht="13.8" x14ac:dyDescent="0.25">
      <c r="A61" s="503" t="s">
        <v>361</v>
      </c>
      <c r="B61" s="519"/>
      <c r="C61" s="262"/>
      <c r="D61" s="15"/>
      <c r="E61" s="36">
        <f>SUM('Unrestricted-RS &amp; 4-7XXX'!F8:F17)</f>
        <v>198796.82000000004</v>
      </c>
      <c r="F61" s="828"/>
      <c r="G61" s="829">
        <f>SUM('Unrestricted-RS &amp; 4-7XXX'!G8:G17)</f>
        <v>210310</v>
      </c>
      <c r="H61" s="16"/>
      <c r="I61" s="262">
        <f>SUM('Unrestricted-RS &amp; 4-7XXX'!H8:H17)</f>
        <v>215770.74000000002</v>
      </c>
      <c r="J61" s="16"/>
      <c r="K61" s="17">
        <f>SUM('Unrestricted-RS &amp; 4-7XXX'!I8:I17)</f>
        <v>221404.34421000001</v>
      </c>
    </row>
    <row r="62" spans="1:18" ht="13.8" x14ac:dyDescent="0.25">
      <c r="A62" s="503" t="s">
        <v>366</v>
      </c>
      <c r="B62" s="519"/>
      <c r="C62" s="262"/>
      <c r="D62" s="15"/>
      <c r="E62" s="36">
        <f>+SUM('Unrestricted-RS &amp; 4-7XXX'!F24:F26,'Unrestricted-RS &amp; 4-7XXX'!F31:F52)+2011702.53-31125.04</f>
        <v>4530041.7200000007</v>
      </c>
      <c r="F62" s="828"/>
      <c r="G62" s="876">
        <f>3300255-97042.58</f>
        <v>3203212.42</v>
      </c>
      <c r="H62" s="58"/>
      <c r="I62" s="283">
        <v>3403610.83</v>
      </c>
      <c r="J62" s="58"/>
      <c r="K62" s="64">
        <v>3495392.4251999995</v>
      </c>
    </row>
    <row r="63" spans="1:18" ht="13.8" x14ac:dyDescent="0.25">
      <c r="A63" s="503" t="s">
        <v>367</v>
      </c>
      <c r="B63" s="519"/>
      <c r="C63" s="262"/>
      <c r="D63" s="15"/>
      <c r="E63" s="15">
        <f>+SUM('Unrestricted-RS &amp; 4-7XXX'!F101:F102)</f>
        <v>714496.52</v>
      </c>
      <c r="F63" s="828"/>
      <c r="G63" s="876">
        <f>SUM('Unrestricted-RS &amp; 4-7XXX'!G101:G102)</f>
        <v>805327</v>
      </c>
      <c r="H63" s="58"/>
      <c r="I63" s="283">
        <f>SUM('Unrestricted-RS &amp; 4-7XXX'!H101:H102)</f>
        <v>827271.96</v>
      </c>
      <c r="J63" s="58"/>
      <c r="K63" s="64">
        <f>SUM('Unrestricted-RS &amp; 4-7XXX'!I101:I102)</f>
        <v>849947.74020000012</v>
      </c>
    </row>
    <row r="64" spans="1:18" ht="13.8" x14ac:dyDescent="0.25">
      <c r="A64" s="503" t="s">
        <v>273</v>
      </c>
      <c r="B64" s="519"/>
      <c r="C64" s="262"/>
      <c r="D64" s="15"/>
      <c r="E64" s="15">
        <f>'Unrestricted-RS &amp; 4-7XXX'!F2</f>
        <v>610.87</v>
      </c>
      <c r="F64" s="828"/>
      <c r="G64" s="829">
        <f>'Unrestricted-RS &amp; 4-7XXX'!G2</f>
        <v>1135</v>
      </c>
      <c r="H64" s="16"/>
      <c r="I64" s="262">
        <f>'Unrestricted-RS &amp; 4-7XXX'!H2</f>
        <v>1157.7</v>
      </c>
      <c r="J64" s="16"/>
      <c r="K64" s="17">
        <f>'Unrestricted-RS &amp; 4-7XXX'!I2</f>
        <v>1180.854</v>
      </c>
    </row>
    <row r="65" spans="1:11" ht="13.8" x14ac:dyDescent="0.25">
      <c r="A65" s="501" t="s">
        <v>368</v>
      </c>
      <c r="B65" s="519"/>
      <c r="C65" s="698"/>
      <c r="D65" s="699"/>
      <c r="E65" s="15">
        <f>+E60-SUM(E61:E64)</f>
        <v>42248516.18677181</v>
      </c>
      <c r="F65" s="850"/>
      <c r="G65" s="851">
        <f>+G60-SUM(G61:G64)</f>
        <v>43501616.727900006</v>
      </c>
      <c r="H65" s="16"/>
      <c r="I65" s="262">
        <f>+I60-SUM(I61:I64)</f>
        <v>45069003.951359004</v>
      </c>
      <c r="J65" s="16"/>
      <c r="K65" s="17">
        <f>+K60-SUM(K61:K64)</f>
        <v>46883874.371414036</v>
      </c>
    </row>
    <row r="66" spans="1:11" ht="13.8" x14ac:dyDescent="0.25">
      <c r="A66" s="504" t="s">
        <v>305</v>
      </c>
      <c r="B66" s="519"/>
      <c r="C66" s="262"/>
      <c r="D66" s="15"/>
      <c r="E66" s="15">
        <f>E48</f>
        <v>0</v>
      </c>
      <c r="F66" s="828"/>
      <c r="G66" s="829">
        <f>G48</f>
        <v>0</v>
      </c>
      <c r="H66" s="16"/>
      <c r="I66" s="262">
        <f>I48</f>
        <v>0</v>
      </c>
      <c r="J66" s="16"/>
      <c r="K66" s="17">
        <f>K48</f>
        <v>0</v>
      </c>
    </row>
    <row r="67" spans="1:11" ht="13.8" x14ac:dyDescent="0.25">
      <c r="A67" s="505"/>
      <c r="B67" s="534"/>
      <c r="C67" s="276"/>
      <c r="D67" s="43"/>
      <c r="E67" s="43"/>
      <c r="F67" s="852"/>
      <c r="G67" s="853"/>
      <c r="H67" s="44"/>
      <c r="I67" s="276"/>
      <c r="J67" s="44"/>
      <c r="K67" s="45"/>
    </row>
    <row r="68" spans="1:11" ht="9" customHeight="1" x14ac:dyDescent="0.25">
      <c r="A68" s="505"/>
      <c r="B68" s="534"/>
      <c r="C68" s="276"/>
      <c r="D68" s="43"/>
      <c r="E68" s="43"/>
      <c r="F68" s="852"/>
      <c r="G68" s="853"/>
      <c r="H68" s="44"/>
      <c r="I68" s="276"/>
      <c r="J68" s="44"/>
      <c r="K68" s="45"/>
    </row>
    <row r="69" spans="1:11" ht="15.6" x14ac:dyDescent="0.3">
      <c r="A69" s="323" t="s">
        <v>210</v>
      </c>
      <c r="B69" s="519"/>
      <c r="C69" s="273"/>
      <c r="D69" s="15"/>
      <c r="E69" s="37"/>
      <c r="F69" s="828"/>
      <c r="G69" s="846"/>
      <c r="H69" s="16"/>
      <c r="I69" s="273"/>
      <c r="J69" s="16"/>
      <c r="K69" s="39"/>
    </row>
    <row r="70" spans="1:11" ht="15" customHeight="1" thickBot="1" x14ac:dyDescent="0.3">
      <c r="A70" s="506" t="s">
        <v>211</v>
      </c>
      <c r="B70" s="519"/>
      <c r="C70" s="273"/>
      <c r="D70" s="15"/>
      <c r="E70" s="37"/>
      <c r="F70" s="828"/>
      <c r="G70" s="846"/>
      <c r="H70" s="16"/>
      <c r="I70" s="273"/>
      <c r="J70" s="16"/>
      <c r="K70" s="39"/>
    </row>
    <row r="71" spans="1:11" ht="14.4" thickTop="1" x14ac:dyDescent="0.25">
      <c r="A71" s="305" t="s">
        <v>212</v>
      </c>
      <c r="B71" s="519"/>
      <c r="C71" s="265"/>
      <c r="D71" s="15"/>
      <c r="E71" s="810">
        <v>58977</v>
      </c>
      <c r="F71" s="828"/>
      <c r="G71" s="831">
        <v>62716</v>
      </c>
      <c r="H71" s="16"/>
      <c r="I71" s="265">
        <v>60921</v>
      </c>
      <c r="J71" s="16"/>
      <c r="K71" s="24">
        <v>60921</v>
      </c>
    </row>
    <row r="72" spans="1:11" ht="13.8" x14ac:dyDescent="0.25">
      <c r="A72" s="496" t="s">
        <v>213</v>
      </c>
      <c r="B72" s="535"/>
      <c r="C72" s="277"/>
      <c r="D72" s="478"/>
      <c r="E72" s="478">
        <v>12.4</v>
      </c>
      <c r="F72" s="854"/>
      <c r="G72" s="855">
        <v>3.4</v>
      </c>
      <c r="H72" s="46"/>
      <c r="I72" s="277">
        <v>0</v>
      </c>
      <c r="J72" s="46"/>
      <c r="K72" s="47">
        <v>0</v>
      </c>
    </row>
    <row r="73" spans="1:11" ht="14.4" thickBot="1" x14ac:dyDescent="0.3">
      <c r="A73" s="496" t="s">
        <v>214</v>
      </c>
      <c r="B73" s="535"/>
      <c r="C73" s="277"/>
      <c r="D73" s="478"/>
      <c r="E73" s="815">
        <v>0</v>
      </c>
      <c r="F73" s="854"/>
      <c r="G73" s="856">
        <v>0</v>
      </c>
      <c r="H73" s="46"/>
      <c r="I73" s="278">
        <v>0</v>
      </c>
      <c r="J73" s="46"/>
      <c r="K73" s="48">
        <v>0</v>
      </c>
    </row>
    <row r="74" spans="1:11" ht="14.4" thickTop="1" x14ac:dyDescent="0.25">
      <c r="A74" s="507" t="s">
        <v>215</v>
      </c>
      <c r="B74" s="519"/>
      <c r="C74" s="262"/>
      <c r="D74" s="15"/>
      <c r="E74" s="812">
        <f>E71*(E72+E73)</f>
        <v>731314.8</v>
      </c>
      <c r="F74" s="857"/>
      <c r="G74" s="843">
        <f>G71*(G72+G73)</f>
        <v>213234.4</v>
      </c>
      <c r="H74" s="15"/>
      <c r="I74" s="271">
        <f>I71*(I72+I73)</f>
        <v>0</v>
      </c>
      <c r="J74" s="15"/>
      <c r="K74" s="49">
        <f>K71*(K72+K73)</f>
        <v>0</v>
      </c>
    </row>
    <row r="75" spans="1:11" ht="13.8" x14ac:dyDescent="0.25">
      <c r="A75" s="508" t="s">
        <v>306</v>
      </c>
      <c r="B75" s="536"/>
      <c r="C75" s="262"/>
      <c r="D75" s="51">
        <v>5</v>
      </c>
      <c r="E75" s="15">
        <f>D75*E71</f>
        <v>294885</v>
      </c>
      <c r="F75" s="858"/>
      <c r="G75" s="829"/>
      <c r="H75" s="50"/>
      <c r="I75" s="262"/>
      <c r="J75" s="50"/>
      <c r="K75" s="17"/>
    </row>
    <row r="76" spans="1:11" ht="13.8" x14ac:dyDescent="0.25">
      <c r="A76" s="508" t="s">
        <v>357</v>
      </c>
      <c r="B76" s="536"/>
      <c r="C76" s="262"/>
      <c r="D76" s="51">
        <v>1</v>
      </c>
      <c r="E76" s="15">
        <f>D76*E71</f>
        <v>58977</v>
      </c>
      <c r="F76" s="858"/>
      <c r="G76" s="829"/>
      <c r="H76" s="50"/>
      <c r="I76" s="262"/>
      <c r="J76" s="50"/>
      <c r="K76" s="17"/>
    </row>
    <row r="77" spans="1:11" ht="13.8" x14ac:dyDescent="0.25">
      <c r="A77" s="496" t="s">
        <v>216</v>
      </c>
      <c r="B77" s="536"/>
      <c r="C77" s="262"/>
      <c r="D77" s="51"/>
      <c r="E77" s="15"/>
      <c r="F77" s="858"/>
      <c r="G77" s="829"/>
      <c r="H77" s="50"/>
      <c r="I77" s="262"/>
      <c r="J77" s="50"/>
      <c r="K77" s="17"/>
    </row>
    <row r="78" spans="1:11" ht="13.8" x14ac:dyDescent="0.25">
      <c r="A78" s="496" t="s">
        <v>217</v>
      </c>
      <c r="B78" s="536"/>
      <c r="C78" s="262"/>
      <c r="D78" s="51">
        <v>1</v>
      </c>
      <c r="E78" s="15">
        <f>D78*63300</f>
        <v>63300</v>
      </c>
      <c r="F78" s="858">
        <v>1</v>
      </c>
      <c r="G78" s="829">
        <v>71564</v>
      </c>
      <c r="H78" s="50"/>
      <c r="I78" s="262"/>
      <c r="J78" s="50"/>
      <c r="K78" s="17"/>
    </row>
    <row r="79" spans="1:11" ht="13.8" x14ac:dyDescent="0.25">
      <c r="A79" s="496" t="s">
        <v>308</v>
      </c>
      <c r="B79" s="536"/>
      <c r="C79" s="262"/>
      <c r="D79" s="51">
        <v>0.5</v>
      </c>
      <c r="E79" s="15">
        <f>D79*61260</f>
        <v>30630</v>
      </c>
      <c r="F79" s="858"/>
      <c r="G79" s="829"/>
      <c r="H79" s="50"/>
      <c r="I79" s="262"/>
      <c r="J79" s="50"/>
      <c r="K79" s="17"/>
    </row>
    <row r="80" spans="1:11" ht="13.8" x14ac:dyDescent="0.25">
      <c r="A80" s="496" t="s">
        <v>640</v>
      </c>
      <c r="B80" s="536"/>
      <c r="C80" s="262"/>
      <c r="D80" s="51"/>
      <c r="E80" s="15"/>
      <c r="F80" s="858">
        <v>1</v>
      </c>
      <c r="G80" s="829">
        <v>91660</v>
      </c>
      <c r="H80" s="50"/>
      <c r="I80" s="262"/>
      <c r="J80" s="50"/>
      <c r="K80" s="17"/>
    </row>
    <row r="81" spans="1:11" ht="13.8" x14ac:dyDescent="0.25">
      <c r="A81" s="496" t="s">
        <v>358</v>
      </c>
      <c r="B81" s="536"/>
      <c r="C81" s="262"/>
      <c r="D81" s="51"/>
      <c r="E81" s="15">
        <v>13761</v>
      </c>
      <c r="F81" s="858"/>
      <c r="G81" s="829"/>
      <c r="H81" s="50"/>
      <c r="I81" s="262"/>
      <c r="J81" s="50"/>
      <c r="K81" s="17"/>
    </row>
    <row r="82" spans="1:11" ht="13.8" x14ac:dyDescent="0.25">
      <c r="A82" s="497" t="s">
        <v>550</v>
      </c>
      <c r="B82" s="536"/>
      <c r="C82" s="262"/>
      <c r="D82" s="51"/>
      <c r="E82" s="15">
        <v>54499</v>
      </c>
      <c r="F82" s="858"/>
      <c r="G82" s="829"/>
      <c r="H82" s="50"/>
      <c r="I82" s="262"/>
      <c r="J82" s="50"/>
      <c r="K82" s="17"/>
    </row>
    <row r="83" spans="1:11" ht="13.8" x14ac:dyDescent="0.25">
      <c r="A83" s="211" t="s">
        <v>218</v>
      </c>
      <c r="B83" s="536"/>
      <c r="C83" s="262"/>
      <c r="D83" s="51"/>
      <c r="E83" s="15"/>
      <c r="F83" s="858"/>
      <c r="G83" s="829"/>
      <c r="H83" s="50"/>
      <c r="I83" s="262"/>
      <c r="J83" s="50"/>
      <c r="K83" s="17"/>
    </row>
    <row r="84" spans="1:11" ht="13.8" x14ac:dyDescent="0.25">
      <c r="A84" s="496" t="s">
        <v>219</v>
      </c>
      <c r="B84" s="536"/>
      <c r="C84" s="262"/>
      <c r="D84" s="51"/>
      <c r="E84" s="15"/>
      <c r="F84" s="858"/>
      <c r="G84" s="829"/>
      <c r="H84" s="50"/>
      <c r="I84" s="262"/>
      <c r="J84" s="50"/>
      <c r="K84" s="17"/>
    </row>
    <row r="85" spans="1:11" ht="13.8" x14ac:dyDescent="0.25">
      <c r="A85" s="496" t="s">
        <v>640</v>
      </c>
      <c r="B85" s="536"/>
      <c r="C85" s="262"/>
      <c r="D85" s="51"/>
      <c r="E85" s="15"/>
      <c r="F85" s="858"/>
      <c r="G85" s="829"/>
      <c r="H85" s="50"/>
      <c r="I85" s="262"/>
      <c r="J85" s="50"/>
      <c r="K85" s="17"/>
    </row>
    <row r="86" spans="1:11" ht="13.8" x14ac:dyDescent="0.25">
      <c r="A86" s="496" t="s">
        <v>220</v>
      </c>
      <c r="B86" s="536"/>
      <c r="C86" s="262"/>
      <c r="D86" s="51"/>
      <c r="E86" s="15"/>
      <c r="F86" s="858"/>
      <c r="G86" s="829"/>
      <c r="H86" s="50"/>
      <c r="I86" s="262"/>
      <c r="J86" s="50"/>
      <c r="K86" s="17"/>
    </row>
    <row r="87" spans="1:11" ht="13.8" x14ac:dyDescent="0.25">
      <c r="A87" s="496" t="s">
        <v>221</v>
      </c>
      <c r="B87" s="536"/>
      <c r="C87" s="262"/>
      <c r="D87" s="51"/>
      <c r="E87" s="15"/>
      <c r="F87" s="858"/>
      <c r="G87" s="829"/>
      <c r="H87" s="50"/>
      <c r="I87" s="262"/>
      <c r="J87" s="50"/>
      <c r="K87" s="17"/>
    </row>
    <row r="88" spans="1:11" ht="13.8" x14ac:dyDescent="0.25">
      <c r="A88" s="496" t="s">
        <v>222</v>
      </c>
      <c r="B88" s="536"/>
      <c r="C88" s="262"/>
      <c r="D88" s="51"/>
      <c r="E88" s="812"/>
      <c r="F88" s="859">
        <v>1</v>
      </c>
      <c r="G88" s="843">
        <f>62716*F88</f>
        <v>62716</v>
      </c>
      <c r="H88" s="51"/>
      <c r="I88" s="271"/>
      <c r="J88" s="51"/>
      <c r="K88" s="49"/>
    </row>
    <row r="89" spans="1:11" ht="13.8" x14ac:dyDescent="0.25">
      <c r="A89" s="496" t="s">
        <v>223</v>
      </c>
      <c r="B89" s="536"/>
      <c r="C89" s="262"/>
      <c r="D89" s="51"/>
      <c r="E89" s="15"/>
      <c r="F89" s="858"/>
      <c r="G89" s="829"/>
      <c r="H89" s="50"/>
      <c r="I89" s="262"/>
      <c r="J89" s="50"/>
      <c r="K89" s="17"/>
    </row>
    <row r="90" spans="1:11" ht="13.8" x14ac:dyDescent="0.25">
      <c r="A90" s="496" t="s">
        <v>224</v>
      </c>
      <c r="B90" s="536"/>
      <c r="C90" s="262"/>
      <c r="D90" s="51"/>
      <c r="E90" s="15"/>
      <c r="F90" s="858"/>
      <c r="G90" s="829"/>
      <c r="H90" s="50"/>
      <c r="I90" s="262"/>
      <c r="J90" s="50"/>
      <c r="K90" s="17"/>
    </row>
    <row r="91" spans="1:11" ht="13.8" x14ac:dyDescent="0.25">
      <c r="A91" s="509" t="s">
        <v>307</v>
      </c>
      <c r="B91" s="536"/>
      <c r="C91" s="262"/>
      <c r="D91" s="485"/>
      <c r="E91" s="816"/>
      <c r="F91" s="860"/>
      <c r="G91" s="861"/>
      <c r="H91" s="376"/>
      <c r="I91" s="377"/>
      <c r="J91" s="376"/>
      <c r="K91" s="378"/>
    </row>
    <row r="92" spans="1:11" ht="13.8" x14ac:dyDescent="0.25">
      <c r="A92" s="211" t="s">
        <v>225</v>
      </c>
      <c r="B92" s="537"/>
      <c r="C92" s="262"/>
      <c r="D92" s="486"/>
      <c r="E92" s="15"/>
      <c r="F92" s="862"/>
      <c r="G92" s="829"/>
      <c r="H92" s="52"/>
      <c r="I92" s="262"/>
      <c r="J92" s="52"/>
      <c r="K92" s="17"/>
    </row>
    <row r="93" spans="1:11" ht="13.8" x14ac:dyDescent="0.25">
      <c r="A93" s="497" t="s">
        <v>574</v>
      </c>
      <c r="B93" s="537"/>
      <c r="C93" s="262"/>
      <c r="D93" s="486">
        <v>0</v>
      </c>
      <c r="E93" s="15">
        <f>D93*98391</f>
        <v>0</v>
      </c>
      <c r="F93" s="862">
        <v>4.5</v>
      </c>
      <c r="G93" s="829">
        <f>F93*99852</f>
        <v>449334</v>
      </c>
      <c r="H93" s="52"/>
      <c r="I93" s="262"/>
      <c r="J93" s="52"/>
      <c r="K93" s="17"/>
    </row>
    <row r="94" spans="1:11" ht="13.8" x14ac:dyDescent="0.25">
      <c r="A94" s="496" t="s">
        <v>239</v>
      </c>
      <c r="B94" s="537"/>
      <c r="C94" s="262"/>
      <c r="D94" s="486"/>
      <c r="E94" s="812"/>
      <c r="F94" s="862"/>
      <c r="G94" s="843"/>
      <c r="H94" s="52"/>
      <c r="I94" s="271"/>
      <c r="J94" s="52"/>
      <c r="K94" s="49"/>
    </row>
    <row r="95" spans="1:11" ht="13.8" x14ac:dyDescent="0.25">
      <c r="A95" s="497" t="s">
        <v>578</v>
      </c>
      <c r="B95" s="537"/>
      <c r="C95" s="262"/>
      <c r="D95" s="486">
        <v>1</v>
      </c>
      <c r="E95" s="812">
        <v>116307</v>
      </c>
      <c r="F95" s="862"/>
      <c r="G95" s="843"/>
      <c r="H95" s="52"/>
      <c r="I95" s="271"/>
      <c r="J95" s="52"/>
      <c r="K95" s="49"/>
    </row>
    <row r="96" spans="1:11" ht="13.8" x14ac:dyDescent="0.25">
      <c r="A96" s="497" t="s">
        <v>579</v>
      </c>
      <c r="B96" s="537"/>
      <c r="C96" s="262"/>
      <c r="D96" s="486">
        <v>1</v>
      </c>
      <c r="E96" s="812">
        <v>116307</v>
      </c>
      <c r="F96" s="862"/>
      <c r="G96" s="843"/>
      <c r="H96" s="52"/>
      <c r="I96" s="271"/>
      <c r="J96" s="52"/>
      <c r="K96" s="49"/>
    </row>
    <row r="97" spans="1:11" ht="13.8" x14ac:dyDescent="0.25">
      <c r="A97" s="510" t="s">
        <v>552</v>
      </c>
      <c r="B97" s="536"/>
      <c r="C97" s="262"/>
      <c r="D97" s="51">
        <v>2</v>
      </c>
      <c r="E97" s="813">
        <v>150000</v>
      </c>
      <c r="F97" s="858"/>
      <c r="G97" s="844"/>
      <c r="H97" s="50"/>
      <c r="I97" s="272"/>
      <c r="J97" s="50"/>
      <c r="K97" s="35"/>
    </row>
    <row r="98" spans="1:11" ht="13.8" x14ac:dyDescent="0.25">
      <c r="A98" s="511" t="s">
        <v>226</v>
      </c>
      <c r="B98" s="1074"/>
      <c r="C98" s="262"/>
      <c r="D98" s="487"/>
      <c r="E98" s="817">
        <f>SUM(E74:E97)</f>
        <v>1629980.8</v>
      </c>
      <c r="F98" s="863"/>
      <c r="G98" s="864">
        <f>SUM(G74:G94)</f>
        <v>888508.4</v>
      </c>
      <c r="H98" s="53"/>
      <c r="I98" s="279">
        <f>SUM(I74:I94)</f>
        <v>0</v>
      </c>
      <c r="J98" s="53"/>
      <c r="K98" s="54">
        <f>SUM(K74:K94)</f>
        <v>0</v>
      </c>
    </row>
    <row r="99" spans="1:11" ht="15" customHeight="1" thickBot="1" x14ac:dyDescent="0.3">
      <c r="A99" s="512" t="s">
        <v>227</v>
      </c>
      <c r="B99" s="533"/>
      <c r="C99" s="262"/>
      <c r="D99" s="37"/>
      <c r="E99" s="15"/>
      <c r="F99" s="848"/>
      <c r="G99" s="829"/>
      <c r="H99" s="41"/>
      <c r="I99" s="262"/>
      <c r="J99" s="41"/>
      <c r="K99" s="17"/>
    </row>
    <row r="100" spans="1:11" ht="14.4" thickTop="1" x14ac:dyDescent="0.25">
      <c r="A100" s="496" t="s">
        <v>635</v>
      </c>
      <c r="B100" s="536"/>
      <c r="C100" s="262"/>
      <c r="D100" s="51"/>
      <c r="E100" s="15"/>
      <c r="F100" s="858"/>
      <c r="G100" s="829"/>
      <c r="H100" s="50"/>
      <c r="I100" s="262"/>
      <c r="J100" s="50"/>
      <c r="K100" s="17"/>
    </row>
    <row r="101" spans="1:11" ht="13.8" x14ac:dyDescent="0.25">
      <c r="A101" s="496" t="s">
        <v>636</v>
      </c>
      <c r="B101" s="536"/>
      <c r="C101" s="262"/>
      <c r="D101" s="51"/>
      <c r="E101" s="15"/>
      <c r="F101" s="858">
        <v>5</v>
      </c>
      <c r="G101" s="829">
        <f>18455*F101</f>
        <v>92275</v>
      </c>
      <c r="H101" s="50"/>
      <c r="I101" s="262"/>
      <c r="J101" s="50"/>
      <c r="K101" s="17"/>
    </row>
    <row r="102" spans="1:11" ht="13.8" x14ac:dyDescent="0.25">
      <c r="A102" s="496" t="s">
        <v>637</v>
      </c>
      <c r="B102" s="536"/>
      <c r="C102" s="262"/>
      <c r="D102" s="51"/>
      <c r="E102" s="15"/>
      <c r="F102" s="858"/>
      <c r="G102" s="829"/>
      <c r="H102" s="50"/>
      <c r="I102" s="262"/>
      <c r="J102" s="50"/>
      <c r="K102" s="17"/>
    </row>
    <row r="103" spans="1:11" ht="13.8" x14ac:dyDescent="0.25">
      <c r="A103" s="496" t="s">
        <v>23</v>
      </c>
      <c r="B103" s="536"/>
      <c r="C103" s="262"/>
      <c r="D103" s="51">
        <v>1.5</v>
      </c>
      <c r="E103" s="15">
        <v>61162</v>
      </c>
      <c r="F103" s="858"/>
      <c r="G103" s="829"/>
      <c r="H103" s="50"/>
      <c r="I103" s="262"/>
      <c r="J103" s="50"/>
      <c r="K103" s="17"/>
    </row>
    <row r="104" spans="1:11" ht="13.8" x14ac:dyDescent="0.25">
      <c r="A104" s="496" t="s">
        <v>356</v>
      </c>
      <c r="B104" s="536"/>
      <c r="C104" s="262"/>
      <c r="D104" s="51"/>
      <c r="E104" s="15"/>
      <c r="F104" s="858"/>
      <c r="G104" s="829"/>
      <c r="H104" s="50"/>
      <c r="I104" s="262"/>
      <c r="J104" s="50"/>
      <c r="K104" s="17"/>
    </row>
    <row r="105" spans="1:11" ht="13.8" x14ac:dyDescent="0.25">
      <c r="A105" s="496" t="s">
        <v>228</v>
      </c>
      <c r="B105" s="536"/>
      <c r="C105" s="262"/>
      <c r="D105" s="51"/>
      <c r="E105" s="15"/>
      <c r="F105" s="858"/>
      <c r="G105" s="829"/>
      <c r="H105" s="50"/>
      <c r="I105" s="262"/>
      <c r="J105" s="50"/>
      <c r="K105" s="17"/>
    </row>
    <row r="106" spans="1:11" ht="13.8" x14ac:dyDescent="0.25">
      <c r="A106" s="496" t="s">
        <v>313</v>
      </c>
      <c r="B106" s="536"/>
      <c r="C106" s="262"/>
      <c r="D106" s="51"/>
      <c r="E106" s="15"/>
      <c r="F106" s="858"/>
      <c r="G106" s="829"/>
      <c r="H106" s="50"/>
      <c r="I106" s="262"/>
      <c r="J106" s="50"/>
      <c r="K106" s="17"/>
    </row>
    <row r="107" spans="1:11" ht="13.8" x14ac:dyDescent="0.25">
      <c r="A107" s="496" t="s">
        <v>360</v>
      </c>
      <c r="B107" s="536"/>
      <c r="C107" s="262"/>
      <c r="D107" s="51">
        <v>0.5</v>
      </c>
      <c r="E107" s="15">
        <v>22544</v>
      </c>
      <c r="F107" s="858"/>
      <c r="G107" s="829"/>
      <c r="H107" s="50"/>
      <c r="I107" s="262"/>
      <c r="J107" s="50"/>
      <c r="K107" s="17"/>
    </row>
    <row r="108" spans="1:11" ht="13.8" x14ac:dyDescent="0.25">
      <c r="A108" s="497" t="s">
        <v>360</v>
      </c>
      <c r="B108" s="536"/>
      <c r="C108" s="262"/>
      <c r="D108" s="51">
        <v>1</v>
      </c>
      <c r="E108" s="15">
        <v>45088</v>
      </c>
      <c r="F108" s="858"/>
      <c r="G108" s="829"/>
      <c r="H108" s="50"/>
      <c r="I108" s="262"/>
      <c r="J108" s="50"/>
      <c r="K108" s="17"/>
    </row>
    <row r="109" spans="1:11" ht="13.8" x14ac:dyDescent="0.25">
      <c r="A109" s="497" t="s">
        <v>580</v>
      </c>
      <c r="B109" s="536"/>
      <c r="C109" s="262"/>
      <c r="D109" s="51">
        <v>1</v>
      </c>
      <c r="E109" s="15">
        <v>49310</v>
      </c>
      <c r="F109" s="858"/>
      <c r="G109" s="829"/>
      <c r="H109" s="50"/>
      <c r="I109" s="262"/>
      <c r="J109" s="50"/>
      <c r="K109" s="17"/>
    </row>
    <row r="110" spans="1:11" ht="13.8" x14ac:dyDescent="0.25">
      <c r="A110" s="496" t="s">
        <v>359</v>
      </c>
      <c r="B110" s="536"/>
      <c r="C110" s="262"/>
      <c r="D110" s="51"/>
      <c r="E110" s="15"/>
      <c r="F110" s="858"/>
      <c r="G110" s="829"/>
      <c r="H110" s="50"/>
      <c r="I110" s="262"/>
      <c r="J110" s="50"/>
      <c r="K110" s="17"/>
    </row>
    <row r="111" spans="1:11" ht="13.8" x14ac:dyDescent="0.25">
      <c r="A111" s="496" t="s">
        <v>355</v>
      </c>
      <c r="B111" s="536"/>
      <c r="C111" s="262"/>
      <c r="D111" s="51"/>
      <c r="E111" s="15"/>
      <c r="F111" s="858"/>
      <c r="G111" s="829"/>
      <c r="H111" s="50"/>
      <c r="I111" s="262"/>
      <c r="J111" s="50"/>
      <c r="K111" s="17"/>
    </row>
    <row r="112" spans="1:11" ht="13.8" x14ac:dyDescent="0.25">
      <c r="A112" s="497" t="s">
        <v>472</v>
      </c>
      <c r="B112" s="536"/>
      <c r="C112" s="262"/>
      <c r="D112" s="51">
        <v>1</v>
      </c>
      <c r="E112" s="15">
        <v>49310</v>
      </c>
      <c r="F112" s="858"/>
      <c r="G112" s="829"/>
      <c r="H112" s="50"/>
      <c r="I112" s="262"/>
      <c r="J112" s="50"/>
      <c r="K112" s="17"/>
    </row>
    <row r="113" spans="1:11" ht="13.8" x14ac:dyDescent="0.25">
      <c r="A113" s="497" t="s">
        <v>551</v>
      </c>
      <c r="B113" s="536"/>
      <c r="C113" s="262"/>
      <c r="D113" s="51">
        <v>1</v>
      </c>
      <c r="E113" s="15">
        <v>44506</v>
      </c>
      <c r="F113" s="858"/>
      <c r="G113" s="829"/>
      <c r="H113" s="50"/>
      <c r="I113" s="262"/>
      <c r="J113" s="50"/>
      <c r="K113" s="17"/>
    </row>
    <row r="114" spans="1:11" ht="13.8" x14ac:dyDescent="0.25">
      <c r="A114" s="513" t="s">
        <v>470</v>
      </c>
      <c r="B114" s="536"/>
      <c r="C114" s="262"/>
      <c r="D114" s="488">
        <v>2</v>
      </c>
      <c r="E114" s="818">
        <v>85978</v>
      </c>
      <c r="F114" s="865"/>
      <c r="G114" s="866"/>
      <c r="H114" s="310"/>
      <c r="I114" s="311"/>
      <c r="J114" s="310"/>
      <c r="K114" s="312"/>
    </row>
    <row r="115" spans="1:11" ht="13.8" x14ac:dyDescent="0.25">
      <c r="A115" s="510" t="s">
        <v>553</v>
      </c>
      <c r="B115" s="536"/>
      <c r="C115" s="262"/>
      <c r="D115" s="51">
        <v>1</v>
      </c>
      <c r="E115" s="819">
        <v>54672</v>
      </c>
      <c r="F115" s="858"/>
      <c r="G115" s="867"/>
      <c r="H115" s="50"/>
      <c r="I115" s="313"/>
      <c r="J115" s="50"/>
      <c r="K115" s="314"/>
    </row>
    <row r="116" spans="1:11" ht="13.8" x14ac:dyDescent="0.25">
      <c r="A116" s="211" t="s">
        <v>229</v>
      </c>
      <c r="B116" s="536"/>
      <c r="C116" s="262"/>
      <c r="D116" s="51"/>
      <c r="E116" s="15">
        <f>SUM(D100:E115)</f>
        <v>412579</v>
      </c>
      <c r="F116" s="858"/>
      <c r="G116" s="829">
        <f>SUM(G100:G113)</f>
        <v>92275</v>
      </c>
      <c r="H116" s="50"/>
      <c r="I116" s="262">
        <f>SUM(H99:I113)</f>
        <v>0</v>
      </c>
      <c r="J116" s="50"/>
      <c r="K116" s="17">
        <f>SUM(J99:K113)</f>
        <v>0</v>
      </c>
    </row>
    <row r="117" spans="1:11" ht="6" customHeight="1" x14ac:dyDescent="0.25">
      <c r="A117" s="500"/>
      <c r="B117" s="538"/>
      <c r="C117" s="280"/>
      <c r="D117" s="242"/>
      <c r="E117" s="40"/>
      <c r="F117" s="868"/>
      <c r="G117" s="869"/>
      <c r="H117" s="55"/>
      <c r="I117" s="280"/>
      <c r="J117" s="55"/>
      <c r="K117" s="56"/>
    </row>
    <row r="118" spans="1:11" ht="15" customHeight="1" x14ac:dyDescent="0.3">
      <c r="A118" s="323" t="s">
        <v>230</v>
      </c>
      <c r="B118" s="539"/>
      <c r="C118" s="281"/>
      <c r="D118" s="36"/>
      <c r="E118" s="57"/>
      <c r="F118" s="870"/>
      <c r="G118" s="871"/>
      <c r="H118" s="58"/>
      <c r="I118" s="281"/>
      <c r="J118" s="58"/>
      <c r="K118" s="59"/>
    </row>
    <row r="119" spans="1:11" ht="13.8" x14ac:dyDescent="0.25">
      <c r="A119" s="247" t="s">
        <v>231</v>
      </c>
      <c r="B119" s="540"/>
      <c r="C119" s="262"/>
      <c r="D119" s="489">
        <f>E72+D75+D76+D79*0.4+D78</f>
        <v>19.599999999999998</v>
      </c>
      <c r="E119" s="15">
        <f>E74+E75+E76+E79*0.4+E81+E82+E78</f>
        <v>1228988.8</v>
      </c>
      <c r="F119" s="872">
        <f>G72+F80</f>
        <v>4.4000000000000004</v>
      </c>
      <c r="G119" s="829">
        <f>G74+G80</f>
        <v>304894.40000000002</v>
      </c>
      <c r="H119" s="60">
        <f>I72</f>
        <v>0</v>
      </c>
      <c r="I119" s="262">
        <f>I74</f>
        <v>0</v>
      </c>
      <c r="J119" s="60">
        <f>K72</f>
        <v>0</v>
      </c>
      <c r="K119" s="17">
        <f>K74</f>
        <v>0</v>
      </c>
    </row>
    <row r="120" spans="1:11" ht="13.8" x14ac:dyDescent="0.25">
      <c r="A120" s="247" t="s">
        <v>232</v>
      </c>
      <c r="B120" s="540"/>
      <c r="C120" s="262"/>
      <c r="D120" s="489">
        <f>D93+D95+D96</f>
        <v>2</v>
      </c>
      <c r="E120" s="15">
        <f>E93+E95+E96</f>
        <v>232614</v>
      </c>
      <c r="F120" s="872">
        <f>F93</f>
        <v>4.5</v>
      </c>
      <c r="G120" s="829">
        <f>G93</f>
        <v>449334</v>
      </c>
      <c r="H120" s="60">
        <v>0</v>
      </c>
      <c r="I120" s="262">
        <v>0</v>
      </c>
      <c r="J120" s="60">
        <v>0</v>
      </c>
      <c r="K120" s="17">
        <v>0</v>
      </c>
    </row>
    <row r="121" spans="1:11" ht="13.8" x14ac:dyDescent="0.25">
      <c r="A121" s="247" t="s">
        <v>233</v>
      </c>
      <c r="B121" s="540"/>
      <c r="C121" s="262"/>
      <c r="D121" s="489">
        <f>D103*0.4+D107+D112+D113+D114+D108+D109</f>
        <v>7.1</v>
      </c>
      <c r="E121" s="15">
        <f>E103*0.4+E107+E112+E113+E114+E108+E109</f>
        <v>321200.8</v>
      </c>
      <c r="F121" s="872">
        <v>0</v>
      </c>
      <c r="G121" s="829">
        <v>0</v>
      </c>
      <c r="H121" s="60">
        <v>0</v>
      </c>
      <c r="I121" s="262">
        <v>0</v>
      </c>
      <c r="J121" s="60">
        <v>0</v>
      </c>
      <c r="K121" s="17">
        <v>0</v>
      </c>
    </row>
    <row r="122" spans="1:11" ht="13.8" x14ac:dyDescent="0.25">
      <c r="A122" s="247" t="s">
        <v>234</v>
      </c>
      <c r="B122" s="540"/>
      <c r="C122" s="262"/>
      <c r="D122" s="489">
        <v>0</v>
      </c>
      <c r="E122" s="15">
        <v>0</v>
      </c>
      <c r="F122" s="872">
        <v>0</v>
      </c>
      <c r="G122" s="829">
        <v>0</v>
      </c>
      <c r="H122" s="60">
        <v>0</v>
      </c>
      <c r="I122" s="262">
        <v>0</v>
      </c>
      <c r="J122" s="60">
        <v>0</v>
      </c>
      <c r="K122" s="17">
        <v>0</v>
      </c>
    </row>
    <row r="123" spans="1:11" ht="13.8" x14ac:dyDescent="0.25">
      <c r="A123" s="247" t="s">
        <v>235</v>
      </c>
      <c r="B123" s="540"/>
      <c r="C123" s="262"/>
      <c r="D123" s="489">
        <v>0</v>
      </c>
      <c r="E123" s="15">
        <v>0</v>
      </c>
      <c r="F123" s="872">
        <v>0</v>
      </c>
      <c r="G123" s="829">
        <v>0</v>
      </c>
      <c r="H123" s="60">
        <v>0</v>
      </c>
      <c r="I123" s="262">
        <v>0</v>
      </c>
      <c r="J123" s="60">
        <v>0</v>
      </c>
      <c r="K123" s="17">
        <v>0</v>
      </c>
    </row>
    <row r="124" spans="1:11" ht="9" customHeight="1" x14ac:dyDescent="0.25">
      <c r="A124" s="514"/>
      <c r="B124" s="541"/>
      <c r="C124" s="282"/>
      <c r="D124" s="490"/>
      <c r="E124" s="820"/>
      <c r="F124" s="873"/>
      <c r="G124" s="874"/>
      <c r="H124" s="61"/>
      <c r="I124" s="282"/>
      <c r="J124" s="61"/>
      <c r="K124" s="62"/>
    </row>
    <row r="125" spans="1:11" ht="13.8" x14ac:dyDescent="0.25">
      <c r="A125" s="181" t="s">
        <v>236</v>
      </c>
      <c r="B125" s="542"/>
      <c r="C125" s="283"/>
      <c r="D125" s="491"/>
      <c r="E125" s="36"/>
      <c r="F125" s="875"/>
      <c r="G125" s="876"/>
      <c r="H125" s="63"/>
      <c r="I125" s="283"/>
      <c r="J125" s="63"/>
      <c r="K125" s="64"/>
    </row>
    <row r="126" spans="1:11" ht="13.8" x14ac:dyDescent="0.25">
      <c r="A126" s="247" t="s">
        <v>237</v>
      </c>
      <c r="B126" s="540"/>
      <c r="C126" s="262"/>
      <c r="D126" s="489">
        <f>D79*0.6</f>
        <v>0.3</v>
      </c>
      <c r="E126" s="15">
        <f>E79*0.6</f>
        <v>18378</v>
      </c>
      <c r="F126" s="872">
        <f>F88</f>
        <v>1</v>
      </c>
      <c r="G126" s="829">
        <f>G88</f>
        <v>62716</v>
      </c>
      <c r="H126" s="60">
        <v>0</v>
      </c>
      <c r="I126" s="262">
        <f>I89+I90+I77</f>
        <v>0</v>
      </c>
      <c r="J126" s="60">
        <v>0</v>
      </c>
      <c r="K126" s="17">
        <f>K89+K90+K77</f>
        <v>0</v>
      </c>
    </row>
    <row r="127" spans="1:11" ht="13.8" x14ac:dyDescent="0.25">
      <c r="A127" s="247" t="s">
        <v>238</v>
      </c>
      <c r="B127" s="540"/>
      <c r="C127" s="262"/>
      <c r="D127" s="489">
        <f>D103*0.6</f>
        <v>0.89999999999999991</v>
      </c>
      <c r="E127" s="812">
        <f>E103*0.6</f>
        <v>36697.199999999997</v>
      </c>
      <c r="F127" s="872">
        <f>F101</f>
        <v>5</v>
      </c>
      <c r="G127" s="843">
        <f>G101</f>
        <v>92275</v>
      </c>
      <c r="H127" s="60">
        <v>0</v>
      </c>
      <c r="I127" s="271">
        <f>I100</f>
        <v>0</v>
      </c>
      <c r="J127" s="60">
        <v>0</v>
      </c>
      <c r="K127" s="49">
        <f>K100</f>
        <v>0</v>
      </c>
    </row>
    <row r="128" spans="1:11" ht="13.8" x14ac:dyDescent="0.25">
      <c r="A128" s="247" t="s">
        <v>346</v>
      </c>
      <c r="B128" s="540"/>
      <c r="C128" s="262"/>
      <c r="D128" s="489">
        <f>D97</f>
        <v>2</v>
      </c>
      <c r="E128" s="15">
        <f>E97</f>
        <v>150000</v>
      </c>
      <c r="F128" s="872">
        <v>0</v>
      </c>
      <c r="G128" s="829">
        <v>0</v>
      </c>
      <c r="H128" s="60">
        <v>0</v>
      </c>
      <c r="I128" s="262">
        <v>0</v>
      </c>
      <c r="J128" s="60">
        <v>0</v>
      </c>
      <c r="K128" s="17">
        <v>0</v>
      </c>
    </row>
    <row r="129" spans="1:11" ht="13.8" x14ac:dyDescent="0.25">
      <c r="A129" s="247" t="s">
        <v>232</v>
      </c>
      <c r="B129" s="540"/>
      <c r="C129" s="262"/>
      <c r="D129" s="489">
        <f>D115</f>
        <v>1</v>
      </c>
      <c r="E129" s="15">
        <f>E115</f>
        <v>54672</v>
      </c>
      <c r="F129" s="872">
        <v>0</v>
      </c>
      <c r="G129" s="829">
        <v>0</v>
      </c>
      <c r="H129" s="60">
        <v>0</v>
      </c>
      <c r="I129" s="262">
        <v>0</v>
      </c>
      <c r="J129" s="60">
        <v>0</v>
      </c>
      <c r="K129" s="17">
        <v>0</v>
      </c>
    </row>
    <row r="130" spans="1:11" ht="13.8" x14ac:dyDescent="0.25">
      <c r="A130" s="515" t="s">
        <v>554</v>
      </c>
      <c r="B130" s="1074"/>
      <c r="C130" s="262"/>
      <c r="D130" s="492"/>
      <c r="E130" s="821">
        <f>SUM(E119:E129)</f>
        <v>2042550.8</v>
      </c>
      <c r="F130" s="877"/>
      <c r="G130" s="878">
        <f>SUM(G119:G127)</f>
        <v>909219.4</v>
      </c>
      <c r="H130" s="172"/>
      <c r="I130" s="284">
        <f>SUM(I119:I127)</f>
        <v>0</v>
      </c>
      <c r="J130" s="172"/>
      <c r="K130" s="173">
        <f>SUM(K119:K127)</f>
        <v>0</v>
      </c>
    </row>
    <row r="131" spans="1:11" ht="9" customHeight="1" thickBot="1" x14ac:dyDescent="0.3"/>
    <row r="132" spans="1:11" s="327" customFormat="1" ht="13.8" thickTop="1" x14ac:dyDescent="0.3">
      <c r="A132" s="324" t="s">
        <v>378</v>
      </c>
      <c r="B132" s="1075"/>
      <c r="C132" s="1076"/>
      <c r="D132" s="325" t="s">
        <v>179</v>
      </c>
      <c r="E132" s="326" t="s">
        <v>371</v>
      </c>
      <c r="F132" s="325" t="s">
        <v>179</v>
      </c>
      <c r="G132" s="326" t="s">
        <v>371</v>
      </c>
      <c r="H132" s="325" t="s">
        <v>179</v>
      </c>
      <c r="I132" s="326" t="s">
        <v>371</v>
      </c>
      <c r="J132" s="325" t="s">
        <v>179</v>
      </c>
      <c r="K132" s="326" t="s">
        <v>371</v>
      </c>
    </row>
    <row r="133" spans="1:11" s="327" customFormat="1" ht="11.4" x14ac:dyDescent="0.2">
      <c r="A133" s="328" t="s">
        <v>372</v>
      </c>
      <c r="B133" s="329"/>
      <c r="C133" s="330"/>
      <c r="D133" s="329">
        <v>0.10730000000000001</v>
      </c>
      <c r="E133" s="330">
        <v>0.11847000000000001</v>
      </c>
      <c r="F133" s="329">
        <v>0.1258</v>
      </c>
      <c r="G133" s="330">
        <v>0.13888</v>
      </c>
      <c r="H133" s="329">
        <v>0.14480000000000001</v>
      </c>
      <c r="I133" s="330">
        <v>0.155</v>
      </c>
      <c r="J133" s="329">
        <v>0.1628</v>
      </c>
      <c r="K133" s="330">
        <v>0.17100000000000001</v>
      </c>
    </row>
    <row r="134" spans="1:11" s="327" customFormat="1" ht="11.4" x14ac:dyDescent="0.2">
      <c r="A134" s="328" t="s">
        <v>374</v>
      </c>
      <c r="B134" s="329"/>
      <c r="C134" s="330"/>
      <c r="D134" s="329"/>
      <c r="E134" s="330">
        <v>6.2E-2</v>
      </c>
      <c r="F134" s="329"/>
      <c r="G134" s="330">
        <v>6.2E-2</v>
      </c>
      <c r="H134" s="329"/>
      <c r="I134" s="330">
        <v>6.2E-2</v>
      </c>
      <c r="J134" s="329"/>
      <c r="K134" s="330">
        <v>6.2E-2</v>
      </c>
    </row>
    <row r="135" spans="1:11" s="327" customFormat="1" ht="11.4" x14ac:dyDescent="0.2">
      <c r="A135" s="328" t="s">
        <v>375</v>
      </c>
      <c r="B135" s="329"/>
      <c r="C135" s="330"/>
      <c r="D135" s="329">
        <v>1.4500000000000001E-2</v>
      </c>
      <c r="E135" s="330">
        <v>1.4500000000000001E-2</v>
      </c>
      <c r="F135" s="329">
        <v>1.4500000000000001E-2</v>
      </c>
      <c r="G135" s="330">
        <v>1.4500000000000001E-2</v>
      </c>
      <c r="H135" s="329">
        <v>1.4500000000000001E-2</v>
      </c>
      <c r="I135" s="330">
        <v>1.4500000000000001E-2</v>
      </c>
      <c r="J135" s="329">
        <v>1.4500000000000001E-2</v>
      </c>
      <c r="K135" s="330">
        <v>1.4500000000000001E-2</v>
      </c>
    </row>
    <row r="136" spans="1:11" s="327" customFormat="1" ht="11.4" x14ac:dyDescent="0.2">
      <c r="A136" s="328" t="s">
        <v>373</v>
      </c>
      <c r="B136" s="329"/>
      <c r="C136" s="330"/>
      <c r="D136" s="329">
        <v>5.0000000000000001E-4</v>
      </c>
      <c r="E136" s="330">
        <v>5.0000000000000001E-4</v>
      </c>
      <c r="F136" s="329">
        <v>5.0000000000000001E-4</v>
      </c>
      <c r="G136" s="330">
        <v>5.0000000000000001E-4</v>
      </c>
      <c r="H136" s="329">
        <v>5.0000000000000001E-4</v>
      </c>
      <c r="I136" s="330">
        <v>5.0000000000000001E-4</v>
      </c>
      <c r="J136" s="329">
        <v>5.0000000000000001E-4</v>
      </c>
      <c r="K136" s="330">
        <v>5.0000000000000001E-4</v>
      </c>
    </row>
    <row r="137" spans="1:11" s="327" customFormat="1" ht="11.4" x14ac:dyDescent="0.2">
      <c r="A137" s="331" t="s">
        <v>376</v>
      </c>
      <c r="B137" s="329"/>
      <c r="C137" s="330"/>
      <c r="D137" s="332">
        <v>1.0999999999999999E-2</v>
      </c>
      <c r="E137" s="333">
        <v>1.0999999999999999E-2</v>
      </c>
      <c r="F137" s="332">
        <v>1.0999999999999999E-2</v>
      </c>
      <c r="G137" s="333">
        <v>1.0999999999999999E-2</v>
      </c>
      <c r="H137" s="332">
        <v>1.0999999999999999E-2</v>
      </c>
      <c r="I137" s="333">
        <v>1.0999999999999999E-2</v>
      </c>
      <c r="J137" s="332">
        <v>1.0999999999999999E-2</v>
      </c>
      <c r="K137" s="333">
        <v>1.0999999999999999E-2</v>
      </c>
    </row>
    <row r="138" spans="1:11" s="327" customFormat="1" ht="12" thickBot="1" x14ac:dyDescent="0.25">
      <c r="A138" s="334" t="s">
        <v>377</v>
      </c>
      <c r="B138" s="1077"/>
      <c r="C138" s="1078"/>
      <c r="D138" s="335">
        <f t="shared" ref="D138" si="10">SUM(D133:D137)</f>
        <v>0.1333</v>
      </c>
      <c r="E138" s="336">
        <f t="shared" ref="E138" si="11">SUM(E133:E137)</f>
        <v>0.20647000000000004</v>
      </c>
      <c r="F138" s="335">
        <f t="shared" ref="F138:H138" si="12">SUM(F133:F137)</f>
        <v>0.15180000000000002</v>
      </c>
      <c r="G138" s="336">
        <f t="shared" ref="G138:J138" si="13">SUM(G133:G137)</f>
        <v>0.22688000000000003</v>
      </c>
      <c r="H138" s="335">
        <f t="shared" si="12"/>
        <v>0.17080000000000004</v>
      </c>
      <c r="I138" s="336">
        <f t="shared" si="13"/>
        <v>0.24300000000000002</v>
      </c>
      <c r="J138" s="335">
        <f t="shared" si="13"/>
        <v>0.18880000000000002</v>
      </c>
      <c r="K138" s="336">
        <f t="shared" ref="K138" si="14">SUM(K133:K137)</f>
        <v>0.25900000000000001</v>
      </c>
    </row>
    <row r="139" spans="1:11" s="327" customFormat="1" ht="9" customHeight="1" thickTop="1" x14ac:dyDescent="0.2">
      <c r="B139" s="1079"/>
      <c r="C139" s="1079"/>
    </row>
    <row r="140" spans="1:11" s="327" customFormat="1" ht="11.4" x14ac:dyDescent="0.2">
      <c r="B140" s="1079"/>
      <c r="C140" s="1079"/>
      <c r="E140" s="338"/>
      <c r="H140" s="337" t="s">
        <v>523</v>
      </c>
      <c r="I140" s="338"/>
      <c r="J140" s="339" t="s">
        <v>478</v>
      </c>
      <c r="K140" s="340" t="s">
        <v>479</v>
      </c>
    </row>
    <row r="141" spans="1:11" s="327" customFormat="1" ht="11.4" x14ac:dyDescent="0.2">
      <c r="B141" s="1079"/>
      <c r="C141" s="1079"/>
      <c r="E141" s="342"/>
      <c r="H141" s="341"/>
      <c r="I141" s="342" t="s">
        <v>476</v>
      </c>
      <c r="J141" s="343">
        <v>0.18129999999999999</v>
      </c>
      <c r="K141" s="344">
        <v>0.191</v>
      </c>
    </row>
    <row r="142" spans="1:11" s="327" customFormat="1" ht="11.4" x14ac:dyDescent="0.2">
      <c r="B142" s="1079"/>
      <c r="C142" s="1079"/>
      <c r="E142" s="346"/>
      <c r="H142" s="345"/>
      <c r="I142" s="346" t="s">
        <v>477</v>
      </c>
      <c r="J142" s="347">
        <v>0.186</v>
      </c>
      <c r="K142" s="348">
        <v>0.19800000000000001</v>
      </c>
    </row>
  </sheetData>
  <sheetProtection password="DBAD" sheet="1" objects="1" scenarios="1"/>
  <phoneticPr fontId="7" type="noConversion"/>
  <pageMargins left="0.25" right="0.25" top="0.5" bottom="0.25" header="0.5" footer="0.5"/>
  <pageSetup scale="7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2"/>
  <sheetViews>
    <sheetView workbookViewId="0"/>
  </sheetViews>
  <sheetFormatPr defaultColWidth="9.109375" defaultRowHeight="17.25" customHeight="1" x14ac:dyDescent="0.25"/>
  <cols>
    <col min="1" max="1" width="13.109375" style="587" customWidth="1"/>
    <col min="2" max="2" width="33.6640625" style="587" customWidth="1"/>
    <col min="3" max="6" width="14.33203125" style="587" customWidth="1"/>
    <col min="7" max="16384" width="9.109375" style="587"/>
  </cols>
  <sheetData>
    <row r="1" spans="1:6" ht="17.25" customHeight="1" x14ac:dyDescent="0.25">
      <c r="A1" s="584" t="s">
        <v>656</v>
      </c>
      <c r="B1" s="585"/>
      <c r="C1" s="761" t="s">
        <v>304</v>
      </c>
      <c r="D1" s="791" t="s">
        <v>337</v>
      </c>
      <c r="E1" s="586" t="s">
        <v>468</v>
      </c>
      <c r="F1" s="641" t="s">
        <v>613</v>
      </c>
    </row>
    <row r="2" spans="1:6" ht="17.25" customHeight="1" x14ac:dyDescent="0.25">
      <c r="A2" s="588"/>
      <c r="B2" s="589"/>
      <c r="C2" s="762" t="s">
        <v>1</v>
      </c>
      <c r="D2" s="792" t="s">
        <v>0</v>
      </c>
      <c r="E2" s="590" t="s">
        <v>0</v>
      </c>
      <c r="F2" s="638" t="s">
        <v>0</v>
      </c>
    </row>
    <row r="3" spans="1:6" ht="17.25" customHeight="1" x14ac:dyDescent="0.25">
      <c r="A3" s="591" t="s">
        <v>657</v>
      </c>
      <c r="B3" s="592"/>
      <c r="C3" s="763">
        <v>1001283.51</v>
      </c>
      <c r="D3" s="793">
        <f>C22</f>
        <v>1162816.4700000004</v>
      </c>
      <c r="E3" s="593">
        <f>D22</f>
        <v>1230527.4700000004</v>
      </c>
      <c r="F3" s="594">
        <f>E22</f>
        <v>1247634.9500000009</v>
      </c>
    </row>
    <row r="4" spans="1:6" ht="17.25" customHeight="1" x14ac:dyDescent="0.3">
      <c r="A4" s="595" t="s">
        <v>393</v>
      </c>
      <c r="B4" s="596"/>
      <c r="C4" s="764"/>
      <c r="D4" s="794"/>
      <c r="E4" s="596"/>
      <c r="F4" s="597"/>
    </row>
    <row r="5" spans="1:6" ht="17.25" customHeight="1" x14ac:dyDescent="0.25">
      <c r="A5" s="598"/>
      <c r="B5" s="596" t="s">
        <v>658</v>
      </c>
      <c r="C5" s="765">
        <v>2274824.5</v>
      </c>
      <c r="D5" s="795">
        <v>2425000</v>
      </c>
      <c r="E5" s="599">
        <v>2425000</v>
      </c>
      <c r="F5" s="600">
        <v>2425000</v>
      </c>
    </row>
    <row r="6" spans="1:6" ht="17.25" customHeight="1" x14ac:dyDescent="0.25">
      <c r="A6" s="598"/>
      <c r="B6" s="596" t="s">
        <v>659</v>
      </c>
      <c r="C6" s="765">
        <v>177291.33</v>
      </c>
      <c r="D6" s="795">
        <v>190000</v>
      </c>
      <c r="E6" s="599">
        <f>D6*1</f>
        <v>190000</v>
      </c>
      <c r="F6" s="600">
        <f>E6*1</f>
        <v>190000</v>
      </c>
    </row>
    <row r="7" spans="1:6" ht="17.25" customHeight="1" x14ac:dyDescent="0.25">
      <c r="A7" s="598"/>
      <c r="B7" s="596" t="s">
        <v>660</v>
      </c>
      <c r="C7" s="765">
        <v>788618.79</v>
      </c>
      <c r="D7" s="795">
        <v>780000</v>
      </c>
      <c r="E7" s="599">
        <v>780000</v>
      </c>
      <c r="F7" s="600">
        <v>780000</v>
      </c>
    </row>
    <row r="8" spans="1:6" ht="17.25" customHeight="1" x14ac:dyDescent="0.25">
      <c r="A8" s="598"/>
      <c r="B8" s="596" t="s">
        <v>661</v>
      </c>
      <c r="C8" s="765">
        <v>134746.91</v>
      </c>
      <c r="D8" s="795">
        <v>188000</v>
      </c>
      <c r="E8" s="599">
        <f>D8*1</f>
        <v>188000</v>
      </c>
      <c r="F8" s="600">
        <f>E8*1</f>
        <v>188000</v>
      </c>
    </row>
    <row r="9" spans="1:6" ht="17.25" customHeight="1" x14ac:dyDescent="0.25">
      <c r="A9" s="598"/>
      <c r="B9" s="596" t="s">
        <v>662</v>
      </c>
      <c r="C9" s="765">
        <f>267089.28+14250</f>
        <v>281339.28000000003</v>
      </c>
      <c r="D9" s="795">
        <v>190000</v>
      </c>
      <c r="E9" s="599">
        <v>190000</v>
      </c>
      <c r="F9" s="600">
        <v>190000</v>
      </c>
    </row>
    <row r="10" spans="1:6" ht="17.25" customHeight="1" x14ac:dyDescent="0.25">
      <c r="A10" s="598"/>
      <c r="B10" s="596" t="s">
        <v>2</v>
      </c>
      <c r="C10" s="765">
        <v>5754.1</v>
      </c>
      <c r="D10" s="795">
        <v>4500</v>
      </c>
      <c r="E10" s="599">
        <v>4500</v>
      </c>
      <c r="F10" s="600">
        <v>4500</v>
      </c>
    </row>
    <row r="11" spans="1:6" ht="17.25" customHeight="1" x14ac:dyDescent="0.25">
      <c r="A11" s="601" t="s">
        <v>663</v>
      </c>
      <c r="B11" s="602"/>
      <c r="C11" s="766">
        <f>SUM(C5:C10)</f>
        <v>3662574.9100000006</v>
      </c>
      <c r="D11" s="796">
        <f>SUM(D5:D10)</f>
        <v>3777500</v>
      </c>
      <c r="E11" s="603">
        <f>SUM(E5:E10)</f>
        <v>3777500</v>
      </c>
      <c r="F11" s="604">
        <f>SUM(F5:F10)</f>
        <v>3777500</v>
      </c>
    </row>
    <row r="12" spans="1:6" ht="17.25" customHeight="1" x14ac:dyDescent="0.3">
      <c r="A12" s="595" t="s">
        <v>394</v>
      </c>
      <c r="B12" s="596"/>
      <c r="C12" s="765"/>
      <c r="D12" s="795"/>
      <c r="E12" s="599"/>
      <c r="F12" s="600"/>
    </row>
    <row r="13" spans="1:6" ht="17.25" customHeight="1" x14ac:dyDescent="0.25">
      <c r="A13" s="598"/>
      <c r="B13" s="596" t="s">
        <v>664</v>
      </c>
      <c r="C13" s="765">
        <f>1030561.74+274899.01</f>
        <v>1305460.75</v>
      </c>
      <c r="D13" s="795">
        <f>1038510+312053</f>
        <v>1350563</v>
      </c>
      <c r="E13" s="599">
        <f>+D13*1.02</f>
        <v>1377574.26</v>
      </c>
      <c r="F13" s="600">
        <f>+E13*1.02</f>
        <v>1405125.7452</v>
      </c>
    </row>
    <row r="14" spans="1:6" ht="17.25" customHeight="1" x14ac:dyDescent="0.25">
      <c r="A14" s="598"/>
      <c r="B14" s="596" t="s">
        <v>665</v>
      </c>
      <c r="C14" s="765">
        <v>1597406.08</v>
      </c>
      <c r="D14" s="795">
        <v>1766000</v>
      </c>
      <c r="E14" s="599">
        <f>+D14*1.01</f>
        <v>1783660</v>
      </c>
      <c r="F14" s="600">
        <f>+E14*1.01</f>
        <v>1801496.6</v>
      </c>
    </row>
    <row r="15" spans="1:6" ht="17.25" customHeight="1" x14ac:dyDescent="0.25">
      <c r="A15" s="598"/>
      <c r="B15" s="596" t="s">
        <v>666</v>
      </c>
      <c r="C15" s="765">
        <f>(1809185.19-C14)+(148329.58-C18-C16)</f>
        <v>301719.51999999984</v>
      </c>
      <c r="D15" s="795">
        <f>2022938-D14</f>
        <v>256938</v>
      </c>
      <c r="E15" s="599">
        <f t="shared" ref="E15:F15" si="0">+D15*1.01</f>
        <v>259507.38</v>
      </c>
      <c r="F15" s="600">
        <f t="shared" si="0"/>
        <v>262102.45380000002</v>
      </c>
    </row>
    <row r="16" spans="1:6" ht="17.25" customHeight="1" x14ac:dyDescent="0.25">
      <c r="A16" s="598"/>
      <c r="B16" s="596" t="s">
        <v>3</v>
      </c>
      <c r="C16" s="765">
        <f>3668.26+809.1+45365.52+4227.72</f>
        <v>54070.6</v>
      </c>
      <c r="D16" s="795">
        <f>183232-D18</f>
        <v>181232</v>
      </c>
      <c r="E16" s="599">
        <f t="shared" ref="E16:F16" si="1">+D16*1.01</f>
        <v>183044.32</v>
      </c>
      <c r="F16" s="600">
        <f t="shared" si="1"/>
        <v>184874.76320000002</v>
      </c>
    </row>
    <row r="17" spans="1:6" ht="17.25" customHeight="1" x14ac:dyDescent="0.25">
      <c r="A17" s="598"/>
      <c r="B17" s="596" t="s">
        <v>667</v>
      </c>
      <c r="C17" s="765">
        <v>127451.56</v>
      </c>
      <c r="D17" s="795">
        <v>21000</v>
      </c>
      <c r="E17" s="599">
        <f t="shared" ref="E17:F17" si="2">+D17*1.01</f>
        <v>21210</v>
      </c>
      <c r="F17" s="600">
        <f t="shared" si="2"/>
        <v>21422.1</v>
      </c>
    </row>
    <row r="18" spans="1:6" ht="17.25" customHeight="1" x14ac:dyDescent="0.25">
      <c r="A18" s="598"/>
      <c r="B18" s="596" t="s">
        <v>668</v>
      </c>
      <c r="C18" s="765">
        <f>2300.33+2018.24</f>
        <v>4318.57</v>
      </c>
      <c r="D18" s="795">
        <v>2000</v>
      </c>
      <c r="E18" s="599">
        <f t="shared" ref="E18:F18" si="3">+D18*1.01</f>
        <v>2020</v>
      </c>
      <c r="F18" s="600">
        <f t="shared" si="3"/>
        <v>2040.2</v>
      </c>
    </row>
    <row r="19" spans="1:6" ht="17.25" customHeight="1" x14ac:dyDescent="0.25">
      <c r="A19" s="598"/>
      <c r="B19" s="596" t="s">
        <v>4</v>
      </c>
      <c r="C19" s="765">
        <v>110614.87</v>
      </c>
      <c r="D19" s="795">
        <v>132056</v>
      </c>
      <c r="E19" s="599">
        <f t="shared" ref="E19:F19" si="4">+D19*1.01</f>
        <v>133376.56</v>
      </c>
      <c r="F19" s="600">
        <f t="shared" si="4"/>
        <v>134710.32560000001</v>
      </c>
    </row>
    <row r="20" spans="1:6" ht="17.25" customHeight="1" x14ac:dyDescent="0.25">
      <c r="A20" s="605" t="s">
        <v>669</v>
      </c>
      <c r="B20" s="606"/>
      <c r="C20" s="767">
        <f>SUM(C13:C19)</f>
        <v>3501041.95</v>
      </c>
      <c r="D20" s="797">
        <f t="shared" ref="D20:E20" si="5">SUM(D13:D19)</f>
        <v>3709789</v>
      </c>
      <c r="E20" s="607">
        <f t="shared" si="5"/>
        <v>3760392.5199999996</v>
      </c>
      <c r="F20" s="608">
        <f t="shared" ref="F20" si="6">SUM(F13:F19)</f>
        <v>3811772.1878000009</v>
      </c>
    </row>
    <row r="21" spans="1:6" ht="17.25" customHeight="1" x14ac:dyDescent="0.25">
      <c r="A21" s="609" t="s">
        <v>670</v>
      </c>
      <c r="B21" s="596"/>
      <c r="C21" s="768">
        <f>C11-C20</f>
        <v>161532.96000000043</v>
      </c>
      <c r="D21" s="798">
        <f t="shared" ref="D21:F21" si="7">D11-D20</f>
        <v>67711</v>
      </c>
      <c r="E21" s="610">
        <f t="shared" si="7"/>
        <v>17107.480000000447</v>
      </c>
      <c r="F21" s="611">
        <f t="shared" si="7"/>
        <v>-34272.187800000887</v>
      </c>
    </row>
    <row r="22" spans="1:6" ht="17.25" customHeight="1" x14ac:dyDescent="0.25">
      <c r="A22" s="612" t="s">
        <v>671</v>
      </c>
      <c r="B22" s="613"/>
      <c r="C22" s="769">
        <f>C3+C21</f>
        <v>1162816.4700000004</v>
      </c>
      <c r="D22" s="799">
        <f>D3+D21</f>
        <v>1230527.4700000004</v>
      </c>
      <c r="E22" s="614">
        <f>E3+E21</f>
        <v>1247634.9500000009</v>
      </c>
      <c r="F22" s="639">
        <f>F3+F21</f>
        <v>1213362.7622</v>
      </c>
    </row>
    <row r="23" spans="1:6" ht="17.25" customHeight="1" x14ac:dyDescent="0.25">
      <c r="A23" s="615"/>
      <c r="B23" s="616"/>
      <c r="C23" s="617"/>
      <c r="D23" s="800"/>
      <c r="E23" s="619"/>
      <c r="F23" s="619"/>
    </row>
    <row r="24" spans="1:6" ht="17.25" customHeight="1" x14ac:dyDescent="0.25">
      <c r="A24" s="584" t="s">
        <v>672</v>
      </c>
      <c r="B24" s="585"/>
      <c r="C24" s="761" t="str">
        <f>C1</f>
        <v>2015-2016</v>
      </c>
      <c r="D24" s="791" t="str">
        <f>D1</f>
        <v>2016-2017</v>
      </c>
      <c r="E24" s="586" t="str">
        <f>E1</f>
        <v>2017-2018</v>
      </c>
      <c r="F24" s="641" t="str">
        <f>F1</f>
        <v>2018-2019</v>
      </c>
    </row>
    <row r="25" spans="1:6" ht="17.25" customHeight="1" x14ac:dyDescent="0.25">
      <c r="A25" s="588"/>
      <c r="B25" s="620"/>
      <c r="C25" s="762" t="str">
        <f>+C2</f>
        <v>Actual</v>
      </c>
      <c r="D25" s="792" t="s">
        <v>0</v>
      </c>
      <c r="E25" s="590" t="s">
        <v>0</v>
      </c>
      <c r="F25" s="638" t="s">
        <v>0</v>
      </c>
    </row>
    <row r="26" spans="1:6" ht="17.25" customHeight="1" x14ac:dyDescent="0.25">
      <c r="A26" s="621" t="s">
        <v>657</v>
      </c>
      <c r="B26" s="622"/>
      <c r="C26" s="770">
        <v>730226.93</v>
      </c>
      <c r="D26" s="801">
        <f>C37</f>
        <v>736678.49000000011</v>
      </c>
      <c r="E26" s="623">
        <f>D37</f>
        <v>5000.4900000001071</v>
      </c>
      <c r="F26" s="643">
        <f>E37</f>
        <v>5100.4900000001071</v>
      </c>
    </row>
    <row r="27" spans="1:6" ht="17.25" customHeight="1" x14ac:dyDescent="0.3">
      <c r="A27" s="595" t="s">
        <v>393</v>
      </c>
      <c r="B27" s="596"/>
      <c r="C27" s="764"/>
      <c r="D27" s="794"/>
      <c r="E27" s="596"/>
      <c r="F27" s="597"/>
    </row>
    <row r="28" spans="1:6" ht="17.25" customHeight="1" x14ac:dyDescent="0.25">
      <c r="A28" s="598"/>
      <c r="B28" s="596" t="s">
        <v>673</v>
      </c>
      <c r="C28" s="765">
        <v>0</v>
      </c>
      <c r="D28" s="795">
        <v>0</v>
      </c>
      <c r="E28" s="599">
        <v>0</v>
      </c>
      <c r="F28" s="600">
        <v>0</v>
      </c>
    </row>
    <row r="29" spans="1:6" ht="17.25" customHeight="1" x14ac:dyDescent="0.25">
      <c r="A29" s="598"/>
      <c r="B29" s="596" t="s">
        <v>674</v>
      </c>
      <c r="C29" s="765">
        <v>0</v>
      </c>
      <c r="D29" s="795">
        <v>0</v>
      </c>
      <c r="E29" s="599">
        <v>0</v>
      </c>
      <c r="F29" s="600">
        <v>0</v>
      </c>
    </row>
    <row r="30" spans="1:6" ht="17.25" customHeight="1" x14ac:dyDescent="0.25">
      <c r="A30" s="598"/>
      <c r="B30" s="596" t="s">
        <v>2</v>
      </c>
      <c r="C30" s="765">
        <v>6451.56</v>
      </c>
      <c r="D30" s="795">
        <v>5000</v>
      </c>
      <c r="E30" s="599">
        <v>100</v>
      </c>
      <c r="F30" s="600">
        <v>100</v>
      </c>
    </row>
    <row r="31" spans="1:6" ht="17.25" customHeight="1" x14ac:dyDescent="0.25">
      <c r="A31" s="601" t="s">
        <v>663</v>
      </c>
      <c r="B31" s="602"/>
      <c r="C31" s="766">
        <f>SUM(C28:C30)</f>
        <v>6451.56</v>
      </c>
      <c r="D31" s="796">
        <f>SUM(D28:D30)</f>
        <v>5000</v>
      </c>
      <c r="E31" s="603">
        <f>SUM(E28:E30)</f>
        <v>100</v>
      </c>
      <c r="F31" s="604">
        <f>SUM(F28:F30)</f>
        <v>100</v>
      </c>
    </row>
    <row r="32" spans="1:6" ht="17.25" customHeight="1" x14ac:dyDescent="0.3">
      <c r="A32" s="595" t="s">
        <v>394</v>
      </c>
      <c r="B32" s="596"/>
      <c r="C32" s="765"/>
      <c r="D32" s="795"/>
      <c r="E32" s="599"/>
      <c r="F32" s="600"/>
    </row>
    <row r="33" spans="1:6" ht="17.25" customHeight="1" x14ac:dyDescent="0.3">
      <c r="A33" s="595"/>
      <c r="B33" s="596" t="s">
        <v>675</v>
      </c>
      <c r="C33" s="765">
        <v>0</v>
      </c>
      <c r="D33" s="795">
        <v>736678</v>
      </c>
      <c r="E33" s="599">
        <v>0</v>
      </c>
      <c r="F33" s="600">
        <v>0</v>
      </c>
    </row>
    <row r="34" spans="1:6" ht="17.25" customHeight="1" x14ac:dyDescent="0.25">
      <c r="A34" s="598"/>
      <c r="B34" s="596" t="s">
        <v>676</v>
      </c>
      <c r="C34" s="765">
        <v>0</v>
      </c>
      <c r="D34" s="795">
        <v>0</v>
      </c>
      <c r="E34" s="599">
        <v>0</v>
      </c>
      <c r="F34" s="600">
        <v>0</v>
      </c>
    </row>
    <row r="35" spans="1:6" ht="17.25" customHeight="1" x14ac:dyDescent="0.25">
      <c r="A35" s="605" t="s">
        <v>669</v>
      </c>
      <c r="B35" s="606"/>
      <c r="C35" s="767">
        <f>SUM(C33:C34)</f>
        <v>0</v>
      </c>
      <c r="D35" s="797">
        <f>SUM(D33:D34)</f>
        <v>736678</v>
      </c>
      <c r="E35" s="624">
        <f>SUM(E33:E34)</f>
        <v>0</v>
      </c>
      <c r="F35" s="624">
        <f>SUM(F33:F34)</f>
        <v>0</v>
      </c>
    </row>
    <row r="36" spans="1:6" ht="17.25" customHeight="1" x14ac:dyDescent="0.25">
      <c r="A36" s="609" t="s">
        <v>670</v>
      </c>
      <c r="B36" s="596"/>
      <c r="C36" s="768">
        <f>C31-C35</f>
        <v>6451.56</v>
      </c>
      <c r="D36" s="798">
        <f>D31-D35</f>
        <v>-731678</v>
      </c>
      <c r="E36" s="610">
        <f>E31-E35</f>
        <v>100</v>
      </c>
      <c r="F36" s="611">
        <f>F31-F35</f>
        <v>100</v>
      </c>
    </row>
    <row r="37" spans="1:6" ht="17.25" customHeight="1" x14ac:dyDescent="0.25">
      <c r="A37" s="625" t="s">
        <v>671</v>
      </c>
      <c r="B37" s="613"/>
      <c r="C37" s="769">
        <f>C26+C36</f>
        <v>736678.49000000011</v>
      </c>
      <c r="D37" s="799">
        <f>D26+D36</f>
        <v>5000.4900000001071</v>
      </c>
      <c r="E37" s="614">
        <f>E26+E36</f>
        <v>5100.4900000001071</v>
      </c>
      <c r="F37" s="639">
        <f>F26+F36</f>
        <v>5200.4900000001071</v>
      </c>
    </row>
    <row r="38" spans="1:6" ht="17.25" customHeight="1" x14ac:dyDescent="0.25">
      <c r="A38" s="626"/>
      <c r="B38" s="616"/>
      <c r="C38" s="616"/>
      <c r="D38" s="802"/>
      <c r="E38" s="627"/>
      <c r="F38" s="627"/>
    </row>
    <row r="39" spans="1:6" ht="17.25" customHeight="1" x14ac:dyDescent="0.25">
      <c r="A39" s="584" t="s">
        <v>677</v>
      </c>
      <c r="B39" s="585"/>
      <c r="C39" s="771" t="str">
        <f>C1</f>
        <v>2015-2016</v>
      </c>
      <c r="D39" s="791" t="str">
        <f>D1</f>
        <v>2016-2017</v>
      </c>
      <c r="E39" s="628" t="str">
        <f>E1</f>
        <v>2017-2018</v>
      </c>
      <c r="F39" s="629" t="str">
        <f>F1</f>
        <v>2018-2019</v>
      </c>
    </row>
    <row r="40" spans="1:6" ht="17.25" customHeight="1" x14ac:dyDescent="0.25">
      <c r="A40" s="630"/>
      <c r="B40" s="620"/>
      <c r="C40" s="762" t="str">
        <f>+C25</f>
        <v>Actual</v>
      </c>
      <c r="D40" s="792" t="s">
        <v>0</v>
      </c>
      <c r="E40" s="590" t="s">
        <v>0</v>
      </c>
      <c r="F40" s="638" t="s">
        <v>0</v>
      </c>
    </row>
    <row r="41" spans="1:6" ht="17.25" customHeight="1" x14ac:dyDescent="0.25">
      <c r="A41" s="621" t="s">
        <v>657</v>
      </c>
      <c r="B41" s="622"/>
      <c r="C41" s="772">
        <v>235422.03</v>
      </c>
      <c r="D41" s="803">
        <f>C50</f>
        <v>393862.3</v>
      </c>
      <c r="E41" s="631">
        <f>D50</f>
        <v>733362.3</v>
      </c>
      <c r="F41" s="642">
        <f>E50</f>
        <v>1072862.3</v>
      </c>
    </row>
    <row r="42" spans="1:6" ht="17.25" customHeight="1" x14ac:dyDescent="0.3">
      <c r="A42" s="595" t="s">
        <v>393</v>
      </c>
      <c r="B42" s="596"/>
      <c r="C42" s="773"/>
      <c r="D42" s="794"/>
      <c r="E42" s="596"/>
      <c r="F42" s="597"/>
    </row>
    <row r="43" spans="1:6" ht="17.25" customHeight="1" x14ac:dyDescent="0.3">
      <c r="A43" s="595"/>
      <c r="B43" s="596" t="s">
        <v>678</v>
      </c>
      <c r="C43" s="774">
        <v>156100</v>
      </c>
      <c r="D43" s="795">
        <v>337000</v>
      </c>
      <c r="E43" s="632">
        <v>337000</v>
      </c>
      <c r="F43" s="633">
        <v>337000</v>
      </c>
    </row>
    <row r="44" spans="1:6" ht="17.25" customHeight="1" x14ac:dyDescent="0.25">
      <c r="A44" s="598"/>
      <c r="B44" s="596" t="s">
        <v>2</v>
      </c>
      <c r="C44" s="774">
        <v>2340.27</v>
      </c>
      <c r="D44" s="795">
        <v>2500</v>
      </c>
      <c r="E44" s="599">
        <v>2500</v>
      </c>
      <c r="F44" s="600">
        <v>2500</v>
      </c>
    </row>
    <row r="45" spans="1:6" ht="17.25" customHeight="1" x14ac:dyDescent="0.25">
      <c r="A45" s="601" t="s">
        <v>663</v>
      </c>
      <c r="B45" s="602"/>
      <c r="C45" s="775">
        <f>SUM(C43:C44)</f>
        <v>158440.26999999999</v>
      </c>
      <c r="D45" s="796">
        <f>SUM(D43:D44)</f>
        <v>339500</v>
      </c>
      <c r="E45" s="603">
        <f>SUM(E43:E44)</f>
        <v>339500</v>
      </c>
      <c r="F45" s="604">
        <f>SUM(F43:F44)</f>
        <v>339500</v>
      </c>
    </row>
    <row r="46" spans="1:6" ht="17.25" customHeight="1" x14ac:dyDescent="0.3">
      <c r="A46" s="595" t="s">
        <v>394</v>
      </c>
      <c r="B46" s="596"/>
      <c r="C46" s="774"/>
      <c r="D46" s="795"/>
      <c r="E46" s="599"/>
      <c r="F46" s="600"/>
    </row>
    <row r="47" spans="1:6" ht="17.25" customHeight="1" x14ac:dyDescent="0.25">
      <c r="A47" s="598"/>
      <c r="B47" s="596"/>
      <c r="C47" s="774">
        <v>0</v>
      </c>
      <c r="D47" s="795">
        <v>0</v>
      </c>
      <c r="E47" s="599">
        <v>0</v>
      </c>
      <c r="F47" s="600">
        <v>0</v>
      </c>
    </row>
    <row r="48" spans="1:6" ht="17.25" customHeight="1" x14ac:dyDescent="0.25">
      <c r="A48" s="605" t="s">
        <v>669</v>
      </c>
      <c r="B48" s="606"/>
      <c r="C48" s="776">
        <f>SUM(C47)</f>
        <v>0</v>
      </c>
      <c r="D48" s="797">
        <f>SUM(D47)</f>
        <v>0</v>
      </c>
      <c r="E48" s="607">
        <f>SUM(E47)</f>
        <v>0</v>
      </c>
      <c r="F48" s="608">
        <f>SUM(F47)</f>
        <v>0</v>
      </c>
    </row>
    <row r="49" spans="1:6" ht="17.25" customHeight="1" x14ac:dyDescent="0.25">
      <c r="A49" s="609" t="s">
        <v>670</v>
      </c>
      <c r="B49" s="596"/>
      <c r="C49" s="777">
        <f>C45-C48</f>
        <v>158440.26999999999</v>
      </c>
      <c r="D49" s="798">
        <f>D45-D48</f>
        <v>339500</v>
      </c>
      <c r="E49" s="610">
        <f>E45-E48</f>
        <v>339500</v>
      </c>
      <c r="F49" s="611">
        <f>F45-F48</f>
        <v>339500</v>
      </c>
    </row>
    <row r="50" spans="1:6" ht="17.25" customHeight="1" x14ac:dyDescent="0.25">
      <c r="A50" s="634" t="s">
        <v>671</v>
      </c>
      <c r="B50" s="635"/>
      <c r="C50" s="778">
        <f>C41+C49</f>
        <v>393862.3</v>
      </c>
      <c r="D50" s="799">
        <f>D41+D49</f>
        <v>733362.3</v>
      </c>
      <c r="E50" s="614">
        <f>E41+E49</f>
        <v>1072862.3</v>
      </c>
      <c r="F50" s="639">
        <f>F41+F49</f>
        <v>1412362.3</v>
      </c>
    </row>
    <row r="51" spans="1:6" ht="17.25" customHeight="1" x14ac:dyDescent="0.25">
      <c r="A51" s="615"/>
      <c r="B51" s="616"/>
      <c r="C51" s="618"/>
      <c r="D51" s="800"/>
      <c r="E51" s="619"/>
      <c r="F51" s="619"/>
    </row>
    <row r="52" spans="1:6" ht="17.25" customHeight="1" x14ac:dyDescent="0.25">
      <c r="A52" s="584" t="s">
        <v>679</v>
      </c>
      <c r="B52" s="585"/>
      <c r="C52" s="771" t="str">
        <f>C1</f>
        <v>2015-2016</v>
      </c>
      <c r="D52" s="791" t="str">
        <f>D1</f>
        <v>2016-2017</v>
      </c>
      <c r="E52" s="586" t="str">
        <f>E1</f>
        <v>2017-2018</v>
      </c>
      <c r="F52" s="641" t="str">
        <f>F1</f>
        <v>2018-2019</v>
      </c>
    </row>
    <row r="53" spans="1:6" ht="17.25" customHeight="1" x14ac:dyDescent="0.25">
      <c r="A53" s="588"/>
      <c r="B53" s="620"/>
      <c r="C53" s="762" t="str">
        <f>+C40</f>
        <v>Actual</v>
      </c>
      <c r="D53" s="792" t="s">
        <v>0</v>
      </c>
      <c r="E53" s="590" t="s">
        <v>0</v>
      </c>
      <c r="F53" s="638" t="s">
        <v>0</v>
      </c>
    </row>
    <row r="54" spans="1:6" ht="17.25" customHeight="1" x14ac:dyDescent="0.25">
      <c r="A54" s="621" t="s">
        <v>657</v>
      </c>
      <c r="B54" s="622"/>
      <c r="C54" s="772">
        <v>3405228.65</v>
      </c>
      <c r="D54" s="803">
        <f>C65</f>
        <v>2865875.6799999997</v>
      </c>
      <c r="E54" s="631">
        <f>D65</f>
        <v>0</v>
      </c>
      <c r="F54" s="642">
        <f>E65</f>
        <v>0</v>
      </c>
    </row>
    <row r="55" spans="1:6" ht="17.25" customHeight="1" x14ac:dyDescent="0.3">
      <c r="A55" s="595" t="s">
        <v>393</v>
      </c>
      <c r="B55" s="596"/>
      <c r="C55" s="773"/>
      <c r="D55" s="794"/>
      <c r="E55" s="596"/>
      <c r="F55" s="644"/>
    </row>
    <row r="56" spans="1:6" ht="17.25" customHeight="1" x14ac:dyDescent="0.25">
      <c r="A56" s="598"/>
      <c r="B56" s="596" t="s">
        <v>256</v>
      </c>
      <c r="C56" s="779">
        <v>0</v>
      </c>
      <c r="D56" s="804">
        <v>0</v>
      </c>
      <c r="E56" s="636">
        <v>0</v>
      </c>
      <c r="F56" s="645">
        <v>0</v>
      </c>
    </row>
    <row r="57" spans="1:6" ht="17.25" customHeight="1" x14ac:dyDescent="0.25">
      <c r="A57" s="598"/>
      <c r="B57" s="596" t="s">
        <v>2</v>
      </c>
      <c r="C57" s="774">
        <v>29021.37</v>
      </c>
      <c r="D57" s="795">
        <v>10000</v>
      </c>
      <c r="E57" s="599">
        <v>1000</v>
      </c>
      <c r="F57" s="646">
        <v>1000</v>
      </c>
    </row>
    <row r="58" spans="1:6" ht="17.25" customHeight="1" x14ac:dyDescent="0.25">
      <c r="A58" s="601" t="s">
        <v>663</v>
      </c>
      <c r="B58" s="602"/>
      <c r="C58" s="775">
        <f>SUM(C56:C57)</f>
        <v>29021.37</v>
      </c>
      <c r="D58" s="796">
        <f>SUM(D56:D57)</f>
        <v>10000</v>
      </c>
      <c r="E58" s="603">
        <f>SUM(E56:E57)</f>
        <v>1000</v>
      </c>
      <c r="F58" s="647">
        <f>SUM(F56:F57)</f>
        <v>1000</v>
      </c>
    </row>
    <row r="59" spans="1:6" ht="17.25" customHeight="1" x14ac:dyDescent="0.3">
      <c r="A59" s="595" t="s">
        <v>394</v>
      </c>
      <c r="B59" s="596"/>
      <c r="C59" s="774"/>
      <c r="D59" s="795"/>
      <c r="E59" s="599"/>
      <c r="F59" s="648"/>
    </row>
    <row r="60" spans="1:6" ht="17.25" customHeight="1" x14ac:dyDescent="0.25">
      <c r="A60" s="598"/>
      <c r="B60" s="596" t="s">
        <v>680</v>
      </c>
      <c r="C60" s="774">
        <v>3500</v>
      </c>
      <c r="D60" s="795">
        <v>3750</v>
      </c>
      <c r="E60" s="599">
        <v>1000</v>
      </c>
      <c r="F60" s="649">
        <v>1000</v>
      </c>
    </row>
    <row r="61" spans="1:6" ht="17.25" customHeight="1" x14ac:dyDescent="0.25">
      <c r="A61" s="598"/>
      <c r="B61" s="596" t="s">
        <v>681</v>
      </c>
      <c r="C61" s="774">
        <v>564874.34</v>
      </c>
      <c r="D61" s="795">
        <v>2872125.68</v>
      </c>
      <c r="E61" s="599">
        <v>0</v>
      </c>
      <c r="F61" s="649">
        <v>0</v>
      </c>
    </row>
    <row r="62" spans="1:6" ht="17.25" customHeight="1" x14ac:dyDescent="0.25">
      <c r="A62" s="598"/>
      <c r="B62" s="596" t="s">
        <v>682</v>
      </c>
      <c r="C62" s="780">
        <v>0</v>
      </c>
      <c r="D62" s="805">
        <v>0</v>
      </c>
      <c r="E62" s="637">
        <v>0</v>
      </c>
      <c r="F62" s="650">
        <v>0</v>
      </c>
    </row>
    <row r="63" spans="1:6" ht="17.25" customHeight="1" x14ac:dyDescent="0.25">
      <c r="A63" s="605" t="s">
        <v>669</v>
      </c>
      <c r="B63" s="606"/>
      <c r="C63" s="776">
        <f>SUM(C60:C62)</f>
        <v>568374.34</v>
      </c>
      <c r="D63" s="797">
        <f>SUM(D60:D62)</f>
        <v>2875875.68</v>
      </c>
      <c r="E63" s="607">
        <f>SUM(E60:E62)</f>
        <v>1000</v>
      </c>
      <c r="F63" s="651">
        <f>SUM(F60:F62)</f>
        <v>1000</v>
      </c>
    </row>
    <row r="64" spans="1:6" ht="17.25" customHeight="1" x14ac:dyDescent="0.25">
      <c r="A64" s="609" t="s">
        <v>670</v>
      </c>
      <c r="B64" s="596"/>
      <c r="C64" s="777">
        <f>C58-C63</f>
        <v>-539352.97</v>
      </c>
      <c r="D64" s="798">
        <f>D58-D63</f>
        <v>-2865875.68</v>
      </c>
      <c r="E64" s="610">
        <f>E58-E63</f>
        <v>0</v>
      </c>
      <c r="F64" s="652">
        <f>F58-F63</f>
        <v>0</v>
      </c>
    </row>
    <row r="65" spans="1:6" ht="17.25" customHeight="1" x14ac:dyDescent="0.25">
      <c r="A65" s="612" t="s">
        <v>671</v>
      </c>
      <c r="B65" s="613"/>
      <c r="C65" s="778">
        <f>C54+C64</f>
        <v>2865875.6799999997</v>
      </c>
      <c r="D65" s="799">
        <f>D54+D64</f>
        <v>0</v>
      </c>
      <c r="E65" s="614">
        <f>E54+E64</f>
        <v>0</v>
      </c>
      <c r="F65" s="653">
        <f>F54+F64</f>
        <v>0</v>
      </c>
    </row>
    <row r="66" spans="1:6" ht="17.25" customHeight="1" x14ac:dyDescent="0.25">
      <c r="A66" s="615"/>
      <c r="B66" s="616"/>
      <c r="C66" s="618"/>
      <c r="D66" s="800"/>
      <c r="E66" s="619"/>
      <c r="F66" s="619"/>
    </row>
    <row r="67" spans="1:6" ht="17.25" customHeight="1" x14ac:dyDescent="0.25">
      <c r="A67" s="584" t="s">
        <v>683</v>
      </c>
      <c r="B67" s="585"/>
      <c r="C67" s="771" t="str">
        <f>C1</f>
        <v>2015-2016</v>
      </c>
      <c r="D67" s="791" t="str">
        <f>D1</f>
        <v>2016-2017</v>
      </c>
      <c r="E67" s="586" t="str">
        <f>E1</f>
        <v>2017-2018</v>
      </c>
      <c r="F67" s="641" t="str">
        <f>F1</f>
        <v>2018-2019</v>
      </c>
    </row>
    <row r="68" spans="1:6" ht="17.25" customHeight="1" x14ac:dyDescent="0.25">
      <c r="A68" s="588"/>
      <c r="B68" s="620"/>
      <c r="C68" s="762" t="str">
        <f>+C53</f>
        <v>Actual</v>
      </c>
      <c r="D68" s="792" t="s">
        <v>0</v>
      </c>
      <c r="E68" s="590" t="s">
        <v>0</v>
      </c>
      <c r="F68" s="638" t="s">
        <v>0</v>
      </c>
    </row>
    <row r="69" spans="1:6" ht="17.25" customHeight="1" x14ac:dyDescent="0.25">
      <c r="A69" s="621" t="s">
        <v>657</v>
      </c>
      <c r="B69" s="622"/>
      <c r="C69" s="781">
        <v>88799.78</v>
      </c>
      <c r="D69" s="801">
        <f>C83</f>
        <v>165705.64000000001</v>
      </c>
      <c r="E69" s="623">
        <f>D83</f>
        <v>93705.640000000014</v>
      </c>
      <c r="F69" s="643">
        <f>E83</f>
        <v>96205.640000000014</v>
      </c>
    </row>
    <row r="70" spans="1:6" ht="17.25" customHeight="1" x14ac:dyDescent="0.3">
      <c r="A70" s="595" t="s">
        <v>393</v>
      </c>
      <c r="B70" s="596"/>
      <c r="C70" s="773"/>
      <c r="D70" s="794"/>
      <c r="E70" s="596"/>
      <c r="F70" s="654"/>
    </row>
    <row r="71" spans="1:6" ht="17.25" customHeight="1" x14ac:dyDescent="0.25">
      <c r="A71" s="598"/>
      <c r="B71" s="596" t="s">
        <v>662</v>
      </c>
      <c r="C71" s="773"/>
      <c r="D71" s="794"/>
      <c r="E71" s="596"/>
      <c r="F71" s="655"/>
    </row>
    <row r="72" spans="1:6" ht="17.25" customHeight="1" x14ac:dyDescent="0.25">
      <c r="A72" s="598"/>
      <c r="B72" s="596" t="s">
        <v>684</v>
      </c>
      <c r="C72" s="774">
        <v>80794.509999999995</v>
      </c>
      <c r="D72" s="795">
        <v>0</v>
      </c>
      <c r="E72" s="599">
        <v>10000</v>
      </c>
      <c r="F72" s="656">
        <v>10000</v>
      </c>
    </row>
    <row r="73" spans="1:6" ht="17.25" customHeight="1" x14ac:dyDescent="0.25">
      <c r="A73" s="598"/>
      <c r="B73" s="596" t="s">
        <v>2</v>
      </c>
      <c r="C73" s="774">
        <v>1111.3499999999999</v>
      </c>
      <c r="D73" s="795">
        <v>1000</v>
      </c>
      <c r="E73" s="599">
        <v>500</v>
      </c>
      <c r="F73" s="657">
        <v>500</v>
      </c>
    </row>
    <row r="74" spans="1:6" ht="17.25" customHeight="1" x14ac:dyDescent="0.25">
      <c r="A74" s="601" t="s">
        <v>663</v>
      </c>
      <c r="B74" s="602"/>
      <c r="C74" s="775">
        <f t="shared" ref="C74:F74" si="8">SUM(C72:C73)</f>
        <v>81905.86</v>
      </c>
      <c r="D74" s="796">
        <f t="shared" si="8"/>
        <v>1000</v>
      </c>
      <c r="E74" s="603">
        <f t="shared" si="8"/>
        <v>10500</v>
      </c>
      <c r="F74" s="658">
        <f t="shared" si="8"/>
        <v>10500</v>
      </c>
    </row>
    <row r="75" spans="1:6" ht="17.25" customHeight="1" x14ac:dyDescent="0.3">
      <c r="A75" s="595" t="s">
        <v>394</v>
      </c>
      <c r="B75" s="596"/>
      <c r="C75" s="774"/>
      <c r="D75" s="795"/>
      <c r="E75" s="599"/>
      <c r="F75" s="659"/>
    </row>
    <row r="76" spans="1:6" ht="17.25" customHeight="1" x14ac:dyDescent="0.25">
      <c r="A76" s="598"/>
      <c r="B76" s="596" t="s">
        <v>664</v>
      </c>
      <c r="C76" s="774">
        <v>0</v>
      </c>
      <c r="D76" s="795">
        <v>0</v>
      </c>
      <c r="E76" s="599">
        <v>0</v>
      </c>
      <c r="F76" s="659">
        <v>0</v>
      </c>
    </row>
    <row r="77" spans="1:6" ht="17.25" customHeight="1" x14ac:dyDescent="0.25">
      <c r="A77" s="598"/>
      <c r="B77" s="596" t="s">
        <v>685</v>
      </c>
      <c r="C77" s="774">
        <v>0</v>
      </c>
      <c r="D77" s="795">
        <v>3000</v>
      </c>
      <c r="E77" s="599">
        <v>3000</v>
      </c>
      <c r="F77" s="660">
        <v>3000</v>
      </c>
    </row>
    <row r="78" spans="1:6" ht="17.25" customHeight="1" x14ac:dyDescent="0.25">
      <c r="A78" s="598"/>
      <c r="B78" s="596" t="s">
        <v>686</v>
      </c>
      <c r="C78" s="774">
        <v>5000</v>
      </c>
      <c r="D78" s="795">
        <v>5000</v>
      </c>
      <c r="E78" s="599">
        <v>5000</v>
      </c>
      <c r="F78" s="660">
        <v>5000</v>
      </c>
    </row>
    <row r="79" spans="1:6" ht="17.25" customHeight="1" x14ac:dyDescent="0.25">
      <c r="A79" s="598"/>
      <c r="B79" s="596" t="s">
        <v>687</v>
      </c>
      <c r="C79" s="774">
        <v>0</v>
      </c>
      <c r="D79" s="795">
        <v>0</v>
      </c>
      <c r="E79" s="599">
        <v>0</v>
      </c>
      <c r="F79" s="661">
        <v>0</v>
      </c>
    </row>
    <row r="80" spans="1:6" ht="17.25" customHeight="1" x14ac:dyDescent="0.25">
      <c r="A80" s="598"/>
      <c r="B80" s="596" t="s">
        <v>528</v>
      </c>
      <c r="C80" s="774">
        <v>0</v>
      </c>
      <c r="D80" s="795">
        <v>65000</v>
      </c>
      <c r="E80" s="599">
        <v>0</v>
      </c>
      <c r="F80" s="661">
        <v>0</v>
      </c>
    </row>
    <row r="81" spans="1:6" ht="17.25" customHeight="1" x14ac:dyDescent="0.25">
      <c r="A81" s="605" t="s">
        <v>669</v>
      </c>
      <c r="B81" s="606"/>
      <c r="C81" s="776">
        <f>SUM(C76:C80)</f>
        <v>5000</v>
      </c>
      <c r="D81" s="797">
        <f>SUM(D76:D80)</f>
        <v>73000</v>
      </c>
      <c r="E81" s="607">
        <f>SUM(E76:E80)</f>
        <v>8000</v>
      </c>
      <c r="F81" s="662">
        <f>SUM(F76:F80)</f>
        <v>8000</v>
      </c>
    </row>
    <row r="82" spans="1:6" ht="17.25" customHeight="1" x14ac:dyDescent="0.25">
      <c r="A82" s="609" t="s">
        <v>670</v>
      </c>
      <c r="B82" s="596"/>
      <c r="C82" s="777">
        <f>C74-C81</f>
        <v>76905.86</v>
      </c>
      <c r="D82" s="798">
        <f>D74-D81</f>
        <v>-72000</v>
      </c>
      <c r="E82" s="610">
        <f>E74-E81</f>
        <v>2500</v>
      </c>
      <c r="F82" s="663">
        <f>F74-F81</f>
        <v>2500</v>
      </c>
    </row>
    <row r="83" spans="1:6" ht="17.25" customHeight="1" x14ac:dyDescent="0.25">
      <c r="A83" s="612" t="s">
        <v>671</v>
      </c>
      <c r="B83" s="613"/>
      <c r="C83" s="778">
        <f>C69+C82</f>
        <v>165705.64000000001</v>
      </c>
      <c r="D83" s="799">
        <f>D69+D82</f>
        <v>93705.640000000014</v>
      </c>
      <c r="E83" s="614">
        <f>E69+E82</f>
        <v>96205.640000000014</v>
      </c>
      <c r="F83" s="664">
        <f>F69+F82</f>
        <v>98705.640000000014</v>
      </c>
    </row>
    <row r="84" spans="1:6" ht="17.25" customHeight="1" x14ac:dyDescent="0.25">
      <c r="A84" s="615"/>
      <c r="B84" s="616"/>
      <c r="C84" s="618"/>
      <c r="D84" s="800"/>
      <c r="E84" s="619"/>
      <c r="F84" s="619"/>
    </row>
    <row r="85" spans="1:6" ht="17.25" customHeight="1" x14ac:dyDescent="0.25">
      <c r="A85" s="584" t="s">
        <v>688</v>
      </c>
      <c r="B85" s="585"/>
      <c r="C85" s="771" t="str">
        <f>C1</f>
        <v>2015-2016</v>
      </c>
      <c r="D85" s="791" t="str">
        <f>D1</f>
        <v>2016-2017</v>
      </c>
      <c r="E85" s="586" t="str">
        <f>E1</f>
        <v>2017-2018</v>
      </c>
      <c r="F85" s="641" t="str">
        <f>F1</f>
        <v>2018-2019</v>
      </c>
    </row>
    <row r="86" spans="1:6" ht="17.25" customHeight="1" x14ac:dyDescent="0.25">
      <c r="A86" s="630" t="s">
        <v>689</v>
      </c>
      <c r="B86" s="620"/>
      <c r="C86" s="762" t="str">
        <f>+C68</f>
        <v>Actual</v>
      </c>
      <c r="D86" s="792" t="s">
        <v>0</v>
      </c>
      <c r="E86" s="590" t="s">
        <v>0</v>
      </c>
      <c r="F86" s="638" t="s">
        <v>0</v>
      </c>
    </row>
    <row r="87" spans="1:6" ht="17.25" customHeight="1" x14ac:dyDescent="0.25">
      <c r="A87" s="621" t="s">
        <v>657</v>
      </c>
      <c r="B87" s="622"/>
      <c r="C87" s="772">
        <v>2057.5700000000002</v>
      </c>
      <c r="D87" s="803">
        <f>C96</f>
        <v>5416.3999999999978</v>
      </c>
      <c r="E87" s="631">
        <f>D96</f>
        <v>6166.3999999999978</v>
      </c>
      <c r="F87" s="665">
        <f>E96</f>
        <v>6916.3999999999978</v>
      </c>
    </row>
    <row r="88" spans="1:6" ht="17.25" customHeight="1" x14ac:dyDescent="0.3">
      <c r="A88" s="595" t="s">
        <v>393</v>
      </c>
      <c r="B88" s="596"/>
      <c r="C88" s="773"/>
      <c r="D88" s="794"/>
      <c r="E88" s="596"/>
      <c r="F88" s="666"/>
    </row>
    <row r="89" spans="1:6" ht="17.25" customHeight="1" x14ac:dyDescent="0.3">
      <c r="A89" s="595"/>
      <c r="B89" s="596" t="s">
        <v>690</v>
      </c>
      <c r="C89" s="782">
        <v>25000</v>
      </c>
      <c r="D89" s="804">
        <v>25000</v>
      </c>
      <c r="E89" s="636">
        <v>25000</v>
      </c>
      <c r="F89" s="667">
        <v>25000</v>
      </c>
    </row>
    <row r="90" spans="1:6" ht="17.25" customHeight="1" x14ac:dyDescent="0.25">
      <c r="A90" s="598"/>
      <c r="B90" s="596" t="s">
        <v>2</v>
      </c>
      <c r="C90" s="774">
        <v>59.26</v>
      </c>
      <c r="D90" s="795">
        <v>50</v>
      </c>
      <c r="E90" s="599">
        <v>50</v>
      </c>
      <c r="F90" s="668">
        <v>50</v>
      </c>
    </row>
    <row r="91" spans="1:6" ht="17.25" customHeight="1" x14ac:dyDescent="0.25">
      <c r="A91" s="601" t="s">
        <v>663</v>
      </c>
      <c r="B91" s="602"/>
      <c r="C91" s="775">
        <f>SUM(C89:C90)</f>
        <v>25059.26</v>
      </c>
      <c r="D91" s="796">
        <f>SUM(D89:D90)</f>
        <v>25050</v>
      </c>
      <c r="E91" s="603">
        <f>SUM(E89:E90)</f>
        <v>25050</v>
      </c>
      <c r="F91" s="669">
        <f>SUM(F89:F90)</f>
        <v>25050</v>
      </c>
    </row>
    <row r="92" spans="1:6" ht="17.25" customHeight="1" x14ac:dyDescent="0.3">
      <c r="A92" s="595" t="s">
        <v>394</v>
      </c>
      <c r="B92" s="596"/>
      <c r="C92" s="774"/>
      <c r="D92" s="795"/>
      <c r="E92" s="599"/>
      <c r="F92" s="670"/>
    </row>
    <row r="93" spans="1:6" ht="17.25" customHeight="1" x14ac:dyDescent="0.25">
      <c r="A93" s="598"/>
      <c r="B93" s="596" t="s">
        <v>691</v>
      </c>
      <c r="C93" s="774">
        <v>21700.43</v>
      </c>
      <c r="D93" s="795">
        <v>24300</v>
      </c>
      <c r="E93" s="599">
        <v>24300</v>
      </c>
      <c r="F93" s="670">
        <v>24300</v>
      </c>
    </row>
    <row r="94" spans="1:6" ht="17.25" customHeight="1" x14ac:dyDescent="0.25">
      <c r="A94" s="605" t="s">
        <v>669</v>
      </c>
      <c r="B94" s="606"/>
      <c r="C94" s="776">
        <f>SUM(C93:C93)</f>
        <v>21700.43</v>
      </c>
      <c r="D94" s="797">
        <f>SUM(D93:D93)</f>
        <v>24300</v>
      </c>
      <c r="E94" s="607">
        <f>SUM(E93:E93)</f>
        <v>24300</v>
      </c>
      <c r="F94" s="671">
        <f>SUM(F93:F93)</f>
        <v>24300</v>
      </c>
    </row>
    <row r="95" spans="1:6" ht="17.25" customHeight="1" x14ac:dyDescent="0.25">
      <c r="A95" s="609" t="s">
        <v>670</v>
      </c>
      <c r="B95" s="596"/>
      <c r="C95" s="777">
        <f>C91-C94</f>
        <v>3358.8299999999981</v>
      </c>
      <c r="D95" s="798">
        <f>D91-D94</f>
        <v>750</v>
      </c>
      <c r="E95" s="610">
        <f>E91-E94</f>
        <v>750</v>
      </c>
      <c r="F95" s="672">
        <f>F91-F94</f>
        <v>750</v>
      </c>
    </row>
    <row r="96" spans="1:6" ht="17.25" customHeight="1" x14ac:dyDescent="0.25">
      <c r="A96" s="612" t="s">
        <v>671</v>
      </c>
      <c r="B96" s="613"/>
      <c r="C96" s="778">
        <f>C87+C95</f>
        <v>5416.3999999999978</v>
      </c>
      <c r="D96" s="799">
        <f>D87+D95</f>
        <v>6166.3999999999978</v>
      </c>
      <c r="E96" s="614">
        <f>E87+E95</f>
        <v>6916.3999999999978</v>
      </c>
      <c r="F96" s="664">
        <f>F87+F95</f>
        <v>7666.3999999999978</v>
      </c>
    </row>
    <row r="97" spans="1:6" ht="17.25" customHeight="1" x14ac:dyDescent="0.25">
      <c r="A97" s="626"/>
      <c r="B97" s="616"/>
      <c r="C97" s="616"/>
      <c r="D97" s="802"/>
      <c r="E97" s="627"/>
      <c r="F97" s="627"/>
    </row>
    <row r="98" spans="1:6" ht="17.25" customHeight="1" x14ac:dyDescent="0.25">
      <c r="A98" s="584" t="s">
        <v>692</v>
      </c>
      <c r="B98" s="585"/>
      <c r="C98" s="771" t="str">
        <f>C1</f>
        <v>2015-2016</v>
      </c>
      <c r="D98" s="791" t="str">
        <f>D1</f>
        <v>2016-2017</v>
      </c>
      <c r="E98" s="586" t="str">
        <f>E1</f>
        <v>2017-2018</v>
      </c>
      <c r="F98" s="673" t="str">
        <f>F1</f>
        <v>2018-2019</v>
      </c>
    </row>
    <row r="99" spans="1:6" ht="17.25" customHeight="1" x14ac:dyDescent="0.25">
      <c r="A99" s="630" t="s">
        <v>693</v>
      </c>
      <c r="B99" s="620"/>
      <c r="C99" s="762" t="str">
        <f>+C86</f>
        <v>Actual</v>
      </c>
      <c r="D99" s="792" t="s">
        <v>0</v>
      </c>
      <c r="E99" s="590" t="s">
        <v>0</v>
      </c>
      <c r="F99" s="638" t="s">
        <v>0</v>
      </c>
    </row>
    <row r="100" spans="1:6" ht="17.25" customHeight="1" x14ac:dyDescent="0.25">
      <c r="A100" s="621" t="s">
        <v>657</v>
      </c>
      <c r="B100" s="622"/>
      <c r="C100" s="781">
        <v>438683.89</v>
      </c>
      <c r="D100" s="801">
        <f>C113</f>
        <v>574377.69999999995</v>
      </c>
      <c r="E100" s="623">
        <f>D113</f>
        <v>131687.69999999995</v>
      </c>
      <c r="F100" s="674">
        <f>E113</f>
        <v>333687.69999999995</v>
      </c>
    </row>
    <row r="101" spans="1:6" ht="17.25" customHeight="1" x14ac:dyDescent="0.3">
      <c r="A101" s="595" t="s">
        <v>393</v>
      </c>
      <c r="B101" s="596"/>
      <c r="C101" s="773"/>
      <c r="D101" s="794"/>
      <c r="E101" s="596"/>
      <c r="F101" s="675"/>
    </row>
    <row r="102" spans="1:6" ht="17.25" customHeight="1" x14ac:dyDescent="0.25">
      <c r="A102" s="598"/>
      <c r="B102" s="596" t="s">
        <v>690</v>
      </c>
      <c r="C102" s="774">
        <v>400000</v>
      </c>
      <c r="D102" s="795">
        <v>200000</v>
      </c>
      <c r="E102" s="599">
        <v>200000</v>
      </c>
      <c r="F102" s="670">
        <v>200000</v>
      </c>
    </row>
    <row r="103" spans="1:6" ht="17.25" customHeight="1" x14ac:dyDescent="0.25">
      <c r="A103" s="598"/>
      <c r="B103" s="596" t="s">
        <v>817</v>
      </c>
      <c r="C103" s="774">
        <v>3049.7</v>
      </c>
      <c r="D103" s="795">
        <v>12500</v>
      </c>
      <c r="E103" s="599">
        <v>2000</v>
      </c>
      <c r="F103" s="670">
        <v>2000</v>
      </c>
    </row>
    <row r="104" spans="1:6" ht="17.25" customHeight="1" x14ac:dyDescent="0.25">
      <c r="A104" s="601" t="s">
        <v>663</v>
      </c>
      <c r="B104" s="602"/>
      <c r="C104" s="775">
        <f t="shared" ref="C104:F104" si="9">SUM(C102:C103)</f>
        <v>403049.7</v>
      </c>
      <c r="D104" s="796">
        <f t="shared" si="9"/>
        <v>212500</v>
      </c>
      <c r="E104" s="603">
        <f t="shared" si="9"/>
        <v>202000</v>
      </c>
      <c r="F104" s="676">
        <f t="shared" si="9"/>
        <v>202000</v>
      </c>
    </row>
    <row r="105" spans="1:6" ht="17.25" customHeight="1" x14ac:dyDescent="0.3">
      <c r="A105" s="595" t="s">
        <v>394</v>
      </c>
      <c r="B105" s="596"/>
      <c r="C105" s="774"/>
      <c r="D105" s="795"/>
      <c r="E105" s="599"/>
      <c r="F105" s="670"/>
    </row>
    <row r="106" spans="1:6" ht="17.25" customHeight="1" x14ac:dyDescent="0.25">
      <c r="A106" s="598"/>
      <c r="B106" s="596" t="s">
        <v>694</v>
      </c>
      <c r="C106" s="774">
        <v>0</v>
      </c>
      <c r="D106" s="795">
        <v>10441</v>
      </c>
      <c r="E106" s="599">
        <v>0</v>
      </c>
      <c r="F106" s="670">
        <v>0</v>
      </c>
    </row>
    <row r="107" spans="1:6" ht="17.25" customHeight="1" x14ac:dyDescent="0.25">
      <c r="A107" s="598"/>
      <c r="B107" s="596" t="s">
        <v>818</v>
      </c>
      <c r="C107" s="774">
        <v>0</v>
      </c>
      <c r="D107" s="795">
        <v>544749</v>
      </c>
      <c r="E107" s="599"/>
      <c r="F107" s="670"/>
    </row>
    <row r="108" spans="1:6" ht="17.25" customHeight="1" x14ac:dyDescent="0.25">
      <c r="A108" s="598"/>
      <c r="B108" s="596" t="s">
        <v>819</v>
      </c>
      <c r="C108" s="774">
        <v>0</v>
      </c>
      <c r="D108" s="795">
        <v>0</v>
      </c>
      <c r="E108" s="599">
        <v>0</v>
      </c>
      <c r="F108" s="670">
        <v>0</v>
      </c>
    </row>
    <row r="109" spans="1:6" ht="17.25" customHeight="1" x14ac:dyDescent="0.25">
      <c r="A109" s="598"/>
      <c r="B109" s="596" t="s">
        <v>528</v>
      </c>
      <c r="C109" s="774">
        <v>0</v>
      </c>
      <c r="D109" s="795">
        <v>100000</v>
      </c>
      <c r="E109" s="599">
        <v>0</v>
      </c>
      <c r="F109" s="670">
        <v>0</v>
      </c>
    </row>
    <row r="110" spans="1:6" ht="17.25" customHeight="1" x14ac:dyDescent="0.25">
      <c r="A110" s="598"/>
      <c r="B110" s="596" t="s">
        <v>695</v>
      </c>
      <c r="C110" s="774">
        <v>267355.89</v>
      </c>
      <c r="D110" s="795">
        <v>0</v>
      </c>
      <c r="E110" s="599">
        <v>0</v>
      </c>
      <c r="F110" s="670">
        <v>0</v>
      </c>
    </row>
    <row r="111" spans="1:6" ht="17.25" customHeight="1" x14ac:dyDescent="0.25">
      <c r="A111" s="605" t="s">
        <v>669</v>
      </c>
      <c r="B111" s="606"/>
      <c r="C111" s="776">
        <f>SUM(C106:C110)</f>
        <v>267355.89</v>
      </c>
      <c r="D111" s="797">
        <f>SUM(D106:D110)</f>
        <v>655190</v>
      </c>
      <c r="E111" s="607">
        <f>SUM(E106:E110)</f>
        <v>0</v>
      </c>
      <c r="F111" s="677">
        <f>SUM(F106:F110)</f>
        <v>0</v>
      </c>
    </row>
    <row r="112" spans="1:6" ht="17.25" customHeight="1" x14ac:dyDescent="0.25">
      <c r="A112" s="609" t="s">
        <v>670</v>
      </c>
      <c r="B112" s="596"/>
      <c r="C112" s="777">
        <f>C104-C111</f>
        <v>135693.81</v>
      </c>
      <c r="D112" s="798">
        <f>D104-D111</f>
        <v>-442690</v>
      </c>
      <c r="E112" s="610">
        <f>E104-E111</f>
        <v>202000</v>
      </c>
      <c r="F112" s="678">
        <f>F104-F111</f>
        <v>202000</v>
      </c>
    </row>
    <row r="113" spans="1:6" ht="17.25" customHeight="1" x14ac:dyDescent="0.25">
      <c r="A113" s="612" t="s">
        <v>671</v>
      </c>
      <c r="B113" s="613"/>
      <c r="C113" s="778">
        <f>C100+C112</f>
        <v>574377.69999999995</v>
      </c>
      <c r="D113" s="799">
        <f>D100+D112</f>
        <v>131687.69999999995</v>
      </c>
      <c r="E113" s="614">
        <f>E100+E112</f>
        <v>333687.69999999995</v>
      </c>
      <c r="F113" s="664">
        <f>F100+F112</f>
        <v>535687.69999999995</v>
      </c>
    </row>
    <row r="114" spans="1:6" ht="17.25" customHeight="1" x14ac:dyDescent="0.25">
      <c r="A114" s="626"/>
      <c r="B114" s="616"/>
      <c r="C114" s="616"/>
      <c r="D114" s="802"/>
      <c r="E114" s="627"/>
      <c r="F114" s="627"/>
    </row>
    <row r="115" spans="1:6" ht="17.25" customHeight="1" x14ac:dyDescent="0.25">
      <c r="A115" s="584" t="s">
        <v>696</v>
      </c>
      <c r="B115" s="585"/>
      <c r="C115" s="771" t="str">
        <f>C1</f>
        <v>2015-2016</v>
      </c>
      <c r="D115" s="791" t="str">
        <f>D1</f>
        <v>2016-2017</v>
      </c>
      <c r="E115" s="586" t="str">
        <f>E1</f>
        <v>2017-2018</v>
      </c>
      <c r="F115" s="673" t="str">
        <f>F1</f>
        <v>2018-2019</v>
      </c>
    </row>
    <row r="116" spans="1:6" ht="17.25" customHeight="1" x14ac:dyDescent="0.25">
      <c r="A116" s="588"/>
      <c r="B116" s="620"/>
      <c r="C116" s="762" t="str">
        <f>+C99</f>
        <v>Actual</v>
      </c>
      <c r="D116" s="792" t="s">
        <v>0</v>
      </c>
      <c r="E116" s="590" t="s">
        <v>0</v>
      </c>
      <c r="F116" s="638" t="s">
        <v>0</v>
      </c>
    </row>
    <row r="117" spans="1:6" ht="17.25" customHeight="1" x14ac:dyDescent="0.25">
      <c r="A117" s="621" t="s">
        <v>657</v>
      </c>
      <c r="B117" s="622"/>
      <c r="C117" s="781">
        <v>557843.54</v>
      </c>
      <c r="D117" s="801">
        <f>C136</f>
        <v>767770.3600000001</v>
      </c>
      <c r="E117" s="623">
        <f>D136</f>
        <v>796446.78000000014</v>
      </c>
      <c r="F117" s="674">
        <f>E136</f>
        <v>810386.20800000022</v>
      </c>
    </row>
    <row r="118" spans="1:6" ht="17.25" customHeight="1" x14ac:dyDescent="0.3">
      <c r="A118" s="595" t="s">
        <v>393</v>
      </c>
      <c r="B118" s="596"/>
      <c r="C118" s="773"/>
      <c r="D118" s="794"/>
      <c r="E118" s="596"/>
      <c r="F118" s="675"/>
    </row>
    <row r="119" spans="1:6" ht="17.25" customHeight="1" x14ac:dyDescent="0.25">
      <c r="A119" s="598"/>
      <c r="B119" s="596" t="s">
        <v>697</v>
      </c>
      <c r="C119" s="774">
        <v>933542.94</v>
      </c>
      <c r="D119" s="795">
        <v>800000</v>
      </c>
      <c r="E119" s="599">
        <v>800000</v>
      </c>
      <c r="F119" s="670">
        <v>800000</v>
      </c>
    </row>
    <row r="120" spans="1:6" ht="17.25" customHeight="1" x14ac:dyDescent="0.25">
      <c r="A120" s="598"/>
      <c r="B120" s="596" t="s">
        <v>698</v>
      </c>
      <c r="C120" s="774">
        <v>0</v>
      </c>
      <c r="D120" s="795">
        <v>0</v>
      </c>
      <c r="E120" s="599">
        <v>0</v>
      </c>
      <c r="F120" s="670">
        <v>0</v>
      </c>
    </row>
    <row r="121" spans="1:6" ht="17.25" customHeight="1" x14ac:dyDescent="0.25">
      <c r="A121" s="598"/>
      <c r="B121" s="596" t="s">
        <v>2</v>
      </c>
      <c r="C121" s="783">
        <v>5538.79</v>
      </c>
      <c r="D121" s="806">
        <v>3000</v>
      </c>
      <c r="E121" s="640">
        <v>3000</v>
      </c>
      <c r="F121" s="679">
        <v>3000</v>
      </c>
    </row>
    <row r="122" spans="1:6" ht="17.25" customHeight="1" x14ac:dyDescent="0.25">
      <c r="A122" s="601" t="s">
        <v>663</v>
      </c>
      <c r="B122" s="602"/>
      <c r="C122" s="775">
        <f>SUM(C119:C121)</f>
        <v>939081.73</v>
      </c>
      <c r="D122" s="796">
        <f>SUM(D119:D121)</f>
        <v>803000</v>
      </c>
      <c r="E122" s="603">
        <f>SUM(E119:E121)</f>
        <v>803000</v>
      </c>
      <c r="F122" s="676">
        <f>SUM(F119:F121)</f>
        <v>803000</v>
      </c>
    </row>
    <row r="123" spans="1:6" ht="17.25" customHeight="1" x14ac:dyDescent="0.3">
      <c r="A123" s="595" t="s">
        <v>394</v>
      </c>
      <c r="B123" s="596"/>
      <c r="C123" s="774"/>
      <c r="D123" s="795"/>
      <c r="E123" s="599"/>
      <c r="F123" s="670"/>
    </row>
    <row r="124" spans="1:6" ht="17.25" customHeight="1" x14ac:dyDescent="0.25">
      <c r="A124" s="598"/>
      <c r="B124" s="596" t="s">
        <v>699</v>
      </c>
      <c r="C124" s="783">
        <f>522733.13+140411.05</f>
        <v>663144.17999999993</v>
      </c>
      <c r="D124" s="806">
        <f>542925+157379</f>
        <v>700304</v>
      </c>
      <c r="E124" s="640">
        <f>D124*1.023</f>
        <v>716410.99199999997</v>
      </c>
      <c r="F124" s="679">
        <f>E124*1.023</f>
        <v>732888.44481599994</v>
      </c>
    </row>
    <row r="125" spans="1:6" ht="17.25" customHeight="1" x14ac:dyDescent="0.25">
      <c r="A125" s="598"/>
      <c r="B125" s="596" t="s">
        <v>700</v>
      </c>
      <c r="C125" s="774">
        <v>1318</v>
      </c>
      <c r="D125" s="795">
        <v>3500</v>
      </c>
      <c r="E125" s="599">
        <v>3500</v>
      </c>
      <c r="F125" s="670">
        <v>3500</v>
      </c>
    </row>
    <row r="126" spans="1:6" ht="17.25" customHeight="1" x14ac:dyDescent="0.25">
      <c r="A126" s="598"/>
      <c r="B126" s="596" t="s">
        <v>701</v>
      </c>
      <c r="C126" s="774">
        <v>7547.65</v>
      </c>
      <c r="D126" s="795">
        <f>4000+1440</f>
        <v>5440</v>
      </c>
      <c r="E126" s="599">
        <v>4000</v>
      </c>
      <c r="F126" s="670">
        <v>4000</v>
      </c>
    </row>
    <row r="127" spans="1:6" ht="17.25" customHeight="1" x14ac:dyDescent="0.25">
      <c r="A127" s="598"/>
      <c r="B127" s="596" t="s">
        <v>702</v>
      </c>
      <c r="C127" s="774">
        <f>162.96+2345.7+1473.96+99.85+1938.88</f>
        <v>6021.35</v>
      </c>
      <c r="D127" s="795">
        <f>14150</f>
        <v>14150</v>
      </c>
      <c r="E127" s="599">
        <v>14150</v>
      </c>
      <c r="F127" s="670">
        <v>14150</v>
      </c>
    </row>
    <row r="128" spans="1:6" ht="17.25" customHeight="1" x14ac:dyDescent="0.25">
      <c r="A128" s="598"/>
      <c r="B128" s="596" t="s">
        <v>703</v>
      </c>
      <c r="C128" s="774">
        <v>12000</v>
      </c>
      <c r="D128" s="795">
        <f>12000</f>
        <v>12000</v>
      </c>
      <c r="E128" s="599">
        <v>12000</v>
      </c>
      <c r="F128" s="670">
        <v>12000</v>
      </c>
    </row>
    <row r="129" spans="1:6" ht="17.25" customHeight="1" x14ac:dyDescent="0.25">
      <c r="A129" s="598"/>
      <c r="B129" s="596" t="s">
        <v>5</v>
      </c>
      <c r="C129" s="774">
        <v>30000</v>
      </c>
      <c r="D129" s="795">
        <v>30000</v>
      </c>
      <c r="E129" s="599">
        <v>30000</v>
      </c>
      <c r="F129" s="670">
        <v>30000</v>
      </c>
    </row>
    <row r="130" spans="1:6" ht="17.25" customHeight="1" x14ac:dyDescent="0.25">
      <c r="A130" s="598"/>
      <c r="B130" s="596" t="s">
        <v>704</v>
      </c>
      <c r="C130" s="774">
        <f>986.75+273.69+463.99</f>
        <v>1724.43</v>
      </c>
      <c r="D130" s="795">
        <v>1530</v>
      </c>
      <c r="E130" s="599">
        <v>1600</v>
      </c>
      <c r="F130" s="670">
        <v>1650</v>
      </c>
    </row>
    <row r="131" spans="1:6" ht="17.25" customHeight="1" x14ac:dyDescent="0.25">
      <c r="A131" s="598"/>
      <c r="B131" s="596" t="s">
        <v>705</v>
      </c>
      <c r="C131" s="774">
        <v>4524.72</v>
      </c>
      <c r="D131" s="795">
        <v>4525</v>
      </c>
      <c r="E131" s="599">
        <v>4525</v>
      </c>
      <c r="F131" s="670">
        <v>4525</v>
      </c>
    </row>
    <row r="132" spans="1:6" ht="17.25" customHeight="1" x14ac:dyDescent="0.25">
      <c r="A132" s="598"/>
      <c r="B132" s="596" t="s">
        <v>706</v>
      </c>
      <c r="C132" s="774">
        <v>2874.58</v>
      </c>
      <c r="D132" s="795">
        <f>C132</f>
        <v>2874.58</v>
      </c>
      <c r="E132" s="599">
        <f>D132</f>
        <v>2874.58</v>
      </c>
      <c r="F132" s="670">
        <f>E132</f>
        <v>2874.58</v>
      </c>
    </row>
    <row r="133" spans="1:6" ht="17.25" customHeight="1" x14ac:dyDescent="0.25">
      <c r="A133" s="598"/>
      <c r="B133" s="596" t="s">
        <v>707</v>
      </c>
      <c r="C133" s="774">
        <v>0</v>
      </c>
      <c r="D133" s="795">
        <v>0</v>
      </c>
      <c r="E133" s="599">
        <v>0</v>
      </c>
      <c r="F133" s="670">
        <v>0</v>
      </c>
    </row>
    <row r="134" spans="1:6" ht="17.25" customHeight="1" x14ac:dyDescent="0.25">
      <c r="A134" s="605" t="s">
        <v>669</v>
      </c>
      <c r="B134" s="606"/>
      <c r="C134" s="776">
        <f t="shared" ref="C134:F134" si="10">SUM(C124:C133)</f>
        <v>729154.90999999992</v>
      </c>
      <c r="D134" s="797">
        <f t="shared" si="10"/>
        <v>774323.58</v>
      </c>
      <c r="E134" s="607">
        <f t="shared" si="10"/>
        <v>789060.57199999993</v>
      </c>
      <c r="F134" s="677">
        <f t="shared" si="10"/>
        <v>805588.0248159999</v>
      </c>
    </row>
    <row r="135" spans="1:6" ht="17.25" customHeight="1" x14ac:dyDescent="0.25">
      <c r="A135" s="609" t="s">
        <v>670</v>
      </c>
      <c r="B135" s="596"/>
      <c r="C135" s="777">
        <f t="shared" ref="C135:F135" si="11">C122-C134</f>
        <v>209926.82000000007</v>
      </c>
      <c r="D135" s="798">
        <f t="shared" si="11"/>
        <v>28676.420000000042</v>
      </c>
      <c r="E135" s="610">
        <f t="shared" si="11"/>
        <v>13939.428000000073</v>
      </c>
      <c r="F135" s="678">
        <f t="shared" si="11"/>
        <v>-2588.0248159999028</v>
      </c>
    </row>
    <row r="136" spans="1:6" ht="17.25" customHeight="1" x14ac:dyDescent="0.25">
      <c r="A136" s="612" t="s">
        <v>671</v>
      </c>
      <c r="B136" s="613"/>
      <c r="C136" s="778">
        <f>C117+C135</f>
        <v>767770.3600000001</v>
      </c>
      <c r="D136" s="799">
        <f>D117+D135</f>
        <v>796446.78000000014</v>
      </c>
      <c r="E136" s="614">
        <f t="shared" ref="E136:F136" si="12">E117+E135</f>
        <v>810386.20800000022</v>
      </c>
      <c r="F136" s="664">
        <f t="shared" si="12"/>
        <v>807798.18318400031</v>
      </c>
    </row>
    <row r="137" spans="1:6" ht="17.25" customHeight="1" x14ac:dyDescent="0.25">
      <c r="A137" s="615"/>
      <c r="B137" s="616"/>
      <c r="C137" s="693"/>
      <c r="D137" s="800"/>
      <c r="E137" s="619"/>
      <c r="F137" s="619"/>
    </row>
    <row r="138" spans="1:6" ht="17.25" customHeight="1" x14ac:dyDescent="0.25">
      <c r="A138" s="584" t="s">
        <v>708</v>
      </c>
      <c r="B138" s="585"/>
      <c r="C138" s="771" t="str">
        <f>C1</f>
        <v>2015-2016</v>
      </c>
      <c r="D138" s="791" t="str">
        <f>D1</f>
        <v>2016-2017</v>
      </c>
      <c r="E138" s="586" t="str">
        <f>E1</f>
        <v>2017-2018</v>
      </c>
      <c r="F138" s="673" t="str">
        <f>F1</f>
        <v>2018-2019</v>
      </c>
    </row>
    <row r="139" spans="1:6" ht="17.25" customHeight="1" x14ac:dyDescent="0.25">
      <c r="A139" s="588"/>
      <c r="B139" s="620"/>
      <c r="C139" s="762" t="str">
        <f>+C116</f>
        <v>Actual</v>
      </c>
      <c r="D139" s="792" t="s">
        <v>0</v>
      </c>
      <c r="E139" s="590" t="s">
        <v>0</v>
      </c>
      <c r="F139" s="638" t="s">
        <v>0</v>
      </c>
    </row>
    <row r="140" spans="1:6" ht="17.25" customHeight="1" x14ac:dyDescent="0.25">
      <c r="A140" s="621" t="s">
        <v>657</v>
      </c>
      <c r="B140" s="622"/>
      <c r="C140" s="784">
        <v>1301430</v>
      </c>
      <c r="D140" s="803">
        <f>C151</f>
        <v>1492632.92</v>
      </c>
      <c r="E140" s="631">
        <f>D151</f>
        <v>1563532.92</v>
      </c>
      <c r="F140" s="665">
        <f>E151</f>
        <v>1603782.92</v>
      </c>
    </row>
    <row r="141" spans="1:6" ht="17.25" customHeight="1" x14ac:dyDescent="0.3">
      <c r="A141" s="595" t="s">
        <v>393</v>
      </c>
      <c r="B141" s="596"/>
      <c r="C141" s="785"/>
      <c r="D141" s="794"/>
      <c r="E141" s="596"/>
      <c r="F141" s="675"/>
    </row>
    <row r="142" spans="1:6" ht="17.25" customHeight="1" x14ac:dyDescent="0.25">
      <c r="A142" s="598"/>
      <c r="B142" s="596" t="s">
        <v>709</v>
      </c>
      <c r="C142" s="786">
        <v>1312245.8799999999</v>
      </c>
      <c r="D142" s="795">
        <v>1300000</v>
      </c>
      <c r="E142" s="599">
        <v>1305000</v>
      </c>
      <c r="F142" s="670">
        <v>1310000</v>
      </c>
    </row>
    <row r="143" spans="1:6" ht="17.25" customHeight="1" x14ac:dyDescent="0.25">
      <c r="A143" s="598"/>
      <c r="B143" s="596" t="s">
        <v>2</v>
      </c>
      <c r="C143" s="786">
        <v>12141.04</v>
      </c>
      <c r="D143" s="795">
        <v>10000</v>
      </c>
      <c r="E143" s="599">
        <v>10200</v>
      </c>
      <c r="F143" s="670">
        <v>10200</v>
      </c>
    </row>
    <row r="144" spans="1:6" ht="17.25" customHeight="1" x14ac:dyDescent="0.25">
      <c r="A144" s="601" t="s">
        <v>663</v>
      </c>
      <c r="B144" s="602"/>
      <c r="C144" s="787">
        <f t="shared" ref="C144:F144" si="13">SUM(C142:C143)</f>
        <v>1324386.92</v>
      </c>
      <c r="D144" s="796">
        <f t="shared" si="13"/>
        <v>1310000</v>
      </c>
      <c r="E144" s="603">
        <f t="shared" si="13"/>
        <v>1315200</v>
      </c>
      <c r="F144" s="676">
        <f t="shared" si="13"/>
        <v>1320200</v>
      </c>
    </row>
    <row r="145" spans="1:6" ht="17.25" customHeight="1" x14ac:dyDescent="0.3">
      <c r="A145" s="595" t="s">
        <v>394</v>
      </c>
      <c r="B145" s="596"/>
      <c r="C145" s="786"/>
      <c r="D145" s="795"/>
      <c r="E145" s="599"/>
      <c r="F145" s="670"/>
    </row>
    <row r="146" spans="1:6" ht="17.25" customHeight="1" x14ac:dyDescent="0.25">
      <c r="A146" s="598"/>
      <c r="B146" s="596" t="s">
        <v>710</v>
      </c>
      <c r="C146" s="786">
        <v>9355</v>
      </c>
      <c r="D146" s="795">
        <v>9100</v>
      </c>
      <c r="E146" s="599">
        <v>9200</v>
      </c>
      <c r="F146" s="670">
        <v>9250</v>
      </c>
    </row>
    <row r="147" spans="1:6" ht="17.25" customHeight="1" x14ac:dyDescent="0.25">
      <c r="A147" s="598"/>
      <c r="B147" s="596" t="s">
        <v>711</v>
      </c>
      <c r="C147" s="786">
        <v>1089268.6399999999</v>
      </c>
      <c r="D147" s="795">
        <v>1196000</v>
      </c>
      <c r="E147" s="599">
        <v>1231250</v>
      </c>
      <c r="F147" s="670">
        <v>1231250</v>
      </c>
    </row>
    <row r="148" spans="1:6" ht="17.25" customHeight="1" x14ac:dyDescent="0.25">
      <c r="A148" s="598"/>
      <c r="B148" s="596" t="s">
        <v>712</v>
      </c>
      <c r="C148" s="786">
        <v>34560.36</v>
      </c>
      <c r="D148" s="795">
        <v>34000</v>
      </c>
      <c r="E148" s="599">
        <v>34500</v>
      </c>
      <c r="F148" s="670">
        <v>34800</v>
      </c>
    </row>
    <row r="149" spans="1:6" ht="17.25" customHeight="1" x14ac:dyDescent="0.25">
      <c r="A149" s="605" t="s">
        <v>669</v>
      </c>
      <c r="B149" s="606"/>
      <c r="C149" s="788">
        <f t="shared" ref="C149:F149" si="14">SUM(C146:C148)</f>
        <v>1133184</v>
      </c>
      <c r="D149" s="797">
        <f t="shared" si="14"/>
        <v>1239100</v>
      </c>
      <c r="E149" s="607">
        <f t="shared" si="14"/>
        <v>1274950</v>
      </c>
      <c r="F149" s="677">
        <f t="shared" si="14"/>
        <v>1275300</v>
      </c>
    </row>
    <row r="150" spans="1:6" ht="17.25" customHeight="1" x14ac:dyDescent="0.25">
      <c r="A150" s="609" t="s">
        <v>670</v>
      </c>
      <c r="B150" s="596"/>
      <c r="C150" s="789">
        <f t="shared" ref="C150:F150" si="15">C144-C149</f>
        <v>191202.91999999993</v>
      </c>
      <c r="D150" s="807">
        <f t="shared" si="15"/>
        <v>70900</v>
      </c>
      <c r="E150" s="610">
        <f t="shared" si="15"/>
        <v>40250</v>
      </c>
      <c r="F150" s="678">
        <f t="shared" si="15"/>
        <v>44900</v>
      </c>
    </row>
    <row r="151" spans="1:6" ht="17.25" customHeight="1" x14ac:dyDescent="0.25">
      <c r="A151" s="625" t="s">
        <v>671</v>
      </c>
      <c r="B151" s="613"/>
      <c r="C151" s="790">
        <f t="shared" ref="C151:F151" si="16">C140+C150</f>
        <v>1492632.92</v>
      </c>
      <c r="D151" s="808">
        <f t="shared" si="16"/>
        <v>1563532.92</v>
      </c>
      <c r="E151" s="614">
        <f t="shared" si="16"/>
        <v>1603782.92</v>
      </c>
      <c r="F151" s="664">
        <f t="shared" si="16"/>
        <v>1648682.92</v>
      </c>
    </row>
    <row r="152" spans="1:6" ht="17.25" customHeight="1" x14ac:dyDescent="0.25">
      <c r="A152" s="615"/>
      <c r="B152" s="616"/>
      <c r="C152" s="618"/>
      <c r="D152" s="618"/>
      <c r="E152" s="619"/>
      <c r="F152" s="619"/>
    </row>
  </sheetData>
  <sheetProtection password="DBAD" sheet="1" objects="1" scenarios="1"/>
  <printOptions horizontalCentered="1"/>
  <pageMargins left="0.7" right="0.5" top="0.5" bottom="0.25" header="0.3" footer="0.3"/>
  <pageSetup scale="3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Comparisons Original</vt:lpstr>
      <vt:lpstr>Data Comparisons</vt:lpstr>
      <vt:lpstr>MYP</vt:lpstr>
      <vt:lpstr>LCFF</vt:lpstr>
      <vt:lpstr>Other Revenue</vt:lpstr>
      <vt:lpstr>Unrestricted-RS &amp; 4-7XXX</vt:lpstr>
      <vt:lpstr>Salaries</vt:lpstr>
      <vt:lpstr>Other Funds</vt:lpstr>
    </vt:vector>
  </TitlesOfParts>
  <Company>Sylvan Union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lgrimm</dc:creator>
  <cp:lastModifiedBy>Velma Beck</cp:lastModifiedBy>
  <cp:lastPrinted>2016-12-05T15:57:41Z</cp:lastPrinted>
  <dcterms:created xsi:type="dcterms:W3CDTF">2012-06-19T21:30:23Z</dcterms:created>
  <dcterms:modified xsi:type="dcterms:W3CDTF">2016-12-05T22:16:02Z</dcterms:modified>
</cp:coreProperties>
</file>