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defaultThemeVersion="124226"/>
  <workbookProtection workbookPassword="E247" lockStructure="1"/>
  <bookViews>
    <workbookView xWindow="90" yWindow="150" windowWidth="23775" windowHeight="5535" tabRatio="961"/>
  </bookViews>
  <sheets>
    <sheet name="MYP Assumptions" sheetId="2" r:id="rId1"/>
    <sheet name="UNRESTRICTED STRS Incrs Calc" sheetId="42" state="hidden" r:id="rId2"/>
    <sheet name="UNRESTRICTED" sheetId="26" r:id="rId3"/>
    <sheet name="RESTRICTED" sheetId="27" r:id="rId4"/>
    <sheet name="COMBINED" sheetId="28" r:id="rId5"/>
    <sheet name="18-19 Budget RS 3010-ALL" sheetId="1" state="hidden" r:id="rId6"/>
    <sheet name="SSC's Dartboard" sheetId="16" r:id="rId7"/>
    <sheet name="LCFF" sheetId="8" r:id="rId8"/>
    <sheet name="Other Revenue" sheetId="36" state="hidden" r:id="rId9"/>
    <sheet name="STRS &amp; PERS" sheetId="35" state="hidden" r:id="rId10"/>
    <sheet name="Textbook Adoption Schedule" sheetId="22" state="hidden" r:id="rId11"/>
    <sheet name="RS 0000 &amp; 1400" sheetId="31" r:id="rId12"/>
    <sheet name="RS 0032" sheetId="43" r:id="rId13"/>
    <sheet name="RS 0042" sheetId="46" r:id="rId14"/>
    <sheet name="RS 0049" sheetId="44" r:id="rId15"/>
    <sheet name="RS 0103" sheetId="45" r:id="rId16"/>
    <sheet name="RS 0617" sheetId="21" r:id="rId17"/>
    <sheet name="RS 0653" sheetId="34" r:id="rId18"/>
    <sheet name="RS 0654" sheetId="30" r:id="rId19"/>
    <sheet name="RS 0655" sheetId="32" r:id="rId20"/>
    <sheet name="RS 1100" sheetId="33" r:id="rId21"/>
    <sheet name="2016-17  RS 3010-DO &amp; All Sites" sheetId="5" state="hidden" r:id="rId22"/>
    <sheet name="RS 3010" sheetId="3" r:id="rId23"/>
    <sheet name="RS 3310" sheetId="12" r:id="rId24"/>
    <sheet name="RS 3311" sheetId="14" r:id="rId25"/>
    <sheet name="RS 4035" sheetId="6" r:id="rId26"/>
    <sheet name="RS 4201" sheetId="9" r:id="rId27"/>
    <sheet name="RS 4203" sheetId="7" r:id="rId28"/>
    <sheet name="RS 5640" sheetId="10" r:id="rId29"/>
    <sheet name="RS 6010" sheetId="11" r:id="rId30"/>
    <sheet name="RS 6230" sheetId="17" r:id="rId31"/>
    <sheet name="RS 6264" sheetId="19" r:id="rId32"/>
    <sheet name="RS 6300" sheetId="20" r:id="rId33"/>
    <sheet name="RS 6500" sheetId="13" r:id="rId34"/>
    <sheet name="RS 6512" sheetId="15" r:id="rId35"/>
    <sheet name="RS 7810" sheetId="18" state="hidden" r:id="rId36"/>
    <sheet name="RS 8150" sheetId="23" r:id="rId37"/>
    <sheet name="RS 9076" sheetId="24" r:id="rId38"/>
    <sheet name="RS 9221" sheetId="40" r:id="rId39"/>
    <sheet name="RS 9222" sheetId="39" r:id="rId40"/>
    <sheet name="RS 9225" sheetId="25" r:id="rId41"/>
    <sheet name="OTHER FUNDS - MYP" sheetId="37" r:id="rId42"/>
    <sheet name="RS XXXX - MYP, BLANK" sheetId="4" state="hidden" r:id="rId43"/>
  </sheets>
  <definedNames>
    <definedName name="_xlnm.Print_Area" localSheetId="21">'2016-17  RS 3010-DO &amp; All Sites'!$A$1:$AG$128</definedName>
    <definedName name="_xlnm.Print_Area" localSheetId="4">COMBINED!$A$1:$L$84</definedName>
    <definedName name="_xlnm.Print_Area" localSheetId="7">LCFF!$A$1:$AC$77</definedName>
    <definedName name="_xlnm.Print_Area" localSheetId="0">'MYP Assumptions'!$B$1:$K$88</definedName>
    <definedName name="_xlnm.Print_Area" localSheetId="41">'OTHER FUNDS - MYP'!$A$1:$H$80</definedName>
    <definedName name="_xlnm.Print_Area" localSheetId="3">RESTRICTED!$A$1:$K$84</definedName>
    <definedName name="_xlnm.Print_Area" localSheetId="11">'RS 0000 &amp; 1400'!$A$1:$V$219</definedName>
    <definedName name="_xlnm.Print_Area" localSheetId="12">'RS 0032'!$A$1:$V$109</definedName>
    <definedName name="_xlnm.Print_Area" localSheetId="13">'RS 0042'!$A$1:$AC$111</definedName>
    <definedName name="_xlnm.Print_Area" localSheetId="14">'RS 0049'!$A$1:$AC$109</definedName>
    <definedName name="_xlnm.Print_Area" localSheetId="15">'RS 0103'!$A$1:$AB$109</definedName>
    <definedName name="_xlnm.Print_Area" localSheetId="16">'RS 0617'!$A$1:$V$99</definedName>
    <definedName name="_xlnm.Print_Area" localSheetId="17">'RS 0653'!$A$1:$V$104</definedName>
    <definedName name="_xlnm.Print_Area" localSheetId="18">'RS 0654'!$A$1:$V$111</definedName>
    <definedName name="_xlnm.Print_Area" localSheetId="19">'RS 0655'!$A$1:$V$117</definedName>
    <definedName name="_xlnm.Print_Area" localSheetId="20">'RS 1100'!$A$1:$V$98</definedName>
    <definedName name="_xlnm.Print_Area" localSheetId="22">'RS 3010'!$A$1:$V$98</definedName>
    <definedName name="_xlnm.Print_Area" localSheetId="23">'RS 3310'!$A$1:$V$105</definedName>
    <definedName name="_xlnm.Print_Area" localSheetId="24">'RS 3311'!$A$1:$V$105</definedName>
    <definedName name="_xlnm.Print_Area" localSheetId="25">'RS 4035'!$A$1:$V$98</definedName>
    <definedName name="_xlnm.Print_Area" localSheetId="26">'RS 4201'!$A$1:$V$99</definedName>
    <definedName name="_xlnm.Print_Area" localSheetId="27">'RS 4203'!$A$1:$V$99</definedName>
    <definedName name="_xlnm.Print_Area" localSheetId="28">'RS 5640'!$A$1:$V$102</definedName>
    <definedName name="_xlnm.Print_Area" localSheetId="29">'RS 6010'!$A$1:$V$99</definedName>
    <definedName name="_xlnm.Print_Area" localSheetId="30">'RS 6230'!$A$1:$V$99</definedName>
    <definedName name="_xlnm.Print_Area" localSheetId="31">'RS 6264'!$A$1:$V$90</definedName>
    <definedName name="_xlnm.Print_Area" localSheetId="32">'RS 6300'!$A$1:$V$95</definedName>
    <definedName name="_xlnm.Print_Area" localSheetId="33">'RS 6500'!$A$1:$V$127</definedName>
    <definedName name="_xlnm.Print_Area" localSheetId="34">'RS 6512'!$A$1:$V$99</definedName>
    <definedName name="_xlnm.Print_Area" localSheetId="36">'RS 8150'!$A$1:$V$112</definedName>
    <definedName name="_xlnm.Print_Area" localSheetId="37">'RS 9076'!$A$1:$V$99</definedName>
    <definedName name="_xlnm.Print_Area" localSheetId="38">'RS 9221'!$A$1:$V$99</definedName>
    <definedName name="_xlnm.Print_Area" localSheetId="39">'RS 9222'!$A$1:$V$99</definedName>
    <definedName name="_xlnm.Print_Area" localSheetId="40">'RS 9225'!$A$1:$V$116</definedName>
    <definedName name="_xlnm.Print_Area" localSheetId="9">'STRS &amp; PERS'!$A$1:$AJ$55</definedName>
    <definedName name="_xlnm.Print_Area" localSheetId="2">UNRESTRICTED!$A$1:$J$84</definedName>
    <definedName name="_xlnm.Print_Area" localSheetId="1">'UNRESTRICTED STRS Incrs Calc'!$A$1:$M$81</definedName>
    <definedName name="_xlnm.Print_Titles" localSheetId="21">'2016-17  RS 3010-DO &amp; All Sites'!$A:$B,'2016-17  RS 3010-DO &amp; All Sites'!$1:$2</definedName>
    <definedName name="_xlnm.Print_Titles" localSheetId="4">COMBINED!$2:$3</definedName>
    <definedName name="_xlnm.Print_Titles" localSheetId="0">'MYP Assumptions'!$1:$4</definedName>
    <definedName name="_xlnm.Print_Titles" localSheetId="3">RESTRICTED!$A:$D</definedName>
    <definedName name="_xlnm.Print_Titles" localSheetId="2">UNRESTRICTED!$A:$D</definedName>
    <definedName name="_xlnm.Print_Titles" localSheetId="1">'UNRESTRICTED STRS Incrs Calc'!$A:$D</definedName>
  </definedNames>
  <calcPr calcId="145621"/>
</workbook>
</file>

<file path=xl/calcChain.xml><?xml version="1.0" encoding="utf-8"?>
<calcChain xmlns="http://schemas.openxmlformats.org/spreadsheetml/2006/main">
  <c r="G52" i="15" l="1"/>
  <c r="H52" i="15"/>
  <c r="L52" i="15" s="1"/>
  <c r="K52" i="15"/>
  <c r="U12" i="13"/>
  <c r="U75" i="6"/>
  <c r="U74" i="6"/>
  <c r="U73" i="6"/>
  <c r="U72" i="6"/>
  <c r="U71" i="6"/>
  <c r="U70" i="6"/>
  <c r="U69" i="6"/>
  <c r="S52" i="12"/>
  <c r="T52" i="12"/>
  <c r="S42" i="33"/>
  <c r="T42" i="33"/>
  <c r="S53" i="45"/>
  <c r="T53" i="45"/>
  <c r="T53" i="43"/>
  <c r="G54" i="34"/>
  <c r="H54" i="34"/>
  <c r="K54" i="34"/>
  <c r="P54" i="34"/>
  <c r="O54" i="34" s="1"/>
  <c r="T54" i="34"/>
  <c r="S54" i="34" s="1"/>
  <c r="O52" i="15" l="1"/>
  <c r="P52" i="15"/>
  <c r="T52" i="23"/>
  <c r="S52" i="23"/>
  <c r="T71" i="13"/>
  <c r="S71" i="13"/>
  <c r="T52" i="19"/>
  <c r="S52" i="19"/>
  <c r="T52" i="11"/>
  <c r="S52" i="11"/>
  <c r="T52" i="10"/>
  <c r="S52" i="10"/>
  <c r="T52" i="7"/>
  <c r="S52" i="7"/>
  <c r="T51" i="6"/>
  <c r="S51" i="6"/>
  <c r="L52" i="14"/>
  <c r="P52" i="14" s="1"/>
  <c r="H52" i="14"/>
  <c r="K52" i="14" s="1"/>
  <c r="T52" i="3"/>
  <c r="L10" i="23"/>
  <c r="S52" i="15" l="1"/>
  <c r="T52" i="15"/>
  <c r="S52" i="14"/>
  <c r="T52" i="14"/>
  <c r="O52" i="14"/>
  <c r="H76" i="37"/>
  <c r="H77" i="37"/>
  <c r="H68" i="37"/>
  <c r="H69" i="37"/>
  <c r="G69" i="37"/>
  <c r="G68" i="37"/>
  <c r="H44" i="37"/>
  <c r="H36" i="37"/>
  <c r="H37" i="37"/>
  <c r="H20" i="37"/>
  <c r="H4" i="37"/>
  <c r="H5" i="37"/>
  <c r="G20" i="37"/>
  <c r="G77" i="37"/>
  <c r="G76" i="37"/>
  <c r="G74" i="37"/>
  <c r="G66" i="37"/>
  <c r="G58" i="37"/>
  <c r="G53" i="37"/>
  <c r="G50" i="37"/>
  <c r="G45" i="37"/>
  <c r="H45" i="37" s="1"/>
  <c r="G44" i="37"/>
  <c r="G42" i="37"/>
  <c r="G37" i="37"/>
  <c r="G36" i="37"/>
  <c r="G34" i="37"/>
  <c r="G28" i="37"/>
  <c r="G26" i="37"/>
  <c r="G21" i="37"/>
  <c r="G18" i="37"/>
  <c r="G10" i="37"/>
  <c r="G5" i="37"/>
  <c r="G4" i="37"/>
  <c r="F70" i="37"/>
  <c r="H12" i="37"/>
  <c r="G12" i="37"/>
  <c r="H6" i="37" l="1"/>
  <c r="C1" i="37"/>
  <c r="D1" i="37"/>
  <c r="F1" i="37"/>
  <c r="G1" i="37"/>
  <c r="H1" i="37"/>
  <c r="H57" i="37"/>
  <c r="E1" i="37"/>
  <c r="H78" i="37"/>
  <c r="H74" i="37"/>
  <c r="H66" i="37"/>
  <c r="H58" i="37"/>
  <c r="H50" i="37"/>
  <c r="H46" i="37"/>
  <c r="H42" i="37"/>
  <c r="H38" i="37"/>
  <c r="H34" i="37"/>
  <c r="H28" i="37"/>
  <c r="H30" i="37" s="1"/>
  <c r="H26" i="37"/>
  <c r="H21" i="37"/>
  <c r="H22" i="37" s="1"/>
  <c r="H18" i="37"/>
  <c r="H10" i="37"/>
  <c r="D2" i="37"/>
  <c r="E2" i="37"/>
  <c r="H41" i="37" l="1"/>
  <c r="H25" i="37"/>
  <c r="H49" i="37"/>
  <c r="H73" i="37"/>
  <c r="H65" i="37"/>
  <c r="H9" i="37"/>
  <c r="H17" i="37"/>
  <c r="H33" i="37"/>
  <c r="T1" i="9"/>
  <c r="P1" i="3"/>
  <c r="W15" i="27" l="1"/>
  <c r="X15" i="27"/>
  <c r="V15" i="27"/>
  <c r="W14" i="27"/>
  <c r="X14" i="27"/>
  <c r="V14" i="27"/>
  <c r="V12" i="27"/>
  <c r="W12" i="27"/>
  <c r="X12" i="27"/>
  <c r="Q7" i="27"/>
  <c r="R7" i="27" s="1"/>
  <c r="Q11" i="27"/>
  <c r="R11" i="27" s="1"/>
  <c r="Q13" i="27"/>
  <c r="R13" i="27" s="1"/>
  <c r="Q15" i="27"/>
  <c r="R15" i="27" s="1"/>
  <c r="Q16" i="27"/>
  <c r="R16" i="27" s="1"/>
  <c r="Q17" i="27"/>
  <c r="R17" i="27" s="1"/>
  <c r="Q18" i="27"/>
  <c r="R18" i="27" s="1"/>
  <c r="Q19" i="27"/>
  <c r="R19" i="27" s="1"/>
  <c r="Q24" i="27"/>
  <c r="R24" i="27" s="1"/>
  <c r="Q26" i="27"/>
  <c r="R26" i="27" s="1"/>
  <c r="Q27" i="27"/>
  <c r="R27" i="27" s="1"/>
  <c r="Q30" i="27"/>
  <c r="R30" i="27" s="1"/>
  <c r="Q31" i="27"/>
  <c r="R31" i="27" s="1"/>
  <c r="Q32" i="27"/>
  <c r="R32" i="27" s="1"/>
  <c r="Q33" i="27"/>
  <c r="R33" i="27"/>
  <c r="Q34" i="27"/>
  <c r="R34" i="27" s="1"/>
  <c r="Q47" i="27"/>
  <c r="R47" i="27" s="1"/>
  <c r="Q52" i="27"/>
  <c r="R52" i="27" s="1"/>
  <c r="Q53" i="27"/>
  <c r="R53" i="27" s="1"/>
  <c r="Q55" i="27"/>
  <c r="R55" i="27" s="1"/>
  <c r="Q57" i="27"/>
  <c r="R57" i="27"/>
  <c r="Q59" i="27"/>
  <c r="R59" i="27" s="1"/>
  <c r="T9" i="13"/>
  <c r="W42" i="26"/>
  <c r="P5" i="32"/>
  <c r="T12" i="31"/>
  <c r="P12" i="31"/>
  <c r="U10" i="32"/>
  <c r="Q10" i="32"/>
  <c r="P10" i="32" s="1"/>
  <c r="U18" i="31"/>
  <c r="T18" i="31" s="1"/>
  <c r="Q18" i="31"/>
  <c r="P18" i="31" s="1"/>
  <c r="T23" i="31"/>
  <c r="P23" i="31"/>
  <c r="T20" i="31"/>
  <c r="T19" i="31"/>
  <c r="P20" i="31"/>
  <c r="P19" i="31"/>
  <c r="U20" i="31"/>
  <c r="U19" i="31"/>
  <c r="T10" i="44"/>
  <c r="U10" i="44"/>
  <c r="P10" i="44"/>
  <c r="Q10" i="44"/>
  <c r="Q7" i="26"/>
  <c r="R7" i="26"/>
  <c r="Q9" i="26"/>
  <c r="R9" i="26"/>
  <c r="Q15" i="26"/>
  <c r="R15" i="26"/>
  <c r="Q16" i="26"/>
  <c r="R16" i="26"/>
  <c r="Q17" i="26"/>
  <c r="R17" i="26"/>
  <c r="Q18" i="26"/>
  <c r="R18" i="26"/>
  <c r="Q19" i="26"/>
  <c r="R19" i="26"/>
  <c r="Q24" i="26"/>
  <c r="R24" i="26"/>
  <c r="Q26" i="26"/>
  <c r="R26" i="26"/>
  <c r="Q27" i="26"/>
  <c r="R27" i="26"/>
  <c r="Q30" i="26"/>
  <c r="R30" i="26"/>
  <c r="Q31" i="26"/>
  <c r="R31" i="26"/>
  <c r="Q32" i="26"/>
  <c r="R32" i="26"/>
  <c r="Q33" i="26"/>
  <c r="R33" i="26"/>
  <c r="Q34" i="26"/>
  <c r="R34" i="26"/>
  <c r="Q52" i="26"/>
  <c r="R52" i="26"/>
  <c r="Q53" i="26"/>
  <c r="R53" i="26"/>
  <c r="Q55" i="26"/>
  <c r="R55" i="26"/>
  <c r="Q57" i="26"/>
  <c r="R57" i="26"/>
  <c r="Q59" i="26"/>
  <c r="R59" i="26"/>
  <c r="T10" i="32" l="1"/>
  <c r="S10" i="32" s="1"/>
  <c r="I12" i="26"/>
  <c r="J73" i="28" l="1"/>
  <c r="J74" i="28"/>
  <c r="J75" i="28"/>
  <c r="J71" i="28"/>
  <c r="T101" i="13" l="1"/>
  <c r="S101" i="13"/>
  <c r="T100" i="13"/>
  <c r="S100" i="13" s="1"/>
  <c r="T99" i="13"/>
  <c r="S99" i="13"/>
  <c r="T98" i="13"/>
  <c r="S98" i="13" s="1"/>
  <c r="T97" i="13"/>
  <c r="S97" i="13"/>
  <c r="T96" i="13"/>
  <c r="S96" i="13" s="1"/>
  <c r="T95" i="13"/>
  <c r="S95" i="13"/>
  <c r="T94" i="13"/>
  <c r="S94" i="13"/>
  <c r="T93" i="13"/>
  <c r="S93" i="13"/>
  <c r="T92" i="13"/>
  <c r="S92" i="13" s="1"/>
  <c r="T91" i="13"/>
  <c r="S91" i="13"/>
  <c r="T90" i="13"/>
  <c r="S90" i="13" s="1"/>
  <c r="T89" i="13"/>
  <c r="S89" i="13"/>
  <c r="T88" i="13"/>
  <c r="S88" i="13" s="1"/>
  <c r="S108" i="13"/>
  <c r="S107" i="13"/>
  <c r="S106" i="13"/>
  <c r="T108" i="13"/>
  <c r="T107" i="13"/>
  <c r="T106" i="13"/>
  <c r="U9" i="13"/>
  <c r="S12" i="13"/>
  <c r="T88" i="23"/>
  <c r="S88" i="23"/>
  <c r="T87" i="23"/>
  <c r="S87" i="23" s="1"/>
  <c r="T86" i="23"/>
  <c r="S86" i="23"/>
  <c r="T85" i="23"/>
  <c r="S85" i="23" s="1"/>
  <c r="T84" i="23"/>
  <c r="S84" i="23"/>
  <c r="T83" i="23"/>
  <c r="S83" i="23" s="1"/>
  <c r="T82" i="23"/>
  <c r="S82" i="23"/>
  <c r="T81" i="23"/>
  <c r="S81" i="23" s="1"/>
  <c r="T80" i="23"/>
  <c r="S80" i="23"/>
  <c r="T79" i="23"/>
  <c r="S79" i="23" s="1"/>
  <c r="T78" i="23"/>
  <c r="S78" i="23"/>
  <c r="T77" i="23"/>
  <c r="S77" i="23" s="1"/>
  <c r="T76" i="23"/>
  <c r="S76" i="23"/>
  <c r="T75" i="23"/>
  <c r="S75" i="23" s="1"/>
  <c r="T74" i="23"/>
  <c r="S74" i="23"/>
  <c r="T73" i="23"/>
  <c r="S73" i="23" s="1"/>
  <c r="T72" i="23"/>
  <c r="S72" i="23"/>
  <c r="T67" i="23"/>
  <c r="S67" i="23"/>
  <c r="T66" i="23"/>
  <c r="S66" i="23" s="1"/>
  <c r="T65" i="23"/>
  <c r="S65" i="23"/>
  <c r="T64" i="23"/>
  <c r="S64" i="23" s="1"/>
  <c r="T63" i="23"/>
  <c r="S63" i="23"/>
  <c r="T62" i="23"/>
  <c r="S62" i="23" s="1"/>
  <c r="T61" i="23"/>
  <c r="S61" i="23"/>
  <c r="T60" i="23"/>
  <c r="S60" i="23" s="1"/>
  <c r="T59" i="23"/>
  <c r="S59" i="23"/>
  <c r="P60" i="13"/>
  <c r="T60" i="13"/>
  <c r="S58" i="13"/>
  <c r="U57" i="13"/>
  <c r="T57" i="13"/>
  <c r="S57" i="13"/>
  <c r="U56" i="13"/>
  <c r="T56" i="13"/>
  <c r="S56" i="13" s="1"/>
  <c r="U55" i="13"/>
  <c r="T55" i="13"/>
  <c r="S55" i="13"/>
  <c r="U54" i="13"/>
  <c r="T54" i="13"/>
  <c r="S54" i="13"/>
  <c r="U53" i="13"/>
  <c r="T53" i="13"/>
  <c r="S53" i="13" s="1"/>
  <c r="U52" i="13"/>
  <c r="T52" i="13"/>
  <c r="S52" i="13"/>
  <c r="U51" i="13"/>
  <c r="T51" i="13"/>
  <c r="S51" i="13"/>
  <c r="U50" i="13"/>
  <c r="T50" i="13"/>
  <c r="S50" i="13"/>
  <c r="U49" i="13"/>
  <c r="T49" i="13"/>
  <c r="S49" i="13" s="1"/>
  <c r="U48" i="13"/>
  <c r="T48" i="13"/>
  <c r="S48" i="13"/>
  <c r="U47" i="13"/>
  <c r="T47" i="13"/>
  <c r="S47" i="13"/>
  <c r="U46" i="13"/>
  <c r="T46" i="13"/>
  <c r="S46" i="13"/>
  <c r="U45" i="13"/>
  <c r="T45" i="13"/>
  <c r="S45" i="13" s="1"/>
  <c r="U44" i="13"/>
  <c r="T44" i="13"/>
  <c r="S44" i="13"/>
  <c r="S43" i="13"/>
  <c r="S40" i="13"/>
  <c r="S39" i="13"/>
  <c r="S38" i="13"/>
  <c r="S37" i="13"/>
  <c r="S36" i="13"/>
  <c r="S35" i="13"/>
  <c r="S34" i="13"/>
  <c r="S33" i="13"/>
  <c r="S32" i="13"/>
  <c r="S31" i="13"/>
  <c r="S30" i="13"/>
  <c r="S29" i="13"/>
  <c r="S28" i="13"/>
  <c r="S27" i="13"/>
  <c r="S26" i="13"/>
  <c r="S25" i="13"/>
  <c r="S24" i="13"/>
  <c r="T39" i="13"/>
  <c r="T38" i="13"/>
  <c r="U37" i="13"/>
  <c r="T37" i="13"/>
  <c r="U36" i="13"/>
  <c r="T36" i="13"/>
  <c r="T35" i="13"/>
  <c r="U34" i="13"/>
  <c r="T34" i="13"/>
  <c r="U33" i="13"/>
  <c r="T33" i="13"/>
  <c r="T32" i="13"/>
  <c r="U31" i="13"/>
  <c r="T31" i="13"/>
  <c r="U30" i="13"/>
  <c r="T30" i="13"/>
  <c r="U29" i="13"/>
  <c r="T29" i="13"/>
  <c r="U28" i="13"/>
  <c r="T28" i="13"/>
  <c r="U27" i="13"/>
  <c r="T27" i="13"/>
  <c r="U26" i="13"/>
  <c r="T26" i="13"/>
  <c r="U25" i="13"/>
  <c r="T25" i="13"/>
  <c r="U24" i="13"/>
  <c r="T24" i="13"/>
  <c r="U9" i="20"/>
  <c r="U21" i="11"/>
  <c r="T21" i="11"/>
  <c r="Q21" i="11"/>
  <c r="P21" i="11"/>
  <c r="T22" i="11"/>
  <c r="U13" i="11"/>
  <c r="T13" i="11" s="1"/>
  <c r="S86" i="10"/>
  <c r="T73" i="10"/>
  <c r="T72" i="10"/>
  <c r="T71" i="10"/>
  <c r="T70" i="10"/>
  <c r="P73" i="10"/>
  <c r="P72" i="10"/>
  <c r="P71" i="10"/>
  <c r="P70" i="10"/>
  <c r="T64" i="10"/>
  <c r="T63" i="10"/>
  <c r="T62" i="10"/>
  <c r="T61" i="10"/>
  <c r="T60" i="10"/>
  <c r="P64" i="10"/>
  <c r="P63" i="10"/>
  <c r="P62" i="10"/>
  <c r="P61" i="10"/>
  <c r="P60" i="10"/>
  <c r="P59" i="10"/>
  <c r="P1" i="7"/>
  <c r="T78" i="7"/>
  <c r="T76" i="7"/>
  <c r="T74" i="7"/>
  <c r="T73" i="7"/>
  <c r="T72" i="7"/>
  <c r="T71" i="7"/>
  <c r="T70" i="7"/>
  <c r="P78" i="7"/>
  <c r="P76" i="7"/>
  <c r="P74" i="7"/>
  <c r="P73" i="7"/>
  <c r="P72" i="7"/>
  <c r="P71" i="7"/>
  <c r="P70" i="7"/>
  <c r="T23" i="7"/>
  <c r="P23" i="7"/>
  <c r="U13" i="9"/>
  <c r="Q13" i="9"/>
  <c r="T78" i="9"/>
  <c r="T62" i="9"/>
  <c r="P62" i="9"/>
  <c r="U13" i="6"/>
  <c r="T13" i="6" s="1"/>
  <c r="T9" i="6"/>
  <c r="P9" i="6"/>
  <c r="P44" i="12"/>
  <c r="P41" i="12"/>
  <c r="P38" i="12"/>
  <c r="P37" i="12"/>
  <c r="P36" i="12"/>
  <c r="P35" i="12"/>
  <c r="P34" i="12"/>
  <c r="P33" i="12"/>
  <c r="U39" i="12"/>
  <c r="T37" i="12"/>
  <c r="T36" i="12"/>
  <c r="U13" i="12"/>
  <c r="T13" i="12"/>
  <c r="P13" i="12"/>
  <c r="T14" i="3"/>
  <c r="P14" i="3"/>
  <c r="Q14" i="3"/>
  <c r="T10" i="12"/>
  <c r="T9" i="12"/>
  <c r="T81" i="3"/>
  <c r="T80" i="3"/>
  <c r="T79" i="3"/>
  <c r="T77" i="3"/>
  <c r="T76" i="3"/>
  <c r="T74" i="3"/>
  <c r="T73" i="3"/>
  <c r="T72" i="3"/>
  <c r="T71" i="3"/>
  <c r="T70" i="3"/>
  <c r="T69" i="3"/>
  <c r="P74" i="3"/>
  <c r="T65" i="3"/>
  <c r="T64" i="3"/>
  <c r="T63" i="3"/>
  <c r="T62" i="3"/>
  <c r="T61" i="3"/>
  <c r="T60" i="3"/>
  <c r="T59" i="3"/>
  <c r="U41" i="3"/>
  <c r="T34" i="3"/>
  <c r="T39" i="3"/>
  <c r="T38" i="3"/>
  <c r="T37" i="3"/>
  <c r="T36" i="3"/>
  <c r="T26" i="3"/>
  <c r="T24" i="3"/>
  <c r="T23" i="3"/>
  <c r="P22" i="3"/>
  <c r="T10" i="3"/>
  <c r="P10" i="3"/>
  <c r="U76" i="33"/>
  <c r="T75" i="33"/>
  <c r="T74" i="33"/>
  <c r="T73" i="33"/>
  <c r="T72" i="33"/>
  <c r="T71" i="33"/>
  <c r="T70" i="33"/>
  <c r="T69" i="33"/>
  <c r="T68" i="33"/>
  <c r="T67" i="33"/>
  <c r="T66" i="33"/>
  <c r="T65" i="33"/>
  <c r="T64" i="33"/>
  <c r="T63" i="33"/>
  <c r="T62" i="33"/>
  <c r="T55" i="33"/>
  <c r="T54" i="33"/>
  <c r="T53" i="33"/>
  <c r="T52" i="33"/>
  <c r="T51" i="33"/>
  <c r="T50" i="33"/>
  <c r="T49" i="33"/>
  <c r="P49" i="33"/>
  <c r="T28" i="33"/>
  <c r="S28" i="33"/>
  <c r="T29" i="33"/>
  <c r="T27" i="33"/>
  <c r="T22" i="33"/>
  <c r="S22" i="33"/>
  <c r="U9" i="33"/>
  <c r="T92" i="32"/>
  <c r="T91" i="32"/>
  <c r="T90" i="32"/>
  <c r="T89" i="32"/>
  <c r="T88" i="32"/>
  <c r="T87" i="32"/>
  <c r="T86" i="32"/>
  <c r="T85" i="32"/>
  <c r="T84" i="32"/>
  <c r="T83" i="32"/>
  <c r="T82" i="32"/>
  <c r="T81" i="32"/>
  <c r="T80" i="32"/>
  <c r="T79" i="32"/>
  <c r="T78" i="32"/>
  <c r="T76" i="32"/>
  <c r="T70" i="32"/>
  <c r="T69" i="32"/>
  <c r="S69" i="32" s="1"/>
  <c r="T68" i="32"/>
  <c r="T67" i="32"/>
  <c r="T66" i="32"/>
  <c r="T65" i="32"/>
  <c r="T64" i="32"/>
  <c r="T63" i="32"/>
  <c r="S70" i="32"/>
  <c r="T56" i="32"/>
  <c r="S56" i="32"/>
  <c r="T55" i="32"/>
  <c r="S55" i="32"/>
  <c r="T40" i="32"/>
  <c r="T39" i="32"/>
  <c r="S39" i="32" s="1"/>
  <c r="U38" i="32"/>
  <c r="T94" i="30"/>
  <c r="U93" i="30"/>
  <c r="T92" i="30"/>
  <c r="T91" i="30"/>
  <c r="T90" i="30"/>
  <c r="T89" i="30"/>
  <c r="T88" i="30"/>
  <c r="T87" i="30"/>
  <c r="T86" i="30"/>
  <c r="T85" i="30"/>
  <c r="T84" i="30"/>
  <c r="T83" i="30"/>
  <c r="T82" i="30"/>
  <c r="P94" i="30"/>
  <c r="O94" i="30"/>
  <c r="T62" i="30"/>
  <c r="S62" i="30"/>
  <c r="T61" i="30"/>
  <c r="S61" i="30"/>
  <c r="T47" i="30"/>
  <c r="P47" i="30"/>
  <c r="P46" i="30"/>
  <c r="P45" i="30"/>
  <c r="P44" i="30"/>
  <c r="P43" i="30"/>
  <c r="P42" i="30"/>
  <c r="P41" i="30"/>
  <c r="P40" i="30"/>
  <c r="Q39" i="30"/>
  <c r="P39" i="30"/>
  <c r="T49" i="30"/>
  <c r="T48" i="30"/>
  <c r="S47" i="30"/>
  <c r="T46" i="30"/>
  <c r="T45" i="30"/>
  <c r="T44" i="30"/>
  <c r="T43" i="30"/>
  <c r="T42" i="30"/>
  <c r="T41" i="30"/>
  <c r="T40" i="30"/>
  <c r="U49" i="30"/>
  <c r="S49" i="30"/>
  <c r="U48" i="30"/>
  <c r="S48" i="30"/>
  <c r="U46" i="30"/>
  <c r="S46" i="30"/>
  <c r="U45" i="30"/>
  <c r="S45" i="30"/>
  <c r="U44" i="30"/>
  <c r="S44" i="30"/>
  <c r="U43" i="30"/>
  <c r="S43" i="30"/>
  <c r="U42" i="30"/>
  <c r="S42" i="30"/>
  <c r="U41" i="30"/>
  <c r="P33" i="30"/>
  <c r="T33" i="30"/>
  <c r="U33" i="30"/>
  <c r="S21" i="30"/>
  <c r="T21" i="30"/>
  <c r="T31" i="30"/>
  <c r="S31" i="30"/>
  <c r="T26" i="30"/>
  <c r="S26" i="30"/>
  <c r="T25" i="30"/>
  <c r="S25" i="30" s="1"/>
  <c r="U24" i="30"/>
  <c r="Q24" i="30"/>
  <c r="T24" i="30"/>
  <c r="S24" i="30"/>
  <c r="T74" i="34"/>
  <c r="T35" i="34"/>
  <c r="T21" i="34"/>
  <c r="T22" i="21"/>
  <c r="T21" i="21"/>
  <c r="P22" i="21"/>
  <c r="P21" i="21"/>
  <c r="S10" i="44"/>
  <c r="P74" i="44"/>
  <c r="T74" i="44"/>
  <c r="T73" i="44"/>
  <c r="T60" i="44"/>
  <c r="T60" i="46"/>
  <c r="P60" i="46"/>
  <c r="T60" i="43"/>
  <c r="T52" i="43"/>
  <c r="U41" i="43"/>
  <c r="U40" i="43"/>
  <c r="U39" i="43"/>
  <c r="U38" i="43"/>
  <c r="U37" i="43"/>
  <c r="U36" i="43"/>
  <c r="U35" i="43"/>
  <c r="P33" i="43"/>
  <c r="T33" i="43" s="1"/>
  <c r="P32" i="43"/>
  <c r="T32" i="43" s="1"/>
  <c r="T28" i="43"/>
  <c r="S28" i="43"/>
  <c r="T27" i="43"/>
  <c r="S27" i="43"/>
  <c r="T16" i="43"/>
  <c r="S13" i="43"/>
  <c r="S12" i="43"/>
  <c r="S11" i="43"/>
  <c r="S10" i="43"/>
  <c r="T202" i="31"/>
  <c r="P202" i="31"/>
  <c r="O145" i="31"/>
  <c r="P145" i="31"/>
  <c r="T145" i="31" s="1"/>
  <c r="S145" i="31"/>
  <c r="P146" i="31"/>
  <c r="T146" i="31" s="1"/>
  <c r="S146" i="31" s="1"/>
  <c r="M45" i="43"/>
  <c r="M46" i="43"/>
  <c r="M47" i="43"/>
  <c r="M48" i="43"/>
  <c r="M49" i="43"/>
  <c r="M50" i="43"/>
  <c r="M51" i="43"/>
  <c r="M116" i="31"/>
  <c r="U116" i="31"/>
  <c r="U115" i="31"/>
  <c r="U121" i="31"/>
  <c r="U120" i="31"/>
  <c r="U118" i="31"/>
  <c r="U117" i="31"/>
  <c r="T110" i="31"/>
  <c r="P110" i="31"/>
  <c r="T103" i="31"/>
  <c r="P103" i="31"/>
  <c r="T102" i="31"/>
  <c r="P102" i="31"/>
  <c r="T83" i="31"/>
  <c r="P83" i="31"/>
  <c r="T80" i="31"/>
  <c r="P80" i="31"/>
  <c r="T76" i="31"/>
  <c r="P76" i="31"/>
  <c r="O41" i="12" l="1"/>
  <c r="S33" i="30"/>
  <c r="O146" i="31"/>
  <c r="T9" i="34"/>
  <c r="J30" i="28"/>
  <c r="J31" i="28"/>
  <c r="J32" i="28"/>
  <c r="J33" i="28"/>
  <c r="J17" i="28"/>
  <c r="J18" i="28"/>
  <c r="J19" i="28"/>
  <c r="J7" i="28"/>
  <c r="J54" i="27"/>
  <c r="J48" i="27"/>
  <c r="J45" i="27"/>
  <c r="J43" i="27"/>
  <c r="J42" i="27"/>
  <c r="J22" i="27"/>
  <c r="J9" i="27"/>
  <c r="I54" i="27"/>
  <c r="I49" i="27"/>
  <c r="I48" i="27"/>
  <c r="I45" i="27"/>
  <c r="I44" i="27" s="1"/>
  <c r="I43" i="27"/>
  <c r="I42" i="27"/>
  <c r="I22" i="27"/>
  <c r="I20" i="27"/>
  <c r="I9" i="27"/>
  <c r="F38" i="2" s="1"/>
  <c r="I56" i="27"/>
  <c r="J54" i="26"/>
  <c r="J49" i="26"/>
  <c r="Q49" i="26" s="1"/>
  <c r="R49" i="26" s="1"/>
  <c r="J48" i="26"/>
  <c r="J45" i="26"/>
  <c r="J43" i="26"/>
  <c r="W43" i="26" s="1"/>
  <c r="J42" i="26"/>
  <c r="J13" i="26"/>
  <c r="J11" i="26"/>
  <c r="J8" i="26"/>
  <c r="I8" i="26"/>
  <c r="I11" i="26"/>
  <c r="I13" i="26"/>
  <c r="I54" i="26"/>
  <c r="I49" i="26"/>
  <c r="I48" i="26"/>
  <c r="I45" i="26"/>
  <c r="I43" i="26"/>
  <c r="V43" i="26" s="1"/>
  <c r="I42" i="26"/>
  <c r="H49" i="27"/>
  <c r="G54" i="27"/>
  <c r="G50" i="27"/>
  <c r="G49" i="27"/>
  <c r="G48" i="27"/>
  <c r="G45" i="27"/>
  <c r="G43" i="27"/>
  <c r="G42" i="27"/>
  <c r="G41" i="27"/>
  <c r="G29" i="27"/>
  <c r="G22" i="27"/>
  <c r="G21" i="27"/>
  <c r="G20" i="27"/>
  <c r="G17" i="27"/>
  <c r="G12" i="27"/>
  <c r="G11" i="27"/>
  <c r="G10" i="27"/>
  <c r="G9" i="27"/>
  <c r="D38" i="2" s="1"/>
  <c r="G8" i="27"/>
  <c r="G6" i="27"/>
  <c r="H3" i="27"/>
  <c r="H45" i="27"/>
  <c r="L30" i="7"/>
  <c r="D85" i="2"/>
  <c r="D66" i="2"/>
  <c r="E66" i="2"/>
  <c r="F66" i="2"/>
  <c r="G66" i="2"/>
  <c r="H66" i="2"/>
  <c r="I66" i="2"/>
  <c r="I65" i="2"/>
  <c r="H65" i="2"/>
  <c r="G65" i="2"/>
  <c r="F65" i="2"/>
  <c r="E65" i="2"/>
  <c r="D65" i="2"/>
  <c r="F37" i="2"/>
  <c r="Q8" i="26" l="1"/>
  <c r="R8" i="26" s="1"/>
  <c r="W44" i="26"/>
  <c r="W45" i="26" s="1"/>
  <c r="Q43" i="27"/>
  <c r="R43" i="27" s="1"/>
  <c r="J9" i="28"/>
  <c r="Q9" i="27"/>
  <c r="R9" i="27" s="1"/>
  <c r="Q45" i="27"/>
  <c r="R45" i="27" s="1"/>
  <c r="Q22" i="27"/>
  <c r="R22" i="27" s="1"/>
  <c r="Q48" i="27"/>
  <c r="R48" i="27" s="1"/>
  <c r="Q42" i="27"/>
  <c r="R42" i="27" s="1"/>
  <c r="J56" i="27"/>
  <c r="Q56" i="27" s="1"/>
  <c r="R56" i="27" s="1"/>
  <c r="Q54" i="27"/>
  <c r="R54" i="27" s="1"/>
  <c r="J42" i="28"/>
  <c r="Q42" i="26"/>
  <c r="R42" i="26" s="1"/>
  <c r="J11" i="28"/>
  <c r="Q11" i="26"/>
  <c r="R11" i="26" s="1"/>
  <c r="J54" i="28"/>
  <c r="Q54" i="26"/>
  <c r="R54" i="26" s="1"/>
  <c r="J13" i="28"/>
  <c r="Q13" i="26"/>
  <c r="R13" i="26" s="1"/>
  <c r="J45" i="28"/>
  <c r="Q45" i="26"/>
  <c r="R45" i="26" s="1"/>
  <c r="Q48" i="26"/>
  <c r="R48" i="26" s="1"/>
  <c r="J43" i="28"/>
  <c r="Q43" i="26"/>
  <c r="R43" i="26" s="1"/>
  <c r="J48" i="28"/>
  <c r="J23" i="28"/>
  <c r="F39" i="2"/>
  <c r="F43" i="2" s="1"/>
  <c r="T10" i="31" l="1"/>
  <c r="P10" i="31"/>
  <c r="I6" i="26" s="1"/>
  <c r="T201" i="31" l="1"/>
  <c r="S201" i="31"/>
  <c r="T200" i="31"/>
  <c r="U202" i="31" s="1"/>
  <c r="T199" i="31"/>
  <c r="S199" i="31"/>
  <c r="T198" i="31"/>
  <c r="S198" i="31" s="1"/>
  <c r="U197" i="31"/>
  <c r="T195" i="31"/>
  <c r="S195" i="31" s="1"/>
  <c r="T194" i="31"/>
  <c r="S194" i="31"/>
  <c r="T191" i="31"/>
  <c r="T184" i="31"/>
  <c r="S184" i="31"/>
  <c r="S183" i="31"/>
  <c r="T182" i="31"/>
  <c r="S182" i="31" s="1"/>
  <c r="T181" i="31"/>
  <c r="S181" i="31" s="1"/>
  <c r="T180" i="31"/>
  <c r="S180" i="31" s="1"/>
  <c r="T179" i="31"/>
  <c r="S179" i="31" s="1"/>
  <c r="T178" i="31"/>
  <c r="S178" i="31" s="1"/>
  <c r="T177" i="31"/>
  <c r="S177" i="31" s="1"/>
  <c r="T176" i="31"/>
  <c r="S176" i="31" s="1"/>
  <c r="T175" i="31"/>
  <c r="S175" i="31" s="1"/>
  <c r="S174" i="31"/>
  <c r="T173" i="31"/>
  <c r="S173" i="31"/>
  <c r="T172" i="31"/>
  <c r="S172" i="31"/>
  <c r="T171" i="31"/>
  <c r="S171" i="31"/>
  <c r="T170" i="31"/>
  <c r="S170" i="31"/>
  <c r="T169" i="31"/>
  <c r="S169" i="31"/>
  <c r="S168" i="31"/>
  <c r="S167" i="31"/>
  <c r="T166" i="31"/>
  <c r="S166" i="31"/>
  <c r="S165" i="31"/>
  <c r="S164" i="31"/>
  <c r="S163" i="31"/>
  <c r="S162" i="31"/>
  <c r="S161" i="31"/>
  <c r="T160" i="31"/>
  <c r="S160" i="31"/>
  <c r="S159" i="31"/>
  <c r="S158" i="31"/>
  <c r="S157" i="31"/>
  <c r="S156" i="31"/>
  <c r="S155" i="31"/>
  <c r="U154" i="31"/>
  <c r="U153" i="31"/>
  <c r="U152" i="31"/>
  <c r="U151" i="31"/>
  <c r="U150" i="31"/>
  <c r="U149" i="31"/>
  <c r="U148" i="31"/>
  <c r="U147" i="31"/>
  <c r="T144" i="31"/>
  <c r="S144" i="31"/>
  <c r="S136" i="31"/>
  <c r="T135" i="31"/>
  <c r="S135" i="31"/>
  <c r="S134" i="31"/>
  <c r="T133" i="31"/>
  <c r="S133" i="31"/>
  <c r="S132" i="31"/>
  <c r="T131" i="31"/>
  <c r="S131" i="31"/>
  <c r="T130" i="31"/>
  <c r="S130" i="31"/>
  <c r="T123" i="31"/>
  <c r="S123" i="31"/>
  <c r="T122" i="31"/>
  <c r="S122" i="31"/>
  <c r="U119" i="31"/>
  <c r="U111" i="31"/>
  <c r="S110" i="31"/>
  <c r="U109" i="31"/>
  <c r="U108" i="31"/>
  <c r="U107" i="31"/>
  <c r="U106" i="31"/>
  <c r="U105" i="31"/>
  <c r="U104" i="31"/>
  <c r="S103" i="31"/>
  <c r="S102" i="31"/>
  <c r="U101" i="31"/>
  <c r="U100" i="31"/>
  <c r="U99" i="31"/>
  <c r="U98" i="31"/>
  <c r="U97" i="31"/>
  <c r="U96" i="31"/>
  <c r="U95" i="31"/>
  <c r="U94" i="31"/>
  <c r="U93" i="31"/>
  <c r="U92" i="31"/>
  <c r="U91" i="31"/>
  <c r="U90" i="31"/>
  <c r="U89" i="31"/>
  <c r="U88" i="31"/>
  <c r="U87" i="31"/>
  <c r="U86" i="31"/>
  <c r="U85" i="31"/>
  <c r="U84" i="31"/>
  <c r="S83" i="31"/>
  <c r="U82" i="31"/>
  <c r="U81" i="31"/>
  <c r="S80" i="31"/>
  <c r="U79" i="31"/>
  <c r="U78" i="31"/>
  <c r="U77" i="31"/>
  <c r="S76" i="31"/>
  <c r="U75" i="31"/>
  <c r="U74" i="31"/>
  <c r="U73" i="31"/>
  <c r="U72" i="31"/>
  <c r="U71" i="31"/>
  <c r="U70" i="31"/>
  <c r="U69" i="31"/>
  <c r="U68" i="31"/>
  <c r="T64" i="31"/>
  <c r="S64" i="31" s="1"/>
  <c r="U62" i="31"/>
  <c r="T61" i="31"/>
  <c r="S61" i="31"/>
  <c r="U60" i="31"/>
  <c r="U59" i="31"/>
  <c r="U58" i="31"/>
  <c r="T57" i="31"/>
  <c r="S57" i="31" s="1"/>
  <c r="T56" i="31"/>
  <c r="S56" i="31" s="1"/>
  <c r="T55" i="31"/>
  <c r="S55" i="31"/>
  <c r="U53" i="31"/>
  <c r="U52" i="31"/>
  <c r="U51" i="31"/>
  <c r="U50" i="31"/>
  <c r="T49" i="31"/>
  <c r="S49" i="31" s="1"/>
  <c r="T48" i="31"/>
  <c r="S48" i="31" s="1"/>
  <c r="T47" i="31"/>
  <c r="S47" i="31"/>
  <c r="U46" i="31"/>
  <c r="U45" i="31"/>
  <c r="U44" i="31"/>
  <c r="U43" i="31"/>
  <c r="U42" i="31"/>
  <c r="U39" i="31"/>
  <c r="S28" i="31"/>
  <c r="S27" i="31"/>
  <c r="T26" i="31"/>
  <c r="J22" i="26" s="1"/>
  <c r="S19" i="31"/>
  <c r="S18" i="31"/>
  <c r="T17" i="31"/>
  <c r="S17" i="31" s="1"/>
  <c r="S16" i="31"/>
  <c r="S15" i="31"/>
  <c r="S14" i="31"/>
  <c r="S13" i="31"/>
  <c r="S12" i="31"/>
  <c r="S11" i="31"/>
  <c r="S10" i="31"/>
  <c r="H36" i="26"/>
  <c r="H37" i="26"/>
  <c r="H38" i="26"/>
  <c r="H39" i="26"/>
  <c r="H40" i="26"/>
  <c r="H41" i="26"/>
  <c r="H42" i="26"/>
  <c r="H43" i="26"/>
  <c r="U43" i="26" s="1"/>
  <c r="H45" i="26"/>
  <c r="P59" i="24"/>
  <c r="L71" i="13"/>
  <c r="L69" i="13"/>
  <c r="L68" i="13"/>
  <c r="L67" i="13"/>
  <c r="L66" i="13"/>
  <c r="M12" i="13"/>
  <c r="L50" i="11"/>
  <c r="L49" i="11"/>
  <c r="L47" i="11"/>
  <c r="Q13" i="11"/>
  <c r="L81" i="6"/>
  <c r="H81" i="6"/>
  <c r="Q13" i="6"/>
  <c r="Q13" i="12"/>
  <c r="L50" i="3"/>
  <c r="L49" i="3"/>
  <c r="L48" i="3"/>
  <c r="L47" i="3"/>
  <c r="U14" i="3"/>
  <c r="J22" i="28" l="1"/>
  <c r="V44" i="26"/>
  <c r="V45" i="26" s="1"/>
  <c r="U14" i="31"/>
  <c r="U194" i="31"/>
  <c r="U11" i="31"/>
  <c r="S20" i="31"/>
  <c r="S200" i="31"/>
  <c r="L12" i="3"/>
  <c r="L3" i="6"/>
  <c r="L3" i="7"/>
  <c r="L3" i="9"/>
  <c r="L40" i="33"/>
  <c r="L39" i="33"/>
  <c r="L37" i="33"/>
  <c r="L56" i="32"/>
  <c r="S66" i="46"/>
  <c r="S68" i="46"/>
  <c r="T66" i="46"/>
  <c r="T67" i="46"/>
  <c r="T69" i="46"/>
  <c r="U66" i="46"/>
  <c r="U67" i="46"/>
  <c r="U68" i="46"/>
  <c r="U69" i="46"/>
  <c r="U65" i="46"/>
  <c r="O66" i="46"/>
  <c r="P66" i="46"/>
  <c r="O67" i="46"/>
  <c r="P67" i="46"/>
  <c r="S67" i="46" s="1"/>
  <c r="O68" i="46"/>
  <c r="P68" i="46"/>
  <c r="T68" i="46" s="1"/>
  <c r="O69" i="46"/>
  <c r="P69" i="46"/>
  <c r="K66" i="46"/>
  <c r="T95" i="46"/>
  <c r="T93" i="46"/>
  <c r="T92" i="46"/>
  <c r="T89" i="46"/>
  <c r="T77" i="46"/>
  <c r="T73" i="46"/>
  <c r="T53" i="46"/>
  <c r="T52" i="46"/>
  <c r="T41" i="46"/>
  <c r="T40" i="46"/>
  <c r="T39" i="46"/>
  <c r="T38" i="46"/>
  <c r="T37" i="46"/>
  <c r="T36" i="46"/>
  <c r="T35" i="46"/>
  <c r="T34" i="46"/>
  <c r="T33" i="46"/>
  <c r="T42" i="46" s="1"/>
  <c r="T32" i="46"/>
  <c r="T28" i="46"/>
  <c r="T27" i="46"/>
  <c r="T26" i="46"/>
  <c r="T25" i="46"/>
  <c r="T24" i="46"/>
  <c r="T29" i="46" s="1"/>
  <c r="W29" i="46" s="1"/>
  <c r="T14" i="46"/>
  <c r="T16" i="46" s="1"/>
  <c r="T6" i="46"/>
  <c r="T3" i="46"/>
  <c r="S10" i="46"/>
  <c r="H95" i="46"/>
  <c r="G95" i="46"/>
  <c r="D95" i="46"/>
  <c r="L93" i="46"/>
  <c r="P93" i="46" s="1"/>
  <c r="K93" i="46"/>
  <c r="G93" i="46"/>
  <c r="L92" i="46"/>
  <c r="K92" i="46"/>
  <c r="G92" i="46"/>
  <c r="AB89" i="46"/>
  <c r="X89" i="46"/>
  <c r="P89" i="46"/>
  <c r="L89" i="46"/>
  <c r="H89" i="46"/>
  <c r="D89" i="46"/>
  <c r="H83" i="46"/>
  <c r="I83" i="46" s="1"/>
  <c r="D83" i="46"/>
  <c r="G83" i="46" s="1"/>
  <c r="AC82" i="46"/>
  <c r="Y82" i="46"/>
  <c r="U82" i="46"/>
  <c r="Q82" i="46"/>
  <c r="M82" i="46"/>
  <c r="L82" i="46" s="1"/>
  <c r="K82" i="46"/>
  <c r="G82" i="46"/>
  <c r="AC81" i="46"/>
  <c r="Y81" i="46"/>
  <c r="U81" i="46"/>
  <c r="Q81" i="46"/>
  <c r="M81" i="46"/>
  <c r="L81" i="46" s="1"/>
  <c r="K81" i="46"/>
  <c r="G81" i="46"/>
  <c r="AC80" i="46"/>
  <c r="Y80" i="46"/>
  <c r="U80" i="46"/>
  <c r="Q80" i="46"/>
  <c r="M80" i="46"/>
  <c r="L80" i="46" s="1"/>
  <c r="K80" i="46"/>
  <c r="G80" i="46"/>
  <c r="AC79" i="46"/>
  <c r="Y79" i="46"/>
  <c r="U79" i="46"/>
  <c r="Q79" i="46"/>
  <c r="M79" i="46"/>
  <c r="L79" i="46" s="1"/>
  <c r="K79" i="46"/>
  <c r="G79" i="46"/>
  <c r="AC78" i="46"/>
  <c r="Y78" i="46"/>
  <c r="U78" i="46"/>
  <c r="Q78" i="46"/>
  <c r="M78" i="46"/>
  <c r="L78" i="46" s="1"/>
  <c r="K78" i="46"/>
  <c r="G78" i="46"/>
  <c r="AC77" i="46"/>
  <c r="Y77" i="46"/>
  <c r="U77" i="46"/>
  <c r="Q77" i="46"/>
  <c r="M77" i="46"/>
  <c r="L77" i="46"/>
  <c r="P77" i="46" s="1"/>
  <c r="K77" i="46"/>
  <c r="G77" i="46"/>
  <c r="AC76" i="46"/>
  <c r="Y76" i="46"/>
  <c r="U76" i="46"/>
  <c r="Q76" i="46"/>
  <c r="M76" i="46"/>
  <c r="L76" i="46" s="1"/>
  <c r="K76" i="46"/>
  <c r="G76" i="46"/>
  <c r="AC75" i="46"/>
  <c r="Y75" i="46"/>
  <c r="U75" i="46"/>
  <c r="Q75" i="46"/>
  <c r="M75" i="46"/>
  <c r="L75" i="46" s="1"/>
  <c r="K75" i="46"/>
  <c r="G75" i="46"/>
  <c r="AC74" i="46"/>
  <c r="Y74" i="46"/>
  <c r="U74" i="46"/>
  <c r="Q74" i="46"/>
  <c r="P74" i="46" s="1"/>
  <c r="O74" i="46"/>
  <c r="K74" i="46"/>
  <c r="G74" i="46"/>
  <c r="AC73" i="46"/>
  <c r="Y73" i="46"/>
  <c r="U73" i="46"/>
  <c r="Q73" i="46"/>
  <c r="P73" i="46"/>
  <c r="O73" i="46"/>
  <c r="K73" i="46"/>
  <c r="G73" i="46"/>
  <c r="G70" i="46"/>
  <c r="D70" i="46"/>
  <c r="AC69" i="46"/>
  <c r="Y69" i="46"/>
  <c r="I69" i="46"/>
  <c r="H69" i="46" s="1"/>
  <c r="K69" i="46" s="1"/>
  <c r="G69" i="46"/>
  <c r="I68" i="46"/>
  <c r="H68" i="46" s="1"/>
  <c r="K68" i="46" s="1"/>
  <c r="G68" i="46"/>
  <c r="I67" i="46"/>
  <c r="H67" i="46" s="1"/>
  <c r="K67" i="46" s="1"/>
  <c r="G67" i="46"/>
  <c r="AC65" i="46"/>
  <c r="Y65" i="46"/>
  <c r="P65" i="46"/>
  <c r="S65" i="46" s="1"/>
  <c r="O65" i="46"/>
  <c r="K65" i="46"/>
  <c r="G65" i="46"/>
  <c r="AC64" i="46"/>
  <c r="Y64" i="46"/>
  <c r="U64" i="46"/>
  <c r="P64" i="46"/>
  <c r="T64" i="46" s="1"/>
  <c r="O64" i="46"/>
  <c r="K64" i="46"/>
  <c r="G64" i="46"/>
  <c r="AC63" i="46"/>
  <c r="Y63" i="46"/>
  <c r="U63" i="46"/>
  <c r="P63" i="46"/>
  <c r="S63" i="46" s="1"/>
  <c r="O63" i="46"/>
  <c r="K63" i="46"/>
  <c r="G63" i="46"/>
  <c r="AC62" i="46"/>
  <c r="Y62" i="46"/>
  <c r="U62" i="46"/>
  <c r="P62" i="46"/>
  <c r="S62" i="46" s="1"/>
  <c r="O62" i="46"/>
  <c r="K62" i="46"/>
  <c r="G62" i="46"/>
  <c r="AC61" i="46"/>
  <c r="Y61" i="46"/>
  <c r="P61" i="46"/>
  <c r="T61" i="46" s="1"/>
  <c r="O61" i="46"/>
  <c r="K61" i="46"/>
  <c r="G61" i="46"/>
  <c r="AC60" i="46"/>
  <c r="Y60" i="46"/>
  <c r="X60" i="46" s="1"/>
  <c r="O60" i="46"/>
  <c r="K60" i="46"/>
  <c r="G60" i="46"/>
  <c r="H54" i="46"/>
  <c r="K54" i="46" s="1"/>
  <c r="D54" i="46"/>
  <c r="G54" i="46" s="1"/>
  <c r="L53" i="46"/>
  <c r="O53" i="46" s="1"/>
  <c r="K53" i="46"/>
  <c r="G53" i="46"/>
  <c r="L52" i="46"/>
  <c r="O52" i="46" s="1"/>
  <c r="K52" i="46"/>
  <c r="G52" i="46"/>
  <c r="AC51" i="46"/>
  <c r="K51" i="46"/>
  <c r="I51" i="46"/>
  <c r="G51" i="46"/>
  <c r="E51" i="46"/>
  <c r="AC50" i="46"/>
  <c r="Y50" i="46"/>
  <c r="U50" i="46"/>
  <c r="Q50" i="46"/>
  <c r="M50" i="46"/>
  <c r="K50" i="46"/>
  <c r="I50" i="46"/>
  <c r="G50" i="46"/>
  <c r="E50" i="46"/>
  <c r="AC49" i="46"/>
  <c r="Y49" i="46"/>
  <c r="U49" i="46"/>
  <c r="Q49" i="46"/>
  <c r="M49" i="46"/>
  <c r="L49" i="46" s="1"/>
  <c r="K49" i="46"/>
  <c r="G49" i="46"/>
  <c r="AC48" i="46"/>
  <c r="Y48" i="46"/>
  <c r="U48" i="46"/>
  <c r="Q48" i="46"/>
  <c r="M48" i="46"/>
  <c r="K48" i="46"/>
  <c r="I48" i="46"/>
  <c r="G48" i="46"/>
  <c r="E48" i="46"/>
  <c r="AC47" i="46"/>
  <c r="Y47" i="46"/>
  <c r="U47" i="46"/>
  <c r="Q47" i="46"/>
  <c r="M47" i="46"/>
  <c r="K47" i="46"/>
  <c r="I47" i="46"/>
  <c r="G47" i="46"/>
  <c r="E47" i="46"/>
  <c r="AC46" i="46"/>
  <c r="Y46" i="46"/>
  <c r="U46" i="46"/>
  <c r="Q46" i="46"/>
  <c r="M46" i="46"/>
  <c r="K46" i="46"/>
  <c r="I46" i="46"/>
  <c r="G46" i="46"/>
  <c r="E46" i="46"/>
  <c r="AC45" i="46"/>
  <c r="U45" i="46"/>
  <c r="Q45" i="46"/>
  <c r="M45" i="46"/>
  <c r="K45" i="46"/>
  <c r="I45" i="46"/>
  <c r="G45" i="46"/>
  <c r="E45" i="46"/>
  <c r="H42" i="46"/>
  <c r="K42" i="46" s="1"/>
  <c r="D42" i="46"/>
  <c r="G42" i="46" s="1"/>
  <c r="Q41" i="46"/>
  <c r="M41" i="46"/>
  <c r="L41" i="46"/>
  <c r="P41" i="46" s="1"/>
  <c r="K41" i="46"/>
  <c r="G41" i="46"/>
  <c r="Q40" i="46"/>
  <c r="M40" i="46"/>
  <c r="L40" i="46"/>
  <c r="P40" i="46" s="1"/>
  <c r="K40" i="46"/>
  <c r="G40" i="46"/>
  <c r="Q39" i="46"/>
  <c r="O39" i="46"/>
  <c r="M39" i="46"/>
  <c r="L39" i="46"/>
  <c r="P39" i="46" s="1"/>
  <c r="K39" i="46"/>
  <c r="G39" i="46"/>
  <c r="Q38" i="46"/>
  <c r="M38" i="46"/>
  <c r="L38" i="46"/>
  <c r="P38" i="46" s="1"/>
  <c r="K38" i="46"/>
  <c r="G38" i="46"/>
  <c r="Q37" i="46"/>
  <c r="M37" i="46"/>
  <c r="L37" i="46"/>
  <c r="P37" i="46" s="1"/>
  <c r="K37" i="46"/>
  <c r="G37" i="46"/>
  <c r="Q36" i="46"/>
  <c r="P36" i="46"/>
  <c r="O36" i="46"/>
  <c r="M36" i="46"/>
  <c r="L36" i="46"/>
  <c r="K36" i="46"/>
  <c r="G36" i="46"/>
  <c r="Q35" i="46"/>
  <c r="M35" i="46"/>
  <c r="L35" i="46"/>
  <c r="P35" i="46" s="1"/>
  <c r="K35" i="46"/>
  <c r="G35" i="46"/>
  <c r="AC34" i="46"/>
  <c r="Y34" i="46"/>
  <c r="U34" i="46"/>
  <c r="Q34" i="46"/>
  <c r="O34" i="46"/>
  <c r="M34" i="46"/>
  <c r="L34" i="46"/>
  <c r="P34" i="46" s="1"/>
  <c r="K34" i="46"/>
  <c r="G34" i="46"/>
  <c r="AC33" i="46"/>
  <c r="Y33" i="46"/>
  <c r="U33" i="46"/>
  <c r="Q33" i="46"/>
  <c r="O33" i="46"/>
  <c r="M33" i="46"/>
  <c r="L33" i="46"/>
  <c r="P33" i="46" s="1"/>
  <c r="K33" i="46"/>
  <c r="G33" i="46"/>
  <c r="AC32" i="46"/>
  <c r="Y32" i="46"/>
  <c r="U32" i="46"/>
  <c r="Q32" i="46"/>
  <c r="M32" i="46"/>
  <c r="L32" i="46"/>
  <c r="L42" i="46" s="1"/>
  <c r="K32" i="46"/>
  <c r="G32" i="46"/>
  <c r="AB29" i="46"/>
  <c r="AA29" i="46"/>
  <c r="X29" i="46"/>
  <c r="K29" i="46"/>
  <c r="H29" i="46"/>
  <c r="D29" i="46"/>
  <c r="I29" i="46" s="1"/>
  <c r="O28" i="46"/>
  <c r="L28" i="46"/>
  <c r="P28" i="46" s="1"/>
  <c r="K28" i="46"/>
  <c r="G28" i="46"/>
  <c r="L27" i="46"/>
  <c r="P27" i="46" s="1"/>
  <c r="K27" i="46"/>
  <c r="G27" i="46"/>
  <c r="L26" i="46"/>
  <c r="P26" i="46" s="1"/>
  <c r="K26" i="46"/>
  <c r="G26" i="46"/>
  <c r="P25" i="46"/>
  <c r="O25" i="46"/>
  <c r="K25" i="46"/>
  <c r="G25" i="46"/>
  <c r="O24" i="46"/>
  <c r="L24" i="46"/>
  <c r="P24" i="46" s="1"/>
  <c r="P29" i="46" s="1"/>
  <c r="K24" i="46"/>
  <c r="G24" i="46"/>
  <c r="D16" i="46"/>
  <c r="G16" i="46" s="1"/>
  <c r="P14" i="46"/>
  <c r="L14" i="46"/>
  <c r="L16" i="46" s="1"/>
  <c r="O16" i="46" s="1"/>
  <c r="H14" i="46"/>
  <c r="H16" i="46" s="1"/>
  <c r="K16" i="46" s="1"/>
  <c r="G14" i="46"/>
  <c r="D14" i="46"/>
  <c r="O13" i="46"/>
  <c r="K13" i="46"/>
  <c r="G13" i="46"/>
  <c r="O12" i="46"/>
  <c r="K12" i="46"/>
  <c r="G12" i="46"/>
  <c r="O11" i="46"/>
  <c r="K11" i="46"/>
  <c r="G11" i="46"/>
  <c r="O10" i="46"/>
  <c r="K10" i="46"/>
  <c r="G10" i="46"/>
  <c r="AB9" i="46"/>
  <c r="AB14" i="46" s="1"/>
  <c r="L6" i="46"/>
  <c r="P6" i="46" s="1"/>
  <c r="H6" i="46"/>
  <c r="AB3" i="46"/>
  <c r="X3" i="46"/>
  <c r="X9" i="46" s="1"/>
  <c r="P3" i="46"/>
  <c r="L3" i="46"/>
  <c r="H3" i="46"/>
  <c r="D3" i="46"/>
  <c r="K93" i="30"/>
  <c r="K94" i="30"/>
  <c r="L85" i="30"/>
  <c r="L83" i="30"/>
  <c r="L62" i="30"/>
  <c r="L60" i="30"/>
  <c r="L59" i="30"/>
  <c r="L58" i="30"/>
  <c r="L57" i="30"/>
  <c r="T32" i="30"/>
  <c r="U32" i="30"/>
  <c r="Q32" i="30"/>
  <c r="P32" i="30"/>
  <c r="L52" i="34"/>
  <c r="L49" i="34"/>
  <c r="L76" i="45"/>
  <c r="T28" i="45"/>
  <c r="S28" i="45"/>
  <c r="T27" i="45"/>
  <c r="S27" i="45"/>
  <c r="S26" i="45"/>
  <c r="T25" i="45"/>
  <c r="S25" i="45"/>
  <c r="S24" i="45"/>
  <c r="L51" i="43"/>
  <c r="L50" i="43"/>
  <c r="L49" i="43"/>
  <c r="L48" i="43"/>
  <c r="H45" i="43"/>
  <c r="AB45" i="46" l="1"/>
  <c r="AB54" i="46" s="1"/>
  <c r="AB56" i="46" s="1"/>
  <c r="P49" i="46"/>
  <c r="S49" i="46" s="1"/>
  <c r="S74" i="46"/>
  <c r="T74" i="46"/>
  <c r="L45" i="46"/>
  <c r="O45" i="46" s="1"/>
  <c r="X64" i="46"/>
  <c r="AA64" i="46" s="1"/>
  <c r="W64" i="46"/>
  <c r="T65" i="46"/>
  <c r="T62" i="46"/>
  <c r="T63" i="46"/>
  <c r="W63" i="46" s="1"/>
  <c r="S64" i="46"/>
  <c r="T48" i="46"/>
  <c r="T50" i="46"/>
  <c r="T46" i="46"/>
  <c r="T47" i="46"/>
  <c r="X6" i="46"/>
  <c r="AB6" i="46" s="1"/>
  <c r="X73" i="46"/>
  <c r="AB73" i="46" s="1"/>
  <c r="W73" i="46"/>
  <c r="S77" i="46"/>
  <c r="S73" i="46"/>
  <c r="O77" i="46"/>
  <c r="L95" i="46"/>
  <c r="O95" i="46" s="1"/>
  <c r="S60" i="46"/>
  <c r="O26" i="46"/>
  <c r="O35" i="46"/>
  <c r="I42" i="46"/>
  <c r="P52" i="46"/>
  <c r="O32" i="46"/>
  <c r="O40" i="46"/>
  <c r="O49" i="46"/>
  <c r="L29" i="46"/>
  <c r="M29" i="46" s="1"/>
  <c r="K14" i="46"/>
  <c r="S29" i="46"/>
  <c r="S34" i="46"/>
  <c r="AA9" i="46"/>
  <c r="X14" i="46"/>
  <c r="O29" i="46"/>
  <c r="S33" i="46"/>
  <c r="S14" i="46"/>
  <c r="W9" i="46"/>
  <c r="AB16" i="46"/>
  <c r="AB18" i="46"/>
  <c r="O42" i="46"/>
  <c r="L46" i="46"/>
  <c r="O46" i="46" s="1"/>
  <c r="M42" i="46"/>
  <c r="L47" i="46"/>
  <c r="O47" i="46" s="1"/>
  <c r="Q14" i="46"/>
  <c r="D18" i="46"/>
  <c r="G18" i="46" s="1"/>
  <c r="O27" i="46"/>
  <c r="G29" i="46"/>
  <c r="P32" i="46"/>
  <c r="O38" i="46"/>
  <c r="L83" i="46"/>
  <c r="P75" i="46"/>
  <c r="T75" i="46" s="1"/>
  <c r="O75" i="46"/>
  <c r="P81" i="46"/>
  <c r="T81" i="46" s="1"/>
  <c r="O81" i="46"/>
  <c r="M14" i="46"/>
  <c r="P16" i="46"/>
  <c r="S16" i="46" s="1"/>
  <c r="O37" i="46"/>
  <c r="O41" i="46"/>
  <c r="H56" i="46"/>
  <c r="D56" i="46"/>
  <c r="G56" i="46" s="1"/>
  <c r="P80" i="46"/>
  <c r="T80" i="46" s="1"/>
  <c r="O80" i="46"/>
  <c r="O14" i="46"/>
  <c r="H18" i="46"/>
  <c r="X61" i="46"/>
  <c r="W61" i="46"/>
  <c r="P79" i="46"/>
  <c r="T79" i="46" s="1"/>
  <c r="O79" i="46"/>
  <c r="K83" i="46"/>
  <c r="S52" i="46"/>
  <c r="P76" i="46"/>
  <c r="T76" i="46" s="1"/>
  <c r="O76" i="46"/>
  <c r="P78" i="46"/>
  <c r="T78" i="46" s="1"/>
  <c r="O78" i="46"/>
  <c r="P82" i="46"/>
  <c r="T82" i="46" s="1"/>
  <c r="O82" i="46"/>
  <c r="P53" i="46"/>
  <c r="I54" i="46"/>
  <c r="W60" i="46"/>
  <c r="AB60" i="46"/>
  <c r="X63" i="46"/>
  <c r="O92" i="46"/>
  <c r="O93" i="46"/>
  <c r="P92" i="46"/>
  <c r="I95" i="46"/>
  <c r="S61" i="46"/>
  <c r="H70" i="46"/>
  <c r="K95" i="46"/>
  <c r="S32" i="30"/>
  <c r="T29" i="45"/>
  <c r="L123" i="31"/>
  <c r="L12" i="31"/>
  <c r="P45" i="46" l="1"/>
  <c r="T45" i="46" s="1"/>
  <c r="W45" i="46" s="1"/>
  <c r="T49" i="46"/>
  <c r="W49" i="46" s="1"/>
  <c r="AA73" i="46"/>
  <c r="T83" i="46"/>
  <c r="AB64" i="46"/>
  <c r="W77" i="46"/>
  <c r="X77" i="46"/>
  <c r="M95" i="46"/>
  <c r="P83" i="46"/>
  <c r="Q83" i="46" s="1"/>
  <c r="W74" i="46"/>
  <c r="X74" i="46"/>
  <c r="D98" i="46"/>
  <c r="L50" i="46"/>
  <c r="O50" i="46" s="1"/>
  <c r="L48" i="46"/>
  <c r="O48" i="46" s="1"/>
  <c r="Q29" i="46"/>
  <c r="I70" i="46"/>
  <c r="P95" i="46"/>
  <c r="X65" i="46"/>
  <c r="W65" i="46"/>
  <c r="H108" i="46"/>
  <c r="S81" i="46"/>
  <c r="S79" i="46"/>
  <c r="AB61" i="46"/>
  <c r="AA61" i="46"/>
  <c r="I56" i="46"/>
  <c r="K56" i="46"/>
  <c r="X34" i="46"/>
  <c r="W34" i="46"/>
  <c r="X62" i="46"/>
  <c r="W62" i="46"/>
  <c r="X16" i="46"/>
  <c r="AA16" i="46" s="1"/>
  <c r="AA14" i="46"/>
  <c r="S78" i="46"/>
  <c r="X33" i="46"/>
  <c r="W33" i="46"/>
  <c r="H98" i="46"/>
  <c r="AB63" i="46"/>
  <c r="AA63" i="46"/>
  <c r="S82" i="46"/>
  <c r="S76" i="46"/>
  <c r="W52" i="46"/>
  <c r="X52" i="46"/>
  <c r="D108" i="46"/>
  <c r="S75" i="46"/>
  <c r="AA60" i="46"/>
  <c r="S32" i="46"/>
  <c r="P42" i="46"/>
  <c r="W16" i="46"/>
  <c r="W14" i="46"/>
  <c r="S80" i="46"/>
  <c r="O83" i="46"/>
  <c r="M83" i="46"/>
  <c r="L13" i="31"/>
  <c r="M11" i="31" s="1"/>
  <c r="S45" i="46" l="1"/>
  <c r="X49" i="46"/>
  <c r="AB49" i="46" s="1"/>
  <c r="D109" i="46"/>
  <c r="AA77" i="46"/>
  <c r="AB77" i="46"/>
  <c r="AB74" i="46"/>
  <c r="AA74" i="46"/>
  <c r="G98" i="46"/>
  <c r="D100" i="46"/>
  <c r="X80" i="46"/>
  <c r="W80" i="46"/>
  <c r="X32" i="46"/>
  <c r="W32" i="46"/>
  <c r="X79" i="46"/>
  <c r="W79" i="46"/>
  <c r="X78" i="46"/>
  <c r="W78" i="46"/>
  <c r="X76" i="46"/>
  <c r="W76" i="46"/>
  <c r="X18" i="46"/>
  <c r="AA18" i="46" s="1"/>
  <c r="AB34" i="46"/>
  <c r="AA34" i="46"/>
  <c r="AB65" i="46"/>
  <c r="AA65" i="46"/>
  <c r="X75" i="46"/>
  <c r="W75" i="46"/>
  <c r="X82" i="46"/>
  <c r="W82" i="46"/>
  <c r="P50" i="46"/>
  <c r="S50" i="46" s="1"/>
  <c r="P47" i="46"/>
  <c r="S47" i="46" s="1"/>
  <c r="P48" i="46"/>
  <c r="S48" i="46" s="1"/>
  <c r="S42" i="46"/>
  <c r="P46" i="46"/>
  <c r="Q42" i="46"/>
  <c r="AB52" i="46"/>
  <c r="AA52" i="46"/>
  <c r="I98" i="46"/>
  <c r="H109" i="46"/>
  <c r="H100" i="46"/>
  <c r="AB33" i="46"/>
  <c r="AA33" i="46"/>
  <c r="D102" i="46"/>
  <c r="G102" i="46" s="1"/>
  <c r="G100" i="46"/>
  <c r="X81" i="46"/>
  <c r="W81" i="46"/>
  <c r="X92" i="46"/>
  <c r="AB62" i="46"/>
  <c r="AA62" i="46"/>
  <c r="Q95" i="46"/>
  <c r="H54" i="27"/>
  <c r="H69" i="13"/>
  <c r="H68" i="13"/>
  <c r="H67" i="13"/>
  <c r="H66" i="13"/>
  <c r="H65" i="13"/>
  <c r="H64" i="13"/>
  <c r="H63" i="13"/>
  <c r="H36" i="13"/>
  <c r="H39" i="13"/>
  <c r="H50" i="3"/>
  <c r="H49" i="3"/>
  <c r="H48" i="3"/>
  <c r="H47" i="3"/>
  <c r="H46" i="3"/>
  <c r="H10" i="3"/>
  <c r="J6" i="26"/>
  <c r="Q6" i="26" s="1"/>
  <c r="R6" i="26" s="1"/>
  <c r="AB101" i="32"/>
  <c r="X101" i="32"/>
  <c r="T101" i="32"/>
  <c r="P101" i="32"/>
  <c r="Q101" i="32" s="1"/>
  <c r="L101" i="32"/>
  <c r="H101" i="32"/>
  <c r="I101" i="32" s="1"/>
  <c r="D101" i="32"/>
  <c r="H85" i="30"/>
  <c r="H83" i="30"/>
  <c r="H26" i="30"/>
  <c r="AA49" i="46" l="1"/>
  <c r="AA81" i="46"/>
  <c r="AB81" i="46"/>
  <c r="S46" i="46"/>
  <c r="AA76" i="46"/>
  <c r="AB76" i="46"/>
  <c r="AA78" i="46"/>
  <c r="AB78" i="46"/>
  <c r="X42" i="46"/>
  <c r="AB32" i="46"/>
  <c r="AB42" i="46" s="1"/>
  <c r="AA32" i="46"/>
  <c r="H102" i="46"/>
  <c r="AA75" i="46"/>
  <c r="AB75" i="46"/>
  <c r="X83" i="46"/>
  <c r="W50" i="46"/>
  <c r="W47" i="46"/>
  <c r="W48" i="46"/>
  <c r="W46" i="46"/>
  <c r="W42" i="46"/>
  <c r="X95" i="46"/>
  <c r="AB92" i="46"/>
  <c r="AB95" i="46" s="1"/>
  <c r="AA82" i="46"/>
  <c r="AB82" i="46"/>
  <c r="T70" i="46"/>
  <c r="L70" i="46"/>
  <c r="AA79" i="46"/>
  <c r="AB79" i="46"/>
  <c r="W83" i="46"/>
  <c r="S83" i="46"/>
  <c r="AA80" i="46"/>
  <c r="AB80" i="46"/>
  <c r="M101" i="32"/>
  <c r="H119" i="31"/>
  <c r="AB51" i="46" l="1"/>
  <c r="AB48" i="46"/>
  <c r="AB50" i="46"/>
  <c r="AB47" i="46"/>
  <c r="AB46" i="46"/>
  <c r="AB83" i="46"/>
  <c r="M70" i="46"/>
  <c r="K70" i="46"/>
  <c r="X50" i="46"/>
  <c r="AA50" i="46" s="1"/>
  <c r="X48" i="46"/>
  <c r="AA48" i="46" s="1"/>
  <c r="X46" i="46"/>
  <c r="AA46" i="46" s="1"/>
  <c r="AA42" i="46"/>
  <c r="X47" i="46"/>
  <c r="AA47" i="46" s="1"/>
  <c r="S69" i="46"/>
  <c r="AA83" i="46"/>
  <c r="L7" i="46"/>
  <c r="P70" i="46"/>
  <c r="Q70" i="46" l="1"/>
  <c r="X69" i="46"/>
  <c r="W69" i="46"/>
  <c r="O70" i="46"/>
  <c r="K98" i="46"/>
  <c r="L18" i="46"/>
  <c r="L10" i="3"/>
  <c r="K102" i="46" l="1"/>
  <c r="M18" i="46"/>
  <c r="K18" i="46"/>
  <c r="K100" i="46"/>
  <c r="AB69" i="46"/>
  <c r="AB70" i="46" s="1"/>
  <c r="AA69" i="46"/>
  <c r="X70" i="46"/>
  <c r="S70" i="46"/>
  <c r="V6" i="1"/>
  <c r="O6" i="1"/>
  <c r="H6" i="1"/>
  <c r="J3" i="27"/>
  <c r="H3" i="28"/>
  <c r="I3" i="28"/>
  <c r="J3" i="28"/>
  <c r="F3" i="28"/>
  <c r="F3" i="27"/>
  <c r="I3" i="27"/>
  <c r="AA70" i="46" l="1"/>
  <c r="W70" i="46"/>
  <c r="AB98" i="46"/>
  <c r="AB100" i="46" s="1"/>
  <c r="AB108" i="46"/>
  <c r="H20" i="27"/>
  <c r="F30" i="28" l="1"/>
  <c r="C31" i="27"/>
  <c r="C30" i="27"/>
  <c r="G31" i="28"/>
  <c r="G30" i="28"/>
  <c r="P52" i="23" l="1"/>
  <c r="H52" i="23"/>
  <c r="K52" i="23" s="1"/>
  <c r="D52" i="23"/>
  <c r="G52" i="23" s="1"/>
  <c r="P71" i="13"/>
  <c r="H71" i="13"/>
  <c r="K71" i="13" s="1"/>
  <c r="D71" i="13"/>
  <c r="P52" i="19"/>
  <c r="O52" i="19"/>
  <c r="K52" i="19"/>
  <c r="G52" i="19"/>
  <c r="L52" i="11"/>
  <c r="P52" i="11" s="1"/>
  <c r="K52" i="11"/>
  <c r="G52" i="11"/>
  <c r="K52" i="10"/>
  <c r="G52" i="10"/>
  <c r="K52" i="7"/>
  <c r="G52" i="7"/>
  <c r="G51" i="6"/>
  <c r="G52" i="12"/>
  <c r="H52" i="12"/>
  <c r="K52" i="12"/>
  <c r="L52" i="12"/>
  <c r="P52" i="12" s="1"/>
  <c r="O52" i="12"/>
  <c r="G52" i="3"/>
  <c r="F42" i="27"/>
  <c r="P56" i="32"/>
  <c r="O56" i="32" s="1"/>
  <c r="H56" i="32"/>
  <c r="G56" i="32" s="1"/>
  <c r="P62" i="30"/>
  <c r="O62" i="30" s="1"/>
  <c r="G62" i="30"/>
  <c r="H30" i="28" l="1"/>
  <c r="I30" i="28"/>
  <c r="P51" i="6"/>
  <c r="O51" i="6" s="1"/>
  <c r="K51" i="6"/>
  <c r="F43" i="27"/>
  <c r="O52" i="23"/>
  <c r="G71" i="13"/>
  <c r="O71" i="13"/>
  <c r="O52" i="11"/>
  <c r="P52" i="10"/>
  <c r="O52" i="10" s="1"/>
  <c r="P52" i="7"/>
  <c r="O52" i="7" s="1"/>
  <c r="K52" i="3"/>
  <c r="P52" i="3"/>
  <c r="H43" i="27"/>
  <c r="K56" i="32"/>
  <c r="K62" i="30"/>
  <c r="O52" i="3" l="1"/>
  <c r="I28" i="31"/>
  <c r="H6" i="26" l="1"/>
  <c r="G6" i="26"/>
  <c r="M6" i="26" l="1"/>
  <c r="N6" i="26" s="1"/>
  <c r="O6" i="26"/>
  <c r="P6" i="26" s="1"/>
  <c r="I71" i="28"/>
  <c r="I14" i="31"/>
  <c r="L14" i="43"/>
  <c r="K139" i="31"/>
  <c r="O136" i="31"/>
  <c r="K136" i="31"/>
  <c r="K137" i="31"/>
  <c r="P22" i="33"/>
  <c r="K43" i="30"/>
  <c r="P24" i="43"/>
  <c r="L25" i="43"/>
  <c r="P25" i="43" s="1"/>
  <c r="K159" i="31"/>
  <c r="O159" i="31"/>
  <c r="P99" i="31"/>
  <c r="T99" i="31" s="1"/>
  <c r="S99" i="31" s="1"/>
  <c r="T24" i="43" l="1"/>
  <c r="S24" i="43" s="1"/>
  <c r="S25" i="43"/>
  <c r="T25" i="43"/>
  <c r="S139" i="31"/>
  <c r="O139" i="31"/>
  <c r="K156" i="31"/>
  <c r="O156" i="31"/>
  <c r="W139" i="31" l="1"/>
  <c r="O57" i="27"/>
  <c r="P57" i="27" s="1"/>
  <c r="M57" i="27"/>
  <c r="O55" i="27"/>
  <c r="P55" i="27" s="1"/>
  <c r="M55" i="27"/>
  <c r="O47" i="27"/>
  <c r="P47" i="27" s="1"/>
  <c r="M47" i="27"/>
  <c r="O34" i="27"/>
  <c r="P34" i="27" s="1"/>
  <c r="M34" i="27"/>
  <c r="O33" i="27"/>
  <c r="P33" i="27" s="1"/>
  <c r="M33" i="27"/>
  <c r="O32" i="27"/>
  <c r="P32" i="27" s="1"/>
  <c r="M32" i="27"/>
  <c r="O30" i="27"/>
  <c r="P30" i="27" s="1"/>
  <c r="M30" i="27"/>
  <c r="O18" i="27"/>
  <c r="P18" i="27" s="1"/>
  <c r="M18" i="27"/>
  <c r="O17" i="27"/>
  <c r="P17" i="27" s="1"/>
  <c r="M17" i="27"/>
  <c r="O13" i="27"/>
  <c r="P13" i="27" s="1"/>
  <c r="M13" i="27"/>
  <c r="O11" i="27"/>
  <c r="P11" i="27" s="1"/>
  <c r="M11" i="27"/>
  <c r="O7" i="27"/>
  <c r="P7" i="27" s="1"/>
  <c r="M7" i="27"/>
  <c r="E10" i="37"/>
  <c r="M8" i="21"/>
  <c r="G20" i="26"/>
  <c r="H26" i="31"/>
  <c r="H19" i="31"/>
  <c r="I19" i="31" s="1"/>
  <c r="G36" i="26"/>
  <c r="G37" i="26"/>
  <c r="G40" i="26"/>
  <c r="G41" i="26"/>
  <c r="G42" i="26"/>
  <c r="G43" i="26"/>
  <c r="T43" i="26" s="1"/>
  <c r="U44" i="26" s="1"/>
  <c r="U45" i="26" s="1"/>
  <c r="G39" i="26"/>
  <c r="G49" i="26"/>
  <c r="G50" i="26"/>
  <c r="G38" i="26"/>
  <c r="E45" i="43"/>
  <c r="H11" i="26"/>
  <c r="G10" i="26"/>
  <c r="H8" i="26"/>
  <c r="G8" i="26"/>
  <c r="M8" i="26" l="1"/>
  <c r="O8" i="26"/>
  <c r="L11" i="21"/>
  <c r="G22" i="26"/>
  <c r="O43" i="27"/>
  <c r="P43" i="27" s="1"/>
  <c r="M43" i="27"/>
  <c r="Q40" i="23"/>
  <c r="K40" i="23"/>
  <c r="Q44" i="13"/>
  <c r="Q45" i="13"/>
  <c r="Q46" i="13"/>
  <c r="Q47" i="13"/>
  <c r="Q48" i="13"/>
  <c r="Q49" i="13"/>
  <c r="Q50" i="13"/>
  <c r="P51" i="13"/>
  <c r="Q51" i="13"/>
  <c r="Q52" i="13"/>
  <c r="Q53" i="13"/>
  <c r="Q54" i="13"/>
  <c r="Q55" i="13"/>
  <c r="Q56" i="13"/>
  <c r="Q57" i="13"/>
  <c r="O58" i="13"/>
  <c r="Q63" i="13"/>
  <c r="Q64" i="13"/>
  <c r="Q65" i="13"/>
  <c r="Q66" i="13"/>
  <c r="Q67" i="13"/>
  <c r="Q68" i="13"/>
  <c r="O78" i="13"/>
  <c r="Q79" i="13"/>
  <c r="Q80" i="13"/>
  <c r="Q81" i="13"/>
  <c r="Q82" i="13"/>
  <c r="Q83" i="13"/>
  <c r="Q84" i="13"/>
  <c r="P88" i="13"/>
  <c r="O88" i="13" s="1"/>
  <c r="P89" i="13"/>
  <c r="O89" i="13" s="1"/>
  <c r="P90" i="13"/>
  <c r="O90" i="13" s="1"/>
  <c r="P91" i="13"/>
  <c r="O91" i="13" s="1"/>
  <c r="P92" i="13"/>
  <c r="O92" i="13" s="1"/>
  <c r="P93" i="13"/>
  <c r="O93" i="13" s="1"/>
  <c r="P94" i="13"/>
  <c r="O94" i="13" s="1"/>
  <c r="P95" i="13"/>
  <c r="O95" i="13" s="1"/>
  <c r="P96" i="13"/>
  <c r="O96" i="13" s="1"/>
  <c r="P97" i="13"/>
  <c r="O97" i="13" s="1"/>
  <c r="P98" i="13"/>
  <c r="O98" i="13" s="1"/>
  <c r="P99" i="13"/>
  <c r="O99" i="13" s="1"/>
  <c r="P100" i="13"/>
  <c r="O100" i="13" s="1"/>
  <c r="P101" i="13"/>
  <c r="O101" i="13" s="1"/>
  <c r="P107" i="13"/>
  <c r="O107" i="13" s="1"/>
  <c r="P108" i="13"/>
  <c r="O108" i="13" s="1"/>
  <c r="K46" i="13"/>
  <c r="P49" i="13"/>
  <c r="K50" i="13"/>
  <c r="P50" i="13"/>
  <c r="K51" i="13"/>
  <c r="K53" i="13"/>
  <c r="P54" i="13"/>
  <c r="O54" i="13" s="1"/>
  <c r="L55" i="13"/>
  <c r="K55" i="13" s="1"/>
  <c r="K56" i="13"/>
  <c r="L57" i="13"/>
  <c r="K57" i="13" s="1"/>
  <c r="K58" i="13"/>
  <c r="D48" i="13"/>
  <c r="D47" i="13"/>
  <c r="H50" i="11"/>
  <c r="H49" i="11"/>
  <c r="H47" i="11"/>
  <c r="H3" i="7"/>
  <c r="H3" i="9"/>
  <c r="L4" i="6"/>
  <c r="H3" i="6"/>
  <c r="H3" i="3"/>
  <c r="I5" i="3"/>
  <c r="P40" i="23" l="1"/>
  <c r="O40" i="23" s="1"/>
  <c r="P103" i="13"/>
  <c r="K47" i="13"/>
  <c r="L60" i="13"/>
  <c r="P57" i="13"/>
  <c r="O57" i="13" s="1"/>
  <c r="P56" i="13"/>
  <c r="O56" i="13" s="1"/>
  <c r="P55" i="13"/>
  <c r="O55" i="13" s="1"/>
  <c r="K54" i="13"/>
  <c r="P53" i="13"/>
  <c r="O53" i="13" s="1"/>
  <c r="K52" i="13"/>
  <c r="P52" i="13"/>
  <c r="O52" i="13" s="1"/>
  <c r="O51" i="13"/>
  <c r="O50" i="13"/>
  <c r="K49" i="13"/>
  <c r="O49" i="13"/>
  <c r="K48" i="13"/>
  <c r="P48" i="13"/>
  <c r="O48" i="13" s="1"/>
  <c r="P47" i="13"/>
  <c r="O47" i="13" s="1"/>
  <c r="P46" i="13"/>
  <c r="O46" i="13" s="1"/>
  <c r="P45" i="13"/>
  <c r="O45" i="13" s="1"/>
  <c r="K45" i="13"/>
  <c r="K44" i="13"/>
  <c r="P44" i="13"/>
  <c r="O44" i="13" s="1"/>
  <c r="P65" i="13" l="1"/>
  <c r="P64" i="13" l="1"/>
  <c r="H40" i="33" l="1"/>
  <c r="H39" i="33"/>
  <c r="H37" i="33"/>
  <c r="H34" i="33"/>
  <c r="H58" i="30"/>
  <c r="H60" i="30"/>
  <c r="H59" i="30"/>
  <c r="H57" i="30"/>
  <c r="H56" i="30"/>
  <c r="H54" i="30"/>
  <c r="Q150" i="31"/>
  <c r="P150" i="31" s="1"/>
  <c r="K145" i="31"/>
  <c r="K146" i="31"/>
  <c r="G159" i="31"/>
  <c r="G156" i="31"/>
  <c r="G157" i="31"/>
  <c r="G147" i="31"/>
  <c r="Q81" i="31"/>
  <c r="Q82" i="31"/>
  <c r="Q84" i="31"/>
  <c r="Q85" i="31"/>
  <c r="Q86" i="31"/>
  <c r="Q87" i="31"/>
  <c r="Q88" i="31"/>
  <c r="Q89" i="31"/>
  <c r="Q90" i="31"/>
  <c r="Q91" i="31"/>
  <c r="Q92" i="31"/>
  <c r="Q93" i="31"/>
  <c r="Q94" i="31"/>
  <c r="Q95" i="31"/>
  <c r="Q96" i="31"/>
  <c r="Q97" i="31"/>
  <c r="Q98" i="31"/>
  <c r="Q99" i="31"/>
  <c r="Q100" i="31"/>
  <c r="Q101" i="31"/>
  <c r="Q104" i="31"/>
  <c r="Q105" i="31"/>
  <c r="Q106" i="31"/>
  <c r="Q107" i="31"/>
  <c r="Q108" i="31"/>
  <c r="Q109" i="31"/>
  <c r="Q111" i="31"/>
  <c r="Q79" i="31"/>
  <c r="K89" i="31"/>
  <c r="K105" i="31"/>
  <c r="K111" i="31"/>
  <c r="P79" i="31"/>
  <c r="K80" i="31"/>
  <c r="P81" i="31"/>
  <c r="K83" i="31"/>
  <c r="P84" i="31"/>
  <c r="P85" i="31"/>
  <c r="P87" i="31"/>
  <c r="P88" i="31"/>
  <c r="L89" i="31"/>
  <c r="P89" i="31" s="1"/>
  <c r="K91" i="31"/>
  <c r="P92" i="31"/>
  <c r="P93" i="31"/>
  <c r="P95" i="31"/>
  <c r="T95" i="31" s="1"/>
  <c r="S95" i="31" s="1"/>
  <c r="K96" i="31"/>
  <c r="P97" i="31"/>
  <c r="K99" i="31"/>
  <c r="P100" i="31"/>
  <c r="P101" i="31"/>
  <c r="K104" i="31"/>
  <c r="L105" i="31"/>
  <c r="O105" i="31" s="1"/>
  <c r="P106" i="31"/>
  <c r="K107" i="31"/>
  <c r="P108" i="31"/>
  <c r="K109" i="31"/>
  <c r="L111" i="31"/>
  <c r="O111" i="31" s="1"/>
  <c r="H112" i="31"/>
  <c r="Q20" i="31"/>
  <c r="Q19" i="31"/>
  <c r="I11" i="31"/>
  <c r="I22" i="31"/>
  <c r="P14" i="31"/>
  <c r="H95" i="45"/>
  <c r="K95" i="45" s="1"/>
  <c r="D95" i="45"/>
  <c r="G95" i="45" s="1"/>
  <c r="L93" i="45"/>
  <c r="O93" i="45" s="1"/>
  <c r="K93" i="45"/>
  <c r="G93" i="45"/>
  <c r="P92" i="45"/>
  <c r="L92" i="45"/>
  <c r="L95" i="45" s="1"/>
  <c r="K92" i="45"/>
  <c r="G92" i="45"/>
  <c r="AB89" i="45"/>
  <c r="X89" i="45"/>
  <c r="T89" i="45"/>
  <c r="P89" i="45"/>
  <c r="L89" i="45"/>
  <c r="H89" i="45"/>
  <c r="D89" i="45"/>
  <c r="H83" i="45"/>
  <c r="I83" i="45" s="1"/>
  <c r="D83" i="45"/>
  <c r="AC82" i="45"/>
  <c r="Y82" i="45"/>
  <c r="U82" i="45"/>
  <c r="Q82" i="45"/>
  <c r="M82" i="45"/>
  <c r="L82" i="45" s="1"/>
  <c r="K82" i="45"/>
  <c r="G82" i="45"/>
  <c r="AC81" i="45"/>
  <c r="Y81" i="45"/>
  <c r="U81" i="45"/>
  <c r="Q81" i="45"/>
  <c r="M81" i="45"/>
  <c r="L81" i="45" s="1"/>
  <c r="K81" i="45"/>
  <c r="G81" i="45"/>
  <c r="AC80" i="45"/>
  <c r="Y80" i="45"/>
  <c r="U80" i="45"/>
  <c r="Q80" i="45"/>
  <c r="M80" i="45"/>
  <c r="L80" i="45" s="1"/>
  <c r="K80" i="45"/>
  <c r="G80" i="45"/>
  <c r="AC79" i="45"/>
  <c r="Y79" i="45"/>
  <c r="U79" i="45"/>
  <c r="Q79" i="45"/>
  <c r="M79" i="45"/>
  <c r="L79" i="45" s="1"/>
  <c r="K79" i="45"/>
  <c r="G79" i="45"/>
  <c r="AC78" i="45"/>
  <c r="Y78" i="45"/>
  <c r="U78" i="45"/>
  <c r="Q78" i="45"/>
  <c r="M78" i="45"/>
  <c r="L78" i="45" s="1"/>
  <c r="K78" i="45"/>
  <c r="G78" i="45"/>
  <c r="AC77" i="45"/>
  <c r="Y77" i="45"/>
  <c r="U77" i="45"/>
  <c r="Q77" i="45"/>
  <c r="M77" i="45"/>
  <c r="L77" i="45"/>
  <c r="P77" i="45" s="1"/>
  <c r="K77" i="45"/>
  <c r="G77" i="45"/>
  <c r="AC76" i="45"/>
  <c r="Y76" i="45"/>
  <c r="U76" i="45"/>
  <c r="K76" i="45"/>
  <c r="G76" i="45"/>
  <c r="AC75" i="45"/>
  <c r="Y75" i="45"/>
  <c r="U75" i="45"/>
  <c r="K75" i="45"/>
  <c r="G75" i="45"/>
  <c r="AC74" i="45"/>
  <c r="Y74" i="45"/>
  <c r="U74" i="45"/>
  <c r="T74" i="45" s="1"/>
  <c r="K74" i="45"/>
  <c r="G74" i="45"/>
  <c r="AC73" i="45"/>
  <c r="Y73" i="45"/>
  <c r="U73" i="45"/>
  <c r="G73" i="45"/>
  <c r="G70" i="45"/>
  <c r="D70" i="45"/>
  <c r="AC69" i="45"/>
  <c r="Y69" i="45"/>
  <c r="U69" i="45"/>
  <c r="Q69" i="45"/>
  <c r="M69" i="45"/>
  <c r="I69" i="45"/>
  <c r="H69" i="45" s="1"/>
  <c r="K69" i="45" s="1"/>
  <c r="G69" i="45"/>
  <c r="Q68" i="45"/>
  <c r="M68" i="45"/>
  <c r="I68" i="45"/>
  <c r="H68" i="45" s="1"/>
  <c r="K68" i="45" s="1"/>
  <c r="G68" i="45"/>
  <c r="Q67" i="45"/>
  <c r="M67" i="45"/>
  <c r="I67" i="45"/>
  <c r="H67" i="45" s="1"/>
  <c r="G67" i="45"/>
  <c r="AC65" i="45"/>
  <c r="Y65" i="45"/>
  <c r="U65" i="45"/>
  <c r="L65" i="45"/>
  <c r="P65" i="45" s="1"/>
  <c r="K65" i="45"/>
  <c r="G65" i="45"/>
  <c r="AC64" i="45"/>
  <c r="Y64" i="45"/>
  <c r="U64" i="45"/>
  <c r="S64" i="45"/>
  <c r="P64" i="45"/>
  <c r="O64" i="45"/>
  <c r="K64" i="45"/>
  <c r="G64" i="45"/>
  <c r="AC63" i="45"/>
  <c r="Y63" i="45"/>
  <c r="U63" i="45"/>
  <c r="T63" i="45" s="1"/>
  <c r="P63" i="45"/>
  <c r="S63" i="45" s="1"/>
  <c r="O63" i="45"/>
  <c r="K63" i="45"/>
  <c r="G63" i="45"/>
  <c r="AC62" i="45"/>
  <c r="Y62" i="45"/>
  <c r="U62" i="45"/>
  <c r="T62" i="45" s="1"/>
  <c r="P62" i="45"/>
  <c r="S62" i="45" s="1"/>
  <c r="O62" i="45"/>
  <c r="K62" i="45"/>
  <c r="G62" i="45"/>
  <c r="AC61" i="45"/>
  <c r="Y61" i="45"/>
  <c r="U61" i="45"/>
  <c r="P61" i="45"/>
  <c r="S61" i="45" s="1"/>
  <c r="O61" i="45"/>
  <c r="K61" i="45"/>
  <c r="G61" i="45"/>
  <c r="AC60" i="45"/>
  <c r="Y60" i="45"/>
  <c r="U60" i="45"/>
  <c r="T60" i="45" s="1"/>
  <c r="K60" i="45"/>
  <c r="G60" i="45"/>
  <c r="H54" i="45"/>
  <c r="D54" i="45"/>
  <c r="G54" i="45" s="1"/>
  <c r="O53" i="45"/>
  <c r="K53" i="45"/>
  <c r="G53" i="45"/>
  <c r="O52" i="45"/>
  <c r="K52" i="45"/>
  <c r="G52" i="45"/>
  <c r="AC51" i="45"/>
  <c r="I51" i="45"/>
  <c r="G51" i="45"/>
  <c r="E51" i="45"/>
  <c r="AC50" i="45"/>
  <c r="Y50" i="45"/>
  <c r="U50" i="45"/>
  <c r="Q50" i="45"/>
  <c r="M50" i="45"/>
  <c r="I50" i="45"/>
  <c r="G50" i="45"/>
  <c r="E50" i="45"/>
  <c r="AC49" i="45"/>
  <c r="Y49" i="45"/>
  <c r="U49" i="45"/>
  <c r="Q49" i="45"/>
  <c r="M49" i="45"/>
  <c r="G49" i="45"/>
  <c r="AC48" i="45"/>
  <c r="Y48" i="45"/>
  <c r="U48" i="45"/>
  <c r="Q48" i="45"/>
  <c r="M48" i="45"/>
  <c r="I48" i="45"/>
  <c r="G48" i="45"/>
  <c r="E48" i="45"/>
  <c r="AC47" i="45"/>
  <c r="Y47" i="45"/>
  <c r="U47" i="45"/>
  <c r="Q47" i="45"/>
  <c r="M47" i="45"/>
  <c r="K47" i="45"/>
  <c r="I47" i="45"/>
  <c r="G47" i="45"/>
  <c r="E47" i="45"/>
  <c r="AC46" i="45"/>
  <c r="Y46" i="45"/>
  <c r="U46" i="45"/>
  <c r="Q46" i="45"/>
  <c r="M46" i="45"/>
  <c r="K46" i="45"/>
  <c r="I46" i="45"/>
  <c r="G46" i="45"/>
  <c r="E46" i="45"/>
  <c r="AC45" i="45"/>
  <c r="AB45" i="45" s="1"/>
  <c r="AB54" i="45" s="1"/>
  <c r="AB56" i="45" s="1"/>
  <c r="U45" i="45"/>
  <c r="T45" i="45" s="1"/>
  <c r="Q45" i="45"/>
  <c r="M45" i="45"/>
  <c r="I45" i="45"/>
  <c r="G45" i="45"/>
  <c r="E45" i="45"/>
  <c r="H42" i="45"/>
  <c r="I42" i="45" s="1"/>
  <c r="D42" i="45"/>
  <c r="G42" i="45" s="1"/>
  <c r="Q41" i="45"/>
  <c r="M41" i="45"/>
  <c r="L41" i="45"/>
  <c r="O41" i="45" s="1"/>
  <c r="K41" i="45"/>
  <c r="G41" i="45"/>
  <c r="Q40" i="45"/>
  <c r="P40" i="45"/>
  <c r="M40" i="45"/>
  <c r="L40" i="45"/>
  <c r="O40" i="45" s="1"/>
  <c r="K40" i="45"/>
  <c r="G40" i="45"/>
  <c r="Q39" i="45"/>
  <c r="M39" i="45"/>
  <c r="L39" i="45"/>
  <c r="O39" i="45" s="1"/>
  <c r="K39" i="45"/>
  <c r="G39" i="45"/>
  <c r="Q38" i="45"/>
  <c r="M38" i="45"/>
  <c r="L38" i="45"/>
  <c r="P38" i="45" s="1"/>
  <c r="K38" i="45"/>
  <c r="G38" i="45"/>
  <c r="Q37" i="45"/>
  <c r="M37" i="45"/>
  <c r="L37" i="45"/>
  <c r="O37" i="45" s="1"/>
  <c r="K37" i="45"/>
  <c r="G37" i="45"/>
  <c r="Q36" i="45"/>
  <c r="M36" i="45"/>
  <c r="L36" i="45"/>
  <c r="O36" i="45" s="1"/>
  <c r="K36" i="45"/>
  <c r="G36" i="45"/>
  <c r="Q35" i="45"/>
  <c r="M35" i="45"/>
  <c r="L35" i="45"/>
  <c r="P35" i="45" s="1"/>
  <c r="K35" i="45"/>
  <c r="G35" i="45"/>
  <c r="AC34" i="45"/>
  <c r="Y34" i="45"/>
  <c r="U34" i="45"/>
  <c r="Q34" i="45"/>
  <c r="P34" i="45"/>
  <c r="S34" i="45" s="1"/>
  <c r="M34" i="45"/>
  <c r="L34" i="45"/>
  <c r="O34" i="45" s="1"/>
  <c r="K34" i="45"/>
  <c r="G34" i="45"/>
  <c r="AC33" i="45"/>
  <c r="Y33" i="45"/>
  <c r="U33" i="45"/>
  <c r="Q33" i="45"/>
  <c r="M33" i="45"/>
  <c r="L33" i="45"/>
  <c r="P33" i="45" s="1"/>
  <c r="K33" i="45"/>
  <c r="G33" i="45"/>
  <c r="AC32" i="45"/>
  <c r="Y32" i="45"/>
  <c r="U32" i="45"/>
  <c r="Q32" i="45"/>
  <c r="M32" i="45"/>
  <c r="L32" i="45"/>
  <c r="P32" i="45" s="1"/>
  <c r="T32" i="45" s="1"/>
  <c r="K32" i="45"/>
  <c r="G32" i="45"/>
  <c r="AB29" i="45"/>
  <c r="X29" i="45"/>
  <c r="W29" i="45"/>
  <c r="H29" i="45"/>
  <c r="D29" i="45"/>
  <c r="G29" i="45" s="1"/>
  <c r="L28" i="45"/>
  <c r="O28" i="45" s="1"/>
  <c r="K28" i="45"/>
  <c r="G28" i="45"/>
  <c r="L27" i="45"/>
  <c r="P27" i="45" s="1"/>
  <c r="K27" i="45"/>
  <c r="G27" i="45"/>
  <c r="K26" i="45"/>
  <c r="G26" i="45"/>
  <c r="O25" i="45"/>
  <c r="K25" i="45"/>
  <c r="G25" i="45"/>
  <c r="K24" i="45"/>
  <c r="G24" i="45"/>
  <c r="H14" i="45"/>
  <c r="H16" i="45" s="1"/>
  <c r="K16" i="45" s="1"/>
  <c r="D14" i="45"/>
  <c r="D16" i="45" s="1"/>
  <c r="G16" i="45" s="1"/>
  <c r="O13" i="45"/>
  <c r="K13" i="45"/>
  <c r="G13" i="45"/>
  <c r="O12" i="45"/>
  <c r="K12" i="45"/>
  <c r="G12" i="45"/>
  <c r="O11" i="45"/>
  <c r="K11" i="45"/>
  <c r="G11" i="45"/>
  <c r="K10" i="45"/>
  <c r="G10" i="45"/>
  <c r="T9" i="45"/>
  <c r="T14" i="45" s="1"/>
  <c r="S9" i="45"/>
  <c r="H6" i="45"/>
  <c r="L6" i="45" s="1"/>
  <c r="P6" i="45" s="1"/>
  <c r="T6" i="45" s="1"/>
  <c r="X6" i="45" s="1"/>
  <c r="AB6" i="45" s="1"/>
  <c r="AB3" i="45"/>
  <c r="AB9" i="45" s="1"/>
  <c r="AB14" i="45" s="1"/>
  <c r="X3" i="45"/>
  <c r="X9" i="45" s="1"/>
  <c r="T3" i="45"/>
  <c r="P3" i="45"/>
  <c r="L3" i="45"/>
  <c r="H3" i="45"/>
  <c r="D3" i="45"/>
  <c r="P73" i="44"/>
  <c r="K73" i="44"/>
  <c r="K10" i="44"/>
  <c r="H95" i="44"/>
  <c r="K95" i="44" s="1"/>
  <c r="D95" i="44"/>
  <c r="G95" i="44" s="1"/>
  <c r="L93" i="44"/>
  <c r="O93" i="44" s="1"/>
  <c r="K93" i="44"/>
  <c r="G93" i="44"/>
  <c r="T92" i="44"/>
  <c r="X92" i="44" s="1"/>
  <c r="P92" i="44"/>
  <c r="L92" i="44"/>
  <c r="L95" i="44" s="1"/>
  <c r="K92" i="44"/>
  <c r="G92" i="44"/>
  <c r="AB89" i="44"/>
  <c r="X89" i="44"/>
  <c r="T89" i="44"/>
  <c r="P89" i="44"/>
  <c r="L89" i="44"/>
  <c r="H89" i="44"/>
  <c r="D89" i="44"/>
  <c r="H83" i="44"/>
  <c r="I83" i="44" s="1"/>
  <c r="D83" i="44"/>
  <c r="G83" i="44" s="1"/>
  <c r="AC82" i="44"/>
  <c r="Y82" i="44"/>
  <c r="U82" i="44"/>
  <c r="Q82" i="44"/>
  <c r="M82" i="44"/>
  <c r="L82" i="44" s="1"/>
  <c r="K82" i="44"/>
  <c r="G82" i="44"/>
  <c r="AC81" i="44"/>
  <c r="Y81" i="44"/>
  <c r="U81" i="44"/>
  <c r="Q81" i="44"/>
  <c r="M81" i="44"/>
  <c r="L81" i="44" s="1"/>
  <c r="K81" i="44"/>
  <c r="G81" i="44"/>
  <c r="AC80" i="44"/>
  <c r="Y80" i="44"/>
  <c r="U80" i="44"/>
  <c r="Q80" i="44"/>
  <c r="M80" i="44"/>
  <c r="L80" i="44" s="1"/>
  <c r="K80" i="44"/>
  <c r="G80" i="44"/>
  <c r="AC79" i="44"/>
  <c r="Y79" i="44"/>
  <c r="U79" i="44"/>
  <c r="Q79" i="44"/>
  <c r="M79" i="44"/>
  <c r="L79" i="44" s="1"/>
  <c r="K79" i="44"/>
  <c r="G79" i="44"/>
  <c r="AC78" i="44"/>
  <c r="Y78" i="44"/>
  <c r="U78" i="44"/>
  <c r="Q78" i="44"/>
  <c r="M78" i="44"/>
  <c r="L78" i="44" s="1"/>
  <c r="K78" i="44"/>
  <c r="G78" i="44"/>
  <c r="AC77" i="44"/>
  <c r="Y77" i="44"/>
  <c r="U77" i="44"/>
  <c r="Q77" i="44"/>
  <c r="P77" i="44"/>
  <c r="O77" i="44"/>
  <c r="M77" i="44"/>
  <c r="L77" i="44"/>
  <c r="K77" i="44"/>
  <c r="G77" i="44"/>
  <c r="AC76" i="44"/>
  <c r="Y76" i="44"/>
  <c r="U76" i="44"/>
  <c r="Q76" i="44"/>
  <c r="M76" i="44"/>
  <c r="L76" i="44" s="1"/>
  <c r="K76" i="44"/>
  <c r="G76" i="44"/>
  <c r="AC75" i="44"/>
  <c r="Y75" i="44"/>
  <c r="U75" i="44"/>
  <c r="Q75" i="44"/>
  <c r="M75" i="44"/>
  <c r="L75" i="44" s="1"/>
  <c r="O75" i="44" s="1"/>
  <c r="K75" i="44"/>
  <c r="G75" i="44"/>
  <c r="AC74" i="44"/>
  <c r="Y74" i="44"/>
  <c r="K74" i="44"/>
  <c r="G74" i="44"/>
  <c r="AC73" i="44"/>
  <c r="Y73" i="44"/>
  <c r="O73" i="44"/>
  <c r="G73" i="44"/>
  <c r="D70" i="44"/>
  <c r="G70" i="44" s="1"/>
  <c r="AC69" i="44"/>
  <c r="Y69" i="44"/>
  <c r="U69" i="44"/>
  <c r="Q69" i="44"/>
  <c r="M69" i="44"/>
  <c r="I69" i="44"/>
  <c r="H69" i="44" s="1"/>
  <c r="K69" i="44" s="1"/>
  <c r="G69" i="44"/>
  <c r="Q68" i="44"/>
  <c r="M68" i="44"/>
  <c r="I68" i="44"/>
  <c r="H68" i="44" s="1"/>
  <c r="K68" i="44" s="1"/>
  <c r="G68" i="44"/>
  <c r="Q67" i="44"/>
  <c r="M67" i="44"/>
  <c r="I67" i="44"/>
  <c r="H67" i="44" s="1"/>
  <c r="G67" i="44"/>
  <c r="AC65" i="44"/>
  <c r="Y65" i="44"/>
  <c r="U65" i="44"/>
  <c r="L65" i="44"/>
  <c r="K65" i="44"/>
  <c r="G65" i="44"/>
  <c r="AC64" i="44"/>
  <c r="Y64" i="44"/>
  <c r="U64" i="44"/>
  <c r="P64" i="44"/>
  <c r="O64" i="44"/>
  <c r="K64" i="44"/>
  <c r="G64" i="44"/>
  <c r="AC63" i="44"/>
  <c r="Y63" i="44"/>
  <c r="U63" i="44"/>
  <c r="P63" i="44"/>
  <c r="O63" i="44"/>
  <c r="K63" i="44"/>
  <c r="G63" i="44"/>
  <c r="AC62" i="44"/>
  <c r="Y62" i="44"/>
  <c r="U62" i="44"/>
  <c r="P62" i="44"/>
  <c r="S62" i="44" s="1"/>
  <c r="O62" i="44"/>
  <c r="K62" i="44"/>
  <c r="G62" i="44"/>
  <c r="AC61" i="44"/>
  <c r="Y61" i="44"/>
  <c r="P61" i="44"/>
  <c r="S61" i="44" s="1"/>
  <c r="O61" i="44"/>
  <c r="K61" i="44"/>
  <c r="G61" i="44"/>
  <c r="AC60" i="44"/>
  <c r="Y60" i="44"/>
  <c r="G60" i="44"/>
  <c r="D54" i="44"/>
  <c r="G54" i="44" s="1"/>
  <c r="L53" i="44"/>
  <c r="K53" i="44"/>
  <c r="G53" i="44"/>
  <c r="L52" i="44"/>
  <c r="K52" i="44"/>
  <c r="G52" i="44"/>
  <c r="AC51" i="44"/>
  <c r="I51" i="44"/>
  <c r="G51" i="44"/>
  <c r="E51" i="44"/>
  <c r="AC50" i="44"/>
  <c r="Y50" i="44"/>
  <c r="U50" i="44"/>
  <c r="Q50" i="44"/>
  <c r="M50" i="44"/>
  <c r="I50" i="44"/>
  <c r="G50" i="44"/>
  <c r="E50" i="44"/>
  <c r="AC49" i="44"/>
  <c r="Y49" i="44"/>
  <c r="U49" i="44"/>
  <c r="Q49" i="44"/>
  <c r="M49" i="44"/>
  <c r="L49" i="44" s="1"/>
  <c r="G49" i="44"/>
  <c r="AC48" i="44"/>
  <c r="Y48" i="44"/>
  <c r="U48" i="44"/>
  <c r="Q48" i="44"/>
  <c r="M48" i="44"/>
  <c r="I48" i="44"/>
  <c r="H54" i="44"/>
  <c r="G48" i="44"/>
  <c r="E48" i="44"/>
  <c r="AC47" i="44"/>
  <c r="Y47" i="44"/>
  <c r="U47" i="44"/>
  <c r="Q47" i="44"/>
  <c r="M47" i="44"/>
  <c r="I47" i="44"/>
  <c r="G47" i="44"/>
  <c r="E47" i="44"/>
  <c r="AC46" i="44"/>
  <c r="Y46" i="44"/>
  <c r="U46" i="44"/>
  <c r="Q46" i="44"/>
  <c r="M46" i="44"/>
  <c r="I46" i="44"/>
  <c r="G46" i="44"/>
  <c r="E46" i="44"/>
  <c r="AC45" i="44"/>
  <c r="AB45" i="44" s="1"/>
  <c r="AB54" i="44" s="1"/>
  <c r="AB56" i="44" s="1"/>
  <c r="U45" i="44"/>
  <c r="Q45" i="44"/>
  <c r="M45" i="44"/>
  <c r="I45" i="44"/>
  <c r="G45" i="44"/>
  <c r="E45" i="44"/>
  <c r="H42" i="44"/>
  <c r="D42" i="44"/>
  <c r="G42" i="44" s="1"/>
  <c r="Q41" i="44"/>
  <c r="M41" i="44"/>
  <c r="L41" i="44"/>
  <c r="O41" i="44" s="1"/>
  <c r="K41" i="44"/>
  <c r="G41" i="44"/>
  <c r="Q40" i="44"/>
  <c r="M40" i="44"/>
  <c r="L40" i="44"/>
  <c r="P40" i="44" s="1"/>
  <c r="K40" i="44"/>
  <c r="G40" i="44"/>
  <c r="Q39" i="44"/>
  <c r="M39" i="44"/>
  <c r="L39" i="44"/>
  <c r="O39" i="44" s="1"/>
  <c r="K39" i="44"/>
  <c r="G39" i="44"/>
  <c r="Q38" i="44"/>
  <c r="M38" i="44"/>
  <c r="L38" i="44"/>
  <c r="P38" i="44" s="1"/>
  <c r="K38" i="44"/>
  <c r="G38" i="44"/>
  <c r="Q37" i="44"/>
  <c r="M37" i="44"/>
  <c r="L37" i="44"/>
  <c r="G37" i="44"/>
  <c r="Q36" i="44"/>
  <c r="M36" i="44"/>
  <c r="L36" i="44"/>
  <c r="P36" i="44" s="1"/>
  <c r="G36" i="44"/>
  <c r="Q35" i="44"/>
  <c r="M35" i="44"/>
  <c r="L35" i="44"/>
  <c r="P35" i="44" s="1"/>
  <c r="O35" i="44" s="1"/>
  <c r="K35" i="44"/>
  <c r="G35" i="44"/>
  <c r="AC34" i="44"/>
  <c r="Y34" i="44"/>
  <c r="U34" i="44"/>
  <c r="Q34" i="44"/>
  <c r="P34" i="44"/>
  <c r="T34" i="44" s="1"/>
  <c r="M34" i="44"/>
  <c r="L34" i="44"/>
  <c r="K34" i="44"/>
  <c r="G34" i="44"/>
  <c r="AC33" i="44"/>
  <c r="Y33" i="44"/>
  <c r="U33" i="44"/>
  <c r="Q33" i="44"/>
  <c r="M33" i="44"/>
  <c r="L33" i="44"/>
  <c r="P33" i="44" s="1"/>
  <c r="T33" i="44" s="1"/>
  <c r="K33" i="44"/>
  <c r="G33" i="44"/>
  <c r="AC32" i="44"/>
  <c r="Y32" i="44"/>
  <c r="U32" i="44"/>
  <c r="Q32" i="44"/>
  <c r="O32" i="44"/>
  <c r="M32" i="44"/>
  <c r="L32" i="44"/>
  <c r="K32" i="44"/>
  <c r="G32" i="44"/>
  <c r="AB29" i="44"/>
  <c r="X29" i="44"/>
  <c r="AA29" i="44" s="1"/>
  <c r="H29" i="44"/>
  <c r="I29" i="44" s="1"/>
  <c r="D29" i="44"/>
  <c r="G29" i="44" s="1"/>
  <c r="L28" i="44"/>
  <c r="P28" i="44" s="1"/>
  <c r="K28" i="44"/>
  <c r="G28" i="44"/>
  <c r="L27" i="44"/>
  <c r="P27" i="44" s="1"/>
  <c r="K27" i="44"/>
  <c r="G27" i="44"/>
  <c r="L26" i="44"/>
  <c r="P26" i="44" s="1"/>
  <c r="K26" i="44"/>
  <c r="G26" i="44"/>
  <c r="P25" i="44"/>
  <c r="O25" i="44"/>
  <c r="K25" i="44"/>
  <c r="G25" i="44"/>
  <c r="L24" i="44"/>
  <c r="O24" i="44" s="1"/>
  <c r="K24" i="44"/>
  <c r="G24" i="44"/>
  <c r="P14" i="44"/>
  <c r="P16" i="44" s="1"/>
  <c r="S16" i="44" s="1"/>
  <c r="L14" i="44"/>
  <c r="H14" i="44"/>
  <c r="H16" i="44" s="1"/>
  <c r="K16" i="44" s="1"/>
  <c r="D14" i="44"/>
  <c r="G14" i="44" s="1"/>
  <c r="O13" i="44"/>
  <c r="K13" i="44"/>
  <c r="G13" i="44"/>
  <c r="O12" i="44"/>
  <c r="K12" i="44"/>
  <c r="G12" i="44"/>
  <c r="O11" i="44"/>
  <c r="K11" i="44"/>
  <c r="G11" i="44"/>
  <c r="O10" i="44"/>
  <c r="G10" i="44"/>
  <c r="AB9" i="44"/>
  <c r="AB14" i="44" s="1"/>
  <c r="W9" i="44"/>
  <c r="H6" i="44"/>
  <c r="L6" i="44" s="1"/>
  <c r="P6" i="44" s="1"/>
  <c r="T6" i="44" s="1"/>
  <c r="X6" i="44" s="1"/>
  <c r="AB6" i="44" s="1"/>
  <c r="AB3" i="44"/>
  <c r="X3" i="44"/>
  <c r="X9" i="44" s="1"/>
  <c r="T3" i="44"/>
  <c r="P3" i="44"/>
  <c r="L3" i="44"/>
  <c r="H3" i="44"/>
  <c r="D3" i="44"/>
  <c r="O108" i="31" l="1"/>
  <c r="T108" i="31"/>
  <c r="S108" i="31"/>
  <c r="O97" i="31"/>
  <c r="T97" i="31"/>
  <c r="S97" i="31" s="1"/>
  <c r="O92" i="31"/>
  <c r="T92" i="31"/>
  <c r="S92" i="31" s="1"/>
  <c r="O87" i="31"/>
  <c r="T87" i="31"/>
  <c r="S87" i="31" s="1"/>
  <c r="O81" i="31"/>
  <c r="T81" i="31"/>
  <c r="S81" i="31" s="1"/>
  <c r="O88" i="31"/>
  <c r="T88" i="31"/>
  <c r="S88" i="31" s="1"/>
  <c r="O101" i="31"/>
  <c r="T101" i="31"/>
  <c r="S101" i="31" s="1"/>
  <c r="O85" i="31"/>
  <c r="T85" i="31"/>
  <c r="S85" i="31" s="1"/>
  <c r="O93" i="31"/>
  <c r="T93" i="31"/>
  <c r="S93" i="31" s="1"/>
  <c r="T106" i="31"/>
  <c r="S106" i="31"/>
  <c r="O100" i="31"/>
  <c r="T100" i="31"/>
  <c r="S100" i="31" s="1"/>
  <c r="O84" i="31"/>
  <c r="T84" i="31"/>
  <c r="S84" i="31"/>
  <c r="O79" i="31"/>
  <c r="T79" i="31"/>
  <c r="S79" i="31" s="1"/>
  <c r="O14" i="44"/>
  <c r="T150" i="31"/>
  <c r="S150" i="31" s="1"/>
  <c r="S26" i="44"/>
  <c r="T26" i="44"/>
  <c r="T25" i="44"/>
  <c r="S25" i="44"/>
  <c r="P24" i="44"/>
  <c r="S28" i="44"/>
  <c r="T28" i="44"/>
  <c r="S27" i="44"/>
  <c r="T27" i="44"/>
  <c r="O26" i="44"/>
  <c r="T89" i="31"/>
  <c r="S89" i="31"/>
  <c r="X63" i="45"/>
  <c r="AB63" i="45" s="1"/>
  <c r="O74" i="44"/>
  <c r="T77" i="45"/>
  <c r="X77" i="45" s="1"/>
  <c r="T77" i="44"/>
  <c r="W77" i="44" s="1"/>
  <c r="T64" i="45"/>
  <c r="X64" i="45" s="1"/>
  <c r="L45" i="44"/>
  <c r="P45" i="44" s="1"/>
  <c r="O45" i="44" s="1"/>
  <c r="T63" i="44"/>
  <c r="W63" i="44" s="1"/>
  <c r="O33" i="45"/>
  <c r="O32" i="45"/>
  <c r="O53" i="44"/>
  <c r="O52" i="44"/>
  <c r="P53" i="44"/>
  <c r="D16" i="44"/>
  <c r="G16" i="44" s="1"/>
  <c r="O77" i="45"/>
  <c r="P79" i="45"/>
  <c r="T79" i="45" s="1"/>
  <c r="X79" i="45" s="1"/>
  <c r="O79" i="45"/>
  <c r="T75" i="45"/>
  <c r="X75" i="45" s="1"/>
  <c r="P82" i="45"/>
  <c r="T82" i="45" s="1"/>
  <c r="X82" i="45" s="1"/>
  <c r="O82" i="45"/>
  <c r="P81" i="45"/>
  <c r="T81" i="45" s="1"/>
  <c r="X81" i="45" s="1"/>
  <c r="O81" i="45"/>
  <c r="P80" i="45"/>
  <c r="T80" i="45" s="1"/>
  <c r="X80" i="45" s="1"/>
  <c r="O80" i="45"/>
  <c r="T76" i="45"/>
  <c r="X76" i="45" s="1"/>
  <c r="O76" i="45"/>
  <c r="P78" i="45"/>
  <c r="T78" i="45" s="1"/>
  <c r="W78" i="45" s="1"/>
  <c r="O78" i="45"/>
  <c r="K87" i="31"/>
  <c r="K95" i="31"/>
  <c r="K110" i="31"/>
  <c r="K106" i="31"/>
  <c r="K102" i="31"/>
  <c r="K98" i="31"/>
  <c r="K94" i="31"/>
  <c r="K90" i="31"/>
  <c r="K86" i="31"/>
  <c r="K82" i="31"/>
  <c r="P109" i="31"/>
  <c r="P107" i="31"/>
  <c r="O106" i="31"/>
  <c r="O103" i="31"/>
  <c r="P98" i="31"/>
  <c r="O95" i="31"/>
  <c r="P90" i="31"/>
  <c r="O89" i="31"/>
  <c r="P82" i="31"/>
  <c r="K101" i="31"/>
  <c r="K97" i="31"/>
  <c r="K93" i="31"/>
  <c r="K85" i="31"/>
  <c r="K81" i="31"/>
  <c r="O110" i="31"/>
  <c r="P104" i="31"/>
  <c r="O99" i="31"/>
  <c r="P96" i="31"/>
  <c r="P91" i="31"/>
  <c r="O83" i="31"/>
  <c r="O80" i="31"/>
  <c r="K108" i="31"/>
  <c r="K100" i="31"/>
  <c r="K92" i="31"/>
  <c r="K88" i="31"/>
  <c r="K84" i="31"/>
  <c r="P111" i="31"/>
  <c r="P105" i="31"/>
  <c r="O102" i="31"/>
  <c r="P94" i="31"/>
  <c r="P86" i="31"/>
  <c r="K103" i="31"/>
  <c r="P21" i="31"/>
  <c r="T21" i="31" s="1"/>
  <c r="P22" i="31"/>
  <c r="S23" i="31"/>
  <c r="P93" i="44"/>
  <c r="P95" i="44" s="1"/>
  <c r="P93" i="45"/>
  <c r="P95" i="45" s="1"/>
  <c r="Q95" i="45" s="1"/>
  <c r="K73" i="45"/>
  <c r="K49" i="45"/>
  <c r="S49" i="45"/>
  <c r="P36" i="45"/>
  <c r="P39" i="45"/>
  <c r="S33" i="45"/>
  <c r="T33" i="45"/>
  <c r="W33" i="45" s="1"/>
  <c r="O38" i="45"/>
  <c r="K42" i="45"/>
  <c r="O49" i="45"/>
  <c r="O65" i="45"/>
  <c r="O24" i="45"/>
  <c r="O26" i="45"/>
  <c r="T34" i="45"/>
  <c r="W34" i="45" s="1"/>
  <c r="O35" i="45"/>
  <c r="I29" i="45"/>
  <c r="L42" i="45"/>
  <c r="P52" i="45"/>
  <c r="W45" i="45"/>
  <c r="X14" i="45"/>
  <c r="AA9" i="45"/>
  <c r="W14" i="45"/>
  <c r="T16" i="45"/>
  <c r="W16" i="45" s="1"/>
  <c r="T18" i="45"/>
  <c r="W18" i="45" s="1"/>
  <c r="AB16" i="45"/>
  <c r="AB18" i="45" s="1"/>
  <c r="L29" i="45"/>
  <c r="W32" i="45"/>
  <c r="W9" i="45"/>
  <c r="P10" i="45"/>
  <c r="P14" i="45" s="1"/>
  <c r="H18" i="45"/>
  <c r="P28" i="45"/>
  <c r="S32" i="45"/>
  <c r="X32" i="45"/>
  <c r="P37" i="45"/>
  <c r="P41" i="45"/>
  <c r="T49" i="45"/>
  <c r="D56" i="45"/>
  <c r="G56" i="45" s="1"/>
  <c r="T65" i="45"/>
  <c r="S65" i="45"/>
  <c r="O27" i="45"/>
  <c r="H56" i="45"/>
  <c r="W62" i="45"/>
  <c r="X62" i="45"/>
  <c r="AA63" i="45"/>
  <c r="H70" i="45"/>
  <c r="L14" i="45"/>
  <c r="D18" i="45"/>
  <c r="G18" i="45" s="1"/>
  <c r="G14" i="45"/>
  <c r="AA29" i="45"/>
  <c r="X60" i="45"/>
  <c r="W60" i="45" s="1"/>
  <c r="S60" i="45"/>
  <c r="X74" i="45"/>
  <c r="W74" i="45" s="1"/>
  <c r="O95" i="45"/>
  <c r="M95" i="45"/>
  <c r="P53" i="45"/>
  <c r="I54" i="45"/>
  <c r="O60" i="45"/>
  <c r="T61" i="45"/>
  <c r="W63" i="45"/>
  <c r="K67" i="45"/>
  <c r="S74" i="45"/>
  <c r="S77" i="45"/>
  <c r="O92" i="45"/>
  <c r="L67" i="45"/>
  <c r="O73" i="45"/>
  <c r="T73" i="45"/>
  <c r="S73" i="45" s="1"/>
  <c r="I95" i="45"/>
  <c r="G83" i="45"/>
  <c r="T92" i="45"/>
  <c r="L16" i="44"/>
  <c r="O16" i="44" s="1"/>
  <c r="T62" i="44"/>
  <c r="X62" i="44" s="1"/>
  <c r="S63" i="44"/>
  <c r="X61" i="44"/>
  <c r="O38" i="44"/>
  <c r="P39" i="44"/>
  <c r="L42" i="44"/>
  <c r="L47" i="44" s="1"/>
  <c r="P32" i="44"/>
  <c r="T32" i="44" s="1"/>
  <c r="X32" i="44" s="1"/>
  <c r="W32" i="44" s="1"/>
  <c r="K14" i="44"/>
  <c r="X34" i="44"/>
  <c r="W34" i="44" s="1"/>
  <c r="I54" i="44"/>
  <c r="H56" i="44"/>
  <c r="AB16" i="44"/>
  <c r="AB18" i="44" s="1"/>
  <c r="P29" i="44"/>
  <c r="W33" i="44"/>
  <c r="X33" i="44"/>
  <c r="K45" i="44"/>
  <c r="P49" i="44"/>
  <c r="K49" i="44"/>
  <c r="AA9" i="44"/>
  <c r="X14" i="44"/>
  <c r="L29" i="44"/>
  <c r="M14" i="44"/>
  <c r="O28" i="44"/>
  <c r="T14" i="44"/>
  <c r="S14" i="44" s="1"/>
  <c r="H18" i="44"/>
  <c r="S33" i="44"/>
  <c r="S34" i="44"/>
  <c r="O36" i="44"/>
  <c r="K37" i="44"/>
  <c r="P37" i="44"/>
  <c r="O37" i="44" s="1"/>
  <c r="O40" i="44"/>
  <c r="P41" i="44"/>
  <c r="P52" i="44"/>
  <c r="P81" i="44"/>
  <c r="O81" i="44"/>
  <c r="O33" i="44"/>
  <c r="O34" i="44"/>
  <c r="K36" i="44"/>
  <c r="I42" i="44"/>
  <c r="D56" i="44"/>
  <c r="G56" i="44" s="1"/>
  <c r="K67" i="44"/>
  <c r="H70" i="44"/>
  <c r="S73" i="44"/>
  <c r="L83" i="44"/>
  <c r="K83" i="44" s="1"/>
  <c r="P80" i="44"/>
  <c r="O80" i="44"/>
  <c r="O95" i="44"/>
  <c r="M95" i="44"/>
  <c r="K60" i="44"/>
  <c r="L67" i="44"/>
  <c r="P76" i="44"/>
  <c r="O76" i="44"/>
  <c r="P79" i="44"/>
  <c r="O79" i="44"/>
  <c r="Q14" i="44"/>
  <c r="D18" i="44"/>
  <c r="G18" i="44" s="1"/>
  <c r="O27" i="44"/>
  <c r="P60" i="44"/>
  <c r="O60" i="44" s="1"/>
  <c r="S64" i="44"/>
  <c r="T64" i="44"/>
  <c r="O65" i="44"/>
  <c r="P65" i="44"/>
  <c r="P75" i="44"/>
  <c r="P78" i="44"/>
  <c r="O78" i="44"/>
  <c r="P82" i="44"/>
  <c r="O82" i="44"/>
  <c r="X95" i="44"/>
  <c r="AB92" i="44"/>
  <c r="AB95" i="44" s="1"/>
  <c r="Q95" i="44"/>
  <c r="S77" i="44"/>
  <c r="O92" i="44"/>
  <c r="T95" i="44"/>
  <c r="I95" i="44"/>
  <c r="O11" i="43"/>
  <c r="O12" i="43"/>
  <c r="O13" i="43"/>
  <c r="O14" i="43"/>
  <c r="K11" i="43"/>
  <c r="K12" i="43"/>
  <c r="K13" i="43"/>
  <c r="L60" i="43"/>
  <c r="K60" i="43" s="1"/>
  <c r="Q73" i="43"/>
  <c r="Q74" i="43"/>
  <c r="M73" i="43"/>
  <c r="M74" i="43"/>
  <c r="L74" i="43" s="1"/>
  <c r="Q77" i="43"/>
  <c r="Q76" i="43"/>
  <c r="M77" i="43"/>
  <c r="M76" i="43"/>
  <c r="L76" i="43" s="1"/>
  <c r="M78" i="43"/>
  <c r="L78" i="43" s="1"/>
  <c r="M79" i="43"/>
  <c r="L79" i="43" s="1"/>
  <c r="H51" i="43"/>
  <c r="H50" i="43"/>
  <c r="H49" i="43"/>
  <c r="H48" i="43"/>
  <c r="G11" i="43"/>
  <c r="G12" i="43"/>
  <c r="G13" i="43"/>
  <c r="D95" i="43"/>
  <c r="L93" i="43"/>
  <c r="K93" i="43" s="1"/>
  <c r="G93" i="43"/>
  <c r="L92" i="43"/>
  <c r="P92" i="43" s="1"/>
  <c r="G92" i="43"/>
  <c r="AB89" i="43"/>
  <c r="X89" i="43"/>
  <c r="T89" i="43"/>
  <c r="P89" i="43"/>
  <c r="L89" i="43"/>
  <c r="H89" i="43"/>
  <c r="D89" i="43"/>
  <c r="AC82" i="43"/>
  <c r="Y82" i="43"/>
  <c r="U82" i="43"/>
  <c r="Q82" i="43"/>
  <c r="M82" i="43"/>
  <c r="G82" i="43"/>
  <c r="AC81" i="43"/>
  <c r="Y81" i="43"/>
  <c r="U81" i="43"/>
  <c r="Q81" i="43"/>
  <c r="M81" i="43"/>
  <c r="L81" i="43" s="1"/>
  <c r="G81" i="43"/>
  <c r="AC80" i="43"/>
  <c r="Y80" i="43"/>
  <c r="U80" i="43"/>
  <c r="Q80" i="43"/>
  <c r="M80" i="43"/>
  <c r="L80" i="43" s="1"/>
  <c r="G80" i="43"/>
  <c r="AC79" i="43"/>
  <c r="Y79" i="43"/>
  <c r="U79" i="43"/>
  <c r="Q79" i="43"/>
  <c r="G79" i="43"/>
  <c r="AC78" i="43"/>
  <c r="Y78" i="43"/>
  <c r="U78" i="43"/>
  <c r="Q78" i="43"/>
  <c r="G78" i="43"/>
  <c r="AC77" i="43"/>
  <c r="Y77" i="43"/>
  <c r="U77" i="43"/>
  <c r="L77" i="43"/>
  <c r="P77" i="43" s="1"/>
  <c r="G77" i="43"/>
  <c r="AC76" i="43"/>
  <c r="Y76" i="43"/>
  <c r="U76" i="43"/>
  <c r="G76" i="43"/>
  <c r="AC75" i="43"/>
  <c r="Y75" i="43"/>
  <c r="U75" i="43"/>
  <c r="Q75" i="43"/>
  <c r="M75" i="43"/>
  <c r="L75" i="43" s="1"/>
  <c r="G75" i="43"/>
  <c r="AC74" i="43"/>
  <c r="Y74" i="43"/>
  <c r="U74" i="43"/>
  <c r="G74" i="43"/>
  <c r="AC73" i="43"/>
  <c r="Y73" i="43"/>
  <c r="U73" i="43"/>
  <c r="P73" i="43"/>
  <c r="H83" i="43"/>
  <c r="AC69" i="43"/>
  <c r="Y69" i="43"/>
  <c r="U69" i="43"/>
  <c r="Q69" i="43"/>
  <c r="M69" i="43"/>
  <c r="I69" i="43"/>
  <c r="H69" i="43" s="1"/>
  <c r="K69" i="43" s="1"/>
  <c r="G69" i="43"/>
  <c r="Q68" i="43"/>
  <c r="M68" i="43"/>
  <c r="I68" i="43"/>
  <c r="H68" i="43" s="1"/>
  <c r="K68" i="43" s="1"/>
  <c r="G68" i="43"/>
  <c r="Q67" i="43"/>
  <c r="M67" i="43"/>
  <c r="I67" i="43"/>
  <c r="H67" i="43" s="1"/>
  <c r="G67" i="43"/>
  <c r="AC65" i="43"/>
  <c r="Y65" i="43"/>
  <c r="U65" i="43"/>
  <c r="L65" i="43"/>
  <c r="O65" i="43" s="1"/>
  <c r="K65" i="43"/>
  <c r="G65" i="43"/>
  <c r="AC64" i="43"/>
  <c r="Y64" i="43"/>
  <c r="U64" i="43"/>
  <c r="P64" i="43"/>
  <c r="O64" i="43"/>
  <c r="K64" i="43"/>
  <c r="G64" i="43"/>
  <c r="AC63" i="43"/>
  <c r="Y63" i="43"/>
  <c r="U63" i="43"/>
  <c r="P63" i="43"/>
  <c r="O63" i="43" s="1"/>
  <c r="K63" i="43"/>
  <c r="AC62" i="43"/>
  <c r="Y62" i="43"/>
  <c r="U62" i="43"/>
  <c r="P62" i="43"/>
  <c r="K62" i="43"/>
  <c r="G62" i="43"/>
  <c r="AC61" i="43"/>
  <c r="Y61" i="43"/>
  <c r="P61" i="43"/>
  <c r="K61" i="43"/>
  <c r="AC60" i="43"/>
  <c r="Y60" i="43"/>
  <c r="L52" i="43"/>
  <c r="P52" i="43" s="1"/>
  <c r="AC51" i="43"/>
  <c r="I51" i="43"/>
  <c r="E51" i="43"/>
  <c r="AC50" i="43"/>
  <c r="Y50" i="43"/>
  <c r="U50" i="43"/>
  <c r="Q50" i="43"/>
  <c r="I50" i="43"/>
  <c r="E50" i="43"/>
  <c r="AC49" i="43"/>
  <c r="Y49" i="43"/>
  <c r="U49" i="43"/>
  <c r="Q49" i="43"/>
  <c r="G49" i="43"/>
  <c r="AC48" i="43"/>
  <c r="Y48" i="43"/>
  <c r="U48" i="43"/>
  <c r="Q48" i="43"/>
  <c r="I48" i="43"/>
  <c r="E48" i="43"/>
  <c r="G48" i="43"/>
  <c r="AC47" i="43"/>
  <c r="Y47" i="43"/>
  <c r="U47" i="43"/>
  <c r="Q47" i="43"/>
  <c r="I47" i="43"/>
  <c r="E47" i="43"/>
  <c r="AC46" i="43"/>
  <c r="Y46" i="43"/>
  <c r="U46" i="43"/>
  <c r="Q46" i="43"/>
  <c r="I46" i="43"/>
  <c r="E46" i="43"/>
  <c r="G46" i="43"/>
  <c r="AC45" i="43"/>
  <c r="U45" i="43"/>
  <c r="Q45" i="43"/>
  <c r="I45" i="43"/>
  <c r="Q41" i="43"/>
  <c r="L41" i="43"/>
  <c r="P41" i="43" s="1"/>
  <c r="T41" i="43" s="1"/>
  <c r="G41" i="43"/>
  <c r="Q40" i="43"/>
  <c r="L40" i="43"/>
  <c r="P40" i="43" s="1"/>
  <c r="T40" i="43" s="1"/>
  <c r="Q39" i="43"/>
  <c r="L39" i="43"/>
  <c r="P39" i="43" s="1"/>
  <c r="T39" i="43" s="1"/>
  <c r="Q38" i="43"/>
  <c r="Q37" i="43"/>
  <c r="P37" i="43"/>
  <c r="Q36" i="43"/>
  <c r="P36" i="43"/>
  <c r="Q35" i="43"/>
  <c r="P35" i="43"/>
  <c r="T35" i="43" s="1"/>
  <c r="S35" i="43" s="1"/>
  <c r="AC34" i="43"/>
  <c r="Y34" i="43"/>
  <c r="U34" i="43"/>
  <c r="Q34" i="43"/>
  <c r="K34" i="43"/>
  <c r="AC33" i="43"/>
  <c r="Y33" i="43"/>
  <c r="U33" i="43"/>
  <c r="Q33" i="43"/>
  <c r="O33" i="43"/>
  <c r="G33" i="43"/>
  <c r="AC32" i="43"/>
  <c r="Y32" i="43"/>
  <c r="U32" i="43"/>
  <c r="Q32" i="43"/>
  <c r="K32" i="43"/>
  <c r="G32" i="43"/>
  <c r="H29" i="43"/>
  <c r="D29" i="43"/>
  <c r="L28" i="43"/>
  <c r="G28" i="43"/>
  <c r="L27" i="43"/>
  <c r="P27" i="43" s="1"/>
  <c r="G27" i="43"/>
  <c r="L26" i="43"/>
  <c r="O26" i="43" s="1"/>
  <c r="K26" i="43"/>
  <c r="G26" i="43"/>
  <c r="K25" i="43"/>
  <c r="G25" i="43"/>
  <c r="K24" i="43"/>
  <c r="G24" i="43"/>
  <c r="D14" i="43"/>
  <c r="D16" i="43" s="1"/>
  <c r="G16" i="43" s="1"/>
  <c r="O10" i="43"/>
  <c r="K10" i="43"/>
  <c r="G10" i="43"/>
  <c r="H6" i="43"/>
  <c r="L6" i="43" s="1"/>
  <c r="P6" i="43" s="1"/>
  <c r="T6" i="43" s="1"/>
  <c r="X6" i="43" s="1"/>
  <c r="AB6" i="43" s="1"/>
  <c r="AB3" i="43"/>
  <c r="AB9" i="43" s="1"/>
  <c r="AB14" i="43" s="1"/>
  <c r="X3" i="43"/>
  <c r="X9" i="43" s="1"/>
  <c r="T3" i="43"/>
  <c r="P3" i="43"/>
  <c r="L3" i="43"/>
  <c r="H3" i="43"/>
  <c r="D3" i="43"/>
  <c r="H49" i="2"/>
  <c r="T37" i="43" l="1"/>
  <c r="S37" i="43"/>
  <c r="T36" i="43"/>
  <c r="S36" i="43"/>
  <c r="O94" i="31"/>
  <c r="S94" i="31"/>
  <c r="T94" i="31"/>
  <c r="O82" i="31"/>
  <c r="T82" i="31"/>
  <c r="S82" i="31"/>
  <c r="O98" i="31"/>
  <c r="T98" i="31"/>
  <c r="S98" i="31" s="1"/>
  <c r="O109" i="31"/>
  <c r="T109" i="31"/>
  <c r="S109" i="31"/>
  <c r="O107" i="31"/>
  <c r="T107" i="31"/>
  <c r="S107" i="31" s="1"/>
  <c r="O104" i="31"/>
  <c r="T104" i="31"/>
  <c r="S104" i="31" s="1"/>
  <c r="O96" i="31"/>
  <c r="T96" i="31"/>
  <c r="S96" i="31" s="1"/>
  <c r="O86" i="31"/>
  <c r="T86" i="31"/>
  <c r="S86" i="31" s="1"/>
  <c r="O91" i="31"/>
  <c r="T91" i="31"/>
  <c r="S91" i="31" s="1"/>
  <c r="O90" i="31"/>
  <c r="T90" i="31"/>
  <c r="S90" i="31" s="1"/>
  <c r="W64" i="45"/>
  <c r="W75" i="45"/>
  <c r="W77" i="45"/>
  <c r="S24" i="44"/>
  <c r="T24" i="44"/>
  <c r="T29" i="44" s="1"/>
  <c r="S32" i="44"/>
  <c r="T105" i="31"/>
  <c r="S105" i="31"/>
  <c r="T111" i="31"/>
  <c r="S111" i="31"/>
  <c r="S40" i="43"/>
  <c r="O39" i="43"/>
  <c r="S39" i="43"/>
  <c r="S41" i="43"/>
  <c r="S74" i="44"/>
  <c r="S81" i="45"/>
  <c r="X77" i="44"/>
  <c r="W61" i="44"/>
  <c r="P45" i="43"/>
  <c r="O45" i="43" s="1"/>
  <c r="S21" i="31"/>
  <c r="T22" i="31"/>
  <c r="S22" i="31"/>
  <c r="X63" i="44"/>
  <c r="W62" i="44"/>
  <c r="X34" i="45"/>
  <c r="AB34" i="45" s="1"/>
  <c r="O47" i="45"/>
  <c r="O46" i="45"/>
  <c r="O49" i="44"/>
  <c r="W81" i="45"/>
  <c r="W79" i="45"/>
  <c r="W76" i="45"/>
  <c r="S76" i="45"/>
  <c r="W80" i="45"/>
  <c r="S79" i="45"/>
  <c r="W82" i="45"/>
  <c r="O75" i="45"/>
  <c r="S80" i="45"/>
  <c r="X78" i="45"/>
  <c r="AA78" i="45" s="1"/>
  <c r="K29" i="45"/>
  <c r="K48" i="45"/>
  <c r="S82" i="45"/>
  <c r="S78" i="45"/>
  <c r="P83" i="45"/>
  <c r="S75" i="45"/>
  <c r="M42" i="45"/>
  <c r="T42" i="45"/>
  <c r="D108" i="45"/>
  <c r="O42" i="45"/>
  <c r="P29" i="45"/>
  <c r="T47" i="45"/>
  <c r="W47" i="45" s="1"/>
  <c r="X33" i="45"/>
  <c r="AA33" i="45" s="1"/>
  <c r="T52" i="45"/>
  <c r="S52" i="45"/>
  <c r="P42" i="45"/>
  <c r="AB80" i="45"/>
  <c r="AA80" i="45"/>
  <c r="AB76" i="45"/>
  <c r="AA76" i="45" s="1"/>
  <c r="AB81" i="45"/>
  <c r="AA81" i="45"/>
  <c r="AB77" i="45"/>
  <c r="AA77" i="45"/>
  <c r="AB64" i="45"/>
  <c r="AA64" i="45"/>
  <c r="D98" i="45"/>
  <c r="X49" i="45"/>
  <c r="W49" i="45" s="1"/>
  <c r="AB33" i="45"/>
  <c r="AA14" i="45"/>
  <c r="X16" i="45"/>
  <c r="AA16" i="45" s="1"/>
  <c r="X92" i="45"/>
  <c r="T95" i="45"/>
  <c r="O67" i="45"/>
  <c r="L68" i="45"/>
  <c r="P67" i="45"/>
  <c r="I56" i="45"/>
  <c r="AB32" i="45"/>
  <c r="AA32" i="45"/>
  <c r="M29" i="45"/>
  <c r="K50" i="45"/>
  <c r="T83" i="45"/>
  <c r="X73" i="45"/>
  <c r="W73" i="45" s="1"/>
  <c r="AB82" i="45"/>
  <c r="AA82" i="45"/>
  <c r="AB74" i="45"/>
  <c r="AA74" i="45" s="1"/>
  <c r="M14" i="45"/>
  <c r="K14" i="45"/>
  <c r="L16" i="45"/>
  <c r="O16" i="45" s="1"/>
  <c r="O14" i="45"/>
  <c r="AB62" i="45"/>
  <c r="AA62" i="45"/>
  <c r="AB79" i="45"/>
  <c r="AA79" i="45"/>
  <c r="AB75" i="45"/>
  <c r="AA75" i="45" s="1"/>
  <c r="W65" i="45"/>
  <c r="X65" i="45"/>
  <c r="P16" i="45"/>
  <c r="S16" i="45" s="1"/>
  <c r="S14" i="45"/>
  <c r="Q14" i="45"/>
  <c r="X61" i="45"/>
  <c r="W61" i="45"/>
  <c r="AB60" i="45"/>
  <c r="AA60" i="45" s="1"/>
  <c r="H108" i="45"/>
  <c r="H98" i="45"/>
  <c r="I70" i="45"/>
  <c r="K51" i="45"/>
  <c r="O10" i="45"/>
  <c r="L46" i="44"/>
  <c r="M42" i="44"/>
  <c r="K42" i="44"/>
  <c r="L48" i="44"/>
  <c r="K48" i="44" s="1"/>
  <c r="T42" i="44"/>
  <c r="T50" i="44" s="1"/>
  <c r="W50" i="44" s="1"/>
  <c r="X16" i="44"/>
  <c r="AA16" i="44" s="1"/>
  <c r="AA14" i="44"/>
  <c r="X18" i="44"/>
  <c r="AA18" i="44" s="1"/>
  <c r="D108" i="44"/>
  <c r="AA62" i="44"/>
  <c r="AB62" i="44"/>
  <c r="T76" i="44"/>
  <c r="S76" i="44"/>
  <c r="AB77" i="44"/>
  <c r="AA77" i="44"/>
  <c r="M29" i="44"/>
  <c r="K29" i="44"/>
  <c r="O29" i="44"/>
  <c r="K46" i="44"/>
  <c r="K47" i="44"/>
  <c r="P42" i="44"/>
  <c r="S65" i="44"/>
  <c r="T65" i="44"/>
  <c r="H108" i="44"/>
  <c r="H98" i="44"/>
  <c r="I70" i="44"/>
  <c r="T81" i="44"/>
  <c r="S81" i="44"/>
  <c r="T78" i="44"/>
  <c r="S78" i="44"/>
  <c r="X64" i="44"/>
  <c r="W64" i="44"/>
  <c r="AB61" i="44"/>
  <c r="AA61" i="44"/>
  <c r="T80" i="44"/>
  <c r="S80" i="44"/>
  <c r="X73" i="44"/>
  <c r="W73" i="44" s="1"/>
  <c r="D98" i="44"/>
  <c r="L50" i="44"/>
  <c r="S29" i="44"/>
  <c r="Q29" i="44"/>
  <c r="I56" i="44"/>
  <c r="T75" i="44"/>
  <c r="S75" i="44"/>
  <c r="T79" i="44"/>
  <c r="S79" i="44"/>
  <c r="P83" i="44"/>
  <c r="O83" i="44" s="1"/>
  <c r="S52" i="44"/>
  <c r="T52" i="44"/>
  <c r="T16" i="44"/>
  <c r="W16" i="44" s="1"/>
  <c r="W14" i="44"/>
  <c r="S45" i="44"/>
  <c r="AB33" i="44"/>
  <c r="AA33" i="44" s="1"/>
  <c r="T82" i="44"/>
  <c r="S82" i="44"/>
  <c r="S60" i="44"/>
  <c r="L68" i="44"/>
  <c r="P67" i="44"/>
  <c r="O67" i="44"/>
  <c r="M83" i="44"/>
  <c r="X42" i="44"/>
  <c r="AB32" i="44"/>
  <c r="T49" i="44"/>
  <c r="S49" i="44" s="1"/>
  <c r="AB34" i="44"/>
  <c r="AA34" i="44" s="1"/>
  <c r="P60" i="43"/>
  <c r="O60" i="43" s="1"/>
  <c r="K92" i="43"/>
  <c r="G51" i="43"/>
  <c r="G53" i="43"/>
  <c r="G61" i="43"/>
  <c r="P75" i="43"/>
  <c r="T75" i="43" s="1"/>
  <c r="T73" i="43"/>
  <c r="X73" i="43" s="1"/>
  <c r="P34" i="43"/>
  <c r="T34" i="43" s="1"/>
  <c r="K41" i="43"/>
  <c r="P49" i="43"/>
  <c r="D70" i="43"/>
  <c r="P76" i="43"/>
  <c r="O76" i="43" s="1"/>
  <c r="G35" i="43"/>
  <c r="G37" i="43"/>
  <c r="I29" i="43"/>
  <c r="W52" i="43"/>
  <c r="X52" i="43"/>
  <c r="AB52" i="43" s="1"/>
  <c r="O24" i="43"/>
  <c r="G29" i="43"/>
  <c r="K37" i="43"/>
  <c r="G39" i="43"/>
  <c r="G40" i="43"/>
  <c r="O52" i="43"/>
  <c r="K76" i="43"/>
  <c r="K77" i="43"/>
  <c r="G52" i="43"/>
  <c r="S61" i="43"/>
  <c r="K35" i="43"/>
  <c r="O41" i="43"/>
  <c r="K52" i="43"/>
  <c r="T63" i="43"/>
  <c r="X63" i="43" s="1"/>
  <c r="AB63" i="43" s="1"/>
  <c r="AA63" i="43" s="1"/>
  <c r="H95" i="43"/>
  <c r="I95" i="43" s="1"/>
  <c r="K27" i="43"/>
  <c r="G38" i="43"/>
  <c r="K39" i="43"/>
  <c r="G47" i="43"/>
  <c r="O61" i="43"/>
  <c r="T64" i="43"/>
  <c r="O73" i="43"/>
  <c r="P93" i="43"/>
  <c r="O93" i="43" s="1"/>
  <c r="D42" i="43"/>
  <c r="K38" i="43"/>
  <c r="H54" i="43"/>
  <c r="P26" i="43"/>
  <c r="O27" i="43"/>
  <c r="L38" i="43"/>
  <c r="P38" i="43" s="1"/>
  <c r="T38" i="43" s="1"/>
  <c r="G60" i="43"/>
  <c r="L29" i="43"/>
  <c r="D54" i="43"/>
  <c r="D56" i="43" s="1"/>
  <c r="K73" i="43"/>
  <c r="AB16" i="43"/>
  <c r="AB18" i="43" s="1"/>
  <c r="W9" i="43"/>
  <c r="T14" i="43"/>
  <c r="P14" i="43"/>
  <c r="O25" i="43"/>
  <c r="P28" i="43"/>
  <c r="O28" i="43" s="1"/>
  <c r="K28" i="43"/>
  <c r="X14" i="43"/>
  <c r="AA9" i="43"/>
  <c r="G14" i="43"/>
  <c r="D18" i="43"/>
  <c r="H14" i="43"/>
  <c r="K14" i="43" s="1"/>
  <c r="O32" i="43"/>
  <c r="G34" i="43"/>
  <c r="H42" i="43"/>
  <c r="K36" i="43"/>
  <c r="O36" i="43"/>
  <c r="K40" i="43"/>
  <c r="G50" i="43"/>
  <c r="S52" i="43"/>
  <c r="H70" i="43"/>
  <c r="S60" i="43"/>
  <c r="T62" i="43"/>
  <c r="O62" i="43"/>
  <c r="G63" i="43"/>
  <c r="P65" i="43"/>
  <c r="K67" i="43"/>
  <c r="L67" i="43"/>
  <c r="O75" i="43"/>
  <c r="K33" i="43"/>
  <c r="O35" i="43"/>
  <c r="O37" i="43"/>
  <c r="P78" i="43"/>
  <c r="O78" i="43" s="1"/>
  <c r="K78" i="43"/>
  <c r="G36" i="43"/>
  <c r="O40" i="43"/>
  <c r="G45" i="43"/>
  <c r="AA52" i="43"/>
  <c r="L53" i="43"/>
  <c r="K53" i="43" s="1"/>
  <c r="S64" i="43"/>
  <c r="D83" i="43"/>
  <c r="I83" i="43" s="1"/>
  <c r="G73" i="43"/>
  <c r="P74" i="43"/>
  <c r="O74" i="43" s="1"/>
  <c r="K75" i="43"/>
  <c r="O77" i="43"/>
  <c r="T77" i="43"/>
  <c r="P79" i="43"/>
  <c r="K79" i="43"/>
  <c r="K74" i="43"/>
  <c r="P80" i="43"/>
  <c r="O80" i="43" s="1"/>
  <c r="K80" i="43"/>
  <c r="P81" i="43"/>
  <c r="K81" i="43"/>
  <c r="O81" i="43"/>
  <c r="L82" i="43"/>
  <c r="T92" i="43"/>
  <c r="O92" i="43"/>
  <c r="F11" i="2"/>
  <c r="G11" i="2" s="1"/>
  <c r="H11" i="2" s="1"/>
  <c r="I11" i="2" s="1"/>
  <c r="E23" i="2"/>
  <c r="F23" i="2" s="1"/>
  <c r="G23" i="2" s="1"/>
  <c r="H23" i="2" s="1"/>
  <c r="I23" i="2" s="1"/>
  <c r="I30" i="2"/>
  <c r="I26" i="2"/>
  <c r="AA34" i="45" l="1"/>
  <c r="T49" i="43"/>
  <c r="S49" i="43" s="1"/>
  <c r="W29" i="44"/>
  <c r="T45" i="44"/>
  <c r="W45" i="44" s="1"/>
  <c r="T18" i="44"/>
  <c r="W18" i="44" s="1"/>
  <c r="X74" i="44"/>
  <c r="W74" i="44" s="1"/>
  <c r="T26" i="43"/>
  <c r="T29" i="43" s="1"/>
  <c r="T45" i="43" s="1"/>
  <c r="S26" i="43"/>
  <c r="K29" i="43"/>
  <c r="O38" i="43"/>
  <c r="S38" i="43"/>
  <c r="U22" i="31"/>
  <c r="Q29" i="45"/>
  <c r="S29" i="45"/>
  <c r="O29" i="45"/>
  <c r="AB63" i="44"/>
  <c r="AA63" i="44"/>
  <c r="X42" i="45"/>
  <c r="X50" i="45" s="1"/>
  <c r="AA50" i="45" s="1"/>
  <c r="AB78" i="45"/>
  <c r="K45" i="45"/>
  <c r="S45" i="45"/>
  <c r="Q42" i="45"/>
  <c r="W42" i="45"/>
  <c r="T46" i="45"/>
  <c r="W46" i="45" s="1"/>
  <c r="T48" i="45"/>
  <c r="T50" i="45"/>
  <c r="W50" i="45" s="1"/>
  <c r="O48" i="45"/>
  <c r="S47" i="45"/>
  <c r="X52" i="45"/>
  <c r="W52" i="45"/>
  <c r="AB42" i="45"/>
  <c r="AB47" i="45" s="1"/>
  <c r="O51" i="45"/>
  <c r="S42" i="45"/>
  <c r="S83" i="45"/>
  <c r="L54" i="45"/>
  <c r="K54" i="45" s="1"/>
  <c r="X46" i="45"/>
  <c r="AA46" i="45" s="1"/>
  <c r="AA42" i="45"/>
  <c r="AB61" i="45"/>
  <c r="AA61" i="45"/>
  <c r="X95" i="45"/>
  <c r="AB92" i="45"/>
  <c r="AB95" i="45" s="1"/>
  <c r="AB49" i="45"/>
  <c r="AA49" i="45"/>
  <c r="AB73" i="45"/>
  <c r="X83" i="45"/>
  <c r="L69" i="45"/>
  <c r="P68" i="45"/>
  <c r="O68" i="45"/>
  <c r="S46" i="45"/>
  <c r="AB65" i="45"/>
  <c r="AA65" i="45"/>
  <c r="AB48" i="45"/>
  <c r="AB50" i="45"/>
  <c r="X18" i="45"/>
  <c r="AA18" i="45" s="1"/>
  <c r="D109" i="45"/>
  <c r="G98" i="45"/>
  <c r="D100" i="45"/>
  <c r="L70" i="45"/>
  <c r="I98" i="45"/>
  <c r="H109" i="45"/>
  <c r="H100" i="45"/>
  <c r="AB42" i="44"/>
  <c r="AB51" i="44" s="1"/>
  <c r="T46" i="44"/>
  <c r="T47" i="44"/>
  <c r="T48" i="44"/>
  <c r="AB50" i="44"/>
  <c r="AB47" i="44"/>
  <c r="AB46" i="44"/>
  <c r="W82" i="44"/>
  <c r="X82" i="44"/>
  <c r="AB73" i="44"/>
  <c r="AA73" i="44" s="1"/>
  <c r="W81" i="44"/>
  <c r="X81" i="44"/>
  <c r="W76" i="44"/>
  <c r="X76" i="44"/>
  <c r="X50" i="44"/>
  <c r="AA50" i="44" s="1"/>
  <c r="X48" i="44"/>
  <c r="AA48" i="44" s="1"/>
  <c r="X46" i="44"/>
  <c r="X47" i="44"/>
  <c r="AA42" i="44"/>
  <c r="W52" i="44"/>
  <c r="X52" i="44"/>
  <c r="W75" i="44"/>
  <c r="X75" i="44"/>
  <c r="K50" i="44"/>
  <c r="T83" i="44"/>
  <c r="S83" i="44" s="1"/>
  <c r="X65" i="44"/>
  <c r="W65" i="44"/>
  <c r="K54" i="44"/>
  <c r="AA64" i="44"/>
  <c r="AB64" i="44"/>
  <c r="X49" i="44"/>
  <c r="W49" i="44"/>
  <c r="W78" i="44"/>
  <c r="X78" i="44"/>
  <c r="W42" i="44"/>
  <c r="X60" i="44"/>
  <c r="W60" i="44" s="1"/>
  <c r="K51" i="44"/>
  <c r="AA32" i="44"/>
  <c r="O68" i="44"/>
  <c r="L69" i="44"/>
  <c r="L70" i="44" s="1"/>
  <c r="P68" i="44"/>
  <c r="Q83" i="44"/>
  <c r="W79" i="44"/>
  <c r="X79" i="44"/>
  <c r="D109" i="44"/>
  <c r="G98" i="44"/>
  <c r="D100" i="44"/>
  <c r="I98" i="44"/>
  <c r="H109" i="44"/>
  <c r="H100" i="44"/>
  <c r="P50" i="44"/>
  <c r="S50" i="44" s="1"/>
  <c r="P47" i="44"/>
  <c r="P48" i="44"/>
  <c r="P46" i="44"/>
  <c r="S42" i="44"/>
  <c r="Q42" i="44"/>
  <c r="O42" i="44"/>
  <c r="W80" i="44"/>
  <c r="X80" i="44"/>
  <c r="G95" i="43"/>
  <c r="X61" i="43"/>
  <c r="W61" i="43" s="1"/>
  <c r="S73" i="43"/>
  <c r="O34" i="43"/>
  <c r="G42" i="43"/>
  <c r="G70" i="43"/>
  <c r="O49" i="43"/>
  <c r="K49" i="43"/>
  <c r="I54" i="43"/>
  <c r="L42" i="43"/>
  <c r="W63" i="43"/>
  <c r="T76" i="43"/>
  <c r="X76" i="43" s="1"/>
  <c r="W76" i="43" s="1"/>
  <c r="G54" i="43"/>
  <c r="S63" i="43"/>
  <c r="L95" i="43"/>
  <c r="K95" i="43" s="1"/>
  <c r="K45" i="43"/>
  <c r="L83" i="43"/>
  <c r="K83" i="43" s="1"/>
  <c r="H56" i="43"/>
  <c r="G56" i="43" s="1"/>
  <c r="M29" i="43"/>
  <c r="X64" i="43"/>
  <c r="W64" i="43"/>
  <c r="P16" i="43"/>
  <c r="S16" i="43" s="1"/>
  <c r="S14" i="43"/>
  <c r="Q14" i="43"/>
  <c r="AB73" i="43"/>
  <c r="S65" i="43"/>
  <c r="T65" i="43"/>
  <c r="S62" i="43"/>
  <c r="X62" i="43"/>
  <c r="W62" i="43" s="1"/>
  <c r="S32" i="43"/>
  <c r="P42" i="43"/>
  <c r="X16" i="43"/>
  <c r="AA16" i="43" s="1"/>
  <c r="AA14" i="43"/>
  <c r="X60" i="43"/>
  <c r="X34" i="43"/>
  <c r="X33" i="43"/>
  <c r="W33" i="43" s="1"/>
  <c r="P29" i="43"/>
  <c r="L16" i="43"/>
  <c r="O16" i="43" s="1"/>
  <c r="M14" i="43"/>
  <c r="T79" i="43"/>
  <c r="S79" i="43" s="1"/>
  <c r="X92" i="43"/>
  <c r="T95" i="43"/>
  <c r="K82" i="43"/>
  <c r="T81" i="43"/>
  <c r="S81" i="43" s="1"/>
  <c r="T80" i="43"/>
  <c r="S77" i="43"/>
  <c r="X77" i="43"/>
  <c r="W77" i="43" s="1"/>
  <c r="T74" i="43"/>
  <c r="S74" i="43" s="1"/>
  <c r="P53" i="43"/>
  <c r="O53" i="43"/>
  <c r="T78" i="43"/>
  <c r="S78" i="43" s="1"/>
  <c r="L68" i="43"/>
  <c r="P67" i="43"/>
  <c r="O67" i="43"/>
  <c r="I70" i="43"/>
  <c r="I42" i="43"/>
  <c r="S34" i="43"/>
  <c r="S33" i="43"/>
  <c r="D98" i="43"/>
  <c r="G83" i="43"/>
  <c r="X75" i="43"/>
  <c r="W75" i="43" s="1"/>
  <c r="P82" i="43"/>
  <c r="O82" i="43" s="1"/>
  <c r="D108" i="43"/>
  <c r="S76" i="43"/>
  <c r="O79" i="43"/>
  <c r="S75" i="43"/>
  <c r="W73" i="43"/>
  <c r="H16" i="43"/>
  <c r="K16" i="43" s="1"/>
  <c r="W16" i="43"/>
  <c r="W14" i="43"/>
  <c r="X47" i="45" l="1"/>
  <c r="AA47" i="45" s="1"/>
  <c r="X49" i="43"/>
  <c r="W49" i="43" s="1"/>
  <c r="W48" i="44"/>
  <c r="AB48" i="44"/>
  <c r="AB74" i="44"/>
  <c r="AA74" i="44" s="1"/>
  <c r="S29" i="43"/>
  <c r="U29" i="43"/>
  <c r="W48" i="45"/>
  <c r="K46" i="43"/>
  <c r="K47" i="43"/>
  <c r="K51" i="43"/>
  <c r="K50" i="43"/>
  <c r="H98" i="43"/>
  <c r="S50" i="45"/>
  <c r="X48" i="45"/>
  <c r="AA48" i="45" s="1"/>
  <c r="AB46" i="45"/>
  <c r="O45" i="45"/>
  <c r="AB51" i="45"/>
  <c r="K42" i="43"/>
  <c r="AB83" i="45"/>
  <c r="AA83" i="45" s="1"/>
  <c r="S51" i="45"/>
  <c r="S48" i="45"/>
  <c r="P54" i="45"/>
  <c r="Q54" i="45" s="1"/>
  <c r="O50" i="45"/>
  <c r="AB52" i="45"/>
  <c r="AA52" i="45"/>
  <c r="M70" i="45"/>
  <c r="K70" i="45"/>
  <c r="D102" i="45"/>
  <c r="G100" i="45"/>
  <c r="AA73" i="45"/>
  <c r="W83" i="45"/>
  <c r="H102" i="45"/>
  <c r="G71" i="26" s="1"/>
  <c r="M54" i="45"/>
  <c r="L56" i="45"/>
  <c r="K56" i="45" s="1"/>
  <c r="P69" i="45"/>
  <c r="P70" i="45" s="1"/>
  <c r="O70" i="45" s="1"/>
  <c r="O69" i="45"/>
  <c r="X83" i="44"/>
  <c r="W83" i="44" s="1"/>
  <c r="AA47" i="44"/>
  <c r="H102" i="44"/>
  <c r="K56" i="44"/>
  <c r="AB60" i="44"/>
  <c r="AA46" i="44"/>
  <c r="AB80" i="44"/>
  <c r="AA80" i="44"/>
  <c r="W46" i="44"/>
  <c r="S46" i="44"/>
  <c r="O46" i="44"/>
  <c r="AB79" i="44"/>
  <c r="AA79" i="44"/>
  <c r="P69" i="44"/>
  <c r="O69" i="44"/>
  <c r="AB49" i="44"/>
  <c r="AA49" i="44"/>
  <c r="O50" i="44"/>
  <c r="AB82" i="44"/>
  <c r="AA82" i="44"/>
  <c r="AB78" i="44"/>
  <c r="AA78" i="44"/>
  <c r="AA65" i="44"/>
  <c r="AB65" i="44"/>
  <c r="AB75" i="44"/>
  <c r="AA75" i="44"/>
  <c r="AB81" i="44"/>
  <c r="AA81" i="44"/>
  <c r="D102" i="44"/>
  <c r="G100" i="44"/>
  <c r="S48" i="44"/>
  <c r="O48" i="44"/>
  <c r="S47" i="44"/>
  <c r="O47" i="44"/>
  <c r="M70" i="44"/>
  <c r="K70" i="44"/>
  <c r="W47" i="44"/>
  <c r="AA52" i="44"/>
  <c r="AB52" i="44"/>
  <c r="AB76" i="44"/>
  <c r="AA76" i="44"/>
  <c r="K48" i="43"/>
  <c r="M95" i="43"/>
  <c r="AB61" i="43"/>
  <c r="AA61" i="43" s="1"/>
  <c r="M42" i="43"/>
  <c r="O42" i="43"/>
  <c r="M83" i="43"/>
  <c r="H108" i="43"/>
  <c r="P83" i="43"/>
  <c r="Q83" i="43" s="1"/>
  <c r="P95" i="43"/>
  <c r="O95" i="43" s="1"/>
  <c r="I56" i="43"/>
  <c r="AB64" i="43"/>
  <c r="AA64" i="43"/>
  <c r="D109" i="43"/>
  <c r="D100" i="43"/>
  <c r="X80" i="43"/>
  <c r="W80" i="43" s="1"/>
  <c r="AB92" i="43"/>
  <c r="AB95" i="43" s="1"/>
  <c r="X95" i="43"/>
  <c r="AB60" i="43"/>
  <c r="AA60" i="43" s="1"/>
  <c r="X32" i="43"/>
  <c r="W32" i="43" s="1"/>
  <c r="AB49" i="43"/>
  <c r="AA49" i="43" s="1"/>
  <c r="AB75" i="43"/>
  <c r="AA75" i="43" s="1"/>
  <c r="X18" i="43"/>
  <c r="AA18" i="43" s="1"/>
  <c r="Q95" i="43"/>
  <c r="T82" i="43"/>
  <c r="P68" i="43"/>
  <c r="L69" i="43"/>
  <c r="O68" i="43"/>
  <c r="S80" i="43"/>
  <c r="X79" i="43"/>
  <c r="W79" i="43" s="1"/>
  <c r="W60" i="43"/>
  <c r="Q42" i="43"/>
  <c r="P50" i="43"/>
  <c r="P48" i="43"/>
  <c r="P47" i="43"/>
  <c r="P46" i="43"/>
  <c r="AA73" i="43"/>
  <c r="W65" i="43"/>
  <c r="X65" i="43"/>
  <c r="X78" i="43"/>
  <c r="W78" i="43" s="1"/>
  <c r="AB34" i="43"/>
  <c r="AA34" i="43" s="1"/>
  <c r="AB62" i="43"/>
  <c r="AA62" i="43" s="1"/>
  <c r="AB76" i="43"/>
  <c r="AA76" i="43" s="1"/>
  <c r="X74" i="43"/>
  <c r="Q29" i="43"/>
  <c r="O29" i="43"/>
  <c r="AB33" i="43"/>
  <c r="AA33" i="43" s="1"/>
  <c r="AB77" i="43"/>
  <c r="AA77" i="43" s="1"/>
  <c r="G98" i="43"/>
  <c r="X81" i="43"/>
  <c r="W34" i="43"/>
  <c r="G12" i="26"/>
  <c r="T42" i="43" l="1"/>
  <c r="O47" i="43"/>
  <c r="S54" i="45"/>
  <c r="O54" i="45"/>
  <c r="P56" i="45"/>
  <c r="Q56" i="45" s="1"/>
  <c r="M56" i="45"/>
  <c r="G102" i="45"/>
  <c r="L7" i="45"/>
  <c r="Q70" i="45"/>
  <c r="T69" i="45"/>
  <c r="S69" i="45"/>
  <c r="AB83" i="44"/>
  <c r="AA83" i="44" s="1"/>
  <c r="G102" i="44"/>
  <c r="L7" i="44"/>
  <c r="AA60" i="44"/>
  <c r="S69" i="44"/>
  <c r="T69" i="44"/>
  <c r="P70" i="44"/>
  <c r="O50" i="43"/>
  <c r="O46" i="43"/>
  <c r="O83" i="43"/>
  <c r="L54" i="43"/>
  <c r="L56" i="43" s="1"/>
  <c r="M56" i="43" s="1"/>
  <c r="X82" i="43"/>
  <c r="AB81" i="43"/>
  <c r="AA81" i="43" s="1"/>
  <c r="AB79" i="43"/>
  <c r="AA79" i="43" s="1"/>
  <c r="P69" i="43"/>
  <c r="P70" i="43" s="1"/>
  <c r="O69" i="43"/>
  <c r="AB29" i="43"/>
  <c r="AB45" i="43" s="1"/>
  <c r="AB54" i="43" s="1"/>
  <c r="AB56" i="43" s="1"/>
  <c r="X29" i="43"/>
  <c r="W81" i="43"/>
  <c r="T83" i="43"/>
  <c r="AB78" i="43"/>
  <c r="AA78" i="43" s="1"/>
  <c r="AB80" i="43"/>
  <c r="AA80" i="43" s="1"/>
  <c r="AB74" i="43"/>
  <c r="AA74" i="43" s="1"/>
  <c r="AB65" i="43"/>
  <c r="AA65" i="43"/>
  <c r="I98" i="43"/>
  <c r="H109" i="43"/>
  <c r="H100" i="43"/>
  <c r="W74" i="43"/>
  <c r="L70" i="43"/>
  <c r="S82" i="43"/>
  <c r="O48" i="43"/>
  <c r="X42" i="43"/>
  <c r="AB32" i="43"/>
  <c r="AB42" i="43" s="1"/>
  <c r="D102" i="43"/>
  <c r="S42" i="43" l="1"/>
  <c r="T48" i="43"/>
  <c r="S48" i="43" s="1"/>
  <c r="T46" i="43"/>
  <c r="S46" i="43" s="1"/>
  <c r="T47" i="43"/>
  <c r="S47" i="43" s="1"/>
  <c r="T50" i="43"/>
  <c r="W42" i="43"/>
  <c r="AA32" i="43"/>
  <c r="P108" i="45"/>
  <c r="O56" i="45"/>
  <c r="S56" i="45"/>
  <c r="P98" i="45"/>
  <c r="P100" i="45" s="1"/>
  <c r="L18" i="45"/>
  <c r="W69" i="45"/>
  <c r="X69" i="45"/>
  <c r="T70" i="45"/>
  <c r="X69" i="44"/>
  <c r="W69" i="44"/>
  <c r="T70" i="44"/>
  <c r="Q70" i="44"/>
  <c r="O70" i="44"/>
  <c r="L18" i="44"/>
  <c r="K56" i="43"/>
  <c r="K54" i="43"/>
  <c r="M54" i="43"/>
  <c r="AB48" i="43"/>
  <c r="AB47" i="43"/>
  <c r="AB46" i="43"/>
  <c r="AB50" i="43"/>
  <c r="AB51" i="43"/>
  <c r="O70" i="43"/>
  <c r="M70" i="43"/>
  <c r="L98" i="43"/>
  <c r="L108" i="43"/>
  <c r="K70" i="43"/>
  <c r="S83" i="43"/>
  <c r="S69" i="43"/>
  <c r="T69" i="43"/>
  <c r="AA29" i="43"/>
  <c r="AB82" i="43"/>
  <c r="AA82" i="43" s="1"/>
  <c r="W29" i="43"/>
  <c r="X83" i="43"/>
  <c r="W83" i="43" s="1"/>
  <c r="G100" i="43"/>
  <c r="AA42" i="43"/>
  <c r="X50" i="43"/>
  <c r="X48" i="43"/>
  <c r="X47" i="43"/>
  <c r="X46" i="43"/>
  <c r="Q70" i="43"/>
  <c r="S45" i="43"/>
  <c r="W82" i="43"/>
  <c r="E47" i="35"/>
  <c r="F47" i="35"/>
  <c r="G47" i="35"/>
  <c r="D47" i="35"/>
  <c r="D37" i="35"/>
  <c r="E21" i="35"/>
  <c r="F21" i="35"/>
  <c r="G21" i="35"/>
  <c r="D21" i="35"/>
  <c r="D11" i="35"/>
  <c r="W50" i="43" l="1"/>
  <c r="S50" i="43"/>
  <c r="P109" i="45"/>
  <c r="M18" i="45"/>
  <c r="K18" i="45"/>
  <c r="S70" i="45"/>
  <c r="AB69" i="45"/>
  <c r="AB70" i="45" s="1"/>
  <c r="AA69" i="45"/>
  <c r="X70" i="45"/>
  <c r="W70" i="45" s="1"/>
  <c r="M18" i="44"/>
  <c r="K18" i="44"/>
  <c r="AA69" i="44"/>
  <c r="AB69" i="44"/>
  <c r="AB70" i="44" s="1"/>
  <c r="X70" i="44"/>
  <c r="S70" i="44"/>
  <c r="AA47" i="43"/>
  <c r="W47" i="43"/>
  <c r="AB83" i="43"/>
  <c r="AA83" i="43" s="1"/>
  <c r="AA48" i="43"/>
  <c r="L109" i="43"/>
  <c r="M98" i="43"/>
  <c r="L100" i="43"/>
  <c r="K98" i="43"/>
  <c r="AA46" i="43"/>
  <c r="W69" i="43"/>
  <c r="X69" i="43"/>
  <c r="T70" i="43"/>
  <c r="W48" i="43"/>
  <c r="AA50" i="43"/>
  <c r="H102" i="43"/>
  <c r="H18" i="43"/>
  <c r="W46" i="43"/>
  <c r="H2" i="7"/>
  <c r="L88" i="30"/>
  <c r="L84" i="30"/>
  <c r="P28" i="30"/>
  <c r="Q28" i="30"/>
  <c r="Q27" i="30"/>
  <c r="K24" i="30"/>
  <c r="P171" i="31"/>
  <c r="P170" i="31"/>
  <c r="Q62" i="31"/>
  <c r="H26" i="2"/>
  <c r="G26" i="2"/>
  <c r="F26" i="2"/>
  <c r="E26" i="2"/>
  <c r="AB108" i="45" l="1"/>
  <c r="AB98" i="45"/>
  <c r="AB100" i="45" s="1"/>
  <c r="S98" i="45"/>
  <c r="AA70" i="45"/>
  <c r="AA70" i="44"/>
  <c r="W70" i="44"/>
  <c r="AB108" i="44"/>
  <c r="AB98" i="44"/>
  <c r="AB100" i="44" s="1"/>
  <c r="S70" i="43"/>
  <c r="L7" i="43"/>
  <c r="G102" i="43"/>
  <c r="AA69" i="43"/>
  <c r="AB69" i="43"/>
  <c r="AB70" i="43" s="1"/>
  <c r="X70" i="43"/>
  <c r="G18" i="43"/>
  <c r="K100" i="43"/>
  <c r="S100" i="45" l="1"/>
  <c r="AA70" i="43"/>
  <c r="L102" i="43"/>
  <c r="L18" i="43"/>
  <c r="AB108" i="43"/>
  <c r="AB98" i="43"/>
  <c r="AB100" i="43" s="1"/>
  <c r="W70" i="43"/>
  <c r="P62" i="31"/>
  <c r="M9" i="35"/>
  <c r="N9" i="35"/>
  <c r="O9" i="35"/>
  <c r="P9" i="35"/>
  <c r="R9" i="35"/>
  <c r="T9" i="35"/>
  <c r="V9" i="35"/>
  <c r="X9" i="35"/>
  <c r="Z9" i="35"/>
  <c r="AB9" i="35"/>
  <c r="AD9" i="35"/>
  <c r="AF9" i="35"/>
  <c r="AG9" i="35"/>
  <c r="AH9" i="35"/>
  <c r="AI9" i="35"/>
  <c r="AJ9" i="35"/>
  <c r="T62" i="31" l="1"/>
  <c r="S62" i="31"/>
  <c r="M18" i="43"/>
  <c r="K18" i="43"/>
  <c r="P7" i="43"/>
  <c r="P18" i="43" s="1"/>
  <c r="K102" i="43"/>
  <c r="Q18" i="43" l="1"/>
  <c r="O18" i="43"/>
  <c r="I80" i="30"/>
  <c r="G74" i="42" l="1"/>
  <c r="H74" i="42" s="1"/>
  <c r="I74" i="42" s="1"/>
  <c r="J72" i="42"/>
  <c r="K72" i="42" s="1"/>
  <c r="L72" i="42" s="1"/>
  <c r="J71" i="42"/>
  <c r="K71" i="42" s="1"/>
  <c r="L71" i="42" s="1"/>
  <c r="K70" i="42"/>
  <c r="L70" i="42" s="1"/>
  <c r="J70" i="42"/>
  <c r="G70" i="42"/>
  <c r="G69" i="42"/>
  <c r="H69" i="42" s="1"/>
  <c r="F68" i="42"/>
  <c r="E68" i="42"/>
  <c r="I65" i="42"/>
  <c r="J65" i="42" s="1"/>
  <c r="H65" i="42"/>
  <c r="F65" i="42"/>
  <c r="Q54" i="42"/>
  <c r="R54" i="42" s="1"/>
  <c r="O54" i="42"/>
  <c r="P54" i="42" s="1"/>
  <c r="M54" i="42"/>
  <c r="N54" i="42" s="1"/>
  <c r="F53" i="42"/>
  <c r="F55" i="42" s="1"/>
  <c r="G49" i="42"/>
  <c r="F49" i="42"/>
  <c r="G48" i="42"/>
  <c r="F48" i="42"/>
  <c r="F46" i="42"/>
  <c r="G40" i="42"/>
  <c r="G39" i="42"/>
  <c r="G37" i="42"/>
  <c r="G35" i="42"/>
  <c r="Q33" i="42"/>
  <c r="R33" i="42" s="1"/>
  <c r="O33" i="42"/>
  <c r="P33" i="42" s="1"/>
  <c r="M33" i="42"/>
  <c r="N33" i="42" s="1"/>
  <c r="V29" i="42"/>
  <c r="U29" i="42"/>
  <c r="G29" i="42"/>
  <c r="H29" i="42" s="1"/>
  <c r="D29" i="42"/>
  <c r="E21" i="42"/>
  <c r="D21" i="42"/>
  <c r="E20" i="42"/>
  <c r="D20" i="42"/>
  <c r="E19" i="42"/>
  <c r="D19" i="42"/>
  <c r="L18" i="42"/>
  <c r="K18" i="42"/>
  <c r="J18" i="42"/>
  <c r="Q17" i="42"/>
  <c r="R17" i="42" s="1"/>
  <c r="O17" i="42"/>
  <c r="P17" i="42" s="1"/>
  <c r="M17" i="42"/>
  <c r="N17" i="42" s="1"/>
  <c r="Q16" i="42"/>
  <c r="R16" i="42" s="1"/>
  <c r="O16" i="42"/>
  <c r="P16" i="42" s="1"/>
  <c r="M16" i="42"/>
  <c r="N16" i="42" s="1"/>
  <c r="I12" i="42"/>
  <c r="H12" i="42"/>
  <c r="G12" i="42"/>
  <c r="F12" i="42"/>
  <c r="G11" i="42"/>
  <c r="I10" i="42"/>
  <c r="H10" i="42"/>
  <c r="G10" i="42"/>
  <c r="F10" i="42"/>
  <c r="G9" i="42"/>
  <c r="F9" i="42"/>
  <c r="Q8" i="42"/>
  <c r="R8" i="42" s="1"/>
  <c r="O8" i="42"/>
  <c r="P8" i="42" s="1"/>
  <c r="M8" i="42"/>
  <c r="N8" i="42" s="1"/>
  <c r="I7" i="42"/>
  <c r="H7" i="42"/>
  <c r="G7" i="42"/>
  <c r="F7" i="42"/>
  <c r="Q6" i="42"/>
  <c r="R6" i="42" s="1"/>
  <c r="O6" i="42"/>
  <c r="P6" i="42" s="1"/>
  <c r="N6" i="42"/>
  <c r="M6" i="42"/>
  <c r="K5" i="42"/>
  <c r="L5" i="42" s="1"/>
  <c r="F5" i="42"/>
  <c r="L1" i="42"/>
  <c r="K1" i="42"/>
  <c r="J1" i="42"/>
  <c r="I1" i="42"/>
  <c r="X41" i="42" s="1"/>
  <c r="H1" i="42"/>
  <c r="W41" i="42" s="1"/>
  <c r="G1" i="42"/>
  <c r="V41" i="42" s="1"/>
  <c r="F1" i="42"/>
  <c r="U41" i="42" s="1"/>
  <c r="E1" i="42"/>
  <c r="E55" i="42" l="1"/>
  <c r="Q7" i="42"/>
  <c r="R7" i="42" s="1"/>
  <c r="Q12" i="42"/>
  <c r="R12" i="42" s="1"/>
  <c r="M12" i="42"/>
  <c r="N12" i="42" s="1"/>
  <c r="M9" i="42"/>
  <c r="N9" i="42" s="1"/>
  <c r="M49" i="42"/>
  <c r="N49" i="42" s="1"/>
  <c r="O7" i="42"/>
  <c r="P7" i="42" s="1"/>
  <c r="Q10" i="42"/>
  <c r="R10" i="42" s="1"/>
  <c r="O12" i="42"/>
  <c r="P12" i="42" s="1"/>
  <c r="M7" i="42"/>
  <c r="N7" i="42" s="1"/>
  <c r="O10" i="42"/>
  <c r="P10" i="42" s="1"/>
  <c r="M10" i="42"/>
  <c r="N10" i="42" s="1"/>
  <c r="H68" i="42"/>
  <c r="I69" i="42"/>
  <c r="I29" i="42"/>
  <c r="Q29" i="42" s="1"/>
  <c r="R29" i="42" s="1"/>
  <c r="O29" i="42"/>
  <c r="P29" i="42" s="1"/>
  <c r="K65" i="42"/>
  <c r="M29" i="42"/>
  <c r="N29" i="42" s="1"/>
  <c r="M48" i="42"/>
  <c r="N48" i="42" s="1"/>
  <c r="G68" i="42"/>
  <c r="Q34" i="28"/>
  <c r="R34" i="28" s="1"/>
  <c r="O34" i="28"/>
  <c r="P34" i="28" s="1"/>
  <c r="M34" i="28"/>
  <c r="N34" i="28" s="1"/>
  <c r="N57" i="27"/>
  <c r="N55" i="27"/>
  <c r="N47" i="27"/>
  <c r="N43" i="27"/>
  <c r="N34" i="27"/>
  <c r="N33" i="27"/>
  <c r="N32" i="27"/>
  <c r="N30" i="27"/>
  <c r="N18" i="27"/>
  <c r="N17" i="27"/>
  <c r="N13" i="27"/>
  <c r="N7" i="27"/>
  <c r="O55" i="26"/>
  <c r="P55" i="26" s="1"/>
  <c r="M55" i="26"/>
  <c r="N55" i="26" s="1"/>
  <c r="O34" i="26"/>
  <c r="P34" i="26" s="1"/>
  <c r="M34" i="26"/>
  <c r="N34" i="26" s="1"/>
  <c r="O18" i="26"/>
  <c r="P18" i="26" s="1"/>
  <c r="M18" i="26"/>
  <c r="N18" i="26" s="1"/>
  <c r="O17" i="26"/>
  <c r="P17" i="26" s="1"/>
  <c r="M17" i="26"/>
  <c r="N17" i="26" s="1"/>
  <c r="O7" i="26"/>
  <c r="P7" i="26" s="1"/>
  <c r="O9" i="26"/>
  <c r="P9" i="26" s="1"/>
  <c r="M9" i="26"/>
  <c r="N9" i="26" s="1"/>
  <c r="M7" i="26"/>
  <c r="N7" i="26" s="1"/>
  <c r="T30" i="26"/>
  <c r="I68" i="42" l="1"/>
  <c r="J69" i="42"/>
  <c r="L65" i="42"/>
  <c r="J68" i="42" l="1"/>
  <c r="K69" i="42"/>
  <c r="P160" i="31"/>
  <c r="I196" i="31"/>
  <c r="I194" i="31"/>
  <c r="G42" i="42"/>
  <c r="G41" i="42"/>
  <c r="G38" i="42"/>
  <c r="G36" i="42"/>
  <c r="P47" i="31"/>
  <c r="Q46" i="31"/>
  <c r="L64" i="31"/>
  <c r="P64" i="31" s="1"/>
  <c r="K184" i="31"/>
  <c r="D19" i="31"/>
  <c r="F11" i="42" s="1"/>
  <c r="G3" i="28"/>
  <c r="G3" i="27"/>
  <c r="I59" i="19"/>
  <c r="I60" i="19"/>
  <c r="I61" i="19"/>
  <c r="I62" i="19"/>
  <c r="I63" i="19"/>
  <c r="I64" i="19"/>
  <c r="I65" i="19"/>
  <c r="I72" i="19"/>
  <c r="I73" i="19"/>
  <c r="I74" i="19"/>
  <c r="I75" i="19"/>
  <c r="I76" i="19"/>
  <c r="I77" i="19"/>
  <c r="I78" i="19"/>
  <c r="I79" i="19"/>
  <c r="I80" i="19"/>
  <c r="I81" i="19"/>
  <c r="L21" i="11"/>
  <c r="O63" i="10"/>
  <c r="K63" i="10"/>
  <c r="G63" i="10"/>
  <c r="P39" i="13"/>
  <c r="L70" i="13"/>
  <c r="P70" i="13" s="1"/>
  <c r="O70" i="13" s="1"/>
  <c r="P2" i="9"/>
  <c r="L1" i="9"/>
  <c r="P1" i="9" s="1"/>
  <c r="Q13" i="7"/>
  <c r="M13" i="7"/>
  <c r="I13" i="7"/>
  <c r="P2" i="3"/>
  <c r="P11" i="3" s="1"/>
  <c r="O69" i="3"/>
  <c r="M4" i="3"/>
  <c r="P61" i="3"/>
  <c r="P65" i="3"/>
  <c r="K70" i="33"/>
  <c r="G70" i="33"/>
  <c r="G30" i="33"/>
  <c r="G28" i="33"/>
  <c r="O30" i="33"/>
  <c r="K28" i="33"/>
  <c r="K29" i="33"/>
  <c r="K30" i="33"/>
  <c r="P82" i="32"/>
  <c r="O82" i="32" s="1"/>
  <c r="P91" i="32"/>
  <c r="O91" i="32"/>
  <c r="K91" i="32"/>
  <c r="G91" i="32"/>
  <c r="P84" i="32"/>
  <c r="O84" i="32" s="1"/>
  <c r="O83" i="32"/>
  <c r="K82" i="32"/>
  <c r="K83" i="32"/>
  <c r="K84" i="32"/>
  <c r="K85" i="32"/>
  <c r="G82" i="32"/>
  <c r="G83" i="32"/>
  <c r="G84" i="32"/>
  <c r="K77" i="32"/>
  <c r="O77" i="32"/>
  <c r="G77" i="32"/>
  <c r="G78" i="32"/>
  <c r="P43" i="32"/>
  <c r="P40" i="32"/>
  <c r="P39" i="32"/>
  <c r="K38" i="32"/>
  <c r="Q38" i="32"/>
  <c r="P37" i="32"/>
  <c r="K40" i="32"/>
  <c r="P27" i="30"/>
  <c r="G28" i="30"/>
  <c r="P51" i="10" l="1"/>
  <c r="I8" i="27"/>
  <c r="W8" i="27" s="1"/>
  <c r="Q11" i="31"/>
  <c r="Q14" i="31"/>
  <c r="M14" i="31"/>
  <c r="F13" i="42"/>
  <c r="M11" i="42"/>
  <c r="N11" i="42" s="1"/>
  <c r="M30" i="26"/>
  <c r="N30" i="26" s="1"/>
  <c r="L69" i="42"/>
  <c r="L68" i="42" s="1"/>
  <c r="K68" i="42"/>
  <c r="P70" i="33"/>
  <c r="O70" i="33" s="1"/>
  <c r="K39" i="32"/>
  <c r="O39" i="32"/>
  <c r="P38" i="32"/>
  <c r="O40" i="32"/>
  <c r="K28" i="30"/>
  <c r="O28" i="30"/>
  <c r="F63" i="2"/>
  <c r="O64" i="31"/>
  <c r="O47" i="31"/>
  <c r="K62" i="31"/>
  <c r="K63" i="31"/>
  <c r="K64" i="31"/>
  <c r="K47" i="31"/>
  <c r="G42" i="31"/>
  <c r="G43" i="31"/>
  <c r="G44" i="31"/>
  <c r="G45" i="31"/>
  <c r="G46" i="31"/>
  <c r="G48" i="31"/>
  <c r="G49" i="31"/>
  <c r="G50" i="31"/>
  <c r="G51" i="31"/>
  <c r="G52" i="31"/>
  <c r="G53" i="31"/>
  <c r="G54" i="31"/>
  <c r="G55" i="31"/>
  <c r="G56" i="31"/>
  <c r="G57" i="31"/>
  <c r="G58" i="31"/>
  <c r="G59" i="31"/>
  <c r="G60" i="31"/>
  <c r="G61" i="31"/>
  <c r="G62" i="31"/>
  <c r="G63" i="31"/>
  <c r="G64" i="31"/>
  <c r="G47" i="31"/>
  <c r="Q77" i="31"/>
  <c r="Q78" i="31"/>
  <c r="Q68" i="31"/>
  <c r="Q69" i="31"/>
  <c r="Q70" i="31"/>
  <c r="L77" i="31"/>
  <c r="K79" i="31"/>
  <c r="L69" i="31"/>
  <c r="O38" i="32" l="1"/>
  <c r="T38" i="32"/>
  <c r="S38" i="32" s="1"/>
  <c r="M51" i="46"/>
  <c r="L51" i="46" s="1"/>
  <c r="M51" i="44"/>
  <c r="L51" i="44" s="1"/>
  <c r="M51" i="45"/>
  <c r="G63" i="2"/>
  <c r="O30" i="26"/>
  <c r="P30" i="26" s="1"/>
  <c r="P123" i="31"/>
  <c r="H42" i="42"/>
  <c r="O42" i="42" s="1"/>
  <c r="P42" i="42" s="1"/>
  <c r="L112" i="31"/>
  <c r="O39" i="13"/>
  <c r="K39" i="13"/>
  <c r="L54" i="44" l="1"/>
  <c r="O51" i="44"/>
  <c r="Q51" i="46"/>
  <c r="P51" i="46" s="1"/>
  <c r="Q69" i="13"/>
  <c r="Q51" i="45"/>
  <c r="Q51" i="44"/>
  <c r="P51" i="44" s="1"/>
  <c r="Q51" i="43"/>
  <c r="P51" i="43" s="1"/>
  <c r="O51" i="46"/>
  <c r="L54" i="46"/>
  <c r="I42" i="42"/>
  <c r="Q42" i="42" s="1"/>
  <c r="R42" i="42" s="1"/>
  <c r="H63" i="2"/>
  <c r="I55" i="30"/>
  <c r="Q49" i="30"/>
  <c r="Q48" i="30"/>
  <c r="Q45" i="30"/>
  <c r="Q44" i="30"/>
  <c r="Q43" i="30"/>
  <c r="Q42" i="30"/>
  <c r="Q41" i="30"/>
  <c r="Q40" i="30"/>
  <c r="K48" i="30"/>
  <c r="O47" i="30"/>
  <c r="K46" i="30"/>
  <c r="K47" i="30"/>
  <c r="K42" i="30"/>
  <c r="K45" i="30"/>
  <c r="G48" i="30"/>
  <c r="G47" i="30"/>
  <c r="G46" i="30"/>
  <c r="G45" i="30"/>
  <c r="G44" i="30"/>
  <c r="G43" i="30"/>
  <c r="G42" i="30"/>
  <c r="AE24" i="3"/>
  <c r="AE30" i="3"/>
  <c r="AF21" i="3"/>
  <c r="AF17" i="3"/>
  <c r="AE20" i="3"/>
  <c r="AE22" i="3" s="1"/>
  <c r="AE15" i="3"/>
  <c r="AE17" i="3" s="1"/>
  <c r="E5" i="3"/>
  <c r="D5" i="3"/>
  <c r="AE13" i="3" s="1"/>
  <c r="AE16" i="3" s="1"/>
  <c r="AE21" i="3" s="1"/>
  <c r="E4" i="3"/>
  <c r="U51" i="46" l="1"/>
  <c r="T51" i="46" s="1"/>
  <c r="U51" i="45"/>
  <c r="T51" i="45" s="1"/>
  <c r="U51" i="44"/>
  <c r="T51" i="44" s="1"/>
  <c r="U51" i="43"/>
  <c r="T51" i="43" s="1"/>
  <c r="P54" i="43"/>
  <c r="O51" i="43"/>
  <c r="S51" i="46"/>
  <c r="P54" i="46"/>
  <c r="L56" i="46"/>
  <c r="O54" i="46"/>
  <c r="M54" i="46"/>
  <c r="S51" i="44"/>
  <c r="P54" i="44"/>
  <c r="L56" i="44"/>
  <c r="M54" i="44"/>
  <c r="O54" i="44"/>
  <c r="K44" i="30"/>
  <c r="I63" i="2"/>
  <c r="P48" i="30"/>
  <c r="O48" i="30" s="1"/>
  <c r="O44" i="30"/>
  <c r="O45" i="30"/>
  <c r="AE26" i="3"/>
  <c r="AE33" i="3" s="1"/>
  <c r="AE37" i="3"/>
  <c r="AE39" i="3" s="1"/>
  <c r="O42" i="30"/>
  <c r="O46" i="30"/>
  <c r="O43" i="30"/>
  <c r="W51" i="44" l="1"/>
  <c r="T54" i="44"/>
  <c r="T54" i="43"/>
  <c r="S54" i="43" s="1"/>
  <c r="S51" i="43"/>
  <c r="P56" i="46"/>
  <c r="S54" i="46"/>
  <c r="Q54" i="46"/>
  <c r="O54" i="43"/>
  <c r="P56" i="43"/>
  <c r="Q54" i="43"/>
  <c r="Y51" i="46"/>
  <c r="X51" i="46" s="1"/>
  <c r="AA51" i="46" s="1"/>
  <c r="Y51" i="44"/>
  <c r="X51" i="44" s="1"/>
  <c r="AA51" i="44" s="1"/>
  <c r="Y51" i="45"/>
  <c r="X51" i="45" s="1"/>
  <c r="AA51" i="45" s="1"/>
  <c r="Y51" i="43"/>
  <c r="X51" i="43" s="1"/>
  <c r="AA51" i="43" s="1"/>
  <c r="L108" i="44"/>
  <c r="M56" i="44"/>
  <c r="L98" i="44"/>
  <c r="O56" i="44"/>
  <c r="P56" i="44"/>
  <c r="Q54" i="44"/>
  <c r="S54" i="44"/>
  <c r="M56" i="46"/>
  <c r="O56" i="46"/>
  <c r="L98" i="46"/>
  <c r="L108" i="46"/>
  <c r="W51" i="45"/>
  <c r="T54" i="45"/>
  <c r="T54" i="46"/>
  <c r="W51" i="46"/>
  <c r="F74" i="28"/>
  <c r="F75" i="28"/>
  <c r="U75" i="28" s="1"/>
  <c r="C74" i="28"/>
  <c r="C75" i="28"/>
  <c r="F69" i="26"/>
  <c r="W51" i="43" l="1"/>
  <c r="T56" i="44"/>
  <c r="W54" i="44"/>
  <c r="T108" i="44"/>
  <c r="T56" i="43"/>
  <c r="S56" i="43" s="1"/>
  <c r="T108" i="43"/>
  <c r="L100" i="44"/>
  <c r="K98" i="44"/>
  <c r="L109" i="44"/>
  <c r="M98" i="44"/>
  <c r="W54" i="45"/>
  <c r="T56" i="45"/>
  <c r="T108" i="45"/>
  <c r="Q56" i="44"/>
  <c r="P98" i="44"/>
  <c r="O98" i="44" s="1"/>
  <c r="S56" i="44"/>
  <c r="P108" i="44"/>
  <c r="T56" i="46"/>
  <c r="W54" i="46"/>
  <c r="L100" i="46"/>
  <c r="M98" i="46"/>
  <c r="L109" i="46"/>
  <c r="P108" i="43"/>
  <c r="O56" i="43"/>
  <c r="Q56" i="43"/>
  <c r="P98" i="43"/>
  <c r="Q56" i="46"/>
  <c r="P98" i="46"/>
  <c r="P108" i="46"/>
  <c r="S56" i="46"/>
  <c r="G75" i="28"/>
  <c r="V75" i="28" s="1"/>
  <c r="I75" i="28"/>
  <c r="X75" i="28" s="1"/>
  <c r="H75" i="28"/>
  <c r="W75" i="28" s="1"/>
  <c r="C43" i="37"/>
  <c r="C45" i="37"/>
  <c r="C44" i="37"/>
  <c r="W56" i="44" l="1"/>
  <c r="T98" i="44"/>
  <c r="S98" i="44" s="1"/>
  <c r="T98" i="43"/>
  <c r="S98" i="43" s="1"/>
  <c r="P109" i="46"/>
  <c r="Q98" i="46"/>
  <c r="P100" i="46"/>
  <c r="L102" i="46"/>
  <c r="W56" i="45"/>
  <c r="T98" i="45"/>
  <c r="O98" i="43"/>
  <c r="Q98" i="43"/>
  <c r="P100" i="43"/>
  <c r="P109" i="43"/>
  <c r="O98" i="46"/>
  <c r="P109" i="44"/>
  <c r="Q98" i="44"/>
  <c r="P100" i="44"/>
  <c r="W56" i="46"/>
  <c r="T108" i="46"/>
  <c r="T98" i="46"/>
  <c r="S98" i="46" s="1"/>
  <c r="L102" i="44"/>
  <c r="K100" i="44"/>
  <c r="O100" i="44"/>
  <c r="C46" i="37"/>
  <c r="C47" i="37" s="1"/>
  <c r="D43" i="37" s="1"/>
  <c r="D47" i="37" s="1"/>
  <c r="D46" i="37"/>
  <c r="E46" i="37"/>
  <c r="C41" i="37"/>
  <c r="D41" i="37"/>
  <c r="E41" i="37"/>
  <c r="F41" i="37"/>
  <c r="F33" i="37"/>
  <c r="E33" i="37"/>
  <c r="D33" i="37"/>
  <c r="C33" i="37"/>
  <c r="E42" i="37"/>
  <c r="D42" i="37"/>
  <c r="C42" i="37"/>
  <c r="E74" i="37"/>
  <c r="D74" i="37"/>
  <c r="C74" i="37"/>
  <c r="E66" i="37"/>
  <c r="D66" i="37"/>
  <c r="C66" i="37"/>
  <c r="E58" i="37"/>
  <c r="D58" i="37"/>
  <c r="C58" i="37"/>
  <c r="E50" i="37"/>
  <c r="D50" i="37"/>
  <c r="C50" i="37"/>
  <c r="E34" i="37"/>
  <c r="D34" i="37"/>
  <c r="C34" i="37"/>
  <c r="E26" i="37"/>
  <c r="D26" i="37"/>
  <c r="C26" i="37"/>
  <c r="E18" i="37"/>
  <c r="D18" i="37"/>
  <c r="C18" i="37"/>
  <c r="F10" i="37"/>
  <c r="F18" i="37" s="1"/>
  <c r="F26" i="37" s="1"/>
  <c r="D10" i="37"/>
  <c r="C10" i="37"/>
  <c r="D64" i="23"/>
  <c r="D37" i="23"/>
  <c r="D36" i="23"/>
  <c r="D93" i="13"/>
  <c r="D69" i="13"/>
  <c r="D68" i="13"/>
  <c r="D67" i="13"/>
  <c r="D66" i="13"/>
  <c r="D65" i="13"/>
  <c r="D64" i="13"/>
  <c r="D63" i="13"/>
  <c r="D43" i="13"/>
  <c r="D60" i="13" s="1"/>
  <c r="D11" i="13"/>
  <c r="D69" i="19"/>
  <c r="D21" i="19"/>
  <c r="D49" i="11"/>
  <c r="D47" i="11"/>
  <c r="O86" i="10"/>
  <c r="K86" i="10"/>
  <c r="G86" i="10"/>
  <c r="P4" i="9"/>
  <c r="L4" i="9"/>
  <c r="H4" i="9"/>
  <c r="P4" i="7"/>
  <c r="L4" i="7"/>
  <c r="H4" i="7"/>
  <c r="P60" i="3"/>
  <c r="T100" i="44" l="1"/>
  <c r="W100" i="44" s="1"/>
  <c r="T100" i="43"/>
  <c r="T100" i="45"/>
  <c r="W100" i="45" s="1"/>
  <c r="W98" i="45"/>
  <c r="O100" i="43"/>
  <c r="P102" i="43"/>
  <c r="T100" i="46"/>
  <c r="T109" i="46"/>
  <c r="P7" i="46"/>
  <c r="P7" i="44"/>
  <c r="K102" i="44"/>
  <c r="O100" i="46"/>
  <c r="I43" i="13"/>
  <c r="F34" i="37"/>
  <c r="F50" i="37" s="1"/>
  <c r="F58" i="37" s="1"/>
  <c r="F66" i="37" s="1"/>
  <c r="F74" i="37" s="1"/>
  <c r="F42" i="37"/>
  <c r="D2" i="7"/>
  <c r="D4" i="7" s="1"/>
  <c r="E10" i="9"/>
  <c r="D2" i="9"/>
  <c r="D4" i="9" s="1"/>
  <c r="D10" i="9"/>
  <c r="S100" i="44" l="1"/>
  <c r="S100" i="43"/>
  <c r="P18" i="44"/>
  <c r="P102" i="44"/>
  <c r="T7" i="43"/>
  <c r="O102" i="43"/>
  <c r="P102" i="46"/>
  <c r="P18" i="46"/>
  <c r="S100" i="46"/>
  <c r="D9" i="7"/>
  <c r="D9" i="9"/>
  <c r="I4" i="3"/>
  <c r="D50" i="3"/>
  <c r="D49" i="3"/>
  <c r="D48" i="3"/>
  <c r="D47" i="3"/>
  <c r="D46" i="3"/>
  <c r="G29" i="3"/>
  <c r="D11" i="3"/>
  <c r="F66" i="26"/>
  <c r="E201" i="31"/>
  <c r="D155" i="31"/>
  <c r="D72" i="31"/>
  <c r="D71" i="31"/>
  <c r="D78" i="31"/>
  <c r="D76" i="31"/>
  <c r="D75" i="31"/>
  <c r="D74" i="31"/>
  <c r="D73" i="31"/>
  <c r="T102" i="43" l="1"/>
  <c r="S102" i="43" s="1"/>
  <c r="T18" i="43"/>
  <c r="O18" i="46"/>
  <c r="Q18" i="46"/>
  <c r="S18" i="44"/>
  <c r="Q18" i="44"/>
  <c r="O18" i="44"/>
  <c r="T7" i="46"/>
  <c r="O102" i="46"/>
  <c r="T7" i="44"/>
  <c r="T102" i="44" s="1"/>
  <c r="O102" i="44"/>
  <c r="E72" i="31"/>
  <c r="G74" i="28"/>
  <c r="D144" i="31"/>
  <c r="D133" i="31"/>
  <c r="D131" i="31"/>
  <c r="D130" i="31"/>
  <c r="D123" i="31"/>
  <c r="F42" i="42" s="1"/>
  <c r="M42" i="42" s="1"/>
  <c r="N42" i="42" s="1"/>
  <c r="D122" i="31"/>
  <c r="F41" i="42" s="1"/>
  <c r="M41" i="42" s="1"/>
  <c r="N41" i="42" s="1"/>
  <c r="D121" i="31"/>
  <c r="F40" i="42" s="1"/>
  <c r="M40" i="42" s="1"/>
  <c r="N40" i="42" s="1"/>
  <c r="D120" i="31"/>
  <c r="F39" i="42" s="1"/>
  <c r="M39" i="42" s="1"/>
  <c r="N39" i="42" s="1"/>
  <c r="D119" i="31"/>
  <c r="F38" i="42" s="1"/>
  <c r="M38" i="42" s="1"/>
  <c r="N38" i="42" s="1"/>
  <c r="D118" i="31"/>
  <c r="F37" i="42" s="1"/>
  <c r="M37" i="42" s="1"/>
  <c r="N37" i="42" s="1"/>
  <c r="D117" i="31"/>
  <c r="F36" i="42" s="1"/>
  <c r="M36" i="42" s="1"/>
  <c r="N36" i="42" s="1"/>
  <c r="D116" i="31"/>
  <c r="F35" i="42" s="1"/>
  <c r="M35" i="42" s="1"/>
  <c r="N35" i="42" s="1"/>
  <c r="D115" i="31"/>
  <c r="F34" i="42" s="1"/>
  <c r="D70" i="31"/>
  <c r="D69" i="31"/>
  <c r="D112" i="31" s="1"/>
  <c r="X7" i="43" l="1"/>
  <c r="W18" i="43"/>
  <c r="S18" i="43"/>
  <c r="X7" i="44"/>
  <c r="S102" i="44"/>
  <c r="T18" i="46"/>
  <c r="T102" i="46"/>
  <c r="U42" i="42"/>
  <c r="H74" i="28"/>
  <c r="I74" i="28"/>
  <c r="G38" i="32"/>
  <c r="G39" i="32"/>
  <c r="G40" i="32"/>
  <c r="G41" i="32"/>
  <c r="G94" i="30"/>
  <c r="D60" i="30"/>
  <c r="D59" i="30"/>
  <c r="D58" i="30"/>
  <c r="D57" i="30"/>
  <c r="D56" i="30"/>
  <c r="D54" i="30"/>
  <c r="D52" i="34"/>
  <c r="D51" i="34"/>
  <c r="D49" i="34"/>
  <c r="D48" i="34"/>
  <c r="W18" i="46" l="1"/>
  <c r="S18" i="46"/>
  <c r="X7" i="46"/>
  <c r="S102" i="46"/>
  <c r="O62" i="31"/>
  <c r="D34" i="3"/>
  <c r="F2" i="28" l="1"/>
  <c r="U30" i="26" l="1"/>
  <c r="K6" i="26" l="1"/>
  <c r="L6" i="26" s="1"/>
  <c r="U64" i="28"/>
  <c r="V64" i="28"/>
  <c r="W64" i="28"/>
  <c r="X64" i="28"/>
  <c r="U65" i="28"/>
  <c r="V65" i="28"/>
  <c r="W65" i="28"/>
  <c r="X65" i="28"/>
  <c r="U74" i="28"/>
  <c r="V74" i="28"/>
  <c r="W74" i="28"/>
  <c r="X74" i="28"/>
  <c r="U52" i="28"/>
  <c r="V52" i="28"/>
  <c r="W52" i="28"/>
  <c r="X52" i="28"/>
  <c r="U53" i="28"/>
  <c r="V53" i="28"/>
  <c r="W53" i="28"/>
  <c r="X53" i="28"/>
  <c r="U57" i="28"/>
  <c r="V57" i="28"/>
  <c r="W57" i="28"/>
  <c r="X57" i="28"/>
  <c r="U59" i="28"/>
  <c r="V59" i="28"/>
  <c r="W59" i="28"/>
  <c r="X59" i="28"/>
  <c r="U34" i="28"/>
  <c r="V34" i="28"/>
  <c r="W34" i="28"/>
  <c r="X34" i="28"/>
  <c r="U26" i="28"/>
  <c r="V26" i="28"/>
  <c r="W26" i="28"/>
  <c r="X26" i="28"/>
  <c r="U27" i="28"/>
  <c r="V27" i="28"/>
  <c r="W27" i="28"/>
  <c r="X27" i="28"/>
  <c r="F19" i="28"/>
  <c r="G19" i="28"/>
  <c r="H19" i="28"/>
  <c r="I19" i="28"/>
  <c r="D21" i="28"/>
  <c r="D22" i="28"/>
  <c r="D20" i="28"/>
  <c r="U15" i="28"/>
  <c r="V15" i="28"/>
  <c r="W15" i="28"/>
  <c r="X15" i="28"/>
  <c r="U16" i="28"/>
  <c r="V16" i="28"/>
  <c r="W16" i="28"/>
  <c r="X16" i="28"/>
  <c r="F7" i="28"/>
  <c r="U7" i="28" s="1"/>
  <c r="G7" i="28"/>
  <c r="H7" i="28"/>
  <c r="I7" i="28"/>
  <c r="D7" i="28"/>
  <c r="M19" i="28" l="1"/>
  <c r="N19" i="28" s="1"/>
  <c r="O19" i="28"/>
  <c r="P19" i="28" s="1"/>
  <c r="Q19" i="28"/>
  <c r="R19" i="28" s="1"/>
  <c r="W7" i="28"/>
  <c r="O7" i="28"/>
  <c r="P7" i="28" s="1"/>
  <c r="X7" i="28"/>
  <c r="Q7" i="28"/>
  <c r="R7" i="28" s="1"/>
  <c r="V7" i="28"/>
  <c r="M7" i="28"/>
  <c r="N7" i="28" s="1"/>
  <c r="F6" i="26"/>
  <c r="I12" i="13" l="1"/>
  <c r="Q12" i="13"/>
  <c r="G23" i="7"/>
  <c r="I16" i="9"/>
  <c r="O28" i="31" l="1"/>
  <c r="O27" i="31"/>
  <c r="K28" i="31"/>
  <c r="K27" i="31"/>
  <c r="G28" i="31"/>
  <c r="H31" i="28" l="1"/>
  <c r="M31" i="27"/>
  <c r="N31" i="27" s="1"/>
  <c r="I31" i="28" l="1"/>
  <c r="O31" i="27"/>
  <c r="P31" i="27" s="1"/>
  <c r="O60" i="10"/>
  <c r="O61" i="10"/>
  <c r="O64" i="10"/>
  <c r="P4" i="6"/>
  <c r="O75" i="33"/>
  <c r="L92" i="32"/>
  <c r="L83" i="32"/>
  <c r="L80" i="32"/>
  <c r="P89" i="32"/>
  <c r="P88" i="32"/>
  <c r="P87" i="32"/>
  <c r="P86" i="32"/>
  <c r="P85" i="32"/>
  <c r="P83" i="32"/>
  <c r="P79" i="32"/>
  <c r="P76" i="32"/>
  <c r="Q93" i="30"/>
  <c r="G93" i="30"/>
  <c r="M93" i="30"/>
  <c r="L93" i="30" s="1"/>
  <c r="Y93" i="30"/>
  <c r="AC93" i="30"/>
  <c r="P83" i="30"/>
  <c r="P84" i="30"/>
  <c r="P85" i="30"/>
  <c r="P86" i="30"/>
  <c r="P87" i="30"/>
  <c r="P88" i="30"/>
  <c r="P89" i="30"/>
  <c r="P90" i="30"/>
  <c r="P91" i="30"/>
  <c r="P82" i="30"/>
  <c r="P70" i="30"/>
  <c r="P106" i="13" l="1"/>
  <c r="P110" i="13" s="1"/>
  <c r="O73" i="10"/>
  <c r="O72" i="10"/>
  <c r="O71" i="10"/>
  <c r="O62" i="10"/>
  <c r="O93" i="30"/>
  <c r="P93" i="30"/>
  <c r="T93" i="30" s="1"/>
  <c r="P31" i="30"/>
  <c r="P25" i="30"/>
  <c r="P74" i="34"/>
  <c r="P195" i="31"/>
  <c r="L194" i="31"/>
  <c r="P180" i="31"/>
  <c r="P182" i="31"/>
  <c r="P181" i="31"/>
  <c r="L180" i="31"/>
  <c r="P179" i="31"/>
  <c r="P178" i="31"/>
  <c r="P176" i="31"/>
  <c r="P175" i="31"/>
  <c r="P173" i="31"/>
  <c r="P172" i="31"/>
  <c r="P144" i="31"/>
  <c r="H31" i="33"/>
  <c r="K27" i="33"/>
  <c r="P30" i="33"/>
  <c r="P57" i="31"/>
  <c r="O106" i="13" l="1"/>
  <c r="P26" i="30"/>
  <c r="L33" i="30"/>
  <c r="P194" i="31"/>
  <c r="O57" i="31"/>
  <c r="K57" i="31"/>
  <c r="K45" i="31"/>
  <c r="P27" i="33"/>
  <c r="P28" i="33"/>
  <c r="O28" i="33" s="1"/>
  <c r="S93" i="30"/>
  <c r="L31" i="33"/>
  <c r="M31" i="33" s="1"/>
  <c r="P29" i="33"/>
  <c r="O29" i="33" s="1"/>
  <c r="O23" i="31"/>
  <c r="O20" i="31"/>
  <c r="O19" i="31"/>
  <c r="O21" i="31" l="1"/>
  <c r="W93" i="30"/>
  <c r="X93" i="30"/>
  <c r="AA93" i="30" l="1"/>
  <c r="AB93" i="30"/>
  <c r="L198" i="31" l="1"/>
  <c r="H49" i="26" s="1"/>
  <c r="H124" i="31"/>
  <c r="P55" i="31"/>
  <c r="P49" i="31"/>
  <c r="K198" i="31" l="1"/>
  <c r="M194" i="31"/>
  <c r="H48" i="42"/>
  <c r="O48" i="42" s="1"/>
  <c r="P48" i="42" s="1"/>
  <c r="P198" i="31"/>
  <c r="O49" i="31"/>
  <c r="K49" i="31"/>
  <c r="O55" i="31"/>
  <c r="K55" i="31"/>
  <c r="P56" i="31"/>
  <c r="O56" i="31"/>
  <c r="K56" i="31"/>
  <c r="K48" i="31"/>
  <c r="K61" i="31"/>
  <c r="P48" i="31"/>
  <c r="O48" i="31" s="1"/>
  <c r="P61" i="31"/>
  <c r="O61" i="31" s="1"/>
  <c r="E7" i="22"/>
  <c r="D13" i="22"/>
  <c r="D12" i="22"/>
  <c r="D7" i="22"/>
  <c r="O198" i="31" l="1"/>
  <c r="I48" i="42"/>
  <c r="Q194" i="31"/>
  <c r="P35" i="34"/>
  <c r="P21" i="34"/>
  <c r="H52" i="34"/>
  <c r="H49" i="34"/>
  <c r="J48" i="42" l="1"/>
  <c r="K48" i="42" s="1"/>
  <c r="L48" i="42" s="1"/>
  <c r="Q48" i="42"/>
  <c r="R48" i="42" s="1"/>
  <c r="H59" i="33"/>
  <c r="H41" i="33" l="1"/>
  <c r="P34" i="3"/>
  <c r="I45" i="11"/>
  <c r="P35" i="13" l="1"/>
  <c r="P32" i="13"/>
  <c r="Q25" i="13"/>
  <c r="Q26" i="13"/>
  <c r="Q27" i="13"/>
  <c r="Q28" i="13"/>
  <c r="Q29" i="13"/>
  <c r="Q30" i="13"/>
  <c r="Q31" i="13"/>
  <c r="Q33" i="13"/>
  <c r="Q34" i="13"/>
  <c r="Q36" i="13"/>
  <c r="Q37" i="13"/>
  <c r="Q24" i="13"/>
  <c r="G38" i="13"/>
  <c r="G37" i="13"/>
  <c r="G36" i="13"/>
  <c r="G35" i="13"/>
  <c r="G34" i="13"/>
  <c r="G33" i="13"/>
  <c r="G32" i="13"/>
  <c r="G31" i="13"/>
  <c r="G30" i="13"/>
  <c r="G29" i="13"/>
  <c r="G28" i="13"/>
  <c r="G27" i="13"/>
  <c r="G26" i="13"/>
  <c r="G25" i="13"/>
  <c r="G24" i="13"/>
  <c r="K38" i="13"/>
  <c r="P26" i="13"/>
  <c r="O26" i="13" s="1"/>
  <c r="K27" i="13"/>
  <c r="P28" i="13"/>
  <c r="K29" i="13"/>
  <c r="P30" i="13"/>
  <c r="O30" i="13" s="1"/>
  <c r="K31" i="13"/>
  <c r="P33" i="13"/>
  <c r="O33" i="13" s="1"/>
  <c r="P34" i="13"/>
  <c r="O34" i="13" s="1"/>
  <c r="P36" i="13"/>
  <c r="K37" i="13"/>
  <c r="L24" i="13"/>
  <c r="P24" i="13" s="1"/>
  <c r="P76" i="23"/>
  <c r="P77" i="23"/>
  <c r="P80" i="23"/>
  <c r="P81" i="23"/>
  <c r="P84" i="23"/>
  <c r="AC81" i="40"/>
  <c r="Y81" i="40"/>
  <c r="U81" i="40"/>
  <c r="Q81" i="40"/>
  <c r="M81" i="40"/>
  <c r="I81" i="40"/>
  <c r="AC80" i="40"/>
  <c r="Y80" i="40"/>
  <c r="U80" i="40"/>
  <c r="Q80" i="40"/>
  <c r="M80" i="40"/>
  <c r="I80" i="40"/>
  <c r="H80" i="40" s="1"/>
  <c r="G80" i="40"/>
  <c r="AC79" i="40"/>
  <c r="Y79" i="40"/>
  <c r="U79" i="40"/>
  <c r="Q79" i="40"/>
  <c r="M79" i="40"/>
  <c r="I79" i="40"/>
  <c r="H79" i="40" s="1"/>
  <c r="G79" i="40"/>
  <c r="AC78" i="40"/>
  <c r="Y78" i="40"/>
  <c r="U78" i="40"/>
  <c r="Q78" i="40"/>
  <c r="M78" i="40"/>
  <c r="I78" i="40"/>
  <c r="H78" i="40" s="1"/>
  <c r="G78" i="40"/>
  <c r="AC77" i="40"/>
  <c r="Y77" i="40"/>
  <c r="U77" i="40"/>
  <c r="Q77" i="40"/>
  <c r="M77" i="40"/>
  <c r="I77" i="40"/>
  <c r="H77" i="40" s="1"/>
  <c r="G77" i="40"/>
  <c r="AC76" i="40"/>
  <c r="Y76" i="40"/>
  <c r="U76" i="40"/>
  <c r="Q76" i="40"/>
  <c r="M76" i="40"/>
  <c r="I76" i="40"/>
  <c r="H76" i="40" s="1"/>
  <c r="G76" i="40"/>
  <c r="AC75" i="40"/>
  <c r="Y75" i="40"/>
  <c r="U75" i="40"/>
  <c r="Q75" i="40"/>
  <c r="M75" i="40"/>
  <c r="I75" i="40"/>
  <c r="H75" i="40" s="1"/>
  <c r="G75" i="40"/>
  <c r="AC74" i="40"/>
  <c r="Y74" i="40"/>
  <c r="U74" i="40"/>
  <c r="Q74" i="40"/>
  <c r="M74" i="40"/>
  <c r="I74" i="40"/>
  <c r="H74" i="40" s="1"/>
  <c r="G74" i="40"/>
  <c r="AC73" i="40"/>
  <c r="Y73" i="40"/>
  <c r="U73" i="40"/>
  <c r="Q73" i="40"/>
  <c r="M73" i="40"/>
  <c r="I73" i="40"/>
  <c r="H73" i="40" s="1"/>
  <c r="G73" i="40"/>
  <c r="AC72" i="40"/>
  <c r="Y72" i="40"/>
  <c r="U72" i="40"/>
  <c r="Q72" i="40"/>
  <c r="M72" i="40"/>
  <c r="I72" i="40"/>
  <c r="H72" i="40" s="1"/>
  <c r="G72" i="40"/>
  <c r="AC71" i="40"/>
  <c r="Y71" i="40"/>
  <c r="U71" i="40"/>
  <c r="Q71" i="40"/>
  <c r="M71" i="40"/>
  <c r="I71" i="40"/>
  <c r="H71" i="40" s="1"/>
  <c r="G71" i="40"/>
  <c r="AC70" i="40"/>
  <c r="Y70" i="40"/>
  <c r="U70" i="40"/>
  <c r="Q70" i="40"/>
  <c r="M70" i="40"/>
  <c r="I70" i="40"/>
  <c r="H70" i="40" s="1"/>
  <c r="G70" i="40"/>
  <c r="AC69" i="40"/>
  <c r="Y69" i="40"/>
  <c r="G69" i="40"/>
  <c r="D66" i="40"/>
  <c r="G66" i="40" s="1"/>
  <c r="AC65" i="40"/>
  <c r="Y65" i="40"/>
  <c r="U65" i="40"/>
  <c r="Q65" i="40"/>
  <c r="M65" i="40"/>
  <c r="I65" i="40"/>
  <c r="H65" i="40" s="1"/>
  <c r="K65" i="40" s="1"/>
  <c r="G65" i="40"/>
  <c r="AC64" i="40"/>
  <c r="Y64" i="40"/>
  <c r="U64" i="40"/>
  <c r="Q64" i="40"/>
  <c r="M64" i="40"/>
  <c r="I64" i="40"/>
  <c r="H64" i="40" s="1"/>
  <c r="G64" i="40"/>
  <c r="AC63" i="40"/>
  <c r="Y63" i="40"/>
  <c r="U63" i="40"/>
  <c r="Q63" i="40"/>
  <c r="M63" i="40"/>
  <c r="I63" i="40"/>
  <c r="H63" i="40" s="1"/>
  <c r="K63" i="40" s="1"/>
  <c r="G63" i="40"/>
  <c r="AC62" i="40"/>
  <c r="Y62" i="40"/>
  <c r="U62" i="40"/>
  <c r="Q62" i="40"/>
  <c r="M62" i="40"/>
  <c r="I62" i="40"/>
  <c r="H62" i="40" s="1"/>
  <c r="G62" i="40"/>
  <c r="AC61" i="40"/>
  <c r="Y61" i="40"/>
  <c r="U61" i="40"/>
  <c r="Q61" i="40"/>
  <c r="M61" i="40"/>
  <c r="I61" i="40"/>
  <c r="H61" i="40" s="1"/>
  <c r="K61" i="40" s="1"/>
  <c r="G61" i="40"/>
  <c r="AC60" i="40"/>
  <c r="Y60" i="40"/>
  <c r="U60" i="40"/>
  <c r="Q60" i="40"/>
  <c r="M60" i="40"/>
  <c r="I60" i="40"/>
  <c r="H60" i="40" s="1"/>
  <c r="G60" i="40"/>
  <c r="AC59" i="40"/>
  <c r="Y59" i="40"/>
  <c r="W59" i="40"/>
  <c r="T59" i="40"/>
  <c r="P59" i="40"/>
  <c r="O59" i="40"/>
  <c r="K59" i="40"/>
  <c r="G59" i="40"/>
  <c r="D53" i="40"/>
  <c r="G53" i="40" s="1"/>
  <c r="L52" i="40"/>
  <c r="O52" i="40" s="1"/>
  <c r="K52" i="40"/>
  <c r="H52" i="40"/>
  <c r="G52" i="40"/>
  <c r="L51" i="40"/>
  <c r="O51" i="40" s="1"/>
  <c r="K51" i="40"/>
  <c r="H51" i="40"/>
  <c r="G51" i="40"/>
  <c r="AC50" i="40"/>
  <c r="Y50" i="40"/>
  <c r="U50" i="40"/>
  <c r="Q50" i="40"/>
  <c r="M50" i="40"/>
  <c r="I50" i="40"/>
  <c r="G50" i="40"/>
  <c r="E50" i="40"/>
  <c r="AC49" i="40"/>
  <c r="Y49" i="40"/>
  <c r="U49" i="40"/>
  <c r="Q49" i="40"/>
  <c r="M49" i="40"/>
  <c r="I49" i="40"/>
  <c r="G49" i="40"/>
  <c r="E49" i="40"/>
  <c r="AC48" i="40"/>
  <c r="Y48" i="40"/>
  <c r="U48" i="40"/>
  <c r="Q48" i="40"/>
  <c r="M48" i="40"/>
  <c r="I48" i="40"/>
  <c r="H48" i="40" s="1"/>
  <c r="G48" i="40"/>
  <c r="AC47" i="40"/>
  <c r="Y47" i="40"/>
  <c r="U47" i="40"/>
  <c r="Q47" i="40"/>
  <c r="M47" i="40"/>
  <c r="I47" i="40"/>
  <c r="G47" i="40"/>
  <c r="E47" i="40"/>
  <c r="AC46" i="40"/>
  <c r="Y46" i="40"/>
  <c r="U46" i="40"/>
  <c r="Q46" i="40"/>
  <c r="M46" i="40"/>
  <c r="I46" i="40"/>
  <c r="G46" i="40"/>
  <c r="E46" i="40"/>
  <c r="AC45" i="40"/>
  <c r="Y45" i="40"/>
  <c r="U45" i="40"/>
  <c r="Q45" i="40"/>
  <c r="M45" i="40"/>
  <c r="I45" i="40"/>
  <c r="G45" i="40"/>
  <c r="E45" i="40"/>
  <c r="U44" i="40"/>
  <c r="Q44" i="40"/>
  <c r="M44" i="40"/>
  <c r="I44" i="40"/>
  <c r="G44" i="40"/>
  <c r="E44" i="40"/>
  <c r="D41" i="40"/>
  <c r="AC39" i="40"/>
  <c r="Y39" i="40"/>
  <c r="U39" i="40"/>
  <c r="Q39" i="40"/>
  <c r="M39" i="40"/>
  <c r="I39" i="40"/>
  <c r="H39" i="40"/>
  <c r="K39" i="40" s="1"/>
  <c r="G39" i="40"/>
  <c r="AC38" i="40"/>
  <c r="Y38" i="40"/>
  <c r="U38" i="40"/>
  <c r="Q38" i="40"/>
  <c r="M38" i="40"/>
  <c r="I38" i="40"/>
  <c r="H38" i="40"/>
  <c r="K38" i="40" s="1"/>
  <c r="G38" i="40"/>
  <c r="AC37" i="40"/>
  <c r="Y37" i="40"/>
  <c r="U37" i="40"/>
  <c r="Q37" i="40"/>
  <c r="M37" i="40"/>
  <c r="I37" i="40"/>
  <c r="H37" i="40"/>
  <c r="K37" i="40" s="1"/>
  <c r="G37" i="40"/>
  <c r="AC36" i="40"/>
  <c r="Y36" i="40"/>
  <c r="U36" i="40"/>
  <c r="Q36" i="40"/>
  <c r="M36" i="40"/>
  <c r="L36" i="40"/>
  <c r="P36" i="40" s="1"/>
  <c r="I36" i="40"/>
  <c r="H36" i="40"/>
  <c r="K36" i="40" s="1"/>
  <c r="G36" i="40"/>
  <c r="AC35" i="40"/>
  <c r="Y35" i="40"/>
  <c r="U35" i="40"/>
  <c r="Q35" i="40"/>
  <c r="M35" i="40"/>
  <c r="I35" i="40"/>
  <c r="H35" i="40"/>
  <c r="K35" i="40" s="1"/>
  <c r="G35" i="40"/>
  <c r="AC34" i="40"/>
  <c r="Y34" i="40"/>
  <c r="U34" i="40"/>
  <c r="Q34" i="40"/>
  <c r="M34" i="40"/>
  <c r="L34" i="40"/>
  <c r="P34" i="40" s="1"/>
  <c r="I34" i="40"/>
  <c r="H34" i="40"/>
  <c r="K34" i="40" s="1"/>
  <c r="G34" i="40"/>
  <c r="AC33" i="40"/>
  <c r="Y33" i="40"/>
  <c r="U33" i="40"/>
  <c r="Q33" i="40"/>
  <c r="M33" i="40"/>
  <c r="I33" i="40"/>
  <c r="H33" i="40"/>
  <c r="K33" i="40" s="1"/>
  <c r="G33" i="40"/>
  <c r="D30" i="40"/>
  <c r="G30" i="40" s="1"/>
  <c r="AC28" i="40"/>
  <c r="Y28" i="40"/>
  <c r="U28" i="40"/>
  <c r="Q28" i="40"/>
  <c r="M28" i="40"/>
  <c r="I28" i="40"/>
  <c r="H28" i="40"/>
  <c r="L28" i="40" s="1"/>
  <c r="G28" i="40"/>
  <c r="AC27" i="40"/>
  <c r="Y27" i="40"/>
  <c r="U27" i="40"/>
  <c r="Q27" i="40"/>
  <c r="M27" i="40"/>
  <c r="L27" i="40"/>
  <c r="O27" i="40" s="1"/>
  <c r="K27" i="40"/>
  <c r="I27" i="40"/>
  <c r="H27" i="40"/>
  <c r="G27" i="40"/>
  <c r="AC26" i="40"/>
  <c r="Y26" i="40"/>
  <c r="U26" i="40"/>
  <c r="Q26" i="40"/>
  <c r="M26" i="40"/>
  <c r="I26" i="40"/>
  <c r="H26" i="40"/>
  <c r="L26" i="40" s="1"/>
  <c r="G26" i="40"/>
  <c r="AC25" i="40"/>
  <c r="Y25" i="40"/>
  <c r="U25" i="40"/>
  <c r="Q25" i="40"/>
  <c r="P25" i="40"/>
  <c r="T25" i="40" s="1"/>
  <c r="M25" i="40"/>
  <c r="L25" i="40"/>
  <c r="O25" i="40" s="1"/>
  <c r="K25" i="40"/>
  <c r="I25" i="40"/>
  <c r="H25" i="40"/>
  <c r="G25" i="40"/>
  <c r="AC24" i="40"/>
  <c r="Y24" i="40"/>
  <c r="U24" i="40"/>
  <c r="Q24" i="40"/>
  <c r="M24" i="40"/>
  <c r="I24" i="40"/>
  <c r="H24" i="40"/>
  <c r="G24" i="40"/>
  <c r="AC23" i="40"/>
  <c r="Y23" i="40"/>
  <c r="U23" i="40"/>
  <c r="Q23" i="40"/>
  <c r="M23" i="40"/>
  <c r="K23" i="40"/>
  <c r="I23" i="40"/>
  <c r="H23" i="40"/>
  <c r="L23" i="40" s="1"/>
  <c r="G23" i="40"/>
  <c r="AC22" i="40"/>
  <c r="Y22" i="40"/>
  <c r="U22" i="40"/>
  <c r="Q22" i="40"/>
  <c r="M22" i="40"/>
  <c r="I22" i="40"/>
  <c r="H22" i="40"/>
  <c r="G22" i="40"/>
  <c r="AC21" i="40"/>
  <c r="Y21" i="40"/>
  <c r="U21" i="40"/>
  <c r="Q21" i="40"/>
  <c r="M21" i="40"/>
  <c r="K21" i="40"/>
  <c r="I21" i="40"/>
  <c r="H21" i="40"/>
  <c r="L21" i="40" s="1"/>
  <c r="G21" i="40"/>
  <c r="H11" i="40"/>
  <c r="G11" i="40"/>
  <c r="D11" i="40"/>
  <c r="D13" i="40" s="1"/>
  <c r="AB10" i="40"/>
  <c r="X10" i="40"/>
  <c r="AA10" i="40" s="1"/>
  <c r="T10" i="40"/>
  <c r="W10" i="40" s="1"/>
  <c r="P10" i="40"/>
  <c r="S10" i="40" s="1"/>
  <c r="L10" i="40"/>
  <c r="L11" i="40" s="1"/>
  <c r="K10" i="40"/>
  <c r="G10" i="40"/>
  <c r="P9" i="40"/>
  <c r="O9" i="40"/>
  <c r="K9" i="40"/>
  <c r="G9" i="40"/>
  <c r="H6" i="40"/>
  <c r="L6" i="40" s="1"/>
  <c r="P6" i="40" s="1"/>
  <c r="T6" i="40" s="1"/>
  <c r="X6" i="40" s="1"/>
  <c r="AB6" i="40" s="1"/>
  <c r="AB3" i="40"/>
  <c r="AB9" i="40" s="1"/>
  <c r="AB11" i="40" s="1"/>
  <c r="X3" i="40"/>
  <c r="X9" i="40" s="1"/>
  <c r="T3" i="40"/>
  <c r="G93" i="25"/>
  <c r="G92" i="25"/>
  <c r="G91" i="25"/>
  <c r="G90" i="25"/>
  <c r="G89" i="25"/>
  <c r="G88" i="25"/>
  <c r="G87" i="25"/>
  <c r="G86" i="25"/>
  <c r="G85" i="25"/>
  <c r="AC81" i="39"/>
  <c r="Y81" i="39"/>
  <c r="U81" i="39"/>
  <c r="Q81" i="39"/>
  <c r="M81" i="39"/>
  <c r="I81" i="39"/>
  <c r="AC80" i="39"/>
  <c r="Y80" i="39"/>
  <c r="U80" i="39"/>
  <c r="Q80" i="39"/>
  <c r="M80" i="39"/>
  <c r="I80" i="39"/>
  <c r="H80" i="39" s="1"/>
  <c r="G80" i="39"/>
  <c r="AC79" i="39"/>
  <c r="Y79" i="39"/>
  <c r="U79" i="39"/>
  <c r="Q79" i="39"/>
  <c r="M79" i="39"/>
  <c r="I79" i="39"/>
  <c r="H79" i="39" s="1"/>
  <c r="G79" i="39"/>
  <c r="AC78" i="39"/>
  <c r="Y78" i="39"/>
  <c r="U78" i="39"/>
  <c r="Q78" i="39"/>
  <c r="M78" i="39"/>
  <c r="I78" i="39"/>
  <c r="H78" i="39" s="1"/>
  <c r="G78" i="39"/>
  <c r="AC77" i="39"/>
  <c r="Y77" i="39"/>
  <c r="U77" i="39"/>
  <c r="Q77" i="39"/>
  <c r="M77" i="39"/>
  <c r="I77" i="39"/>
  <c r="H77" i="39" s="1"/>
  <c r="G77" i="39"/>
  <c r="AC76" i="39"/>
  <c r="Y76" i="39"/>
  <c r="U76" i="39"/>
  <c r="Q76" i="39"/>
  <c r="M76" i="39"/>
  <c r="I76" i="39"/>
  <c r="H76" i="39" s="1"/>
  <c r="G76" i="39"/>
  <c r="AC75" i="39"/>
  <c r="Y75" i="39"/>
  <c r="U75" i="39"/>
  <c r="Q75" i="39"/>
  <c r="M75" i="39"/>
  <c r="I75" i="39"/>
  <c r="H75" i="39" s="1"/>
  <c r="G75" i="39"/>
  <c r="AC74" i="39"/>
  <c r="Y74" i="39"/>
  <c r="U74" i="39"/>
  <c r="Q74" i="39"/>
  <c r="M74" i="39"/>
  <c r="I74" i="39"/>
  <c r="H74" i="39" s="1"/>
  <c r="G74" i="39"/>
  <c r="AC73" i="39"/>
  <c r="Y73" i="39"/>
  <c r="U73" i="39"/>
  <c r="Q73" i="39"/>
  <c r="M73" i="39"/>
  <c r="I73" i="39"/>
  <c r="H73" i="39" s="1"/>
  <c r="G73" i="39"/>
  <c r="AC72" i="39"/>
  <c r="Y72" i="39"/>
  <c r="U72" i="39"/>
  <c r="Q72" i="39"/>
  <c r="M72" i="39"/>
  <c r="I72" i="39"/>
  <c r="H72" i="39" s="1"/>
  <c r="G72" i="39"/>
  <c r="AC71" i="39"/>
  <c r="Y71" i="39"/>
  <c r="U71" i="39"/>
  <c r="Q71" i="39"/>
  <c r="M71" i="39"/>
  <c r="I71" i="39"/>
  <c r="H71" i="39" s="1"/>
  <c r="G71" i="39"/>
  <c r="AC70" i="39"/>
  <c r="Y70" i="39"/>
  <c r="U70" i="39"/>
  <c r="Q70" i="39"/>
  <c r="M70" i="39"/>
  <c r="I70" i="39"/>
  <c r="H70" i="39" s="1"/>
  <c r="G70" i="39"/>
  <c r="AC69" i="39"/>
  <c r="Y69" i="39"/>
  <c r="D66" i="39"/>
  <c r="AC65" i="39"/>
  <c r="Y65" i="39"/>
  <c r="U65" i="39"/>
  <c r="Q65" i="39"/>
  <c r="M65" i="39"/>
  <c r="I65" i="39"/>
  <c r="H65" i="39" s="1"/>
  <c r="G65" i="39"/>
  <c r="AC64" i="39"/>
  <c r="Y64" i="39"/>
  <c r="U64" i="39"/>
  <c r="Q64" i="39"/>
  <c r="M64" i="39"/>
  <c r="I64" i="39"/>
  <c r="H64" i="39" s="1"/>
  <c r="G64" i="39"/>
  <c r="AC63" i="39"/>
  <c r="Y63" i="39"/>
  <c r="U63" i="39"/>
  <c r="Q63" i="39"/>
  <c r="M63" i="39"/>
  <c r="I63" i="39"/>
  <c r="H63" i="39" s="1"/>
  <c r="G63" i="39"/>
  <c r="AC62" i="39"/>
  <c r="Y62" i="39"/>
  <c r="U62" i="39"/>
  <c r="Q62" i="39"/>
  <c r="M62" i="39"/>
  <c r="I62" i="39"/>
  <c r="H62" i="39" s="1"/>
  <c r="G62" i="39"/>
  <c r="AC61" i="39"/>
  <c r="Y61" i="39"/>
  <c r="U61" i="39"/>
  <c r="Q61" i="39"/>
  <c r="M61" i="39"/>
  <c r="I61" i="39"/>
  <c r="H61" i="39" s="1"/>
  <c r="G61" i="39"/>
  <c r="AC60" i="39"/>
  <c r="Y60" i="39"/>
  <c r="U60" i="39"/>
  <c r="Q60" i="39"/>
  <c r="M60" i="39"/>
  <c r="I60" i="39"/>
  <c r="H60" i="39" s="1"/>
  <c r="G60" i="39"/>
  <c r="AC59" i="39"/>
  <c r="Y59" i="39"/>
  <c r="G59" i="39"/>
  <c r="D53" i="39"/>
  <c r="H52" i="39"/>
  <c r="L52" i="39" s="1"/>
  <c r="P52" i="39" s="1"/>
  <c r="G52" i="39"/>
  <c r="H51" i="39"/>
  <c r="L51" i="39" s="1"/>
  <c r="P51" i="39" s="1"/>
  <c r="G51" i="39"/>
  <c r="AC50" i="39"/>
  <c r="Y50" i="39"/>
  <c r="U50" i="39"/>
  <c r="Q50" i="39"/>
  <c r="M50" i="39"/>
  <c r="I50" i="39"/>
  <c r="G50" i="39"/>
  <c r="E50" i="39"/>
  <c r="AC49" i="39"/>
  <c r="Y49" i="39"/>
  <c r="U49" i="39"/>
  <c r="Q49" i="39"/>
  <c r="M49" i="39"/>
  <c r="I49" i="39"/>
  <c r="G49" i="39"/>
  <c r="E49" i="39"/>
  <c r="AC48" i="39"/>
  <c r="Y48" i="39"/>
  <c r="U48" i="39"/>
  <c r="Q48" i="39"/>
  <c r="M48" i="39"/>
  <c r="I48" i="39"/>
  <c r="H48" i="39" s="1"/>
  <c r="G48" i="39"/>
  <c r="AC47" i="39"/>
  <c r="Y47" i="39"/>
  <c r="U47" i="39"/>
  <c r="Q47" i="39"/>
  <c r="M47" i="39"/>
  <c r="I47" i="39"/>
  <c r="G47" i="39"/>
  <c r="E47" i="39"/>
  <c r="AC46" i="39"/>
  <c r="Y46" i="39"/>
  <c r="U46" i="39"/>
  <c r="Q46" i="39"/>
  <c r="M46" i="39"/>
  <c r="I46" i="39"/>
  <c r="G46" i="39"/>
  <c r="E46" i="39"/>
  <c r="AC45" i="39"/>
  <c r="Y45" i="39"/>
  <c r="U45" i="39"/>
  <c r="Q45" i="39"/>
  <c r="M45" i="39"/>
  <c r="I45" i="39"/>
  <c r="G45" i="39"/>
  <c r="E45" i="39"/>
  <c r="U44" i="39"/>
  <c r="Q44" i="39"/>
  <c r="M44" i="39"/>
  <c r="I44" i="39"/>
  <c r="G44" i="39"/>
  <c r="E44" i="39"/>
  <c r="D41" i="39"/>
  <c r="G41" i="39" s="1"/>
  <c r="AC39" i="39"/>
  <c r="Y39" i="39"/>
  <c r="U39" i="39"/>
  <c r="Q39" i="39"/>
  <c r="M39" i="39"/>
  <c r="I39" i="39"/>
  <c r="H39" i="39"/>
  <c r="L39" i="39" s="1"/>
  <c r="G39" i="39"/>
  <c r="AC38" i="39"/>
  <c r="Y38" i="39"/>
  <c r="U38" i="39"/>
  <c r="Q38" i="39"/>
  <c r="M38" i="39"/>
  <c r="I38" i="39"/>
  <c r="H38" i="39"/>
  <c r="L38" i="39" s="1"/>
  <c r="G38" i="39"/>
  <c r="AC37" i="39"/>
  <c r="Y37" i="39"/>
  <c r="U37" i="39"/>
  <c r="Q37" i="39"/>
  <c r="M37" i="39"/>
  <c r="I37" i="39"/>
  <c r="H37" i="39"/>
  <c r="L37" i="39" s="1"/>
  <c r="G37" i="39"/>
  <c r="AC36" i="39"/>
  <c r="Y36" i="39"/>
  <c r="U36" i="39"/>
  <c r="Q36" i="39"/>
  <c r="M36" i="39"/>
  <c r="I36" i="39"/>
  <c r="H36" i="39"/>
  <c r="L36" i="39" s="1"/>
  <c r="G36" i="39"/>
  <c r="AC35" i="39"/>
  <c r="Y35" i="39"/>
  <c r="U35" i="39"/>
  <c r="Q35" i="39"/>
  <c r="M35" i="39"/>
  <c r="I35" i="39"/>
  <c r="H35" i="39"/>
  <c r="L35" i="39" s="1"/>
  <c r="G35" i="39"/>
  <c r="AC34" i="39"/>
  <c r="Y34" i="39"/>
  <c r="U34" i="39"/>
  <c r="Q34" i="39"/>
  <c r="M34" i="39"/>
  <c r="L34" i="39"/>
  <c r="O34" i="39" s="1"/>
  <c r="K34" i="39"/>
  <c r="I34" i="39"/>
  <c r="H34" i="39"/>
  <c r="G34" i="39"/>
  <c r="AC33" i="39"/>
  <c r="Y33" i="39"/>
  <c r="U33" i="39"/>
  <c r="Q33" i="39"/>
  <c r="M33" i="39"/>
  <c r="I33" i="39"/>
  <c r="H33" i="39"/>
  <c r="G33" i="39"/>
  <c r="G30" i="39"/>
  <c r="D30" i="39"/>
  <c r="AC28" i="39"/>
  <c r="Y28" i="39"/>
  <c r="U28" i="39"/>
  <c r="Q28" i="39"/>
  <c r="M28" i="39"/>
  <c r="L28" i="39"/>
  <c r="I28" i="39"/>
  <c r="H28" i="39"/>
  <c r="K28" i="39" s="1"/>
  <c r="G28" i="39"/>
  <c r="AC27" i="39"/>
  <c r="Y27" i="39"/>
  <c r="U27" i="39"/>
  <c r="Q27" i="39"/>
  <c r="M27" i="39"/>
  <c r="I27" i="39"/>
  <c r="H27" i="39"/>
  <c r="L27" i="39" s="1"/>
  <c r="P27" i="39" s="1"/>
  <c r="S27" i="39" s="1"/>
  <c r="G27" i="39"/>
  <c r="AC26" i="39"/>
  <c r="Y26" i="39"/>
  <c r="U26" i="39"/>
  <c r="Q26" i="39"/>
  <c r="M26" i="39"/>
  <c r="I26" i="39"/>
  <c r="H26" i="39"/>
  <c r="K26" i="39" s="1"/>
  <c r="G26" i="39"/>
  <c r="AC25" i="39"/>
  <c r="Y25" i="39"/>
  <c r="U25" i="39"/>
  <c r="Q25" i="39"/>
  <c r="M25" i="39"/>
  <c r="I25" i="39"/>
  <c r="H25" i="39"/>
  <c r="L25" i="39" s="1"/>
  <c r="P25" i="39" s="1"/>
  <c r="G25" i="39"/>
  <c r="AC24" i="39"/>
  <c r="Y24" i="39"/>
  <c r="U24" i="39"/>
  <c r="Q24" i="39"/>
  <c r="M24" i="39"/>
  <c r="L24" i="39"/>
  <c r="I24" i="39"/>
  <c r="H24" i="39"/>
  <c r="K24" i="39" s="1"/>
  <c r="G24" i="39"/>
  <c r="AC23" i="39"/>
  <c r="Y23" i="39"/>
  <c r="U23" i="39"/>
  <c r="Q23" i="39"/>
  <c r="M23" i="39"/>
  <c r="K23" i="39"/>
  <c r="I23" i="39"/>
  <c r="H23" i="39"/>
  <c r="L23" i="39" s="1"/>
  <c r="P23" i="39" s="1"/>
  <c r="G23" i="39"/>
  <c r="AC22" i="39"/>
  <c r="Y22" i="39"/>
  <c r="U22" i="39"/>
  <c r="Q22" i="39"/>
  <c r="M22" i="39"/>
  <c r="I22" i="39"/>
  <c r="H22" i="39"/>
  <c r="K22" i="39" s="1"/>
  <c r="G22" i="39"/>
  <c r="AC21" i="39"/>
  <c r="Y21" i="39"/>
  <c r="U21" i="39"/>
  <c r="Q21" i="39"/>
  <c r="M21" i="39"/>
  <c r="I21" i="39"/>
  <c r="H21" i="39"/>
  <c r="H30" i="39" s="1"/>
  <c r="G21" i="39"/>
  <c r="H11" i="39"/>
  <c r="D11" i="39"/>
  <c r="AB10" i="39"/>
  <c r="AA10" i="39"/>
  <c r="X10" i="39"/>
  <c r="T10" i="39"/>
  <c r="W10" i="39" s="1"/>
  <c r="P10" i="39"/>
  <c r="S10" i="39" s="1"/>
  <c r="L10" i="39"/>
  <c r="O10" i="39" s="1"/>
  <c r="K10" i="39"/>
  <c r="G10" i="39"/>
  <c r="G9" i="39"/>
  <c r="H6" i="39"/>
  <c r="L6" i="39" s="1"/>
  <c r="P6" i="39" s="1"/>
  <c r="T6" i="39" s="1"/>
  <c r="X6" i="39" s="1"/>
  <c r="AB6" i="39" s="1"/>
  <c r="AB3" i="39"/>
  <c r="AB9" i="39" s="1"/>
  <c r="X3" i="39"/>
  <c r="X9" i="39" s="1"/>
  <c r="T3" i="39"/>
  <c r="F60" i="37"/>
  <c r="G60" i="37" s="1"/>
  <c r="H60" i="37" s="1"/>
  <c r="F61" i="37"/>
  <c r="G61" i="37" s="1"/>
  <c r="H61" i="37" s="1"/>
  <c r="F21" i="37"/>
  <c r="E38" i="37"/>
  <c r="C30" i="37"/>
  <c r="E6" i="37"/>
  <c r="D6" i="37"/>
  <c r="C6" i="37"/>
  <c r="H62" i="37" l="1"/>
  <c r="G6" i="37"/>
  <c r="P25" i="13"/>
  <c r="O25" i="13" s="1"/>
  <c r="K25" i="13"/>
  <c r="K24" i="13"/>
  <c r="O23" i="40"/>
  <c r="P23" i="40"/>
  <c r="O38" i="39"/>
  <c r="P38" i="39"/>
  <c r="T38" i="39" s="1"/>
  <c r="X38" i="39" s="1"/>
  <c r="O36" i="39"/>
  <c r="P36" i="39"/>
  <c r="T36" i="39" s="1"/>
  <c r="D96" i="40"/>
  <c r="G13" i="40"/>
  <c r="AB13" i="40" s="1"/>
  <c r="D15" i="40"/>
  <c r="G15" i="40" s="1"/>
  <c r="O21" i="40"/>
  <c r="P21" i="40"/>
  <c r="K25" i="39"/>
  <c r="T27" i="39"/>
  <c r="H41" i="39"/>
  <c r="K38" i="39"/>
  <c r="K51" i="39"/>
  <c r="K52" i="39"/>
  <c r="L38" i="40"/>
  <c r="P38" i="40" s="1"/>
  <c r="X59" i="40"/>
  <c r="AA59" i="40" s="1"/>
  <c r="AB11" i="39"/>
  <c r="K21" i="39"/>
  <c r="K27" i="39"/>
  <c r="P34" i="39"/>
  <c r="T34" i="39" s="1"/>
  <c r="X34" i="39" s="1"/>
  <c r="K36" i="39"/>
  <c r="P27" i="40"/>
  <c r="T27" i="40" s="1"/>
  <c r="D55" i="40"/>
  <c r="G55" i="40" s="1"/>
  <c r="K26" i="13"/>
  <c r="K34" i="13"/>
  <c r="L65" i="39"/>
  <c r="O65" i="39" s="1"/>
  <c r="L73" i="40"/>
  <c r="O73" i="40" s="1"/>
  <c r="L61" i="39"/>
  <c r="P61" i="39" s="1"/>
  <c r="L79" i="40"/>
  <c r="P79" i="40" s="1"/>
  <c r="L77" i="40"/>
  <c r="O77" i="40" s="1"/>
  <c r="F22" i="37"/>
  <c r="L71" i="40"/>
  <c r="P71" i="40" s="1"/>
  <c r="L60" i="39"/>
  <c r="L63" i="39"/>
  <c r="O63" i="39" s="1"/>
  <c r="L61" i="40"/>
  <c r="O61" i="40" s="1"/>
  <c r="L63" i="40"/>
  <c r="P63" i="40" s="1"/>
  <c r="L65" i="40"/>
  <c r="P65" i="40" s="1"/>
  <c r="S65" i="40" s="1"/>
  <c r="K60" i="39"/>
  <c r="L75" i="40"/>
  <c r="P75" i="40" s="1"/>
  <c r="K30" i="13"/>
  <c r="O35" i="13"/>
  <c r="K35" i="13"/>
  <c r="K36" i="13"/>
  <c r="K32" i="13"/>
  <c r="K28" i="13"/>
  <c r="O36" i="13"/>
  <c r="P31" i="13"/>
  <c r="O31" i="13" s="1"/>
  <c r="O28" i="13"/>
  <c r="P37" i="13"/>
  <c r="O37" i="13" s="1"/>
  <c r="O32" i="13"/>
  <c r="P29" i="13"/>
  <c r="O29" i="13" s="1"/>
  <c r="O24" i="13"/>
  <c r="P38" i="13"/>
  <c r="O38" i="13" s="1"/>
  <c r="P27" i="13"/>
  <c r="O27" i="13" s="1"/>
  <c r="K33" i="13"/>
  <c r="P85" i="23"/>
  <c r="P65" i="23"/>
  <c r="P79" i="23"/>
  <c r="P59" i="23"/>
  <c r="P60" i="23"/>
  <c r="P86" i="23"/>
  <c r="P78" i="23"/>
  <c r="P63" i="23"/>
  <c r="P72" i="23"/>
  <c r="P62" i="23"/>
  <c r="P64" i="23"/>
  <c r="P66" i="23"/>
  <c r="AA9" i="40"/>
  <c r="X11" i="40"/>
  <c r="T9" i="40"/>
  <c r="S9" i="40"/>
  <c r="P11" i="40"/>
  <c r="H30" i="40"/>
  <c r="L22" i="40"/>
  <c r="K22" i="40"/>
  <c r="T23" i="40"/>
  <c r="S23" i="40"/>
  <c r="O26" i="40"/>
  <c r="P26" i="40"/>
  <c r="K62" i="40"/>
  <c r="L62" i="40"/>
  <c r="L13" i="40"/>
  <c r="T21" i="40"/>
  <c r="S21" i="40"/>
  <c r="W27" i="40"/>
  <c r="X27" i="40"/>
  <c r="H13" i="40"/>
  <c r="H15" i="40" s="1"/>
  <c r="K15" i="40" s="1"/>
  <c r="K11" i="40"/>
  <c r="W25" i="40"/>
  <c r="X25" i="40"/>
  <c r="S34" i="40"/>
  <c r="T34" i="40"/>
  <c r="O11" i="40"/>
  <c r="L15" i="40"/>
  <c r="O15" i="40" s="1"/>
  <c r="L24" i="40"/>
  <c r="K24" i="40"/>
  <c r="O28" i="40"/>
  <c r="P28" i="40"/>
  <c r="S36" i="40"/>
  <c r="T36" i="40"/>
  <c r="H66" i="40"/>
  <c r="L60" i="40"/>
  <c r="K60" i="40"/>
  <c r="L48" i="40"/>
  <c r="K48" i="40"/>
  <c r="S38" i="40"/>
  <c r="T38" i="40"/>
  <c r="O10" i="40"/>
  <c r="S25" i="40"/>
  <c r="K26" i="40"/>
  <c r="S27" i="40"/>
  <c r="K28" i="40"/>
  <c r="L33" i="40"/>
  <c r="O34" i="40"/>
  <c r="L35" i="40"/>
  <c r="O36" i="40"/>
  <c r="L37" i="40"/>
  <c r="O38" i="40"/>
  <c r="L39" i="40"/>
  <c r="H41" i="40"/>
  <c r="P51" i="40"/>
  <c r="P52" i="40"/>
  <c r="S59" i="40"/>
  <c r="L76" i="40"/>
  <c r="K76" i="40"/>
  <c r="K64" i="40"/>
  <c r="L64" i="40"/>
  <c r="L74" i="40"/>
  <c r="K74" i="40"/>
  <c r="L72" i="40"/>
  <c r="K72" i="40"/>
  <c r="L80" i="40"/>
  <c r="K80" i="40"/>
  <c r="G41" i="40"/>
  <c r="L70" i="40"/>
  <c r="K70" i="40"/>
  <c r="L78" i="40"/>
  <c r="K78" i="40"/>
  <c r="K69" i="40"/>
  <c r="K71" i="40"/>
  <c r="K73" i="40"/>
  <c r="K75" i="40"/>
  <c r="K77" i="40"/>
  <c r="K79" i="40"/>
  <c r="D13" i="39"/>
  <c r="D96" i="39" s="1"/>
  <c r="L11" i="39"/>
  <c r="L13" i="39" s="1"/>
  <c r="L96" i="39" s="1"/>
  <c r="S23" i="39"/>
  <c r="T23" i="39"/>
  <c r="AA9" i="39"/>
  <c r="X11" i="39"/>
  <c r="S25" i="39"/>
  <c r="T25" i="39"/>
  <c r="H13" i="39"/>
  <c r="X27" i="39"/>
  <c r="W27" i="39"/>
  <c r="P24" i="39"/>
  <c r="O24" i="39"/>
  <c r="W34" i="39"/>
  <c r="O39" i="39"/>
  <c r="P39" i="39"/>
  <c r="O23" i="39"/>
  <c r="O27" i="39"/>
  <c r="O37" i="39"/>
  <c r="P37" i="39"/>
  <c r="K48" i="39"/>
  <c r="L48" i="39"/>
  <c r="K30" i="39"/>
  <c r="H44" i="39"/>
  <c r="O25" i="39"/>
  <c r="H50" i="39"/>
  <c r="K50" i="39" s="1"/>
  <c r="H47" i="39"/>
  <c r="K47" i="39" s="1"/>
  <c r="K41" i="39"/>
  <c r="H45" i="39"/>
  <c r="K45" i="39" s="1"/>
  <c r="H49" i="39"/>
  <c r="K49" i="39" s="1"/>
  <c r="H46" i="39"/>
  <c r="K46" i="39" s="1"/>
  <c r="P9" i="39"/>
  <c r="O9" i="39" s="1"/>
  <c r="K9" i="39"/>
  <c r="G11" i="39"/>
  <c r="L22" i="39"/>
  <c r="L26" i="39"/>
  <c r="P28" i="39"/>
  <c r="O28" i="39"/>
  <c r="O35" i="39"/>
  <c r="P35" i="39"/>
  <c r="W38" i="39"/>
  <c r="T51" i="39"/>
  <c r="S51" i="39"/>
  <c r="T52" i="39"/>
  <c r="S52" i="39"/>
  <c r="W36" i="39"/>
  <c r="X36" i="39"/>
  <c r="L21" i="39"/>
  <c r="K33" i="39"/>
  <c r="K35" i="39"/>
  <c r="S36" i="39"/>
  <c r="K37" i="39"/>
  <c r="K39" i="39"/>
  <c r="O51" i="39"/>
  <c r="O52" i="39"/>
  <c r="D55" i="39"/>
  <c r="G55" i="39" s="1"/>
  <c r="G53" i="39"/>
  <c r="K64" i="39"/>
  <c r="L64" i="39"/>
  <c r="L73" i="39"/>
  <c r="K73" i="39"/>
  <c r="L77" i="39"/>
  <c r="K77" i="39"/>
  <c r="L33" i="39"/>
  <c r="K62" i="39"/>
  <c r="L62" i="39"/>
  <c r="L72" i="39"/>
  <c r="K72" i="39"/>
  <c r="L76" i="39"/>
  <c r="K76" i="39"/>
  <c r="L80" i="39"/>
  <c r="K80" i="39"/>
  <c r="L71" i="39"/>
  <c r="K71" i="39"/>
  <c r="L75" i="39"/>
  <c r="K75" i="39"/>
  <c r="L79" i="39"/>
  <c r="K79" i="39"/>
  <c r="H66" i="39"/>
  <c r="K59" i="39"/>
  <c r="L70" i="39"/>
  <c r="K70" i="39"/>
  <c r="L74" i="39"/>
  <c r="K74" i="39"/>
  <c r="L78" i="39"/>
  <c r="K78" i="39"/>
  <c r="K61" i="39"/>
  <c r="K63" i="39"/>
  <c r="K65" i="39"/>
  <c r="G69" i="39"/>
  <c r="F6" i="37"/>
  <c r="G22" i="37"/>
  <c r="G70" i="13"/>
  <c r="G69" i="13"/>
  <c r="G68" i="13"/>
  <c r="G67" i="13"/>
  <c r="G66" i="13"/>
  <c r="G65" i="13"/>
  <c r="G64" i="13"/>
  <c r="G63" i="13"/>
  <c r="Y30" i="13"/>
  <c r="AC30" i="13"/>
  <c r="Y32" i="13"/>
  <c r="AC32" i="13"/>
  <c r="D40" i="13"/>
  <c r="H73" i="30"/>
  <c r="G73" i="30" s="1"/>
  <c r="U73" i="30"/>
  <c r="Y73" i="30"/>
  <c r="AC73" i="30"/>
  <c r="H74" i="30"/>
  <c r="G74" i="30" s="1"/>
  <c r="U74" i="30"/>
  <c r="Y74" i="30"/>
  <c r="AC74" i="30"/>
  <c r="P65" i="39" l="1"/>
  <c r="O65" i="40"/>
  <c r="O61" i="39"/>
  <c r="T65" i="40"/>
  <c r="X65" i="40" s="1"/>
  <c r="AB59" i="40"/>
  <c r="P63" i="39"/>
  <c r="S63" i="39" s="1"/>
  <c r="O75" i="40"/>
  <c r="AB96" i="40"/>
  <c r="AB15" i="40"/>
  <c r="S38" i="39"/>
  <c r="S34" i="39"/>
  <c r="G65" i="37"/>
  <c r="G41" i="37"/>
  <c r="G33" i="37"/>
  <c r="P61" i="40"/>
  <c r="S61" i="40" s="1"/>
  <c r="P73" i="40"/>
  <c r="T73" i="40" s="1"/>
  <c r="O79" i="40"/>
  <c r="P77" i="40"/>
  <c r="S77" i="40" s="1"/>
  <c r="O71" i="40"/>
  <c r="O63" i="40"/>
  <c r="O60" i="39"/>
  <c r="P60" i="39"/>
  <c r="P69" i="40"/>
  <c r="O69" i="40"/>
  <c r="T79" i="40"/>
  <c r="S79" i="40"/>
  <c r="P76" i="40"/>
  <c r="O76" i="40"/>
  <c r="T51" i="40"/>
  <c r="S51" i="40"/>
  <c r="P74" i="40"/>
  <c r="O74" i="40"/>
  <c r="P39" i="40"/>
  <c r="O39" i="40"/>
  <c r="P48" i="40"/>
  <c r="O48" i="40"/>
  <c r="X36" i="40"/>
  <c r="W36" i="40"/>
  <c r="W23" i="40"/>
  <c r="X23" i="40"/>
  <c r="P78" i="40"/>
  <c r="O78" i="40"/>
  <c r="P70" i="40"/>
  <c r="O70" i="40"/>
  <c r="P80" i="40"/>
  <c r="O80" i="40"/>
  <c r="P72" i="40"/>
  <c r="O72" i="40"/>
  <c r="S52" i="40"/>
  <c r="T52" i="40"/>
  <c r="X38" i="40"/>
  <c r="W38" i="40"/>
  <c r="O24" i="40"/>
  <c r="P24" i="40"/>
  <c r="AB27" i="40"/>
  <c r="AA27" i="40"/>
  <c r="T26" i="40"/>
  <c r="S26" i="40"/>
  <c r="L66" i="40"/>
  <c r="O66" i="40" s="1"/>
  <c r="P60" i="40"/>
  <c r="O60" i="40"/>
  <c r="T28" i="40"/>
  <c r="S28" i="40"/>
  <c r="O22" i="40"/>
  <c r="P22" i="40"/>
  <c r="T11" i="40"/>
  <c r="W9" i="40"/>
  <c r="S63" i="40"/>
  <c r="T63" i="40"/>
  <c r="P37" i="40"/>
  <c r="O37" i="40"/>
  <c r="P33" i="40"/>
  <c r="L41" i="40"/>
  <c r="O33" i="40"/>
  <c r="AB25" i="40"/>
  <c r="AA25" i="40"/>
  <c r="P64" i="40"/>
  <c r="O64" i="40"/>
  <c r="T75" i="40"/>
  <c r="S75" i="40"/>
  <c r="H49" i="40"/>
  <c r="K49" i="40" s="1"/>
  <c r="H46" i="40"/>
  <c r="K46" i="40" s="1"/>
  <c r="H50" i="40"/>
  <c r="K50" i="40" s="1"/>
  <c r="H47" i="40"/>
  <c r="K47" i="40" s="1"/>
  <c r="K41" i="40"/>
  <c r="H45" i="40"/>
  <c r="K45" i="40" s="1"/>
  <c r="H96" i="40"/>
  <c r="K13" i="40"/>
  <c r="L96" i="40"/>
  <c r="O13" i="40"/>
  <c r="P62" i="40"/>
  <c r="O62" i="40"/>
  <c r="K30" i="40"/>
  <c r="H44" i="40"/>
  <c r="X13" i="40"/>
  <c r="AA11" i="40"/>
  <c r="T71" i="40"/>
  <c r="S71" i="40"/>
  <c r="P35" i="40"/>
  <c r="O35" i="40"/>
  <c r="X34" i="40"/>
  <c r="W34" i="40"/>
  <c r="L30" i="40"/>
  <c r="W21" i="40"/>
  <c r="X21" i="40"/>
  <c r="P13" i="40"/>
  <c r="S11" i="40"/>
  <c r="K11" i="39"/>
  <c r="O13" i="39"/>
  <c r="G13" i="39"/>
  <c r="AB13" i="39" s="1"/>
  <c r="AB96" i="39" s="1"/>
  <c r="D15" i="39"/>
  <c r="L15" i="39"/>
  <c r="G66" i="39"/>
  <c r="O77" i="39"/>
  <c r="P77" i="39"/>
  <c r="P78" i="39"/>
  <c r="O78" i="39"/>
  <c r="P70" i="39"/>
  <c r="O70" i="39"/>
  <c r="O79" i="39"/>
  <c r="P79" i="39"/>
  <c r="O71" i="39"/>
  <c r="P71" i="39"/>
  <c r="P80" i="39"/>
  <c r="O80" i="39"/>
  <c r="P72" i="39"/>
  <c r="O72" i="39"/>
  <c r="S61" i="39"/>
  <c r="T61" i="39"/>
  <c r="AB36" i="39"/>
  <c r="AA36" i="39"/>
  <c r="T35" i="39"/>
  <c r="S35" i="39"/>
  <c r="P26" i="39"/>
  <c r="O26" i="39"/>
  <c r="T9" i="39"/>
  <c r="S9" i="39" s="1"/>
  <c r="P11" i="39"/>
  <c r="T39" i="39"/>
  <c r="S39" i="39"/>
  <c r="AA27" i="39"/>
  <c r="AB27" i="39"/>
  <c r="X13" i="39"/>
  <c r="X15" i="39" s="1"/>
  <c r="AA15" i="39" s="1"/>
  <c r="AA11" i="39"/>
  <c r="O75" i="39"/>
  <c r="P75" i="39"/>
  <c r="K69" i="39"/>
  <c r="P69" i="39"/>
  <c r="O69" i="39"/>
  <c r="S65" i="39"/>
  <c r="T65" i="39"/>
  <c r="L66" i="39"/>
  <c r="P59" i="39"/>
  <c r="O59" i="39"/>
  <c r="P62" i="39"/>
  <c r="O62" i="39"/>
  <c r="L41" i="39"/>
  <c r="O33" i="39"/>
  <c r="P33" i="39"/>
  <c r="O73" i="39"/>
  <c r="P73" i="39"/>
  <c r="L30" i="39"/>
  <c r="O21" i="39"/>
  <c r="P21" i="39"/>
  <c r="X51" i="39"/>
  <c r="W51" i="39"/>
  <c r="P22" i="39"/>
  <c r="O22" i="39"/>
  <c r="H53" i="39"/>
  <c r="K44" i="39"/>
  <c r="T37" i="39"/>
  <c r="S37" i="39"/>
  <c r="T24" i="39"/>
  <c r="S24" i="39"/>
  <c r="X25" i="39"/>
  <c r="W25" i="39"/>
  <c r="P74" i="39"/>
  <c r="O74" i="39"/>
  <c r="P76" i="39"/>
  <c r="O76" i="39"/>
  <c r="P64" i="39"/>
  <c r="O64" i="39"/>
  <c r="AB38" i="39"/>
  <c r="AA38" i="39"/>
  <c r="AB34" i="39"/>
  <c r="AA34" i="39"/>
  <c r="H96" i="39"/>
  <c r="K13" i="39"/>
  <c r="X23" i="39"/>
  <c r="W23" i="39"/>
  <c r="X52" i="39"/>
  <c r="W52" i="39"/>
  <c r="S28" i="39"/>
  <c r="T28" i="39"/>
  <c r="P48" i="39"/>
  <c r="O48" i="39"/>
  <c r="H15" i="39"/>
  <c r="G62" i="37"/>
  <c r="G73" i="37"/>
  <c r="G17" i="37"/>
  <c r="G25" i="37"/>
  <c r="G49" i="37"/>
  <c r="G9" i="37"/>
  <c r="G57" i="37"/>
  <c r="H40" i="13"/>
  <c r="L74" i="30"/>
  <c r="L73" i="30"/>
  <c r="D63" i="30"/>
  <c r="D185" i="31"/>
  <c r="G174" i="31"/>
  <c r="D141" i="31"/>
  <c r="F43" i="42" s="1"/>
  <c r="W65" i="40" l="1"/>
  <c r="T63" i="39"/>
  <c r="X63" i="39" s="1"/>
  <c r="S73" i="40"/>
  <c r="I40" i="13"/>
  <c r="D186" i="31"/>
  <c r="T61" i="40"/>
  <c r="W61" i="40" s="1"/>
  <c r="G40" i="13"/>
  <c r="T77" i="40"/>
  <c r="W77" i="40" s="1"/>
  <c r="T60" i="39"/>
  <c r="S60" i="39"/>
  <c r="K66" i="40"/>
  <c r="X96" i="40"/>
  <c r="AA13" i="40"/>
  <c r="T33" i="40"/>
  <c r="S33" i="40"/>
  <c r="P41" i="40"/>
  <c r="T13" i="40"/>
  <c r="W11" i="40"/>
  <c r="X52" i="40"/>
  <c r="W52" i="40"/>
  <c r="AB21" i="40"/>
  <c r="AA21" i="40"/>
  <c r="H53" i="40"/>
  <c r="K44" i="40"/>
  <c r="X75" i="40"/>
  <c r="W75" i="40"/>
  <c r="T37" i="40"/>
  <c r="S37" i="40"/>
  <c r="T60" i="40"/>
  <c r="S60" i="40"/>
  <c r="P66" i="40"/>
  <c r="S66" i="40" s="1"/>
  <c r="AB23" i="40"/>
  <c r="AA23" i="40"/>
  <c r="W51" i="40"/>
  <c r="X51" i="40"/>
  <c r="X79" i="40"/>
  <c r="W79" i="40"/>
  <c r="P96" i="40"/>
  <c r="S13" i="40"/>
  <c r="P15" i="40"/>
  <c r="S15" i="40" s="1"/>
  <c r="AB34" i="40"/>
  <c r="AA34" i="40"/>
  <c r="X15" i="40"/>
  <c r="AA15" i="40" s="1"/>
  <c r="L45" i="40"/>
  <c r="O45" i="40" s="1"/>
  <c r="O41" i="40"/>
  <c r="L49" i="40"/>
  <c r="O49" i="40" s="1"/>
  <c r="L46" i="40"/>
  <c r="O46" i="40" s="1"/>
  <c r="L50" i="40"/>
  <c r="O50" i="40" s="1"/>
  <c r="L47" i="40"/>
  <c r="O47" i="40" s="1"/>
  <c r="X63" i="40"/>
  <c r="W63" i="40"/>
  <c r="AB38" i="40"/>
  <c r="AA38" i="40"/>
  <c r="X61" i="40"/>
  <c r="T72" i="40"/>
  <c r="S72" i="40"/>
  <c r="T70" i="40"/>
  <c r="S70" i="40"/>
  <c r="T48" i="40"/>
  <c r="S48" i="40"/>
  <c r="T74" i="40"/>
  <c r="S74" i="40"/>
  <c r="T76" i="40"/>
  <c r="S76" i="40"/>
  <c r="T64" i="40"/>
  <c r="S64" i="40"/>
  <c r="X28" i="40"/>
  <c r="W28" i="40"/>
  <c r="T24" i="40"/>
  <c r="S24" i="40"/>
  <c r="L44" i="40"/>
  <c r="O30" i="40"/>
  <c r="T35" i="40"/>
  <c r="S35" i="40"/>
  <c r="X71" i="40"/>
  <c r="W71" i="40"/>
  <c r="S62" i="40"/>
  <c r="T62" i="40"/>
  <c r="T22" i="40"/>
  <c r="S22" i="40"/>
  <c r="P30" i="40"/>
  <c r="X26" i="40"/>
  <c r="W26" i="40"/>
  <c r="X73" i="40"/>
  <c r="W73" i="40"/>
  <c r="T80" i="40"/>
  <c r="S80" i="40"/>
  <c r="T78" i="40"/>
  <c r="S78" i="40"/>
  <c r="AB36" i="40"/>
  <c r="AA36" i="40"/>
  <c r="T39" i="40"/>
  <c r="S39" i="40"/>
  <c r="AB65" i="40"/>
  <c r="AA65" i="40"/>
  <c r="T69" i="40"/>
  <c r="S69" i="40" s="1"/>
  <c r="AB15" i="39"/>
  <c r="X28" i="39"/>
  <c r="W28" i="39"/>
  <c r="K53" i="39"/>
  <c r="H55" i="39"/>
  <c r="AB51" i="39"/>
  <c r="AA51" i="39"/>
  <c r="T48" i="39"/>
  <c r="S48" i="39"/>
  <c r="AB52" i="39"/>
  <c r="AA52" i="39"/>
  <c r="T76" i="39"/>
  <c r="S76" i="39"/>
  <c r="T74" i="39"/>
  <c r="S74" i="39"/>
  <c r="X24" i="39"/>
  <c r="W24" i="39"/>
  <c r="L44" i="39"/>
  <c r="O30" i="39"/>
  <c r="O66" i="39"/>
  <c r="X96" i="39"/>
  <c r="AA13" i="39"/>
  <c r="T11" i="39"/>
  <c r="S11" i="39" s="1"/>
  <c r="W9" i="39"/>
  <c r="X61" i="39"/>
  <c r="W61" i="39"/>
  <c r="T79" i="39"/>
  <c r="S79" i="39"/>
  <c r="K15" i="39"/>
  <c r="G15" i="39"/>
  <c r="T33" i="39"/>
  <c r="S33" i="39"/>
  <c r="P41" i="39"/>
  <c r="X65" i="39"/>
  <c r="W65" i="39"/>
  <c r="X35" i="39"/>
  <c r="W35" i="39"/>
  <c r="T80" i="39"/>
  <c r="S80" i="39"/>
  <c r="T78" i="39"/>
  <c r="S78" i="39"/>
  <c r="T62" i="39"/>
  <c r="S62" i="39"/>
  <c r="T75" i="39"/>
  <c r="S75" i="39"/>
  <c r="AB23" i="39"/>
  <c r="AA23" i="39"/>
  <c r="T64" i="39"/>
  <c r="S64" i="39"/>
  <c r="AB25" i="39"/>
  <c r="AA25" i="39"/>
  <c r="P30" i="39"/>
  <c r="S21" i="39"/>
  <c r="T21" i="39"/>
  <c r="X39" i="39"/>
  <c r="W39" i="39"/>
  <c r="T71" i="39"/>
  <c r="S71" i="39"/>
  <c r="T77" i="39"/>
  <c r="S77" i="39"/>
  <c r="X37" i="39"/>
  <c r="W37" i="39"/>
  <c r="T22" i="39"/>
  <c r="S22" i="39"/>
  <c r="T73" i="39"/>
  <c r="S73" i="39"/>
  <c r="L49" i="39"/>
  <c r="O49" i="39" s="1"/>
  <c r="L46" i="39"/>
  <c r="O46" i="39" s="1"/>
  <c r="L50" i="39"/>
  <c r="O50" i="39" s="1"/>
  <c r="L47" i="39"/>
  <c r="O47" i="39" s="1"/>
  <c r="L45" i="39"/>
  <c r="O45" i="39" s="1"/>
  <c r="O41" i="39"/>
  <c r="P66" i="39"/>
  <c r="T59" i="39"/>
  <c r="S59" i="39"/>
  <c r="T69" i="39"/>
  <c r="S69" i="39" s="1"/>
  <c r="P13" i="39"/>
  <c r="P15" i="39" s="1"/>
  <c r="O11" i="39"/>
  <c r="T26" i="39"/>
  <c r="S26" i="39"/>
  <c r="T72" i="39"/>
  <c r="S72" i="39"/>
  <c r="T70" i="39"/>
  <c r="S70" i="39"/>
  <c r="K66" i="39"/>
  <c r="O73" i="30"/>
  <c r="P73" i="30"/>
  <c r="P74" i="30"/>
  <c r="K74" i="30"/>
  <c r="K73" i="30"/>
  <c r="F28" i="42"/>
  <c r="Q58" i="31"/>
  <c r="Q59" i="31"/>
  <c r="Q60" i="31"/>
  <c r="L63" i="31"/>
  <c r="O63" i="31" s="1"/>
  <c r="D65" i="31"/>
  <c r="F27" i="42" s="1"/>
  <c r="W63" i="39" l="1"/>
  <c r="F30" i="42"/>
  <c r="F31" i="42"/>
  <c r="P58" i="31"/>
  <c r="K58" i="31"/>
  <c r="K59" i="31"/>
  <c r="K60" i="31"/>
  <c r="D113" i="31"/>
  <c r="P63" i="31"/>
  <c r="X77" i="40"/>
  <c r="AA77" i="40" s="1"/>
  <c r="W60" i="39"/>
  <c r="X60" i="39"/>
  <c r="W22" i="40"/>
  <c r="X22" i="40"/>
  <c r="T30" i="40"/>
  <c r="W74" i="40"/>
  <c r="X74" i="40"/>
  <c r="X62" i="40"/>
  <c r="W62" i="40"/>
  <c r="P44" i="40"/>
  <c r="S30" i="40"/>
  <c r="X35" i="40"/>
  <c r="W35" i="40"/>
  <c r="W24" i="40"/>
  <c r="X24" i="40"/>
  <c r="X64" i="40"/>
  <c r="W64" i="40"/>
  <c r="W48" i="40"/>
  <c r="X48" i="40"/>
  <c r="W72" i="40"/>
  <c r="X72" i="40"/>
  <c r="AB71" i="40"/>
  <c r="AA71" i="40"/>
  <c r="X39" i="40"/>
  <c r="W39" i="40"/>
  <c r="W78" i="40"/>
  <c r="X78" i="40"/>
  <c r="AB73" i="40"/>
  <c r="AA73" i="40"/>
  <c r="W60" i="40"/>
  <c r="X60" i="40"/>
  <c r="T66" i="40"/>
  <c r="W66" i="40" s="1"/>
  <c r="X37" i="40"/>
  <c r="W37" i="40"/>
  <c r="K53" i="40"/>
  <c r="H55" i="40"/>
  <c r="T96" i="40"/>
  <c r="W13" i="40"/>
  <c r="T41" i="40"/>
  <c r="X33" i="40"/>
  <c r="W33" i="40"/>
  <c r="AB28" i="40"/>
  <c r="AA28" i="40"/>
  <c r="W76" i="40"/>
  <c r="X76" i="40"/>
  <c r="W70" i="40"/>
  <c r="X70" i="40"/>
  <c r="AB61" i="40"/>
  <c r="AA61" i="40"/>
  <c r="AA63" i="40"/>
  <c r="AB63" i="40"/>
  <c r="AB79" i="40"/>
  <c r="AA79" i="40"/>
  <c r="AA52" i="40"/>
  <c r="AB52" i="40"/>
  <c r="O44" i="40"/>
  <c r="L53" i="40"/>
  <c r="X69" i="40"/>
  <c r="W69" i="40" s="1"/>
  <c r="W80" i="40"/>
  <c r="X80" i="40"/>
  <c r="AB26" i="40"/>
  <c r="AA26" i="40"/>
  <c r="AB51" i="40"/>
  <c r="AA51" i="40"/>
  <c r="AB75" i="40"/>
  <c r="AA75" i="40"/>
  <c r="T15" i="40"/>
  <c r="W15" i="40" s="1"/>
  <c r="P45" i="40"/>
  <c r="S45" i="40" s="1"/>
  <c r="P49" i="40"/>
  <c r="S49" i="40" s="1"/>
  <c r="P46" i="40"/>
  <c r="S46" i="40" s="1"/>
  <c r="S41" i="40"/>
  <c r="P50" i="40"/>
  <c r="S50" i="40" s="1"/>
  <c r="P47" i="40"/>
  <c r="S47" i="40" s="1"/>
  <c r="S30" i="39"/>
  <c r="P44" i="39"/>
  <c r="X75" i="39"/>
  <c r="W75" i="39"/>
  <c r="W78" i="39"/>
  <c r="X78" i="39"/>
  <c r="W76" i="39"/>
  <c r="X76" i="39"/>
  <c r="W72" i="39"/>
  <c r="X72" i="39"/>
  <c r="W70" i="39"/>
  <c r="X70" i="39"/>
  <c r="X26" i="39"/>
  <c r="W26" i="39"/>
  <c r="O15" i="39"/>
  <c r="X73" i="39"/>
  <c r="W73" i="39"/>
  <c r="AB37" i="39"/>
  <c r="AA37" i="39"/>
  <c r="X71" i="39"/>
  <c r="W71" i="39"/>
  <c r="P45" i="39"/>
  <c r="S45" i="39" s="1"/>
  <c r="P49" i="39"/>
  <c r="S49" i="39" s="1"/>
  <c r="P46" i="39"/>
  <c r="S46" i="39" s="1"/>
  <c r="S41" i="39"/>
  <c r="P50" i="39"/>
  <c r="S50" i="39" s="1"/>
  <c r="P47" i="39"/>
  <c r="S47" i="39" s="1"/>
  <c r="AB61" i="39"/>
  <c r="AA61" i="39"/>
  <c r="X64" i="39"/>
  <c r="W64" i="39"/>
  <c r="AB63" i="39"/>
  <c r="AA63" i="39"/>
  <c r="AB35" i="39"/>
  <c r="AA35" i="39"/>
  <c r="AA24" i="39"/>
  <c r="AB24" i="39"/>
  <c r="X48" i="39"/>
  <c r="W48" i="39"/>
  <c r="X69" i="39"/>
  <c r="W22" i="39"/>
  <c r="X22" i="39"/>
  <c r="X77" i="39"/>
  <c r="W77" i="39"/>
  <c r="AB39" i="39"/>
  <c r="AA39" i="39"/>
  <c r="T41" i="39"/>
  <c r="X33" i="39"/>
  <c r="W33" i="39"/>
  <c r="X79" i="39"/>
  <c r="W79" i="39"/>
  <c r="T15" i="39"/>
  <c r="W15" i="39" s="1"/>
  <c r="W11" i="39"/>
  <c r="T13" i="39"/>
  <c r="K55" i="39"/>
  <c r="P96" i="39"/>
  <c r="S13" i="39"/>
  <c r="T66" i="39"/>
  <c r="X59" i="39"/>
  <c r="W59" i="39" s="1"/>
  <c r="X21" i="39"/>
  <c r="T30" i="39"/>
  <c r="W21" i="39"/>
  <c r="X62" i="39"/>
  <c r="W62" i="39"/>
  <c r="W80" i="39"/>
  <c r="X80" i="39"/>
  <c r="AB65" i="39"/>
  <c r="AA65" i="39"/>
  <c r="L53" i="39"/>
  <c r="O44" i="39"/>
  <c r="W74" i="39"/>
  <c r="X74" i="39"/>
  <c r="AB28" i="39"/>
  <c r="AA28" i="39"/>
  <c r="T74" i="30"/>
  <c r="S74" i="30"/>
  <c r="O74" i="30"/>
  <c r="T73" i="30"/>
  <c r="S73" i="30"/>
  <c r="P59" i="31"/>
  <c r="P60" i="31"/>
  <c r="O58" i="31" l="1"/>
  <c r="T58" i="31"/>
  <c r="S58" i="31" s="1"/>
  <c r="O60" i="31"/>
  <c r="T60" i="31"/>
  <c r="S60" i="31" s="1"/>
  <c r="O59" i="31"/>
  <c r="T59" i="31"/>
  <c r="S59" i="31" s="1"/>
  <c r="T63" i="31"/>
  <c r="S63" i="31"/>
  <c r="AB77" i="40"/>
  <c r="F32" i="42"/>
  <c r="AA60" i="39"/>
  <c r="AB60" i="39"/>
  <c r="AB80" i="40"/>
  <c r="AA80" i="40"/>
  <c r="AB72" i="40"/>
  <c r="AA72" i="40"/>
  <c r="L55" i="40"/>
  <c r="O53" i="40"/>
  <c r="T50" i="40"/>
  <c r="W50" i="40" s="1"/>
  <c r="T47" i="40"/>
  <c r="W47" i="40" s="1"/>
  <c r="W41" i="40"/>
  <c r="T45" i="40"/>
  <c r="W45" i="40" s="1"/>
  <c r="T49" i="40"/>
  <c r="W49" i="40" s="1"/>
  <c r="T46" i="40"/>
  <c r="W46" i="40" s="1"/>
  <c r="AB60" i="40"/>
  <c r="AA60" i="40"/>
  <c r="X66" i="40"/>
  <c r="AA66" i="40" s="1"/>
  <c r="AB78" i="40"/>
  <c r="AA78" i="40"/>
  <c r="AB48" i="40"/>
  <c r="AA48" i="40"/>
  <c r="AB24" i="40"/>
  <c r="AA24" i="40"/>
  <c r="AB76" i="40"/>
  <c r="AA76" i="40"/>
  <c r="P53" i="40"/>
  <c r="S44" i="40"/>
  <c r="T44" i="40"/>
  <c r="W30" i="40"/>
  <c r="AA37" i="40"/>
  <c r="AB37" i="40"/>
  <c r="AA62" i="40"/>
  <c r="AB62" i="40"/>
  <c r="AB22" i="40"/>
  <c r="AA22" i="40"/>
  <c r="X30" i="40"/>
  <c r="AB69" i="40"/>
  <c r="AA69" i="40" s="1"/>
  <c r="AA33" i="40"/>
  <c r="X41" i="40"/>
  <c r="AB33" i="40"/>
  <c r="AB70" i="40"/>
  <c r="AA70" i="40"/>
  <c r="K55" i="40"/>
  <c r="AA39" i="40"/>
  <c r="AB39" i="40"/>
  <c r="AA64" i="40"/>
  <c r="AB64" i="40"/>
  <c r="AA35" i="40"/>
  <c r="AB35" i="40"/>
  <c r="AB74" i="40"/>
  <c r="AA74" i="40"/>
  <c r="X30" i="39"/>
  <c r="AB21" i="39"/>
  <c r="AA21" i="39"/>
  <c r="AB79" i="39"/>
  <c r="AA79" i="39"/>
  <c r="AA22" i="39"/>
  <c r="AB22" i="39"/>
  <c r="AB69" i="39"/>
  <c r="AA69" i="39" s="1"/>
  <c r="AA48" i="39"/>
  <c r="AB48" i="39"/>
  <c r="AA64" i="39"/>
  <c r="AB64" i="39"/>
  <c r="AB70" i="39"/>
  <c r="AA70" i="39"/>
  <c r="AB76" i="39"/>
  <c r="AA76" i="39"/>
  <c r="AA62" i="39"/>
  <c r="AB62" i="39"/>
  <c r="S15" i="39"/>
  <c r="AB75" i="39"/>
  <c r="AA75" i="39"/>
  <c r="L55" i="39"/>
  <c r="O53" i="39"/>
  <c r="AB80" i="39"/>
  <c r="AA80" i="39"/>
  <c r="X66" i="39"/>
  <c r="AB59" i="39"/>
  <c r="X41" i="39"/>
  <c r="AB33" i="39"/>
  <c r="AB41" i="39" s="1"/>
  <c r="AA33" i="39"/>
  <c r="AB71" i="39"/>
  <c r="AA71" i="39"/>
  <c r="AB73" i="39"/>
  <c r="AA73" i="39"/>
  <c r="AB72" i="39"/>
  <c r="AA72" i="39"/>
  <c r="AB78" i="39"/>
  <c r="AA78" i="39"/>
  <c r="S44" i="39"/>
  <c r="P53" i="39"/>
  <c r="AB74" i="39"/>
  <c r="AA74" i="39"/>
  <c r="T44" i="39"/>
  <c r="W30" i="39"/>
  <c r="T96" i="39"/>
  <c r="W13" i="39"/>
  <c r="T45" i="39"/>
  <c r="W45" i="39" s="1"/>
  <c r="T49" i="39"/>
  <c r="W49" i="39" s="1"/>
  <c r="T46" i="39"/>
  <c r="W46" i="39" s="1"/>
  <c r="T50" i="39"/>
  <c r="W50" i="39" s="1"/>
  <c r="T47" i="39"/>
  <c r="W47" i="39" s="1"/>
  <c r="W41" i="39"/>
  <c r="AB77" i="39"/>
  <c r="AA77" i="39"/>
  <c r="W69" i="39"/>
  <c r="S66" i="39"/>
  <c r="AA26" i="39"/>
  <c r="AB26" i="39"/>
  <c r="X32" i="13"/>
  <c r="W32" i="13" s="1"/>
  <c r="X30" i="13"/>
  <c r="W30" i="13" s="1"/>
  <c r="X73" i="30"/>
  <c r="W74" i="30"/>
  <c r="X74" i="30"/>
  <c r="P9" i="15"/>
  <c r="AB66" i="39" l="1"/>
  <c r="P55" i="40"/>
  <c r="S53" i="40"/>
  <c r="AB41" i="40"/>
  <c r="AB30" i="40"/>
  <c r="T53" i="40"/>
  <c r="W44" i="40"/>
  <c r="X49" i="40"/>
  <c r="AA49" i="40" s="1"/>
  <c r="X46" i="40"/>
  <c r="AA46" i="40" s="1"/>
  <c r="X50" i="40"/>
  <c r="AA50" i="40" s="1"/>
  <c r="X47" i="40"/>
  <c r="AA47" i="40" s="1"/>
  <c r="AA41" i="40"/>
  <c r="X45" i="40"/>
  <c r="AA45" i="40" s="1"/>
  <c r="AB66" i="40"/>
  <c r="O55" i="40"/>
  <c r="AA30" i="40"/>
  <c r="AA59" i="39"/>
  <c r="P55" i="39"/>
  <c r="S53" i="39"/>
  <c r="T53" i="39"/>
  <c r="W44" i="39"/>
  <c r="AB46" i="39"/>
  <c r="AB45" i="39"/>
  <c r="AA66" i="39"/>
  <c r="AB30" i="39"/>
  <c r="AB47" i="39" s="1"/>
  <c r="W66" i="39"/>
  <c r="X50" i="39"/>
  <c r="AA50" i="39" s="1"/>
  <c r="X47" i="39"/>
  <c r="AA47" i="39" s="1"/>
  <c r="AA41" i="39"/>
  <c r="X45" i="39"/>
  <c r="AA45" i="39" s="1"/>
  <c r="X49" i="39"/>
  <c r="AA49" i="39" s="1"/>
  <c r="X46" i="39"/>
  <c r="AA46" i="39" s="1"/>
  <c r="O55" i="39"/>
  <c r="AA30" i="39"/>
  <c r="AB30" i="13"/>
  <c r="AA30" i="13" s="1"/>
  <c r="AB32" i="13"/>
  <c r="AA32" i="13" s="1"/>
  <c r="AB73" i="30"/>
  <c r="AA73" i="30"/>
  <c r="W73" i="30"/>
  <c r="AB74" i="30"/>
  <c r="AA74" i="30"/>
  <c r="AB49" i="39" l="1"/>
  <c r="T55" i="40"/>
  <c r="W53" i="40"/>
  <c r="S55" i="40"/>
  <c r="AB45" i="40"/>
  <c r="AB49" i="40"/>
  <c r="AB46" i="40"/>
  <c r="AB50" i="40"/>
  <c r="AB47" i="40"/>
  <c r="T55" i="39"/>
  <c r="W53" i="39"/>
  <c r="AB50" i="39"/>
  <c r="S55" i="39"/>
  <c r="I44" i="3"/>
  <c r="I45" i="3"/>
  <c r="E44" i="3"/>
  <c r="W55" i="40" l="1"/>
  <c r="W55" i="39"/>
  <c r="I45" i="7" l="1"/>
  <c r="I48" i="19" l="1"/>
  <c r="E105" i="5" l="1"/>
  <c r="AA92" i="5" l="1"/>
  <c r="Y92" i="5"/>
  <c r="W92" i="5"/>
  <c r="U92" i="5"/>
  <c r="S92" i="5"/>
  <c r="Q92" i="5"/>
  <c r="O92" i="5"/>
  <c r="M92" i="5"/>
  <c r="K92" i="5"/>
  <c r="I92" i="5"/>
  <c r="G92" i="5"/>
  <c r="E92" i="5"/>
  <c r="C92" i="5"/>
  <c r="K100" i="5" l="1"/>
  <c r="AE100" i="5" l="1"/>
  <c r="AA112" i="5"/>
  <c r="Y112" i="5"/>
  <c r="W112" i="5"/>
  <c r="U112" i="5"/>
  <c r="S112" i="5"/>
  <c r="Q94" i="5"/>
  <c r="Q126" i="5"/>
  <c r="Q123" i="5"/>
  <c r="Q124" i="5" s="1"/>
  <c r="Q104" i="5"/>
  <c r="Q112" i="5"/>
  <c r="Q103" i="5"/>
  <c r="Q102" i="5"/>
  <c r="Q101" i="5"/>
  <c r="O105" i="5"/>
  <c r="O112" i="5"/>
  <c r="Q119" i="5"/>
  <c r="O124" i="5"/>
  <c r="O126" i="5" s="1"/>
  <c r="O127" i="5" s="1"/>
  <c r="O119" i="5"/>
  <c r="M112" i="5"/>
  <c r="K103" i="5"/>
  <c r="K119" i="5"/>
  <c r="G119" i="5"/>
  <c r="K124" i="5"/>
  <c r="K126" i="5" s="1"/>
  <c r="K127" i="5" s="1"/>
  <c r="I112" i="5"/>
  <c r="G103" i="5"/>
  <c r="G124" i="5"/>
  <c r="G126" i="5" s="1"/>
  <c r="G127" i="5" s="1"/>
  <c r="B93" i="5"/>
  <c r="G112" i="5"/>
  <c r="E112" i="5"/>
  <c r="Q127" i="5" l="1"/>
  <c r="E12" i="5"/>
  <c r="AF93" i="5" l="1"/>
  <c r="AF94" i="5"/>
  <c r="H29" i="3" l="1"/>
  <c r="AF100" i="5"/>
  <c r="AF101" i="5" l="1"/>
  <c r="AF95" i="5" l="1"/>
  <c r="G95" i="5"/>
  <c r="AE93" i="5" l="1"/>
  <c r="C32" i="28" l="1"/>
  <c r="F56" i="27" l="1"/>
  <c r="E70" i="28"/>
  <c r="F70" i="28"/>
  <c r="U70" i="28" s="1"/>
  <c r="E71" i="28"/>
  <c r="F71" i="28"/>
  <c r="U71" i="28" s="1"/>
  <c r="G71" i="28"/>
  <c r="V71" i="28" s="1"/>
  <c r="X71" i="28"/>
  <c r="E72" i="28"/>
  <c r="F72" i="28"/>
  <c r="U72" i="28" s="1"/>
  <c r="E73" i="28"/>
  <c r="F73" i="28"/>
  <c r="U73" i="28" s="1"/>
  <c r="C71" i="28"/>
  <c r="C72" i="28"/>
  <c r="C73" i="28"/>
  <c r="C70" i="28"/>
  <c r="E30" i="28"/>
  <c r="E31" i="28"/>
  <c r="E32" i="28"/>
  <c r="E33" i="28"/>
  <c r="C31" i="28"/>
  <c r="C33" i="28"/>
  <c r="F18" i="27"/>
  <c r="F18" i="28" l="1"/>
  <c r="C30" i="28"/>
  <c r="U30" i="28" l="1"/>
  <c r="M30" i="28" l="1"/>
  <c r="N30" i="28" s="1"/>
  <c r="V30" i="28"/>
  <c r="W30" i="28" l="1"/>
  <c r="O30" i="28"/>
  <c r="P30" i="28" s="1"/>
  <c r="X30" i="28" l="1"/>
  <c r="Q30" i="28"/>
  <c r="R30" i="28" s="1"/>
  <c r="D71" i="19"/>
  <c r="C75" i="37" l="1"/>
  <c r="E78" i="37"/>
  <c r="D78" i="37"/>
  <c r="C78" i="37"/>
  <c r="F73" i="37"/>
  <c r="E73" i="37"/>
  <c r="D73" i="37"/>
  <c r="C73" i="37"/>
  <c r="F65" i="37"/>
  <c r="E65" i="37"/>
  <c r="D65" i="37"/>
  <c r="C65" i="37"/>
  <c r="D62" i="37"/>
  <c r="F57" i="37"/>
  <c r="E57" i="37"/>
  <c r="D57" i="37"/>
  <c r="C57" i="37"/>
  <c r="D54" i="37"/>
  <c r="F49" i="37"/>
  <c r="E49" i="37"/>
  <c r="D49" i="37"/>
  <c r="C49" i="37"/>
  <c r="D38" i="37"/>
  <c r="E30" i="37"/>
  <c r="D30" i="37"/>
  <c r="F25" i="37"/>
  <c r="E25" i="37"/>
  <c r="D25" i="37"/>
  <c r="C25" i="37"/>
  <c r="E22" i="37"/>
  <c r="F17" i="37"/>
  <c r="E17" i="37"/>
  <c r="D17" i="37"/>
  <c r="C17" i="37"/>
  <c r="E14" i="37"/>
  <c r="D14" i="37"/>
  <c r="F9" i="37"/>
  <c r="E9" i="37"/>
  <c r="D9" i="37"/>
  <c r="C9" i="37"/>
  <c r="C62" i="37" l="1"/>
  <c r="C63" i="37" s="1"/>
  <c r="D59" i="37" s="1"/>
  <c r="D63" i="37" s="1"/>
  <c r="E59" i="37" s="1"/>
  <c r="C79" i="37"/>
  <c r="D75" i="37" s="1"/>
  <c r="D79" i="37" s="1"/>
  <c r="E75" i="37" s="1"/>
  <c r="E79" i="37" s="1"/>
  <c r="F75" i="37" s="1"/>
  <c r="E62" i="37"/>
  <c r="C14" i="37"/>
  <c r="C15" i="37" s="1"/>
  <c r="D11" i="37" s="1"/>
  <c r="D15" i="37" s="1"/>
  <c r="C70" i="37"/>
  <c r="C71" i="37" s="1"/>
  <c r="D67" i="37" s="1"/>
  <c r="C22" i="37"/>
  <c r="C23" i="37" s="1"/>
  <c r="D19" i="37" s="1"/>
  <c r="C54" i="37"/>
  <c r="C55" i="37" s="1"/>
  <c r="D51" i="37" s="1"/>
  <c r="F62" i="37"/>
  <c r="D22" i="37"/>
  <c r="E54" i="37"/>
  <c r="C38" i="37"/>
  <c r="C39" i="37" s="1"/>
  <c r="C31" i="37"/>
  <c r="D27" i="37" s="1"/>
  <c r="D31" i="37" s="1"/>
  <c r="E27" i="37" s="1"/>
  <c r="E31" i="37" s="1"/>
  <c r="F27" i="37" s="1"/>
  <c r="C7" i="37"/>
  <c r="D3" i="37" s="1"/>
  <c r="E70" i="37"/>
  <c r="D70" i="37"/>
  <c r="D55" i="37" l="1"/>
  <c r="E51" i="37" s="1"/>
  <c r="E43" i="37"/>
  <c r="E63" i="37"/>
  <c r="F59" i="37" s="1"/>
  <c r="F63" i="37" s="1"/>
  <c r="G59" i="37" s="1"/>
  <c r="G63" i="37" s="1"/>
  <c r="H59" i="37" s="1"/>
  <c r="H63" i="37" s="1"/>
  <c r="D35" i="37"/>
  <c r="D39" i="37" s="1"/>
  <c r="D23" i="37"/>
  <c r="E19" i="37" s="1"/>
  <c r="E23" i="37" s="1"/>
  <c r="F19" i="37" s="1"/>
  <c r="F23" i="37" s="1"/>
  <c r="G19" i="37" s="1"/>
  <c r="G23" i="37" s="1"/>
  <c r="H19" i="37" s="1"/>
  <c r="H23" i="37" s="1"/>
  <c r="E11" i="37"/>
  <c r="E15" i="37" s="1"/>
  <c r="D71" i="37"/>
  <c r="E67" i="37" s="1"/>
  <c r="E71" i="37" s="1"/>
  <c r="F67" i="37" s="1"/>
  <c r="D7" i="37"/>
  <c r="E3" i="37" s="1"/>
  <c r="E47" i="37" l="1"/>
  <c r="E55" i="37"/>
  <c r="F51" i="37" s="1"/>
  <c r="F43" i="37" s="1"/>
  <c r="E35" i="37"/>
  <c r="E39" i="37" s="1"/>
  <c r="F35" i="37" s="1"/>
  <c r="F11" i="37"/>
  <c r="E7" i="37"/>
  <c r="F3" i="37" s="1"/>
  <c r="F7" i="37" s="1"/>
  <c r="G3" i="37" s="1"/>
  <c r="G7" i="37" s="1"/>
  <c r="H3" i="37" s="1"/>
  <c r="H7" i="37" s="1"/>
  <c r="E37" i="35"/>
  <c r="F37" i="35"/>
  <c r="G37" i="35"/>
  <c r="E11" i="35"/>
  <c r="F11" i="35"/>
  <c r="G11" i="35"/>
  <c r="G38" i="35" l="1"/>
  <c r="F38" i="35"/>
  <c r="E38" i="35"/>
  <c r="E12" i="35"/>
  <c r="F36" i="26"/>
  <c r="G27" i="31" l="1"/>
  <c r="F10" i="26" l="1"/>
  <c r="D47" i="28"/>
  <c r="I116" i="31" l="1"/>
  <c r="I115" i="31"/>
  <c r="Q56" i="33" l="1"/>
  <c r="Q57" i="33"/>
  <c r="Q58" i="33"/>
  <c r="M58" i="33"/>
  <c r="M57" i="33"/>
  <c r="M56" i="33"/>
  <c r="P62" i="33"/>
  <c r="P50" i="33"/>
  <c r="P51" i="33"/>
  <c r="P52" i="33"/>
  <c r="P53" i="33"/>
  <c r="P54" i="33"/>
  <c r="P55" i="33"/>
  <c r="E62" i="36"/>
  <c r="E48" i="36"/>
  <c r="E55" i="36"/>
  <c r="A55" i="36"/>
  <c r="E54" i="36"/>
  <c r="A54" i="36"/>
  <c r="E49" i="36"/>
  <c r="G45" i="36" s="1"/>
  <c r="E38" i="36"/>
  <c r="G38" i="36" s="1"/>
  <c r="E36" i="36"/>
  <c r="E35" i="36"/>
  <c r="E30" i="36"/>
  <c r="E29" i="36"/>
  <c r="F25" i="36"/>
  <c r="E25" i="36"/>
  <c r="E71" i="36" s="1"/>
  <c r="F23" i="36"/>
  <c r="E23" i="36"/>
  <c r="E22" i="36"/>
  <c r="G22" i="36" s="1"/>
  <c r="E19" i="36"/>
  <c r="F19" i="36"/>
  <c r="G19" i="36"/>
  <c r="H19" i="36"/>
  <c r="E18" i="36"/>
  <c r="E16" i="36"/>
  <c r="E15" i="36"/>
  <c r="F15" i="36"/>
  <c r="F14" i="36"/>
  <c r="E14" i="36"/>
  <c r="E13" i="36"/>
  <c r="F13" i="36"/>
  <c r="E12" i="36"/>
  <c r="F10" i="36"/>
  <c r="G10" i="36"/>
  <c r="F9" i="36"/>
  <c r="E10" i="36"/>
  <c r="E9" i="36"/>
  <c r="G8" i="36"/>
  <c r="F8" i="36"/>
  <c r="E8" i="36"/>
  <c r="E7" i="36"/>
  <c r="G5" i="36"/>
  <c r="G63" i="36"/>
  <c r="G53" i="36"/>
  <c r="G42" i="36"/>
  <c r="G33" i="36"/>
  <c r="G69" i="36" s="1"/>
  <c r="G76" i="36" s="1"/>
  <c r="G21" i="36"/>
  <c r="G20" i="36"/>
  <c r="D12" i="36"/>
  <c r="D15" i="36"/>
  <c r="F20" i="36"/>
  <c r="H20" i="36" s="1"/>
  <c r="F21" i="36"/>
  <c r="H21" i="36" s="1"/>
  <c r="F33" i="36"/>
  <c r="F69" i="36" s="1"/>
  <c r="D35" i="36"/>
  <c r="D36" i="36"/>
  <c r="F42" i="36"/>
  <c r="H42" i="36" s="1"/>
  <c r="D43" i="36"/>
  <c r="D65" i="36" s="1"/>
  <c r="F53" i="36"/>
  <c r="H53" i="36" s="1"/>
  <c r="D63" i="36"/>
  <c r="D77" i="36" s="1"/>
  <c r="E63" i="36"/>
  <c r="F63" i="36"/>
  <c r="H63" i="36"/>
  <c r="D64" i="36"/>
  <c r="D78" i="36" s="1"/>
  <c r="D69" i="36"/>
  <c r="D76" i="36" s="1"/>
  <c r="E69" i="36"/>
  <c r="D70" i="36"/>
  <c r="D71" i="36"/>
  <c r="D72" i="36"/>
  <c r="E72" i="36" l="1"/>
  <c r="D73" i="36"/>
  <c r="E76" i="36"/>
  <c r="F22" i="36"/>
  <c r="H22" i="36" s="1"/>
  <c r="H33" i="36"/>
  <c r="H69" i="36" s="1"/>
  <c r="H76" i="36" s="1"/>
  <c r="P10" i="12"/>
  <c r="H8" i="36" s="1"/>
  <c r="F38" i="36"/>
  <c r="H38" i="36" s="1"/>
  <c r="E65" i="36"/>
  <c r="G65" i="36"/>
  <c r="E64" i="36"/>
  <c r="E78" i="36" s="1"/>
  <c r="F45" i="36"/>
  <c r="H45" i="36" s="1"/>
  <c r="D66" i="36"/>
  <c r="D79" i="36"/>
  <c r="D80" i="36" s="1"/>
  <c r="F76" i="36"/>
  <c r="E79" i="36" l="1"/>
  <c r="H65" i="36"/>
  <c r="F65" i="36"/>
  <c r="E66" i="36"/>
  <c r="D84" i="36" l="1"/>
  <c r="D87" i="36" l="1"/>
  <c r="S64" i="35" l="1"/>
  <c r="U64" i="35" s="1"/>
  <c r="W64" i="35" s="1"/>
  <c r="Y64" i="35" s="1"/>
  <c r="AA64" i="35" s="1"/>
  <c r="AC64" i="35" s="1"/>
  <c r="R64" i="35"/>
  <c r="N62" i="35"/>
  <c r="Q40" i="35"/>
  <c r="S40" i="35" s="1"/>
  <c r="Q37" i="35"/>
  <c r="AC36" i="35"/>
  <c r="AA36" i="35"/>
  <c r="Y36" i="35"/>
  <c r="W36" i="35"/>
  <c r="U36" i="35"/>
  <c r="S36" i="35"/>
  <c r="Q36" i="35"/>
  <c r="O36" i="35"/>
  <c r="N30" i="35"/>
  <c r="Q12" i="35"/>
  <c r="S12" i="35" s="1"/>
  <c r="H12" i="35"/>
  <c r="G12" i="35"/>
  <c r="F12" i="35"/>
  <c r="Q14" i="35"/>
  <c r="S14" i="35" s="1"/>
  <c r="Q11" i="35"/>
  <c r="I11" i="35"/>
  <c r="J11" i="35" s="1"/>
  <c r="W10" i="35"/>
  <c r="U10" i="35"/>
  <c r="S10" i="35"/>
  <c r="Q10" i="35"/>
  <c r="O10" i="35"/>
  <c r="N4" i="35"/>
  <c r="Y10" i="35" l="1"/>
  <c r="I12" i="35"/>
  <c r="S11" i="35"/>
  <c r="S15" i="35" s="1"/>
  <c r="Q15" i="35"/>
  <c r="AA10" i="35"/>
  <c r="J12" i="35"/>
  <c r="K11" i="35"/>
  <c r="U14" i="35"/>
  <c r="U12" i="35"/>
  <c r="O15" i="35"/>
  <c r="S37" i="35"/>
  <c r="R66" i="35"/>
  <c r="T64" i="35"/>
  <c r="U40" i="35"/>
  <c r="W40" i="35" l="1"/>
  <c r="V64" i="35"/>
  <c r="T66" i="35"/>
  <c r="W12" i="35"/>
  <c r="K12" i="35"/>
  <c r="AC10" i="35"/>
  <c r="U11" i="35"/>
  <c r="U37" i="35"/>
  <c r="W14" i="35"/>
  <c r="Y14" i="35" l="1"/>
  <c r="V66" i="35"/>
  <c r="X64" i="35"/>
  <c r="W37" i="35"/>
  <c r="W11" i="35"/>
  <c r="U15" i="35"/>
  <c r="Y12" i="35"/>
  <c r="Y40" i="35"/>
  <c r="AA14" i="35" l="1"/>
  <c r="Y37" i="35"/>
  <c r="AA40" i="35"/>
  <c r="AA12" i="35"/>
  <c r="Y11" i="35"/>
  <c r="W15" i="35"/>
  <c r="X66" i="35"/>
  <c r="Z64" i="35"/>
  <c r="AC12" i="35" l="1"/>
  <c r="AC14" i="35"/>
  <c r="AC40" i="35"/>
  <c r="AA11" i="35"/>
  <c r="Y15" i="35"/>
  <c r="Z66" i="35"/>
  <c r="AB64" i="35"/>
  <c r="AA37" i="35"/>
  <c r="AD64" i="35" l="1"/>
  <c r="AD66" i="35" s="1"/>
  <c r="AB66" i="35"/>
  <c r="AC37" i="35"/>
  <c r="AC11" i="35"/>
  <c r="AA15" i="35"/>
  <c r="AC15" i="35" l="1"/>
  <c r="L74" i="23" l="1"/>
  <c r="P74" i="23" s="1"/>
  <c r="P82" i="23"/>
  <c r="L73" i="23"/>
  <c r="P73" i="23" s="1"/>
  <c r="P61" i="23"/>
  <c r="P64" i="32"/>
  <c r="P65" i="32"/>
  <c r="P66" i="32"/>
  <c r="P67" i="32"/>
  <c r="P68" i="32"/>
  <c r="P69" i="32"/>
  <c r="P71" i="30"/>
  <c r="P75" i="30"/>
  <c r="H77" i="30"/>
  <c r="I77" i="30"/>
  <c r="H78" i="30"/>
  <c r="I78" i="30"/>
  <c r="P69" i="30"/>
  <c r="P130" i="31"/>
  <c r="P131" i="31"/>
  <c r="P133" i="31"/>
  <c r="F54" i="26"/>
  <c r="F56" i="26" s="1"/>
  <c r="H201" i="31"/>
  <c r="L201" i="31" s="1"/>
  <c r="H200" i="31"/>
  <c r="G200" i="31" l="1"/>
  <c r="L200" i="31"/>
  <c r="K200" i="31" s="1"/>
  <c r="G201" i="31"/>
  <c r="P87" i="23"/>
  <c r="P83" i="23"/>
  <c r="P75" i="23"/>
  <c r="P201" i="31"/>
  <c r="O201" i="31" s="1"/>
  <c r="K201" i="31"/>
  <c r="P200" i="31" l="1"/>
  <c r="O200" i="31" s="1"/>
  <c r="H199" i="31"/>
  <c r="F50" i="26"/>
  <c r="F49" i="26"/>
  <c r="H13" i="26"/>
  <c r="E39" i="2"/>
  <c r="G13" i="26"/>
  <c r="G11" i="26"/>
  <c r="F13" i="26"/>
  <c r="F11" i="26"/>
  <c r="AB82" i="33"/>
  <c r="X82" i="33"/>
  <c r="T82" i="33"/>
  <c r="P82" i="33"/>
  <c r="L82" i="33"/>
  <c r="H82" i="33"/>
  <c r="D82" i="33"/>
  <c r="F8" i="26"/>
  <c r="D204" i="31"/>
  <c r="Q197" i="31"/>
  <c r="M197" i="31"/>
  <c r="AB191" i="31"/>
  <c r="X191" i="31"/>
  <c r="P191" i="31"/>
  <c r="L191" i="31"/>
  <c r="H191" i="31"/>
  <c r="D191" i="31"/>
  <c r="F47" i="42" s="1"/>
  <c r="P135" i="31"/>
  <c r="F42" i="26"/>
  <c r="F43" i="26"/>
  <c r="F41" i="26"/>
  <c r="F40" i="26"/>
  <c r="F39" i="26"/>
  <c r="F38" i="26"/>
  <c r="F37" i="26"/>
  <c r="F35" i="26"/>
  <c r="K75" i="31"/>
  <c r="Q74" i="31"/>
  <c r="Q73" i="31"/>
  <c r="Q72" i="31"/>
  <c r="Q71" i="31"/>
  <c r="P72" i="31"/>
  <c r="Q53" i="31"/>
  <c r="Q50" i="31"/>
  <c r="Q51" i="31"/>
  <c r="P24" i="31"/>
  <c r="H20" i="26"/>
  <c r="H18" i="36"/>
  <c r="G18" i="36"/>
  <c r="F18" i="36"/>
  <c r="F64" i="36" s="1"/>
  <c r="F66" i="36" s="1"/>
  <c r="T72" i="31" l="1"/>
  <c r="S72" i="31"/>
  <c r="I20" i="26"/>
  <c r="G48" i="26"/>
  <c r="I47" i="42"/>
  <c r="Q47" i="42" s="1"/>
  <c r="R47" i="42" s="1"/>
  <c r="I201" i="31"/>
  <c r="H204" i="31"/>
  <c r="G54" i="26"/>
  <c r="H47" i="42"/>
  <c r="H48" i="26"/>
  <c r="M82" i="33"/>
  <c r="I82" i="33"/>
  <c r="G47" i="42"/>
  <c r="D41" i="2"/>
  <c r="D39" i="2"/>
  <c r="O47" i="42"/>
  <c r="P47" i="42" s="1"/>
  <c r="J47" i="42"/>
  <c r="K47" i="42" s="1"/>
  <c r="L47" i="42" s="1"/>
  <c r="M47" i="42"/>
  <c r="N47" i="42" s="1"/>
  <c r="L199" i="31"/>
  <c r="G53" i="42"/>
  <c r="M13" i="26"/>
  <c r="N13" i="26" s="1"/>
  <c r="O13" i="26"/>
  <c r="P13" i="26" s="1"/>
  <c r="N8" i="26"/>
  <c r="P8" i="26"/>
  <c r="M11" i="26"/>
  <c r="N11" i="26" s="1"/>
  <c r="O11" i="26"/>
  <c r="P11" i="26" s="1"/>
  <c r="F43" i="28"/>
  <c r="U43" i="28" s="1"/>
  <c r="K197" i="31"/>
  <c r="Q82" i="33"/>
  <c r="K50" i="31"/>
  <c r="K53" i="31"/>
  <c r="F48" i="26"/>
  <c r="G43" i="28"/>
  <c r="O195" i="31"/>
  <c r="P199" i="31"/>
  <c r="G195" i="31"/>
  <c r="G196" i="31"/>
  <c r="G197" i="31"/>
  <c r="I204" i="31"/>
  <c r="M49" i="26"/>
  <c r="N49" i="26" s="1"/>
  <c r="G194" i="31"/>
  <c r="G199" i="31"/>
  <c r="O177" i="31"/>
  <c r="O164" i="31"/>
  <c r="G162" i="31"/>
  <c r="G179" i="31"/>
  <c r="G183" i="31"/>
  <c r="G178" i="31"/>
  <c r="G170" i="31"/>
  <c r="G168" i="31"/>
  <c r="G180" i="31"/>
  <c r="G163" i="31"/>
  <c r="G181" i="31"/>
  <c r="O173" i="31"/>
  <c r="K171" i="31"/>
  <c r="G169" i="31"/>
  <c r="G182" i="31"/>
  <c r="G123" i="31"/>
  <c r="P78" i="31"/>
  <c r="K78" i="31"/>
  <c r="K72" i="31"/>
  <c r="O72" i="31"/>
  <c r="P75" i="31"/>
  <c r="K74" i="31"/>
  <c r="P74" i="31"/>
  <c r="P73" i="31"/>
  <c r="K73" i="31"/>
  <c r="O76" i="31"/>
  <c r="K76" i="31"/>
  <c r="P71" i="31"/>
  <c r="K71" i="31"/>
  <c r="P53" i="31"/>
  <c r="P50" i="31"/>
  <c r="G12" i="31"/>
  <c r="O11" i="31"/>
  <c r="O12" i="31"/>
  <c r="O13" i="31"/>
  <c r="O14" i="31"/>
  <c r="O15" i="31"/>
  <c r="O16" i="31"/>
  <c r="O18" i="31"/>
  <c r="O24" i="31"/>
  <c r="K11" i="31"/>
  <c r="K12" i="31"/>
  <c r="K13" i="31"/>
  <c r="K14" i="31"/>
  <c r="K15" i="31"/>
  <c r="K16" i="31"/>
  <c r="K18" i="31"/>
  <c r="K20" i="31"/>
  <c r="K21" i="31"/>
  <c r="K24" i="31"/>
  <c r="G11" i="31"/>
  <c r="G13" i="31"/>
  <c r="G14" i="31"/>
  <c r="G15" i="31"/>
  <c r="G16" i="31"/>
  <c r="G18" i="31"/>
  <c r="G20" i="31"/>
  <c r="G21" i="31"/>
  <c r="G22" i="31"/>
  <c r="O75" i="31" l="1"/>
  <c r="T75" i="31"/>
  <c r="S75" i="31"/>
  <c r="O78" i="31"/>
  <c r="T78" i="31"/>
  <c r="S78" i="31"/>
  <c r="O71" i="31"/>
  <c r="T71" i="31"/>
  <c r="S71" i="31" s="1"/>
  <c r="O73" i="31"/>
  <c r="T73" i="31"/>
  <c r="S73" i="31" s="1"/>
  <c r="O74" i="31"/>
  <c r="S74" i="31"/>
  <c r="T74" i="31"/>
  <c r="O50" i="31"/>
  <c r="T50" i="31"/>
  <c r="S50" i="31" s="1"/>
  <c r="O53" i="31"/>
  <c r="T53" i="31"/>
  <c r="S53" i="31"/>
  <c r="K199" i="31"/>
  <c r="M202" i="31"/>
  <c r="H54" i="26"/>
  <c r="Q202" i="31"/>
  <c r="H50" i="26"/>
  <c r="M50" i="26" s="1"/>
  <c r="N50" i="26" s="1"/>
  <c r="O174" i="31"/>
  <c r="K174" i="31"/>
  <c r="M48" i="26"/>
  <c r="N48" i="26" s="1"/>
  <c r="M53" i="42"/>
  <c r="N53" i="42" s="1"/>
  <c r="G55" i="42"/>
  <c r="M55" i="42" s="1"/>
  <c r="N55" i="42" s="1"/>
  <c r="O54" i="26"/>
  <c r="P54" i="26" s="1"/>
  <c r="I53" i="42"/>
  <c r="H49" i="42"/>
  <c r="O49" i="42" s="1"/>
  <c r="P49" i="42" s="1"/>
  <c r="H53" i="42"/>
  <c r="M54" i="26"/>
  <c r="N54" i="26" s="1"/>
  <c r="O48" i="26"/>
  <c r="P48" i="26" s="1"/>
  <c r="V43" i="28"/>
  <c r="M43" i="28"/>
  <c r="N43" i="28" s="1"/>
  <c r="H56" i="26"/>
  <c r="G56" i="26"/>
  <c r="P196" i="31"/>
  <c r="M196" i="31"/>
  <c r="K51" i="31"/>
  <c r="O170" i="31"/>
  <c r="O163" i="31"/>
  <c r="G165" i="31"/>
  <c r="O168" i="31"/>
  <c r="G164" i="31"/>
  <c r="K195" i="31"/>
  <c r="G173" i="31"/>
  <c r="K123" i="31"/>
  <c r="M43" i="26"/>
  <c r="N43" i="26" s="1"/>
  <c r="K164" i="31"/>
  <c r="K196" i="31"/>
  <c r="O199" i="31"/>
  <c r="K194" i="31"/>
  <c r="K177" i="31"/>
  <c r="G160" i="31"/>
  <c r="K169" i="31"/>
  <c r="G177" i="31"/>
  <c r="G175" i="31"/>
  <c r="G204" i="31"/>
  <c r="O49" i="26"/>
  <c r="P49" i="26" s="1"/>
  <c r="L204" i="31"/>
  <c r="M204" i="31" s="1"/>
  <c r="P197" i="31"/>
  <c r="T197" i="31" s="1"/>
  <c r="S197" i="31" s="1"/>
  <c r="K162" i="31"/>
  <c r="O171" i="31"/>
  <c r="G171" i="31"/>
  <c r="K182" i="31"/>
  <c r="K178" i="31"/>
  <c r="K173" i="31"/>
  <c r="G166" i="31"/>
  <c r="K181" i="31"/>
  <c r="G176" i="31"/>
  <c r="K183" i="31"/>
  <c r="G167" i="31"/>
  <c r="G161" i="31"/>
  <c r="K180" i="31"/>
  <c r="G172" i="31"/>
  <c r="K179" i="31"/>
  <c r="O175" i="31"/>
  <c r="K175" i="31"/>
  <c r="O165" i="31"/>
  <c r="K165" i="31"/>
  <c r="O160" i="31"/>
  <c r="K160" i="31"/>
  <c r="P77" i="31"/>
  <c r="K77" i="31"/>
  <c r="K19" i="31"/>
  <c r="G19" i="31"/>
  <c r="P51" i="31"/>
  <c r="G24" i="31"/>
  <c r="D55" i="34"/>
  <c r="D59" i="33"/>
  <c r="I59" i="33" s="1"/>
  <c r="AC86" i="34"/>
  <c r="Y86" i="34"/>
  <c r="U86" i="34"/>
  <c r="Q86" i="34"/>
  <c r="M86" i="34"/>
  <c r="I86" i="34"/>
  <c r="AC85" i="34"/>
  <c r="Y85" i="34"/>
  <c r="U85" i="34"/>
  <c r="Q85" i="34"/>
  <c r="M85" i="34"/>
  <c r="I85" i="34"/>
  <c r="H85" i="34" s="1"/>
  <c r="AC84" i="34"/>
  <c r="Y84" i="34"/>
  <c r="U84" i="34"/>
  <c r="Q84" i="34"/>
  <c r="M84" i="34"/>
  <c r="I84" i="34"/>
  <c r="H84" i="34" s="1"/>
  <c r="AC83" i="34"/>
  <c r="Y83" i="34"/>
  <c r="U83" i="34"/>
  <c r="Q83" i="34"/>
  <c r="M83" i="34"/>
  <c r="I83" i="34"/>
  <c r="H83" i="34" s="1"/>
  <c r="AC82" i="34"/>
  <c r="Y82" i="34"/>
  <c r="U82" i="34"/>
  <c r="Q82" i="34"/>
  <c r="M82" i="34"/>
  <c r="I82" i="34"/>
  <c r="H82" i="34" s="1"/>
  <c r="AC81" i="34"/>
  <c r="Y81" i="34"/>
  <c r="U81" i="34"/>
  <c r="Q81" i="34"/>
  <c r="M81" i="34"/>
  <c r="I81" i="34"/>
  <c r="H81" i="34" s="1"/>
  <c r="AC80" i="34"/>
  <c r="Y80" i="34"/>
  <c r="U80" i="34"/>
  <c r="Q80" i="34"/>
  <c r="M80" i="34"/>
  <c r="I80" i="34"/>
  <c r="H80" i="34" s="1"/>
  <c r="AC79" i="34"/>
  <c r="Y79" i="34"/>
  <c r="U79" i="34"/>
  <c r="Q79" i="34"/>
  <c r="M79" i="34"/>
  <c r="I79" i="34"/>
  <c r="H79" i="34" s="1"/>
  <c r="AC78" i="34"/>
  <c r="Y78" i="34"/>
  <c r="U78" i="34"/>
  <c r="Q78" i="34"/>
  <c r="M78" i="34"/>
  <c r="I78" i="34"/>
  <c r="H78" i="34" s="1"/>
  <c r="AC77" i="34"/>
  <c r="Y77" i="34"/>
  <c r="U77" i="34"/>
  <c r="Q77" i="34"/>
  <c r="M77" i="34"/>
  <c r="I77" i="34"/>
  <c r="H77" i="34" s="1"/>
  <c r="AC76" i="34"/>
  <c r="Y76" i="34"/>
  <c r="U76" i="34"/>
  <c r="Q76" i="34"/>
  <c r="M76" i="34"/>
  <c r="I76" i="34"/>
  <c r="H76" i="34" s="1"/>
  <c r="AC75" i="34"/>
  <c r="Y75" i="34"/>
  <c r="U75" i="34"/>
  <c r="Q75" i="34"/>
  <c r="M75" i="34"/>
  <c r="I75" i="34"/>
  <c r="H75" i="34" s="1"/>
  <c r="AC74" i="34"/>
  <c r="Y74" i="34"/>
  <c r="D71" i="34"/>
  <c r="AC70" i="34"/>
  <c r="Y70" i="34"/>
  <c r="U70" i="34"/>
  <c r="Q70" i="34"/>
  <c r="M70" i="34"/>
  <c r="I70" i="34"/>
  <c r="H70" i="34" s="1"/>
  <c r="G70" i="34"/>
  <c r="Q69" i="34"/>
  <c r="M69" i="34"/>
  <c r="I69" i="34"/>
  <c r="H69" i="34" s="1"/>
  <c r="G69" i="34"/>
  <c r="Q68" i="34"/>
  <c r="M68" i="34"/>
  <c r="I68" i="34"/>
  <c r="H68" i="34" s="1"/>
  <c r="G68" i="34"/>
  <c r="Q67" i="34"/>
  <c r="M67" i="34"/>
  <c r="I67" i="34"/>
  <c r="H67" i="34" s="1"/>
  <c r="G67" i="34"/>
  <c r="AC66" i="34"/>
  <c r="Y66" i="34"/>
  <c r="U66" i="34"/>
  <c r="Q66" i="34"/>
  <c r="M66" i="34"/>
  <c r="I66" i="34"/>
  <c r="H66" i="34" s="1"/>
  <c r="G66" i="34"/>
  <c r="AC65" i="34"/>
  <c r="Y65" i="34"/>
  <c r="U65" i="34"/>
  <c r="Q65" i="34"/>
  <c r="M65" i="34"/>
  <c r="I65" i="34"/>
  <c r="H65" i="34" s="1"/>
  <c r="G65" i="34"/>
  <c r="AC64" i="34"/>
  <c r="Y64" i="34"/>
  <c r="U64" i="34"/>
  <c r="Q64" i="34"/>
  <c r="M64" i="34"/>
  <c r="I64" i="34"/>
  <c r="H64" i="34" s="1"/>
  <c r="G64" i="34"/>
  <c r="AC63" i="34"/>
  <c r="Y63" i="34"/>
  <c r="U63" i="34"/>
  <c r="Q63" i="34"/>
  <c r="M63" i="34"/>
  <c r="I63" i="34"/>
  <c r="H63" i="34" s="1"/>
  <c r="G63" i="34"/>
  <c r="AC62" i="34"/>
  <c r="Y62" i="34"/>
  <c r="U62" i="34"/>
  <c r="Q62" i="34"/>
  <c r="M62" i="34"/>
  <c r="I62" i="34"/>
  <c r="H62" i="34" s="1"/>
  <c r="K62" i="34" s="1"/>
  <c r="G62" i="34"/>
  <c r="AC61" i="34"/>
  <c r="Y61" i="34"/>
  <c r="G61" i="34"/>
  <c r="H53" i="34"/>
  <c r="G53" i="34"/>
  <c r="AC52" i="34"/>
  <c r="Y52" i="34"/>
  <c r="U52" i="34"/>
  <c r="T52" i="34" s="1"/>
  <c r="Q52" i="34"/>
  <c r="M52" i="34"/>
  <c r="I52" i="34"/>
  <c r="E52" i="34"/>
  <c r="AC51" i="34"/>
  <c r="Y51" i="34"/>
  <c r="U51" i="34"/>
  <c r="T51" i="34" s="1"/>
  <c r="Q51" i="34"/>
  <c r="M51" i="34"/>
  <c r="I51" i="34"/>
  <c r="E51" i="34"/>
  <c r="AC50" i="34"/>
  <c r="Y50" i="34"/>
  <c r="U50" i="34"/>
  <c r="Q50" i="34"/>
  <c r="M50" i="34"/>
  <c r="G50" i="34"/>
  <c r="AC49" i="34"/>
  <c r="Y49" i="34"/>
  <c r="U49" i="34"/>
  <c r="T49" i="34" s="1"/>
  <c r="Q49" i="34"/>
  <c r="M49" i="34"/>
  <c r="I49" i="34"/>
  <c r="E49" i="34"/>
  <c r="AC48" i="34"/>
  <c r="Y48" i="34"/>
  <c r="U48" i="34"/>
  <c r="T48" i="34" s="1"/>
  <c r="Q48" i="34"/>
  <c r="M48" i="34"/>
  <c r="I48" i="34"/>
  <c r="E48" i="34"/>
  <c r="AC47" i="34"/>
  <c r="Y47" i="34"/>
  <c r="U47" i="34"/>
  <c r="T47" i="34" s="1"/>
  <c r="Q47" i="34"/>
  <c r="M47" i="34"/>
  <c r="I47" i="34"/>
  <c r="E47" i="34"/>
  <c r="U46" i="34"/>
  <c r="T46" i="34" s="1"/>
  <c r="Q46" i="34"/>
  <c r="M46" i="34"/>
  <c r="I46" i="34"/>
  <c r="E46" i="34"/>
  <c r="D43" i="34"/>
  <c r="AC41" i="34"/>
  <c r="Y41" i="34"/>
  <c r="U41" i="34"/>
  <c r="Q41" i="34"/>
  <c r="I41" i="34"/>
  <c r="H41" i="34"/>
  <c r="L41" i="34" s="1"/>
  <c r="O41" i="34" s="1"/>
  <c r="G41" i="34"/>
  <c r="AC40" i="34"/>
  <c r="Y40" i="34"/>
  <c r="U40" i="34"/>
  <c r="Q40" i="34"/>
  <c r="I40" i="34"/>
  <c r="H40" i="34"/>
  <c r="G40" i="34"/>
  <c r="AC39" i="34"/>
  <c r="Y39" i="34"/>
  <c r="U39" i="34"/>
  <c r="Q39" i="34"/>
  <c r="I39" i="34"/>
  <c r="H39" i="34"/>
  <c r="L39" i="34" s="1"/>
  <c r="G39" i="34"/>
  <c r="AC38" i="34"/>
  <c r="Y38" i="34"/>
  <c r="U38" i="34"/>
  <c r="Q38" i="34"/>
  <c r="I38" i="34"/>
  <c r="H38" i="34"/>
  <c r="G38" i="34"/>
  <c r="AC37" i="34"/>
  <c r="Y37" i="34"/>
  <c r="U37" i="34"/>
  <c r="Q37" i="34"/>
  <c r="I37" i="34"/>
  <c r="H37" i="34"/>
  <c r="L37" i="34" s="1"/>
  <c r="O37" i="34" s="1"/>
  <c r="G37" i="34"/>
  <c r="AC36" i="34"/>
  <c r="Y36" i="34"/>
  <c r="U36" i="34"/>
  <c r="Q36" i="34"/>
  <c r="I36" i="34"/>
  <c r="H36" i="34"/>
  <c r="L36" i="34" s="1"/>
  <c r="O36" i="34" s="1"/>
  <c r="G36" i="34"/>
  <c r="AC35" i="34"/>
  <c r="Y35" i="34"/>
  <c r="D32" i="34"/>
  <c r="O31" i="34"/>
  <c r="K31" i="34"/>
  <c r="G31" i="34"/>
  <c r="Q30" i="34"/>
  <c r="I30" i="34"/>
  <c r="H30" i="34"/>
  <c r="L30" i="34" s="1"/>
  <c r="P30" i="34" s="1"/>
  <c r="G30" i="34"/>
  <c r="Q29" i="34"/>
  <c r="I29" i="34"/>
  <c r="H29" i="34"/>
  <c r="K29" i="34" s="1"/>
  <c r="G29" i="34"/>
  <c r="AC28" i="34"/>
  <c r="Y28" i="34"/>
  <c r="U28" i="34"/>
  <c r="Q28" i="34"/>
  <c r="I28" i="34"/>
  <c r="H28" i="34"/>
  <c r="K28" i="34" s="1"/>
  <c r="G28" i="34"/>
  <c r="AC27" i="34"/>
  <c r="Y27" i="34"/>
  <c r="U27" i="34"/>
  <c r="Q27" i="34"/>
  <c r="I27" i="34"/>
  <c r="H27" i="34"/>
  <c r="L27" i="34" s="1"/>
  <c r="O27" i="34" s="1"/>
  <c r="G27" i="34"/>
  <c r="AC26" i="34"/>
  <c r="Y26" i="34"/>
  <c r="U26" i="34"/>
  <c r="Q26" i="34"/>
  <c r="I26" i="34"/>
  <c r="H26" i="34"/>
  <c r="K26" i="34" s="1"/>
  <c r="G26" i="34"/>
  <c r="AC25" i="34"/>
  <c r="Y25" i="34"/>
  <c r="U25" i="34"/>
  <c r="Q25" i="34"/>
  <c r="I25" i="34"/>
  <c r="H25" i="34"/>
  <c r="L25" i="34" s="1"/>
  <c r="G25" i="34"/>
  <c r="AC24" i="34"/>
  <c r="Y24" i="34"/>
  <c r="U24" i="34"/>
  <c r="Q24" i="34"/>
  <c r="I24" i="34"/>
  <c r="H24" i="34"/>
  <c r="K24" i="34" s="1"/>
  <c r="G24" i="34"/>
  <c r="AC23" i="34"/>
  <c r="Y23" i="34"/>
  <c r="U23" i="34"/>
  <c r="Q23" i="34"/>
  <c r="I23" i="34"/>
  <c r="H23" i="34"/>
  <c r="L23" i="34" s="1"/>
  <c r="G23" i="34"/>
  <c r="AC22" i="34"/>
  <c r="Y22" i="34"/>
  <c r="U22" i="34"/>
  <c r="Q22" i="34"/>
  <c r="I22" i="34"/>
  <c r="H22" i="34"/>
  <c r="K22" i="34" s="1"/>
  <c r="G22" i="34"/>
  <c r="AC21" i="34"/>
  <c r="Y21" i="34"/>
  <c r="H11" i="34"/>
  <c r="D11" i="34"/>
  <c r="AB10" i="34"/>
  <c r="X10" i="34"/>
  <c r="AA10" i="34" s="1"/>
  <c r="T10" i="34"/>
  <c r="W10" i="34" s="1"/>
  <c r="S10" i="34"/>
  <c r="P10" i="34"/>
  <c r="L10" i="34"/>
  <c r="K10" i="34"/>
  <c r="G10" i="34"/>
  <c r="G9" i="34"/>
  <c r="H6" i="34"/>
  <c r="L6" i="34" s="1"/>
  <c r="P6" i="34" s="1"/>
  <c r="T6" i="34" s="1"/>
  <c r="X6" i="34" s="1"/>
  <c r="AB6" i="34" s="1"/>
  <c r="AB3" i="34"/>
  <c r="AB9" i="34" s="1"/>
  <c r="AB11" i="34" s="1"/>
  <c r="X3" i="34"/>
  <c r="X9" i="34" s="1"/>
  <c r="T3" i="34"/>
  <c r="T11" i="34" s="1"/>
  <c r="P3" i="34"/>
  <c r="L3" i="34"/>
  <c r="H3" i="34"/>
  <c r="D3" i="34"/>
  <c r="AC75" i="33"/>
  <c r="Y75" i="33"/>
  <c r="AC74" i="33"/>
  <c r="Y74" i="33"/>
  <c r="AC73" i="33"/>
  <c r="Y73" i="33"/>
  <c r="P73" i="33"/>
  <c r="AC72" i="33"/>
  <c r="Y72" i="33"/>
  <c r="P72" i="33"/>
  <c r="AC71" i="33"/>
  <c r="Y71" i="33"/>
  <c r="P71" i="33"/>
  <c r="AC69" i="33"/>
  <c r="Y69" i="33"/>
  <c r="P69" i="33"/>
  <c r="AC68" i="33"/>
  <c r="Y68" i="33"/>
  <c r="P68" i="33"/>
  <c r="AC67" i="33"/>
  <c r="Y67" i="33"/>
  <c r="P67" i="33"/>
  <c r="AC66" i="33"/>
  <c r="Y66" i="33"/>
  <c r="P66" i="33"/>
  <c r="AC65" i="33"/>
  <c r="Y65" i="33"/>
  <c r="AC64" i="33"/>
  <c r="Y64" i="33"/>
  <c r="P64" i="33"/>
  <c r="AC63" i="33"/>
  <c r="Y63" i="33"/>
  <c r="P63" i="33"/>
  <c r="AC62" i="33"/>
  <c r="Y62" i="33"/>
  <c r="AC58" i="33"/>
  <c r="Y58" i="33"/>
  <c r="U58" i="33"/>
  <c r="L58" i="33"/>
  <c r="P58" i="33" s="1"/>
  <c r="G58" i="33"/>
  <c r="L57" i="33"/>
  <c r="P57" i="33" s="1"/>
  <c r="G57" i="33"/>
  <c r="AC54" i="33"/>
  <c r="Y54" i="33"/>
  <c r="AC53" i="33"/>
  <c r="Y53" i="33"/>
  <c r="AC52" i="33"/>
  <c r="Y52" i="33"/>
  <c r="AC51" i="33"/>
  <c r="Y51" i="33"/>
  <c r="AC50" i="33"/>
  <c r="Y50" i="33"/>
  <c r="G50" i="33"/>
  <c r="AC49" i="33"/>
  <c r="Y49" i="33"/>
  <c r="L41" i="33"/>
  <c r="AC40" i="33"/>
  <c r="Y40" i="33"/>
  <c r="U40" i="33"/>
  <c r="Q40" i="33"/>
  <c r="M40" i="33"/>
  <c r="I40" i="33"/>
  <c r="E40" i="33"/>
  <c r="AC39" i="33"/>
  <c r="Y39" i="33"/>
  <c r="U39" i="33"/>
  <c r="Q39" i="33"/>
  <c r="M39" i="33"/>
  <c r="I39" i="33"/>
  <c r="E39" i="33"/>
  <c r="AC38" i="33"/>
  <c r="Y38" i="33"/>
  <c r="U38" i="33"/>
  <c r="AC37" i="33"/>
  <c r="Y37" i="33"/>
  <c r="U37" i="33"/>
  <c r="Q37" i="33"/>
  <c r="M37" i="33"/>
  <c r="I37" i="33"/>
  <c r="E37" i="33"/>
  <c r="AC36" i="33"/>
  <c r="Y36" i="33"/>
  <c r="U36" i="33"/>
  <c r="Q36" i="33"/>
  <c r="M36" i="33"/>
  <c r="I36" i="33"/>
  <c r="E36" i="33"/>
  <c r="AC35" i="33"/>
  <c r="Y35" i="33"/>
  <c r="U35" i="33"/>
  <c r="Q35" i="33"/>
  <c r="M35" i="33"/>
  <c r="I35" i="33"/>
  <c r="E35" i="33"/>
  <c r="U34" i="33"/>
  <c r="Q34" i="33"/>
  <c r="M34" i="33"/>
  <c r="I34" i="33"/>
  <c r="E34" i="33"/>
  <c r="D43" i="33"/>
  <c r="AC30" i="33"/>
  <c r="Y30" i="33"/>
  <c r="AC29" i="33"/>
  <c r="Y29" i="33"/>
  <c r="AC27" i="33"/>
  <c r="Y27" i="33"/>
  <c r="D31" i="33"/>
  <c r="I31" i="33" s="1"/>
  <c r="D24" i="33"/>
  <c r="AC23" i="33"/>
  <c r="Y23" i="33"/>
  <c r="AC22" i="33"/>
  <c r="Y22" i="33"/>
  <c r="AC21" i="33"/>
  <c r="Y21" i="33"/>
  <c r="H11" i="33"/>
  <c r="D11" i="33"/>
  <c r="AB10" i="33"/>
  <c r="X10" i="33"/>
  <c r="AA10" i="33" s="1"/>
  <c r="W10" i="33"/>
  <c r="T10" i="33"/>
  <c r="P10" i="33"/>
  <c r="S10" i="33" s="1"/>
  <c r="O10" i="33"/>
  <c r="L10" i="33"/>
  <c r="K10" i="33"/>
  <c r="G10" i="33"/>
  <c r="G9" i="33"/>
  <c r="H6" i="33"/>
  <c r="L6" i="33" s="1"/>
  <c r="P6" i="33" s="1"/>
  <c r="T6" i="33" s="1"/>
  <c r="X6" i="33" s="1"/>
  <c r="AB6" i="33" s="1"/>
  <c r="AB3" i="33"/>
  <c r="AB9" i="33" s="1"/>
  <c r="AB11" i="33" s="1"/>
  <c r="X3" i="33"/>
  <c r="X9" i="33" s="1"/>
  <c r="T3" i="33"/>
  <c r="P3" i="33"/>
  <c r="L3" i="33"/>
  <c r="H3" i="33"/>
  <c r="D3" i="33"/>
  <c r="G93" i="32"/>
  <c r="Q93" i="32"/>
  <c r="Q94" i="32"/>
  <c r="M93" i="32"/>
  <c r="M94" i="32"/>
  <c r="I93" i="32"/>
  <c r="H93" i="32" s="1"/>
  <c r="K93" i="32" s="1"/>
  <c r="G92" i="32"/>
  <c r="I94" i="32"/>
  <c r="AC94" i="32"/>
  <c r="Y94" i="32"/>
  <c r="U94" i="32"/>
  <c r="AC90" i="32"/>
  <c r="Y90" i="32"/>
  <c r="AC89" i="32"/>
  <c r="Y89" i="32"/>
  <c r="AC88" i="32"/>
  <c r="Y88" i="32"/>
  <c r="G88" i="32"/>
  <c r="AC87" i="32"/>
  <c r="Y87" i="32"/>
  <c r="AC86" i="32"/>
  <c r="Y86" i="32"/>
  <c r="G86" i="32"/>
  <c r="AC85" i="32"/>
  <c r="Y85" i="32"/>
  <c r="AC83" i="32"/>
  <c r="Y83" i="32"/>
  <c r="AC81" i="32"/>
  <c r="Y81" i="32"/>
  <c r="G81" i="32"/>
  <c r="AC80" i="32"/>
  <c r="Y80" i="32"/>
  <c r="G80" i="32"/>
  <c r="AC79" i="32"/>
  <c r="Y79" i="32"/>
  <c r="AC78" i="32"/>
  <c r="Y78" i="32"/>
  <c r="AC76" i="32"/>
  <c r="Y76" i="32"/>
  <c r="G76" i="32"/>
  <c r="D73" i="32"/>
  <c r="AC72" i="32"/>
  <c r="Y72" i="32"/>
  <c r="U72" i="32"/>
  <c r="Q72" i="32"/>
  <c r="M72" i="32"/>
  <c r="I72" i="32"/>
  <c r="H72" i="32" s="1"/>
  <c r="G72" i="32"/>
  <c r="Q71" i="32"/>
  <c r="M71" i="32"/>
  <c r="I71" i="32"/>
  <c r="H71" i="32" s="1"/>
  <c r="G71" i="32"/>
  <c r="AC68" i="32"/>
  <c r="Y68" i="32"/>
  <c r="G68" i="32"/>
  <c r="AC67" i="32"/>
  <c r="Y67" i="32"/>
  <c r="G67" i="32"/>
  <c r="AC66" i="32"/>
  <c r="Y66" i="32"/>
  <c r="G66" i="32"/>
  <c r="AC65" i="32"/>
  <c r="Y65" i="32"/>
  <c r="G65" i="32"/>
  <c r="AC64" i="32"/>
  <c r="Y64" i="32"/>
  <c r="G64" i="32"/>
  <c r="AC63" i="32"/>
  <c r="Y63" i="32"/>
  <c r="D57" i="32"/>
  <c r="P55" i="32"/>
  <c r="AC54" i="32"/>
  <c r="Y54" i="32"/>
  <c r="U54" i="32"/>
  <c r="Q54" i="32"/>
  <c r="M54" i="32"/>
  <c r="I54" i="32"/>
  <c r="E54" i="32"/>
  <c r="AC53" i="32"/>
  <c r="Y53" i="32"/>
  <c r="U53" i="32"/>
  <c r="Q53" i="32"/>
  <c r="M53" i="32"/>
  <c r="I53" i="32"/>
  <c r="E53" i="32"/>
  <c r="AC52" i="32"/>
  <c r="Y52" i="32"/>
  <c r="U52" i="32"/>
  <c r="Q52" i="32"/>
  <c r="M52" i="32"/>
  <c r="G52" i="32"/>
  <c r="AC51" i="32"/>
  <c r="Y51" i="32"/>
  <c r="U51" i="32"/>
  <c r="Q51" i="32"/>
  <c r="M51" i="32"/>
  <c r="I51" i="32"/>
  <c r="E51" i="32"/>
  <c r="AC50" i="32"/>
  <c r="Y50" i="32"/>
  <c r="U50" i="32"/>
  <c r="Q50" i="32"/>
  <c r="M50" i="32"/>
  <c r="I50" i="32"/>
  <c r="E50" i="32"/>
  <c r="AC49" i="32"/>
  <c r="Y49" i="32"/>
  <c r="U49" i="32"/>
  <c r="Q49" i="32"/>
  <c r="M49" i="32"/>
  <c r="I49" i="32"/>
  <c r="E49" i="32"/>
  <c r="U48" i="32"/>
  <c r="Q48" i="32"/>
  <c r="M48" i="32"/>
  <c r="I48" i="32"/>
  <c r="G48" i="32"/>
  <c r="E48" i="32"/>
  <c r="D45" i="32"/>
  <c r="AC43" i="32"/>
  <c r="Y43" i="32"/>
  <c r="U43" i="32"/>
  <c r="G43" i="32"/>
  <c r="AC42" i="32"/>
  <c r="Y42" i="32"/>
  <c r="U42" i="32"/>
  <c r="Q42" i="32"/>
  <c r="P42" i="32"/>
  <c r="G42" i="32"/>
  <c r="AC41" i="32"/>
  <c r="Y41" i="32"/>
  <c r="U41" i="32"/>
  <c r="Q41" i="32"/>
  <c r="AC40" i="32"/>
  <c r="Y40" i="32"/>
  <c r="AC37" i="32"/>
  <c r="Y37" i="32"/>
  <c r="U37" i="32"/>
  <c r="Q37" i="32"/>
  <c r="G37" i="32"/>
  <c r="AC36" i="32"/>
  <c r="Y36" i="32"/>
  <c r="U36" i="32"/>
  <c r="Q36" i="32"/>
  <c r="AC35" i="32"/>
  <c r="Y35" i="32"/>
  <c r="U35" i="32"/>
  <c r="Q35" i="32"/>
  <c r="D32" i="32"/>
  <c r="G32" i="32" s="1"/>
  <c r="O31" i="32"/>
  <c r="I31" i="32"/>
  <c r="H31" i="32"/>
  <c r="K31" i="32" s="1"/>
  <c r="G31" i="32"/>
  <c r="Q30" i="32"/>
  <c r="M30" i="32"/>
  <c r="I30" i="32"/>
  <c r="H30" i="32"/>
  <c r="K30" i="32" s="1"/>
  <c r="G30" i="32"/>
  <c r="Q29" i="32"/>
  <c r="M29" i="32"/>
  <c r="I29" i="32"/>
  <c r="H29" i="32"/>
  <c r="K29" i="32" s="1"/>
  <c r="G29" i="32"/>
  <c r="AC28" i="32"/>
  <c r="Y28" i="32"/>
  <c r="U28" i="32"/>
  <c r="Q28" i="32"/>
  <c r="M28" i="32"/>
  <c r="I28" i="32"/>
  <c r="H28" i="32"/>
  <c r="K28" i="32" s="1"/>
  <c r="G28" i="32"/>
  <c r="AC27" i="32"/>
  <c r="Y27" i="32"/>
  <c r="U27" i="32"/>
  <c r="Q27" i="32"/>
  <c r="M27" i="32"/>
  <c r="I27" i="32"/>
  <c r="H27" i="32"/>
  <c r="L27" i="32" s="1"/>
  <c r="G27" i="32"/>
  <c r="AC26" i="32"/>
  <c r="Y26" i="32"/>
  <c r="U26" i="32"/>
  <c r="Q26" i="32"/>
  <c r="M26" i="32"/>
  <c r="I26" i="32"/>
  <c r="H26" i="32"/>
  <c r="K26" i="32" s="1"/>
  <c r="G26" i="32"/>
  <c r="AC25" i="32"/>
  <c r="Y25" i="32"/>
  <c r="U25" i="32"/>
  <c r="Q25" i="32"/>
  <c r="M25" i="32"/>
  <c r="I25" i="32"/>
  <c r="H25" i="32"/>
  <c r="L25" i="32" s="1"/>
  <c r="G25" i="32"/>
  <c r="AC24" i="32"/>
  <c r="Y24" i="32"/>
  <c r="U24" i="32"/>
  <c r="Q24" i="32"/>
  <c r="M24" i="32"/>
  <c r="I24" i="32"/>
  <c r="H24" i="32"/>
  <c r="K24" i="32" s="1"/>
  <c r="G24" i="32"/>
  <c r="AC23" i="32"/>
  <c r="Y23" i="32"/>
  <c r="U23" i="32"/>
  <c r="Q23" i="32"/>
  <c r="M23" i="32"/>
  <c r="I23" i="32"/>
  <c r="H23" i="32"/>
  <c r="L23" i="32" s="1"/>
  <c r="G23" i="32"/>
  <c r="AC22" i="32"/>
  <c r="Y22" i="32"/>
  <c r="U22" i="32"/>
  <c r="Q22" i="32"/>
  <c r="M22" i="32"/>
  <c r="I22" i="32"/>
  <c r="H22" i="32"/>
  <c r="L22" i="32" s="1"/>
  <c r="G22" i="32"/>
  <c r="AC21" i="32"/>
  <c r="Y21" i="32"/>
  <c r="U21" i="32"/>
  <c r="Q21" i="32"/>
  <c r="M21" i="32"/>
  <c r="I21" i="32"/>
  <c r="H21" i="32"/>
  <c r="L21" i="32" s="1"/>
  <c r="G21" i="32"/>
  <c r="P11" i="32"/>
  <c r="H11" i="32"/>
  <c r="D11" i="32"/>
  <c r="AB10" i="32"/>
  <c r="X10" i="32"/>
  <c r="AA10" i="32" s="1"/>
  <c r="W10" i="32"/>
  <c r="K10" i="32"/>
  <c r="G10" i="32"/>
  <c r="X9" i="32"/>
  <c r="AA9" i="32" s="1"/>
  <c r="O9" i="32"/>
  <c r="K9" i="32"/>
  <c r="G9" i="32"/>
  <c r="L6" i="32"/>
  <c r="P6" i="32" s="1"/>
  <c r="T6" i="32" s="1"/>
  <c r="X6" i="32" s="1"/>
  <c r="AB6" i="32" s="1"/>
  <c r="H6" i="32"/>
  <c r="AB3" i="32"/>
  <c r="AB9" i="32" s="1"/>
  <c r="AB11" i="32" s="1"/>
  <c r="X3" i="32"/>
  <c r="T3" i="32"/>
  <c r="T11" i="32" s="1"/>
  <c r="P3" i="32"/>
  <c r="L3" i="32"/>
  <c r="H3" i="32"/>
  <c r="D3" i="32"/>
  <c r="AC158" i="31"/>
  <c r="Y158" i="31"/>
  <c r="G158" i="31"/>
  <c r="AC157" i="31"/>
  <c r="Y157" i="31"/>
  <c r="AC155" i="31"/>
  <c r="Y155" i="31"/>
  <c r="AC154" i="31"/>
  <c r="Y154" i="31"/>
  <c r="Q154" i="31"/>
  <c r="AC153" i="31"/>
  <c r="Y153" i="31"/>
  <c r="Q153" i="31"/>
  <c r="AC152" i="31"/>
  <c r="Y152" i="31"/>
  <c r="Q152" i="31"/>
  <c r="AC151" i="31"/>
  <c r="Y151" i="31"/>
  <c r="Q151" i="31"/>
  <c r="AC150" i="31"/>
  <c r="Y150" i="31"/>
  <c r="AC149" i="31"/>
  <c r="Y149" i="31"/>
  <c r="Q149" i="31"/>
  <c r="AC148" i="31"/>
  <c r="Y148" i="31"/>
  <c r="Q148" i="31"/>
  <c r="AC147" i="31"/>
  <c r="Y147" i="31"/>
  <c r="Q147" i="31"/>
  <c r="AC144" i="31"/>
  <c r="Y144" i="31"/>
  <c r="AC140" i="31"/>
  <c r="Y140" i="31"/>
  <c r="AC135" i="31"/>
  <c r="Y135" i="31"/>
  <c r="AC134" i="31"/>
  <c r="Y134" i="31"/>
  <c r="AC133" i="31"/>
  <c r="Y133" i="31"/>
  <c r="AC132" i="31"/>
  <c r="Y132" i="31"/>
  <c r="AC131" i="31"/>
  <c r="Y131" i="31"/>
  <c r="AC130" i="31"/>
  <c r="Y130" i="31"/>
  <c r="G122" i="31"/>
  <c r="AC121" i="31"/>
  <c r="Y121" i="31"/>
  <c r="Q121" i="31"/>
  <c r="M121" i="31"/>
  <c r="I121" i="31"/>
  <c r="E121" i="31"/>
  <c r="AC120" i="31"/>
  <c r="Y120" i="31"/>
  <c r="Q120" i="31"/>
  <c r="M120" i="31"/>
  <c r="I120" i="31"/>
  <c r="E120" i="31"/>
  <c r="AC119" i="31"/>
  <c r="Y119" i="31"/>
  <c r="Q119" i="31"/>
  <c r="M119" i="31"/>
  <c r="AC118" i="31"/>
  <c r="Y118" i="31"/>
  <c r="Q118" i="31"/>
  <c r="M118" i="31"/>
  <c r="I118" i="31"/>
  <c r="E118" i="31"/>
  <c r="AC117" i="31"/>
  <c r="Y117" i="31"/>
  <c r="Q117" i="31"/>
  <c r="M117" i="31"/>
  <c r="I117" i="31"/>
  <c r="E117" i="31"/>
  <c r="AC116" i="31"/>
  <c r="Y116" i="31"/>
  <c r="Q116" i="31"/>
  <c r="E116" i="31"/>
  <c r="Q115" i="31"/>
  <c r="M115" i="31"/>
  <c r="E115" i="31"/>
  <c r="AC70" i="31"/>
  <c r="Y70" i="31"/>
  <c r="AC69" i="31"/>
  <c r="Y69" i="31"/>
  <c r="AC68" i="31"/>
  <c r="Y68" i="31"/>
  <c r="AC54" i="31"/>
  <c r="Y54" i="31"/>
  <c r="L54" i="31"/>
  <c r="L65" i="31" s="1"/>
  <c r="AC52" i="31"/>
  <c r="Y52" i="31"/>
  <c r="Q52" i="31"/>
  <c r="AC46" i="31"/>
  <c r="Y46" i="31"/>
  <c r="AC45" i="31"/>
  <c r="Y45" i="31"/>
  <c r="Q45" i="31"/>
  <c r="AC44" i="31"/>
  <c r="Y44" i="31"/>
  <c r="Q44" i="31"/>
  <c r="AC43" i="31"/>
  <c r="Y43" i="31"/>
  <c r="Q43" i="31"/>
  <c r="AC42" i="31"/>
  <c r="Y42" i="31"/>
  <c r="Q42" i="31"/>
  <c r="AC39" i="31"/>
  <c r="Y39" i="31"/>
  <c r="Q39" i="31"/>
  <c r="P39" i="31"/>
  <c r="T39" i="31" s="1"/>
  <c r="S39" i="31" s="1"/>
  <c r="AB25" i="31"/>
  <c r="X25" i="31"/>
  <c r="AA25" i="31" s="1"/>
  <c r="H6" i="31"/>
  <c r="L6" i="31" s="1"/>
  <c r="P6" i="31" s="1"/>
  <c r="T6" i="31" s="1"/>
  <c r="X6" i="31" s="1"/>
  <c r="AB6" i="31" s="1"/>
  <c r="AB3" i="31"/>
  <c r="AB9" i="31" s="1"/>
  <c r="X3" i="31"/>
  <c r="X9" i="31" s="1"/>
  <c r="D3" i="31"/>
  <c r="O51" i="31" l="1"/>
  <c r="T51" i="31"/>
  <c r="S51" i="31"/>
  <c r="I50" i="26"/>
  <c r="O50" i="26" s="1"/>
  <c r="P50" i="26" s="1"/>
  <c r="O77" i="31"/>
  <c r="T77" i="31"/>
  <c r="S77" i="31"/>
  <c r="T196" i="31"/>
  <c r="P204" i="31"/>
  <c r="Q204" i="31" s="1"/>
  <c r="K54" i="31"/>
  <c r="P52" i="32"/>
  <c r="I56" i="26"/>
  <c r="O56" i="26" s="1"/>
  <c r="P56" i="26" s="1"/>
  <c r="H55" i="42"/>
  <c r="O55" i="42" s="1"/>
  <c r="P55" i="42" s="1"/>
  <c r="O53" i="42"/>
  <c r="P53" i="42" s="1"/>
  <c r="H141" i="31"/>
  <c r="I49" i="42"/>
  <c r="I55" i="42"/>
  <c r="Q53" i="42"/>
  <c r="R53" i="42" s="1"/>
  <c r="J53" i="42"/>
  <c r="O43" i="26"/>
  <c r="P43" i="26" s="1"/>
  <c r="M56" i="26"/>
  <c r="N56" i="26" s="1"/>
  <c r="O197" i="31"/>
  <c r="Q196" i="31"/>
  <c r="K44" i="31"/>
  <c r="I11" i="32"/>
  <c r="I11" i="34"/>
  <c r="L29" i="34"/>
  <c r="P29" i="34" s="1"/>
  <c r="P43" i="31"/>
  <c r="K43" i="31"/>
  <c r="I11" i="33"/>
  <c r="P54" i="31"/>
  <c r="H43" i="28"/>
  <c r="L56" i="33"/>
  <c r="L59" i="33" s="1"/>
  <c r="M59" i="33" s="1"/>
  <c r="D13" i="33"/>
  <c r="G13" i="33" s="1"/>
  <c r="AB13" i="33" s="1"/>
  <c r="AB96" i="33" s="1"/>
  <c r="K42" i="32"/>
  <c r="G21" i="34"/>
  <c r="D13" i="34"/>
  <c r="G13" i="34" s="1"/>
  <c r="AB13" i="34" s="1"/>
  <c r="G10" i="31"/>
  <c r="G17" i="31"/>
  <c r="F12" i="26"/>
  <c r="H65" i="31"/>
  <c r="P13" i="32"/>
  <c r="S13" i="32" s="1"/>
  <c r="H13" i="32"/>
  <c r="H114" i="32" s="1"/>
  <c r="O169" i="31"/>
  <c r="K170" i="31"/>
  <c r="K168" i="31"/>
  <c r="L85" i="34"/>
  <c r="P85" i="34" s="1"/>
  <c r="L65" i="34"/>
  <c r="P65" i="34" s="1"/>
  <c r="O162" i="31"/>
  <c r="K163" i="31"/>
  <c r="G90" i="32"/>
  <c r="L67" i="34"/>
  <c r="O67" i="34" s="1"/>
  <c r="L75" i="34"/>
  <c r="P75" i="34" s="1"/>
  <c r="L77" i="34"/>
  <c r="P77" i="34" s="1"/>
  <c r="O77" i="34" s="1"/>
  <c r="L83" i="34"/>
  <c r="P83" i="34" s="1"/>
  <c r="O83" i="34" s="1"/>
  <c r="O85" i="32"/>
  <c r="L64" i="34"/>
  <c r="O64" i="34" s="1"/>
  <c r="L72" i="32"/>
  <c r="P72" i="32" s="1"/>
  <c r="S72" i="32" s="1"/>
  <c r="K72" i="32"/>
  <c r="L81" i="34"/>
  <c r="P81" i="34" s="1"/>
  <c r="L66" i="34"/>
  <c r="P66" i="34" s="1"/>
  <c r="K66" i="34"/>
  <c r="L69" i="34"/>
  <c r="O69" i="34" s="1"/>
  <c r="K69" i="34"/>
  <c r="G74" i="33"/>
  <c r="P74" i="33"/>
  <c r="L79" i="34"/>
  <c r="O79" i="34" s="1"/>
  <c r="O89" i="32"/>
  <c r="K25" i="32"/>
  <c r="L29" i="32"/>
  <c r="P29" i="32" s="1"/>
  <c r="K21" i="32"/>
  <c r="K23" i="32"/>
  <c r="K27" i="32"/>
  <c r="O123" i="31"/>
  <c r="I43" i="28"/>
  <c r="O196" i="31"/>
  <c r="O194" i="31"/>
  <c r="K38" i="33"/>
  <c r="K52" i="33"/>
  <c r="O57" i="33"/>
  <c r="K57" i="33"/>
  <c r="P154" i="31"/>
  <c r="K204" i="31"/>
  <c r="O180" i="31"/>
  <c r="O181" i="31"/>
  <c r="O179" i="31"/>
  <c r="O167" i="31"/>
  <c r="K167" i="31"/>
  <c r="O176" i="31"/>
  <c r="O178" i="31"/>
  <c r="O172" i="31"/>
  <c r="K172" i="31"/>
  <c r="K161" i="31"/>
  <c r="O161" i="31"/>
  <c r="K176" i="31"/>
  <c r="K166" i="31"/>
  <c r="O166" i="31"/>
  <c r="O183" i="31"/>
  <c r="O182" i="31"/>
  <c r="K23" i="31"/>
  <c r="K17" i="31"/>
  <c r="G39" i="31"/>
  <c r="G23" i="31"/>
  <c r="AB29" i="31"/>
  <c r="K157" i="31"/>
  <c r="X130" i="31"/>
  <c r="W130" i="31" s="1"/>
  <c r="P152" i="31"/>
  <c r="T152" i="31" s="1"/>
  <c r="S152" i="31" s="1"/>
  <c r="L26" i="34"/>
  <c r="P26" i="34" s="1"/>
  <c r="T26" i="34" s="1"/>
  <c r="W26" i="34" s="1"/>
  <c r="K64" i="34"/>
  <c r="K37" i="34"/>
  <c r="O23" i="34"/>
  <c r="P23" i="34"/>
  <c r="S23" i="34" s="1"/>
  <c r="K23" i="34"/>
  <c r="L24" i="34"/>
  <c r="P24" i="34" s="1"/>
  <c r="T24" i="34" s="1"/>
  <c r="W24" i="34" s="1"/>
  <c r="G35" i="34"/>
  <c r="O21" i="34"/>
  <c r="K21" i="34"/>
  <c r="O39" i="34"/>
  <c r="P39" i="34"/>
  <c r="T39" i="34" s="1"/>
  <c r="O25" i="34"/>
  <c r="P25" i="34"/>
  <c r="S25" i="34" s="1"/>
  <c r="K41" i="34"/>
  <c r="K25" i="34"/>
  <c r="K27" i="34"/>
  <c r="K36" i="34"/>
  <c r="K39" i="34"/>
  <c r="H43" i="34"/>
  <c r="O29" i="34"/>
  <c r="K35" i="34"/>
  <c r="P36" i="34"/>
  <c r="S36" i="34" s="1"/>
  <c r="K49" i="33"/>
  <c r="G54" i="33"/>
  <c r="G52" i="33"/>
  <c r="T13" i="34"/>
  <c r="T15" i="34" s="1"/>
  <c r="W15" i="34" s="1"/>
  <c r="W11" i="34"/>
  <c r="AA9" i="34"/>
  <c r="X11" i="34"/>
  <c r="X26" i="34"/>
  <c r="D101" i="34"/>
  <c r="O10" i="34"/>
  <c r="O26" i="34"/>
  <c r="W9" i="34"/>
  <c r="G11" i="34"/>
  <c r="P27" i="34"/>
  <c r="L28" i="34"/>
  <c r="K30" i="34"/>
  <c r="K38" i="34"/>
  <c r="L38" i="34"/>
  <c r="D57" i="34"/>
  <c r="H13" i="34"/>
  <c r="O30" i="34"/>
  <c r="X35" i="34"/>
  <c r="W35" i="34" s="1"/>
  <c r="K40" i="34"/>
  <c r="L40" i="34"/>
  <c r="L22" i="34"/>
  <c r="T25" i="34"/>
  <c r="H32" i="34"/>
  <c r="I32" i="34" s="1"/>
  <c r="O35" i="34"/>
  <c r="S35" i="34"/>
  <c r="P37" i="34"/>
  <c r="P41" i="34"/>
  <c r="L70" i="34"/>
  <c r="K70" i="34"/>
  <c r="L76" i="34"/>
  <c r="K76" i="34" s="1"/>
  <c r="G76" i="34"/>
  <c r="O81" i="34"/>
  <c r="L84" i="34"/>
  <c r="G84" i="34"/>
  <c r="K84" i="34"/>
  <c r="P67" i="34"/>
  <c r="L78" i="34"/>
  <c r="G78" i="34"/>
  <c r="K78" i="34"/>
  <c r="L62" i="34"/>
  <c r="K68" i="34"/>
  <c r="L68" i="34"/>
  <c r="L80" i="34"/>
  <c r="G80" i="34"/>
  <c r="K80" i="34"/>
  <c r="K61" i="34"/>
  <c r="H71" i="34"/>
  <c r="I71" i="34" s="1"/>
  <c r="L63" i="34"/>
  <c r="K63" i="34"/>
  <c r="K74" i="34"/>
  <c r="G74" i="34"/>
  <c r="L82" i="34"/>
  <c r="G82" i="34"/>
  <c r="K65" i="34"/>
  <c r="K67" i="34"/>
  <c r="K75" i="34"/>
  <c r="K77" i="34"/>
  <c r="K79" i="34"/>
  <c r="K81" i="34"/>
  <c r="K83" i="34"/>
  <c r="K85" i="34"/>
  <c r="G75" i="34"/>
  <c r="G77" i="34"/>
  <c r="G79" i="34"/>
  <c r="G81" i="34"/>
  <c r="G83" i="34"/>
  <c r="G85" i="34"/>
  <c r="AA9" i="33"/>
  <c r="X11" i="33"/>
  <c r="G11" i="33"/>
  <c r="H13" i="33"/>
  <c r="H24" i="33"/>
  <c r="I24" i="33" s="1"/>
  <c r="L21" i="33"/>
  <c r="G21" i="33"/>
  <c r="K41" i="33"/>
  <c r="P41" i="33"/>
  <c r="O41" i="33"/>
  <c r="G23" i="33"/>
  <c r="O51" i="33"/>
  <c r="D45" i="33"/>
  <c r="K55" i="33"/>
  <c r="G53" i="33"/>
  <c r="K54" i="33"/>
  <c r="G55" i="33"/>
  <c r="K72" i="33"/>
  <c r="G72" i="33"/>
  <c r="K51" i="33"/>
  <c r="K62" i="33"/>
  <c r="G62" i="33"/>
  <c r="O71" i="33"/>
  <c r="G51" i="33"/>
  <c r="K56" i="33"/>
  <c r="K64" i="33"/>
  <c r="G64" i="33"/>
  <c r="K67" i="33"/>
  <c r="G67" i="33"/>
  <c r="O73" i="33"/>
  <c r="G56" i="33"/>
  <c r="K58" i="33"/>
  <c r="K63" i="33"/>
  <c r="G63" i="33"/>
  <c r="O66" i="33"/>
  <c r="K69" i="33"/>
  <c r="G69" i="33"/>
  <c r="K66" i="33"/>
  <c r="K68" i="33"/>
  <c r="K71" i="33"/>
  <c r="K73" i="33"/>
  <c r="G66" i="33"/>
  <c r="G68" i="33"/>
  <c r="G71" i="33"/>
  <c r="G73" i="33"/>
  <c r="G11" i="32"/>
  <c r="L93" i="32"/>
  <c r="O93" i="32" s="1"/>
  <c r="G79" i="32"/>
  <c r="K87" i="32"/>
  <c r="G87" i="32"/>
  <c r="G63" i="32"/>
  <c r="G89" i="32"/>
  <c r="G85" i="32"/>
  <c r="G69" i="32"/>
  <c r="K66" i="32"/>
  <c r="K65" i="32"/>
  <c r="G55" i="32"/>
  <c r="K55" i="32"/>
  <c r="K36" i="32"/>
  <c r="G36" i="32"/>
  <c r="G35" i="32"/>
  <c r="P23" i="32"/>
  <c r="S23" i="32" s="1"/>
  <c r="O23" i="32"/>
  <c r="P25" i="32"/>
  <c r="S25" i="32" s="1"/>
  <c r="O25" i="32"/>
  <c r="O21" i="32"/>
  <c r="P21" i="32"/>
  <c r="T21" i="32" s="1"/>
  <c r="X21" i="32" s="1"/>
  <c r="P27" i="32"/>
  <c r="O27" i="32"/>
  <c r="L28" i="32"/>
  <c r="O29" i="32"/>
  <c r="D59" i="32"/>
  <c r="D13" i="32"/>
  <c r="D114" i="32" s="1"/>
  <c r="L11" i="32"/>
  <c r="O10" i="32"/>
  <c r="O22" i="32"/>
  <c r="P22" i="32"/>
  <c r="S11" i="32"/>
  <c r="S9" i="32"/>
  <c r="W11" i="32"/>
  <c r="H32" i="32"/>
  <c r="K22" i="32"/>
  <c r="L26" i="32"/>
  <c r="W9" i="32"/>
  <c r="X11" i="32"/>
  <c r="T13" i="32"/>
  <c r="L24" i="32"/>
  <c r="P36" i="32"/>
  <c r="O36" i="32" s="1"/>
  <c r="T42" i="32"/>
  <c r="S42" i="32" s="1"/>
  <c r="K52" i="32"/>
  <c r="O63" i="32"/>
  <c r="S65" i="32"/>
  <c r="P28" i="32"/>
  <c r="L30" i="32"/>
  <c r="K35" i="32"/>
  <c r="K37" i="32"/>
  <c r="K41" i="32"/>
  <c r="O42" i="32"/>
  <c r="K43" i="32"/>
  <c r="H45" i="32"/>
  <c r="O55" i="32"/>
  <c r="O65" i="32"/>
  <c r="K67" i="32"/>
  <c r="K88" i="32"/>
  <c r="O69" i="32"/>
  <c r="K86" i="32"/>
  <c r="H73" i="32"/>
  <c r="I73" i="32" s="1"/>
  <c r="K63" i="32"/>
  <c r="K68" i="32"/>
  <c r="K69" i="32"/>
  <c r="L71" i="32"/>
  <c r="K71" i="32"/>
  <c r="K76" i="32"/>
  <c r="K39" i="31"/>
  <c r="P45" i="31"/>
  <c r="T45" i="31" s="1"/>
  <c r="S45" i="31" s="1"/>
  <c r="AA9" i="31"/>
  <c r="X29" i="31"/>
  <c r="K69" i="31"/>
  <c r="P44" i="31"/>
  <c r="W9" i="31"/>
  <c r="D124" i="31"/>
  <c r="I124" i="31" s="1"/>
  <c r="P122" i="31"/>
  <c r="K131" i="31"/>
  <c r="K133" i="31"/>
  <c r="K138" i="31"/>
  <c r="K140" i="31"/>
  <c r="K147" i="31"/>
  <c r="K153" i="31"/>
  <c r="G153" i="31"/>
  <c r="G119" i="31"/>
  <c r="K155" i="31"/>
  <c r="G155" i="31"/>
  <c r="K122" i="31"/>
  <c r="K134" i="31"/>
  <c r="K144" i="31"/>
  <c r="G148" i="31"/>
  <c r="K151" i="31"/>
  <c r="G151" i="31"/>
  <c r="K158" i="31"/>
  <c r="G150" i="31"/>
  <c r="G152" i="31"/>
  <c r="G154" i="31"/>
  <c r="O43" i="31" l="1"/>
  <c r="T43" i="31"/>
  <c r="S43" i="31" s="1"/>
  <c r="O44" i="31"/>
  <c r="T44" i="31"/>
  <c r="S44" i="31" s="1"/>
  <c r="S196" i="31"/>
  <c r="J50" i="26"/>
  <c r="Q50" i="26" s="1"/>
  <c r="R50" i="26" s="1"/>
  <c r="T54" i="31"/>
  <c r="S54" i="31"/>
  <c r="O154" i="31"/>
  <c r="T154" i="31"/>
  <c r="S154" i="31" s="1"/>
  <c r="U196" i="31"/>
  <c r="T204" i="31"/>
  <c r="S204" i="31" s="1"/>
  <c r="Q55" i="42"/>
  <c r="R55" i="42" s="1"/>
  <c r="G48" i="34"/>
  <c r="G29" i="26"/>
  <c r="O65" i="34"/>
  <c r="T25" i="32"/>
  <c r="O54" i="31"/>
  <c r="O85" i="34"/>
  <c r="Q49" i="42"/>
  <c r="R49" i="42" s="1"/>
  <c r="J49" i="42"/>
  <c r="K49" i="42" s="1"/>
  <c r="L49" i="42" s="1"/>
  <c r="K53" i="42"/>
  <c r="J55" i="42"/>
  <c r="J60" i="42" s="1"/>
  <c r="J61" i="42" s="1"/>
  <c r="K59" i="42" s="1"/>
  <c r="I65" i="31"/>
  <c r="I141" i="31"/>
  <c r="X43" i="28"/>
  <c r="Q43" i="28"/>
  <c r="R43" i="28" s="1"/>
  <c r="W43" i="28"/>
  <c r="O43" i="28"/>
  <c r="P43" i="28" s="1"/>
  <c r="O72" i="32"/>
  <c r="K46" i="31"/>
  <c r="K78" i="32"/>
  <c r="T72" i="32"/>
  <c r="X72" i="32" s="1"/>
  <c r="L43" i="34"/>
  <c r="X24" i="34"/>
  <c r="O24" i="34"/>
  <c r="L11" i="34"/>
  <c r="M11" i="34" s="1"/>
  <c r="K42" i="31"/>
  <c r="X45" i="31"/>
  <c r="AB45" i="31" s="1"/>
  <c r="AA45" i="31" s="1"/>
  <c r="O45" i="31"/>
  <c r="K52" i="31"/>
  <c r="K70" i="31"/>
  <c r="P42" i="31"/>
  <c r="S40" i="32"/>
  <c r="D15" i="33"/>
  <c r="D96" i="33"/>
  <c r="G45" i="32"/>
  <c r="I45" i="32"/>
  <c r="K53" i="34"/>
  <c r="Q11" i="32"/>
  <c r="M11" i="32"/>
  <c r="D15" i="34"/>
  <c r="P78" i="32"/>
  <c r="O78" i="32" s="1"/>
  <c r="W21" i="32"/>
  <c r="T23" i="32"/>
  <c r="P114" i="32"/>
  <c r="K92" i="32"/>
  <c r="P92" i="32"/>
  <c r="O92" i="32" s="1"/>
  <c r="K90" i="32"/>
  <c r="P90" i="32"/>
  <c r="K80" i="32"/>
  <c r="P80" i="32"/>
  <c r="P81" i="32"/>
  <c r="O81" i="32" s="1"/>
  <c r="P56" i="33"/>
  <c r="O56" i="33"/>
  <c r="P119" i="31"/>
  <c r="K154" i="31"/>
  <c r="O66" i="34"/>
  <c r="T23" i="34"/>
  <c r="X23" i="34" s="1"/>
  <c r="O50" i="34"/>
  <c r="K50" i="34"/>
  <c r="G47" i="34"/>
  <c r="X21" i="34"/>
  <c r="AB21" i="34" s="1"/>
  <c r="AA21" i="34" s="1"/>
  <c r="K89" i="32"/>
  <c r="K22" i="33"/>
  <c r="K74" i="33"/>
  <c r="G13" i="32"/>
  <c r="AB13" i="32" s="1"/>
  <c r="AB114" i="32" s="1"/>
  <c r="L13" i="34"/>
  <c r="L101" i="34" s="1"/>
  <c r="K9" i="34"/>
  <c r="P9" i="34"/>
  <c r="O122" i="31"/>
  <c r="G65" i="31"/>
  <c r="X39" i="31"/>
  <c r="W39" i="31" s="1"/>
  <c r="P50" i="34"/>
  <c r="T50" i="34" s="1"/>
  <c r="K13" i="32"/>
  <c r="P79" i="34"/>
  <c r="T79" i="34" s="1"/>
  <c r="P69" i="34"/>
  <c r="K150" i="31"/>
  <c r="O87" i="32"/>
  <c r="K75" i="33"/>
  <c r="O75" i="34"/>
  <c r="P64" i="34"/>
  <c r="S64" i="34" s="1"/>
  <c r="P93" i="32"/>
  <c r="H76" i="33"/>
  <c r="P65" i="33"/>
  <c r="O204" i="31"/>
  <c r="L32" i="32"/>
  <c r="O32" i="32" s="1"/>
  <c r="K152" i="31"/>
  <c r="O38" i="33"/>
  <c r="K79" i="32"/>
  <c r="K119" i="31"/>
  <c r="S52" i="33"/>
  <c r="G49" i="33"/>
  <c r="K130" i="31"/>
  <c r="X194" i="31"/>
  <c r="P70" i="31"/>
  <c r="P52" i="31"/>
  <c r="P17" i="31"/>
  <c r="Q22" i="31" s="1"/>
  <c r="J12" i="26" s="1"/>
  <c r="Q12" i="26" s="1"/>
  <c r="R12" i="26" s="1"/>
  <c r="O39" i="31"/>
  <c r="O130" i="31"/>
  <c r="S24" i="34"/>
  <c r="S26" i="34"/>
  <c r="G71" i="34"/>
  <c r="G51" i="34"/>
  <c r="S39" i="34"/>
  <c r="T36" i="34"/>
  <c r="W36" i="34" s="1"/>
  <c r="G32" i="34"/>
  <c r="L32" i="34"/>
  <c r="G43" i="34"/>
  <c r="AB101" i="34"/>
  <c r="AB15" i="34"/>
  <c r="P82" i="34"/>
  <c r="P70" i="34"/>
  <c r="O70" i="34"/>
  <c r="K82" i="34"/>
  <c r="L71" i="34"/>
  <c r="O61" i="34"/>
  <c r="T85" i="34"/>
  <c r="S85" i="34"/>
  <c r="P68" i="34"/>
  <c r="O68" i="34"/>
  <c r="P78" i="34"/>
  <c r="O78" i="34" s="1"/>
  <c r="O84" i="34"/>
  <c r="P84" i="34"/>
  <c r="T66" i="34"/>
  <c r="S66" i="34"/>
  <c r="P53" i="34"/>
  <c r="O53" i="34"/>
  <c r="S37" i="34"/>
  <c r="T37" i="34"/>
  <c r="P40" i="34"/>
  <c r="O40" i="34"/>
  <c r="X36" i="34"/>
  <c r="AA24" i="34"/>
  <c r="AB24" i="34"/>
  <c r="O13" i="34"/>
  <c r="T77" i="34"/>
  <c r="S77" i="34" s="1"/>
  <c r="T83" i="34"/>
  <c r="S83" i="34"/>
  <c r="P76" i="34"/>
  <c r="G46" i="34"/>
  <c r="G49" i="34"/>
  <c r="X39" i="34"/>
  <c r="W39" i="34"/>
  <c r="P63" i="34"/>
  <c r="O63" i="34"/>
  <c r="O62" i="34"/>
  <c r="P62" i="34"/>
  <c r="T75" i="34"/>
  <c r="S75" i="34"/>
  <c r="T81" i="34"/>
  <c r="S81" i="34" s="1"/>
  <c r="X25" i="34"/>
  <c r="W25" i="34"/>
  <c r="AB35" i="34"/>
  <c r="AA35" i="34" s="1"/>
  <c r="H101" i="34"/>
  <c r="K13" i="34"/>
  <c r="G52" i="34"/>
  <c r="P38" i="34"/>
  <c r="O38" i="34"/>
  <c r="P28" i="34"/>
  <c r="O28" i="34"/>
  <c r="AA26" i="34"/>
  <c r="AB26" i="34"/>
  <c r="AA11" i="34"/>
  <c r="X13" i="34"/>
  <c r="T101" i="34"/>
  <c r="W13" i="34"/>
  <c r="P80" i="34"/>
  <c r="O80" i="34" s="1"/>
  <c r="T65" i="34"/>
  <c r="S65" i="34"/>
  <c r="S41" i="34"/>
  <c r="T41" i="34"/>
  <c r="P22" i="34"/>
  <c r="O22" i="34"/>
  <c r="S27" i="34"/>
  <c r="T27" i="34"/>
  <c r="S54" i="33"/>
  <c r="O50" i="33"/>
  <c r="K50" i="33"/>
  <c r="O27" i="33"/>
  <c r="K31" i="33"/>
  <c r="P23" i="33"/>
  <c r="O58" i="33"/>
  <c r="O54" i="33"/>
  <c r="O62" i="33"/>
  <c r="G65" i="33"/>
  <c r="O55" i="33"/>
  <c r="T41" i="33"/>
  <c r="AB15" i="33"/>
  <c r="O74" i="33"/>
  <c r="O72" i="33"/>
  <c r="K53" i="33"/>
  <c r="O69" i="33"/>
  <c r="O67" i="33"/>
  <c r="S68" i="33"/>
  <c r="L24" i="33"/>
  <c r="K21" i="33"/>
  <c r="P21" i="33"/>
  <c r="O21" i="33" s="1"/>
  <c r="X13" i="33"/>
  <c r="X15" i="33" s="1"/>
  <c r="AA15" i="33" s="1"/>
  <c r="AA11" i="33"/>
  <c r="S66" i="33"/>
  <c r="S71" i="33"/>
  <c r="O68" i="33"/>
  <c r="O49" i="33"/>
  <c r="G24" i="33"/>
  <c r="H96" i="33"/>
  <c r="K13" i="33"/>
  <c r="K23" i="33"/>
  <c r="K81" i="32"/>
  <c r="O66" i="32"/>
  <c r="L73" i="32"/>
  <c r="K64" i="32"/>
  <c r="G73" i="32"/>
  <c r="O28" i="32"/>
  <c r="S21" i="32"/>
  <c r="S27" i="32"/>
  <c r="T27" i="32"/>
  <c r="D15" i="32"/>
  <c r="O90" i="32"/>
  <c r="O68" i="32"/>
  <c r="S89" i="32"/>
  <c r="O88" i="32"/>
  <c r="O52" i="32"/>
  <c r="T114" i="32"/>
  <c r="T15" i="32"/>
  <c r="W15" i="32" s="1"/>
  <c r="W13" i="32"/>
  <c r="L13" i="32"/>
  <c r="O11" i="32"/>
  <c r="O76" i="32"/>
  <c r="O71" i="32"/>
  <c r="P71" i="32"/>
  <c r="O86" i="32"/>
  <c r="P41" i="32"/>
  <c r="O41" i="32" s="1"/>
  <c r="P30" i="32"/>
  <c r="O30" i="32"/>
  <c r="S63" i="32"/>
  <c r="X42" i="32"/>
  <c r="W42" i="32" s="1"/>
  <c r="O24" i="32"/>
  <c r="P24" i="32"/>
  <c r="X13" i="32"/>
  <c r="AA11" i="32"/>
  <c r="O26" i="32"/>
  <c r="P26" i="32"/>
  <c r="T22" i="32"/>
  <c r="S22" i="32"/>
  <c r="S85" i="32"/>
  <c r="O67" i="32"/>
  <c r="G53" i="32"/>
  <c r="G50" i="32"/>
  <c r="G54" i="32"/>
  <c r="G51" i="32"/>
  <c r="G49" i="32"/>
  <c r="X65" i="32"/>
  <c r="W65" i="32" s="1"/>
  <c r="W23" i="32"/>
  <c r="X23" i="32"/>
  <c r="W25" i="32"/>
  <c r="X25" i="32"/>
  <c r="AB21" i="32"/>
  <c r="AA21" i="32"/>
  <c r="O80" i="32"/>
  <c r="O43" i="32"/>
  <c r="O37" i="32"/>
  <c r="T28" i="32"/>
  <c r="S28" i="32"/>
  <c r="L48" i="32"/>
  <c r="H35" i="26" s="1"/>
  <c r="O64" i="32"/>
  <c r="K11" i="32"/>
  <c r="S81" i="32"/>
  <c r="P35" i="32"/>
  <c r="O35" i="32" s="1"/>
  <c r="L45" i="32"/>
  <c r="T36" i="32"/>
  <c r="S36" i="32" s="1"/>
  <c r="H48" i="32"/>
  <c r="G35" i="26" s="1"/>
  <c r="K32" i="32"/>
  <c r="P148" i="31"/>
  <c r="K148" i="31"/>
  <c r="K132" i="31"/>
  <c r="K68" i="31"/>
  <c r="P151" i="31"/>
  <c r="O144" i="31"/>
  <c r="O134" i="31"/>
  <c r="O152" i="31"/>
  <c r="O150" i="31"/>
  <c r="O131" i="31"/>
  <c r="X54" i="31"/>
  <c r="W54" i="31" s="1"/>
  <c r="K135" i="31"/>
  <c r="G149" i="31"/>
  <c r="D126" i="31"/>
  <c r="P46" i="31"/>
  <c r="H185" i="31"/>
  <c r="G141" i="31"/>
  <c r="O155" i="31"/>
  <c r="P153" i="31"/>
  <c r="X43" i="31"/>
  <c r="W43" i="31" s="1"/>
  <c r="AA29" i="31"/>
  <c r="X31" i="31"/>
  <c r="O158" i="31"/>
  <c r="P147" i="31"/>
  <c r="O133" i="31"/>
  <c r="AB130" i="31"/>
  <c r="AA130" i="31" s="1"/>
  <c r="P69" i="31"/>
  <c r="O46" i="31" l="1"/>
  <c r="T46" i="31"/>
  <c r="S46" i="31" s="1"/>
  <c r="T70" i="31"/>
  <c r="X70" i="31" s="1"/>
  <c r="X52" i="31"/>
  <c r="AB52" i="31" s="1"/>
  <c r="AA52" i="31" s="1"/>
  <c r="T52" i="31"/>
  <c r="S52" i="31" s="1"/>
  <c r="T42" i="31"/>
  <c r="T65" i="31" s="1"/>
  <c r="T115" i="31" s="1"/>
  <c r="T119" i="31"/>
  <c r="O69" i="31"/>
  <c r="T69" i="31"/>
  <c r="S69" i="31"/>
  <c r="O153" i="31"/>
  <c r="T153" i="31"/>
  <c r="S153" i="31" s="1"/>
  <c r="O137" i="31"/>
  <c r="O140" i="31"/>
  <c r="S140" i="31"/>
  <c r="O151" i="31"/>
  <c r="T151" i="31"/>
  <c r="S151" i="31" s="1"/>
  <c r="O147" i="31"/>
  <c r="T147" i="31"/>
  <c r="O148" i="31"/>
  <c r="T148" i="31"/>
  <c r="S148" i="31" s="1"/>
  <c r="O138" i="31"/>
  <c r="S138" i="31"/>
  <c r="U204" i="31"/>
  <c r="M24" i="33"/>
  <c r="K37" i="33"/>
  <c r="M73" i="32"/>
  <c r="K43" i="34"/>
  <c r="K11" i="34"/>
  <c r="X22" i="33"/>
  <c r="W22" i="33" s="1"/>
  <c r="K49" i="32"/>
  <c r="K51" i="32"/>
  <c r="K54" i="32"/>
  <c r="S21" i="34"/>
  <c r="G34" i="42"/>
  <c r="K55" i="42"/>
  <c r="K60" i="42" s="1"/>
  <c r="K61" i="42" s="1"/>
  <c r="L59" i="42" s="1"/>
  <c r="L53" i="42"/>
  <c r="L55" i="42" s="1"/>
  <c r="L60" i="42" s="1"/>
  <c r="L61" i="42" s="1"/>
  <c r="I11" i="42"/>
  <c r="I185" i="31"/>
  <c r="H27" i="42"/>
  <c r="W72" i="32"/>
  <c r="I112" i="31"/>
  <c r="M65" i="31"/>
  <c r="X40" i="32"/>
  <c r="W40" i="32" s="1"/>
  <c r="W21" i="34"/>
  <c r="K46" i="34"/>
  <c r="W23" i="34"/>
  <c r="K52" i="34"/>
  <c r="O9" i="34"/>
  <c r="O52" i="31"/>
  <c r="W45" i="31"/>
  <c r="O42" i="31"/>
  <c r="M112" i="31"/>
  <c r="K45" i="32"/>
  <c r="M45" i="32"/>
  <c r="AB15" i="32"/>
  <c r="D217" i="31"/>
  <c r="T64" i="34"/>
  <c r="X64" i="34" s="1"/>
  <c r="K71" i="34"/>
  <c r="M71" i="34"/>
  <c r="AB39" i="31"/>
  <c r="AA39" i="31" s="1"/>
  <c r="P31" i="33"/>
  <c r="O119" i="31"/>
  <c r="S50" i="34"/>
  <c r="T38" i="33"/>
  <c r="S38" i="33" s="1"/>
  <c r="O22" i="33"/>
  <c r="P11" i="34"/>
  <c r="Q11" i="34" s="1"/>
  <c r="S9" i="34"/>
  <c r="G112" i="31"/>
  <c r="P65" i="31"/>
  <c r="S79" i="34"/>
  <c r="K65" i="33"/>
  <c r="S87" i="32"/>
  <c r="K73" i="32"/>
  <c r="G59" i="33"/>
  <c r="O79" i="32"/>
  <c r="S79" i="32"/>
  <c r="O52" i="33"/>
  <c r="K65" i="31"/>
  <c r="AB194" i="31"/>
  <c r="AB204" i="31" s="1"/>
  <c r="X204" i="31"/>
  <c r="O157" i="31"/>
  <c r="K149" i="31"/>
  <c r="O70" i="31"/>
  <c r="O17" i="31"/>
  <c r="K32" i="34"/>
  <c r="K49" i="34"/>
  <c r="K51" i="34"/>
  <c r="K47" i="34"/>
  <c r="K48" i="34"/>
  <c r="X101" i="34"/>
  <c r="AA13" i="34"/>
  <c r="T22" i="34"/>
  <c r="S22" i="34"/>
  <c r="P32" i="34"/>
  <c r="Q32" i="34" s="1"/>
  <c r="T38" i="34"/>
  <c r="S38" i="34"/>
  <c r="P43" i="34"/>
  <c r="O43" i="34" s="1"/>
  <c r="AB25" i="34"/>
  <c r="AA25" i="34"/>
  <c r="AB23" i="34"/>
  <c r="AA23" i="34"/>
  <c r="T76" i="34"/>
  <c r="S76" i="34" s="1"/>
  <c r="X66" i="34"/>
  <c r="W66" i="34"/>
  <c r="S74" i="34"/>
  <c r="X27" i="34"/>
  <c r="W27" i="34"/>
  <c r="X15" i="34"/>
  <c r="AA15" i="34" s="1"/>
  <c r="T62" i="34"/>
  <c r="S62" i="34"/>
  <c r="H55" i="34"/>
  <c r="O76" i="34"/>
  <c r="W83" i="34"/>
  <c r="X83" i="34"/>
  <c r="AA36" i="34"/>
  <c r="AB36" i="34"/>
  <c r="T84" i="34"/>
  <c r="S84" i="34" s="1"/>
  <c r="P71" i="34"/>
  <c r="S61" i="34"/>
  <c r="W65" i="34"/>
  <c r="X65" i="34"/>
  <c r="T28" i="34"/>
  <c r="S28" i="34"/>
  <c r="X81" i="34"/>
  <c r="T63" i="34"/>
  <c r="S63" i="34"/>
  <c r="AB39" i="34"/>
  <c r="AA39" i="34"/>
  <c r="S40" i="34"/>
  <c r="T40" i="34"/>
  <c r="T43" i="34" s="1"/>
  <c r="S53" i="34"/>
  <c r="T53" i="34"/>
  <c r="O74" i="34"/>
  <c r="T82" i="34"/>
  <c r="S82" i="34"/>
  <c r="T80" i="34"/>
  <c r="S80" i="34" s="1"/>
  <c r="X50" i="34"/>
  <c r="W50" i="34"/>
  <c r="X77" i="34"/>
  <c r="W77" i="34" s="1"/>
  <c r="X37" i="34"/>
  <c r="W37" i="34"/>
  <c r="T78" i="34"/>
  <c r="S78" i="34"/>
  <c r="S70" i="34"/>
  <c r="T70" i="34"/>
  <c r="O82" i="34"/>
  <c r="X41" i="34"/>
  <c r="W41" i="34"/>
  <c r="X75" i="34"/>
  <c r="W85" i="34"/>
  <c r="X85" i="34"/>
  <c r="X79" i="34"/>
  <c r="H43" i="33"/>
  <c r="I43" i="33" s="1"/>
  <c r="T23" i="33"/>
  <c r="S23" i="33" s="1"/>
  <c r="X71" i="33"/>
  <c r="W71" i="33" s="1"/>
  <c r="X96" i="33"/>
  <c r="AA13" i="33"/>
  <c r="S67" i="33"/>
  <c r="X41" i="33"/>
  <c r="W41" i="33" s="1"/>
  <c r="T30" i="33"/>
  <c r="S30" i="33" s="1"/>
  <c r="O65" i="33"/>
  <c r="X51" i="33"/>
  <c r="W51" i="33" s="1"/>
  <c r="X73" i="33"/>
  <c r="W73" i="33" s="1"/>
  <c r="S64" i="33"/>
  <c r="S63" i="33"/>
  <c r="S74" i="33"/>
  <c r="X68" i="33"/>
  <c r="W68" i="33" s="1"/>
  <c r="S69" i="33"/>
  <c r="T58" i="33"/>
  <c r="S58" i="33"/>
  <c r="X54" i="33"/>
  <c r="W54" i="33" s="1"/>
  <c r="K24" i="33"/>
  <c r="P59" i="33"/>
  <c r="Q59" i="33" s="1"/>
  <c r="S49" i="33"/>
  <c r="X66" i="33"/>
  <c r="W66" i="33" s="1"/>
  <c r="T21" i="33"/>
  <c r="S51" i="33"/>
  <c r="S73" i="33"/>
  <c r="O53" i="33"/>
  <c r="X52" i="33"/>
  <c r="S41" i="33"/>
  <c r="L76" i="33"/>
  <c r="M76" i="33" s="1"/>
  <c r="O64" i="33"/>
  <c r="O23" i="33"/>
  <c r="K36" i="33"/>
  <c r="K40" i="33"/>
  <c r="K39" i="33"/>
  <c r="S50" i="33"/>
  <c r="O63" i="33"/>
  <c r="K59" i="33"/>
  <c r="S75" i="33"/>
  <c r="S72" i="33"/>
  <c r="S29" i="33"/>
  <c r="S62" i="33"/>
  <c r="S27" i="33"/>
  <c r="S66" i="32"/>
  <c r="W27" i="32"/>
  <c r="X27" i="32"/>
  <c r="P45" i="32"/>
  <c r="T35" i="32"/>
  <c r="S35" i="32" s="1"/>
  <c r="AB72" i="32"/>
  <c r="AA72" i="32"/>
  <c r="AB42" i="32"/>
  <c r="AA42" i="32" s="1"/>
  <c r="S78" i="32"/>
  <c r="X79" i="32"/>
  <c r="W79" i="32" s="1"/>
  <c r="T37" i="32"/>
  <c r="S37" i="32" s="1"/>
  <c r="AB65" i="32"/>
  <c r="AA65" i="32" s="1"/>
  <c r="S67" i="32"/>
  <c r="S83" i="32"/>
  <c r="W22" i="32"/>
  <c r="X22" i="32"/>
  <c r="X114" i="32"/>
  <c r="AA13" i="32"/>
  <c r="S86" i="32"/>
  <c r="L114" i="32"/>
  <c r="O13" i="32"/>
  <c r="S88" i="32"/>
  <c r="X89" i="32"/>
  <c r="W89" i="32" s="1"/>
  <c r="S90" i="32"/>
  <c r="K48" i="32"/>
  <c r="H57" i="32"/>
  <c r="S64" i="32"/>
  <c r="W28" i="32"/>
  <c r="X28" i="32"/>
  <c r="T43" i="32"/>
  <c r="S43" i="32" s="1"/>
  <c r="S80" i="32"/>
  <c r="AB23" i="32"/>
  <c r="AA23" i="32"/>
  <c r="T26" i="32"/>
  <c r="S26" i="32"/>
  <c r="X15" i="32"/>
  <c r="AA15" i="32" s="1"/>
  <c r="P73" i="32"/>
  <c r="X55" i="32"/>
  <c r="W55" i="32" s="1"/>
  <c r="S68" i="32"/>
  <c r="X36" i="32"/>
  <c r="W36" i="32" s="1"/>
  <c r="X81" i="32"/>
  <c r="W81" i="32" s="1"/>
  <c r="X85" i="32"/>
  <c r="W85" i="32" s="1"/>
  <c r="T52" i="32"/>
  <c r="S52" i="32" s="1"/>
  <c r="O48" i="32"/>
  <c r="AB25" i="32"/>
  <c r="AA25" i="32"/>
  <c r="T24" i="32"/>
  <c r="S24" i="32"/>
  <c r="X63" i="32"/>
  <c r="W63" i="32" s="1"/>
  <c r="AB40" i="32"/>
  <c r="AA40" i="32" s="1"/>
  <c r="T41" i="32"/>
  <c r="S41" i="32" s="1"/>
  <c r="S76" i="32"/>
  <c r="X154" i="31"/>
  <c r="W154" i="31" s="1"/>
  <c r="AA31" i="31"/>
  <c r="X44" i="31"/>
  <c r="W44" i="31" s="1"/>
  <c r="X33" i="31"/>
  <c r="AA33" i="31" s="1"/>
  <c r="G115" i="31"/>
  <c r="P149" i="31"/>
  <c r="X157" i="31"/>
  <c r="W157" i="31" s="1"/>
  <c r="P68" i="31"/>
  <c r="X150" i="31"/>
  <c r="W150" i="31" s="1"/>
  <c r="P141" i="31"/>
  <c r="L141" i="31"/>
  <c r="X122" i="31"/>
  <c r="W122" i="31" s="1"/>
  <c r="AB43" i="31"/>
  <c r="AB54" i="31"/>
  <c r="AA54" i="31" s="1"/>
  <c r="G185" i="31"/>
  <c r="X152" i="31"/>
  <c r="W152" i="31" s="1"/>
  <c r="O135" i="31"/>
  <c r="W52" i="31" l="1"/>
  <c r="S42" i="31"/>
  <c r="W70" i="31"/>
  <c r="AB70" i="31"/>
  <c r="AA70" i="31" s="1"/>
  <c r="S70" i="31"/>
  <c r="X42" i="31"/>
  <c r="P112" i="31"/>
  <c r="T68" i="31"/>
  <c r="T112" i="31" s="1"/>
  <c r="S68" i="31"/>
  <c r="S119" i="31"/>
  <c r="P115" i="31"/>
  <c r="S115" i="31" s="1"/>
  <c r="S65" i="31"/>
  <c r="U65" i="31"/>
  <c r="T141" i="31"/>
  <c r="O149" i="31"/>
  <c r="T149" i="31"/>
  <c r="S149" i="31" s="1"/>
  <c r="S147" i="31"/>
  <c r="S137" i="31"/>
  <c r="Q31" i="33"/>
  <c r="P36" i="33"/>
  <c r="O36" i="33" s="1"/>
  <c r="P35" i="33"/>
  <c r="O35" i="33" s="1"/>
  <c r="Q73" i="32"/>
  <c r="I5" i="42"/>
  <c r="AB22" i="33"/>
  <c r="AA22" i="33" s="1"/>
  <c r="P49" i="32"/>
  <c r="O49" i="32" s="1"/>
  <c r="P50" i="32"/>
  <c r="O50" i="32" s="1"/>
  <c r="V42" i="42"/>
  <c r="M34" i="42"/>
  <c r="N34" i="42" s="1"/>
  <c r="J11" i="42"/>
  <c r="K11" i="42" s="1"/>
  <c r="L11" i="42" s="1"/>
  <c r="H30" i="42"/>
  <c r="H31" i="42"/>
  <c r="M141" i="31"/>
  <c r="X119" i="31"/>
  <c r="W119" i="31" s="1"/>
  <c r="O45" i="32"/>
  <c r="Q45" i="32"/>
  <c r="G55" i="34"/>
  <c r="I55" i="34"/>
  <c r="Q65" i="31"/>
  <c r="W64" i="34"/>
  <c r="K34" i="33"/>
  <c r="L43" i="33"/>
  <c r="M43" i="33" s="1"/>
  <c r="O71" i="34"/>
  <c r="Q71" i="34"/>
  <c r="G57" i="32"/>
  <c r="I57" i="32"/>
  <c r="L55" i="34"/>
  <c r="M55" i="34" s="1"/>
  <c r="Q141" i="31"/>
  <c r="L57" i="32"/>
  <c r="M57" i="32" s="1"/>
  <c r="X87" i="32"/>
  <c r="W87" i="32" s="1"/>
  <c r="X38" i="33"/>
  <c r="W38" i="33" s="1"/>
  <c r="S11" i="34"/>
  <c r="P13" i="34"/>
  <c r="O11" i="34"/>
  <c r="K112" i="31"/>
  <c r="O59" i="33"/>
  <c r="T73" i="32"/>
  <c r="X66" i="32"/>
  <c r="W66" i="32" s="1"/>
  <c r="O65" i="31"/>
  <c r="P76" i="33"/>
  <c r="Q76" i="33" s="1"/>
  <c r="O32" i="34"/>
  <c r="P51" i="34"/>
  <c r="O51" i="34" s="1"/>
  <c r="P46" i="34"/>
  <c r="O46" i="34" s="1"/>
  <c r="AB79" i="34"/>
  <c r="AA79" i="34"/>
  <c r="X78" i="34"/>
  <c r="W78" i="34" s="1"/>
  <c r="W79" i="34"/>
  <c r="X70" i="34"/>
  <c r="W70" i="34"/>
  <c r="X82" i="34"/>
  <c r="W82" i="34" s="1"/>
  <c r="W40" i="34"/>
  <c r="X40" i="34"/>
  <c r="AB85" i="34"/>
  <c r="AA85" i="34" s="1"/>
  <c r="W63" i="34"/>
  <c r="X63" i="34"/>
  <c r="W28" i="34"/>
  <c r="X28" i="34"/>
  <c r="AB83" i="34"/>
  <c r="AA83" i="34" s="1"/>
  <c r="H57" i="34"/>
  <c r="I57" i="34" s="1"/>
  <c r="P48" i="34"/>
  <c r="S43" i="34"/>
  <c r="P52" i="34"/>
  <c r="O52" i="34" s="1"/>
  <c r="P49" i="34"/>
  <c r="O49" i="34" s="1"/>
  <c r="P47" i="34"/>
  <c r="AB41" i="34"/>
  <c r="AA41" i="34"/>
  <c r="AB37" i="34"/>
  <c r="AA37" i="34"/>
  <c r="AB64" i="34"/>
  <c r="AA64" i="34"/>
  <c r="X80" i="34"/>
  <c r="W80" i="34" s="1"/>
  <c r="X53" i="34"/>
  <c r="W53" i="34"/>
  <c r="AB81" i="34"/>
  <c r="AA81" i="34" s="1"/>
  <c r="AB65" i="34"/>
  <c r="AA65" i="34"/>
  <c r="X84" i="34"/>
  <c r="W84" i="34" s="1"/>
  <c r="X74" i="34"/>
  <c r="W74" i="34" s="1"/>
  <c r="X76" i="34"/>
  <c r="W76" i="34"/>
  <c r="X22" i="34"/>
  <c r="W22" i="34"/>
  <c r="T32" i="34"/>
  <c r="AB77" i="34"/>
  <c r="AA77" i="34" s="1"/>
  <c r="W81" i="34"/>
  <c r="T71" i="34"/>
  <c r="X61" i="34"/>
  <c r="W61" i="34" s="1"/>
  <c r="W62" i="34"/>
  <c r="X62" i="34"/>
  <c r="AA27" i="34"/>
  <c r="AB27" i="34"/>
  <c r="W38" i="34"/>
  <c r="X38" i="34"/>
  <c r="AB75" i="34"/>
  <c r="AA75" i="34" s="1"/>
  <c r="W75" i="34"/>
  <c r="AB50" i="34"/>
  <c r="AA50" i="34"/>
  <c r="AB66" i="34"/>
  <c r="AA66" i="34"/>
  <c r="T24" i="33"/>
  <c r="X21" i="33"/>
  <c r="T31" i="33"/>
  <c r="S31" i="33" s="1"/>
  <c r="X27" i="33"/>
  <c r="W27" i="33" s="1"/>
  <c r="X72" i="33"/>
  <c r="W72" i="33" s="1"/>
  <c r="X75" i="33"/>
  <c r="W75" i="33" s="1"/>
  <c r="X50" i="33"/>
  <c r="W50" i="33" s="1"/>
  <c r="S21" i="33"/>
  <c r="AB54" i="33"/>
  <c r="AA54" i="33" s="1"/>
  <c r="X63" i="33"/>
  <c r="W63" i="33" s="1"/>
  <c r="X67" i="33"/>
  <c r="W67" i="33" s="1"/>
  <c r="AB52" i="33"/>
  <c r="AA52" i="33" s="1"/>
  <c r="T59" i="33"/>
  <c r="X49" i="33"/>
  <c r="W49" i="33" s="1"/>
  <c r="X69" i="33"/>
  <c r="W69" i="33" s="1"/>
  <c r="X74" i="33"/>
  <c r="W74" i="33" s="1"/>
  <c r="AB73" i="33"/>
  <c r="AA73" i="33" s="1"/>
  <c r="X29" i="33"/>
  <c r="W29" i="33" s="1"/>
  <c r="O31" i="33"/>
  <c r="K76" i="33"/>
  <c r="W52" i="33"/>
  <c r="X53" i="33"/>
  <c r="W53" i="33" s="1"/>
  <c r="T76" i="33"/>
  <c r="AA41" i="33"/>
  <c r="AB41" i="33"/>
  <c r="AB71" i="33"/>
  <c r="AA71" i="33" s="1"/>
  <c r="W23" i="33"/>
  <c r="X23" i="33"/>
  <c r="X62" i="33"/>
  <c r="W62" i="33" s="1"/>
  <c r="AB66" i="33"/>
  <c r="AA66" i="33" s="1"/>
  <c r="X58" i="33"/>
  <c r="W58" i="33"/>
  <c r="AB68" i="33"/>
  <c r="AA68" i="33" s="1"/>
  <c r="S53" i="33"/>
  <c r="X64" i="33"/>
  <c r="W64" i="33" s="1"/>
  <c r="AB51" i="33"/>
  <c r="AA51" i="33" s="1"/>
  <c r="X30" i="33"/>
  <c r="W30" i="33" s="1"/>
  <c r="K35" i="33"/>
  <c r="H45" i="33"/>
  <c r="G43" i="33"/>
  <c r="H95" i="33"/>
  <c r="H97" i="33" s="1"/>
  <c r="O73" i="32"/>
  <c r="K53" i="32"/>
  <c r="K50" i="32"/>
  <c r="AA27" i="32"/>
  <c r="AB27" i="32"/>
  <c r="X52" i="32"/>
  <c r="W52" i="32" s="1"/>
  <c r="AB81" i="32"/>
  <c r="AA81" i="32" s="1"/>
  <c r="X68" i="32"/>
  <c r="W68" i="32" s="1"/>
  <c r="X43" i="32"/>
  <c r="W43" i="32" s="1"/>
  <c r="AB89" i="32"/>
  <c r="AA89" i="32" s="1"/>
  <c r="AB79" i="32"/>
  <c r="AA79" i="32" s="1"/>
  <c r="X41" i="32"/>
  <c r="W41" i="32" s="1"/>
  <c r="AB63" i="32"/>
  <c r="AA63" i="32" s="1"/>
  <c r="X24" i="32"/>
  <c r="W24" i="32"/>
  <c r="AB55" i="32"/>
  <c r="AA55" i="32" s="1"/>
  <c r="AB28" i="32"/>
  <c r="AA28" i="32"/>
  <c r="X37" i="32"/>
  <c r="W37" i="32" s="1"/>
  <c r="T45" i="32"/>
  <c r="S45" i="32" s="1"/>
  <c r="X35" i="32"/>
  <c r="W35" i="32" s="1"/>
  <c r="AB85" i="32"/>
  <c r="AA85" i="32" s="1"/>
  <c r="AB36" i="32"/>
  <c r="AA36" i="32" s="1"/>
  <c r="X26" i="32"/>
  <c r="W26" i="32"/>
  <c r="X80" i="32"/>
  <c r="W80" i="32" s="1"/>
  <c r="X90" i="32"/>
  <c r="W90" i="32" s="1"/>
  <c r="X88" i="32"/>
  <c r="W88" i="32" s="1"/>
  <c r="T32" i="32"/>
  <c r="X83" i="32"/>
  <c r="W83" i="32" s="1"/>
  <c r="X78" i="32"/>
  <c r="W78" i="32" s="1"/>
  <c r="X76" i="32"/>
  <c r="W76" i="32" s="1"/>
  <c r="X64" i="32"/>
  <c r="W64" i="32" s="1"/>
  <c r="H59" i="32"/>
  <c r="I59" i="32" s="1"/>
  <c r="X86" i="32"/>
  <c r="W86" i="32" s="1"/>
  <c r="AA22" i="32"/>
  <c r="AB22" i="32"/>
  <c r="X67" i="32"/>
  <c r="W67" i="32" s="1"/>
  <c r="G121" i="31"/>
  <c r="X144" i="31"/>
  <c r="W144" i="31" s="1"/>
  <c r="X158" i="31"/>
  <c r="W158" i="31" s="1"/>
  <c r="AB152" i="31"/>
  <c r="AA152" i="31" s="1"/>
  <c r="G116" i="31"/>
  <c r="X148" i="31"/>
  <c r="AB122" i="31"/>
  <c r="AA122" i="31" s="1"/>
  <c r="AB157" i="31"/>
  <c r="AA157" i="31" s="1"/>
  <c r="X140" i="31"/>
  <c r="W140" i="31" s="1"/>
  <c r="K115" i="31"/>
  <c r="X153" i="31"/>
  <c r="X69" i="31"/>
  <c r="W69" i="31" s="1"/>
  <c r="G120" i="31"/>
  <c r="G117" i="31"/>
  <c r="AA43" i="31"/>
  <c r="X131" i="31"/>
  <c r="O132" i="31"/>
  <c r="O68" i="31"/>
  <c r="X134" i="31"/>
  <c r="W134" i="31" s="1"/>
  <c r="X155" i="31"/>
  <c r="X133" i="31"/>
  <c r="W133" i="31" s="1"/>
  <c r="AB44" i="31"/>
  <c r="X147" i="31"/>
  <c r="W147" i="31" s="1"/>
  <c r="X135" i="31"/>
  <c r="W135" i="31" s="1"/>
  <c r="G118" i="31"/>
  <c r="AB154" i="31"/>
  <c r="AA154" i="31" s="1"/>
  <c r="X46" i="31"/>
  <c r="X151" i="31"/>
  <c r="W151" i="31" s="1"/>
  <c r="O141" i="31"/>
  <c r="K141" i="31"/>
  <c r="AB150" i="31"/>
  <c r="AA150" i="31" s="1"/>
  <c r="T116" i="31" l="1"/>
  <c r="T118" i="31"/>
  <c r="S112" i="31"/>
  <c r="T120" i="31"/>
  <c r="U112" i="31"/>
  <c r="T121" i="31"/>
  <c r="T117" i="31"/>
  <c r="W42" i="31"/>
  <c r="AB42" i="31"/>
  <c r="AA42" i="31" s="1"/>
  <c r="S59" i="33"/>
  <c r="U59" i="33"/>
  <c r="S73" i="32"/>
  <c r="U73" i="32"/>
  <c r="S141" i="31"/>
  <c r="U141" i="31"/>
  <c r="T185" i="31"/>
  <c r="H32" i="42"/>
  <c r="AB119" i="31"/>
  <c r="AA119" i="31" s="1"/>
  <c r="AB87" i="32"/>
  <c r="AA87" i="32" s="1"/>
  <c r="L95" i="33"/>
  <c r="H85" i="33"/>
  <c r="I45" i="33"/>
  <c r="Q112" i="31"/>
  <c r="K55" i="34"/>
  <c r="L124" i="31"/>
  <c r="M124" i="31" s="1"/>
  <c r="AB38" i="33"/>
  <c r="AA38" i="33" s="1"/>
  <c r="P101" i="34"/>
  <c r="S13" i="34"/>
  <c r="O112" i="31"/>
  <c r="L59" i="32"/>
  <c r="K59" i="32" s="1"/>
  <c r="O76" i="33"/>
  <c r="G57" i="34"/>
  <c r="G59" i="32"/>
  <c r="X32" i="32"/>
  <c r="AA32" i="32" s="1"/>
  <c r="S76" i="33"/>
  <c r="AB66" i="32"/>
  <c r="AA66" i="32" s="1"/>
  <c r="K118" i="31"/>
  <c r="K121" i="31"/>
  <c r="S65" i="33"/>
  <c r="L57" i="34"/>
  <c r="S71" i="34"/>
  <c r="S32" i="34"/>
  <c r="S48" i="34"/>
  <c r="O48" i="34"/>
  <c r="S47" i="34"/>
  <c r="O47" i="34"/>
  <c r="AB61" i="34"/>
  <c r="AA61" i="34" s="1"/>
  <c r="X71" i="34"/>
  <c r="W71" i="34" s="1"/>
  <c r="AA22" i="34"/>
  <c r="AB22" i="34"/>
  <c r="X32" i="34"/>
  <c r="W32" i="34" s="1"/>
  <c r="S49" i="34"/>
  <c r="AA28" i="34"/>
  <c r="AB28" i="34"/>
  <c r="AA40" i="34"/>
  <c r="AB40" i="34"/>
  <c r="P55" i="34"/>
  <c r="AB74" i="34"/>
  <c r="AB53" i="34"/>
  <c r="AA53" i="34" s="1"/>
  <c r="AA38" i="34"/>
  <c r="AB38" i="34"/>
  <c r="AB62" i="34"/>
  <c r="AA62" i="34"/>
  <c r="S46" i="34"/>
  <c r="AB76" i="34"/>
  <c r="AA76" i="34"/>
  <c r="X43" i="34"/>
  <c r="W43" i="34" s="1"/>
  <c r="AB63" i="34"/>
  <c r="AA63" i="34"/>
  <c r="AB78" i="34"/>
  <c r="AA78" i="34"/>
  <c r="AB84" i="34"/>
  <c r="AA84" i="34"/>
  <c r="AB80" i="34"/>
  <c r="AA80" i="34"/>
  <c r="AB82" i="34"/>
  <c r="AA82" i="34"/>
  <c r="AB70" i="34"/>
  <c r="AA70" i="34"/>
  <c r="K43" i="33"/>
  <c r="G45" i="33"/>
  <c r="X65" i="33"/>
  <c r="X76" i="33" s="1"/>
  <c r="AB67" i="33"/>
  <c r="AA67" i="33" s="1"/>
  <c r="L45" i="33"/>
  <c r="AB72" i="33"/>
  <c r="AA72" i="33" s="1"/>
  <c r="T34" i="33"/>
  <c r="AB30" i="33"/>
  <c r="AA30" i="33" s="1"/>
  <c r="AB64" i="33"/>
  <c r="AA64" i="33" s="1"/>
  <c r="AB23" i="33"/>
  <c r="AA23" i="33"/>
  <c r="AB53" i="33"/>
  <c r="AA53" i="33" s="1"/>
  <c r="AB29" i="33"/>
  <c r="AA29" i="33" s="1"/>
  <c r="AA58" i="33"/>
  <c r="AB58" i="33"/>
  <c r="AB62" i="33"/>
  <c r="AA62" i="33" s="1"/>
  <c r="AB74" i="33"/>
  <c r="AA74" i="33" s="1"/>
  <c r="AB69" i="33"/>
  <c r="AA69" i="33" s="1"/>
  <c r="X31" i="33"/>
  <c r="W31" i="33" s="1"/>
  <c r="AB27" i="33"/>
  <c r="X24" i="33"/>
  <c r="AB21" i="33"/>
  <c r="X59" i="33"/>
  <c r="AB49" i="33"/>
  <c r="AA49" i="33" s="1"/>
  <c r="AB63" i="33"/>
  <c r="AA63" i="33" s="1"/>
  <c r="AB50" i="33"/>
  <c r="AA50" i="33" s="1"/>
  <c r="AB75" i="33"/>
  <c r="AA75" i="33" s="1"/>
  <c r="T37" i="33"/>
  <c r="T36" i="33"/>
  <c r="T35" i="33"/>
  <c r="T40" i="33"/>
  <c r="T39" i="33"/>
  <c r="W21" i="33"/>
  <c r="K57" i="32"/>
  <c r="AB86" i="32"/>
  <c r="AA86" i="32" s="1"/>
  <c r="AB64" i="32"/>
  <c r="AA64" i="32" s="1"/>
  <c r="AB78" i="32"/>
  <c r="AA78" i="32" s="1"/>
  <c r="T48" i="32"/>
  <c r="W32" i="32"/>
  <c r="AA26" i="32"/>
  <c r="AB26" i="32"/>
  <c r="AB41" i="32"/>
  <c r="AA41" i="32" s="1"/>
  <c r="AB68" i="32"/>
  <c r="AA68" i="32" s="1"/>
  <c r="AB76" i="32"/>
  <c r="AA76" i="32" s="1"/>
  <c r="AB88" i="32"/>
  <c r="AA88" i="32" s="1"/>
  <c r="AB80" i="32"/>
  <c r="AA80" i="32" s="1"/>
  <c r="AB37" i="32"/>
  <c r="AA37" i="32" s="1"/>
  <c r="AB67" i="32"/>
  <c r="AA67" i="32" s="1"/>
  <c r="AB83" i="32"/>
  <c r="AA83" i="32" s="1"/>
  <c r="X45" i="32"/>
  <c r="W45" i="32" s="1"/>
  <c r="AB35" i="32"/>
  <c r="AA35" i="32" s="1"/>
  <c r="X73" i="32"/>
  <c r="AB43" i="32"/>
  <c r="AA43" i="32" s="1"/>
  <c r="AB90" i="32"/>
  <c r="AA90" i="32" s="1"/>
  <c r="T54" i="32"/>
  <c r="T51" i="32"/>
  <c r="T49" i="32"/>
  <c r="S49" i="32" s="1"/>
  <c r="T53" i="32"/>
  <c r="T50" i="32"/>
  <c r="AA24" i="32"/>
  <c r="AB24" i="32"/>
  <c r="AB52" i="32"/>
  <c r="AA52" i="32" s="1"/>
  <c r="AB46" i="31"/>
  <c r="AA46" i="31" s="1"/>
  <c r="X65" i="31"/>
  <c r="AB155" i="31"/>
  <c r="AA155" i="31" s="1"/>
  <c r="X149" i="31"/>
  <c r="X185" i="31" s="1"/>
  <c r="H126" i="31"/>
  <c r="G124" i="31"/>
  <c r="AB131" i="31"/>
  <c r="AA131" i="31" s="1"/>
  <c r="AB153" i="31"/>
  <c r="AA153" i="31" s="1"/>
  <c r="X68" i="31"/>
  <c r="W68" i="31" s="1"/>
  <c r="AB148" i="31"/>
  <c r="AA148" i="31" s="1"/>
  <c r="AB151" i="31"/>
  <c r="AA151" i="31" s="1"/>
  <c r="AB147" i="31"/>
  <c r="AA147" i="31" s="1"/>
  <c r="AB133" i="31"/>
  <c r="AA133" i="31" s="1"/>
  <c r="AB134" i="31"/>
  <c r="AA134" i="31" s="1"/>
  <c r="W131" i="31"/>
  <c r="K120" i="31"/>
  <c r="W153" i="31"/>
  <c r="AB144" i="31"/>
  <c r="AA144" i="31" s="1"/>
  <c r="W46" i="31"/>
  <c r="AA44" i="31"/>
  <c r="W155" i="31"/>
  <c r="K117" i="31"/>
  <c r="P118" i="31"/>
  <c r="P117" i="31"/>
  <c r="P121" i="31"/>
  <c r="P120" i="31"/>
  <c r="P116" i="31"/>
  <c r="W148" i="31"/>
  <c r="K116" i="31"/>
  <c r="AB158" i="31"/>
  <c r="AA158" i="31" s="1"/>
  <c r="AB135" i="31"/>
  <c r="AA135" i="31" s="1"/>
  <c r="X132" i="31"/>
  <c r="AB69" i="31"/>
  <c r="AA69" i="31" s="1"/>
  <c r="AB140" i="31"/>
  <c r="AA140" i="31" s="1"/>
  <c r="O115" i="31"/>
  <c r="T124" i="31" l="1"/>
  <c r="T126" i="31" s="1"/>
  <c r="T217" i="31" s="1"/>
  <c r="S118" i="31"/>
  <c r="S120" i="31"/>
  <c r="S116" i="31"/>
  <c r="S121" i="31"/>
  <c r="S117" i="31"/>
  <c r="H217" i="31"/>
  <c r="I126" i="31"/>
  <c r="M59" i="32"/>
  <c r="M45" i="33"/>
  <c r="M57" i="34"/>
  <c r="O55" i="34"/>
  <c r="Q55" i="34"/>
  <c r="K57" i="34"/>
  <c r="AB32" i="32"/>
  <c r="O120" i="31"/>
  <c r="O117" i="31"/>
  <c r="W132" i="31"/>
  <c r="O118" i="31"/>
  <c r="S52" i="34"/>
  <c r="AB32" i="34"/>
  <c r="AB43" i="34"/>
  <c r="X47" i="34"/>
  <c r="X51" i="34"/>
  <c r="X48" i="34"/>
  <c r="X52" i="34"/>
  <c r="W52" i="34" s="1"/>
  <c r="X49" i="34"/>
  <c r="T55" i="34"/>
  <c r="S55" i="34" s="1"/>
  <c r="AA74" i="34"/>
  <c r="P57" i="34"/>
  <c r="Q57" i="34" s="1"/>
  <c r="S51" i="34"/>
  <c r="AB71" i="34"/>
  <c r="AA71" i="34" s="1"/>
  <c r="AB31" i="33"/>
  <c r="AB36" i="33" s="1"/>
  <c r="AB24" i="33"/>
  <c r="AA24" i="33" s="1"/>
  <c r="W76" i="33"/>
  <c r="AA21" i="33"/>
  <c r="AA27" i="33"/>
  <c r="W65" i="33"/>
  <c r="S35" i="33"/>
  <c r="X40" i="33"/>
  <c r="X39" i="33"/>
  <c r="X37" i="33"/>
  <c r="X36" i="33"/>
  <c r="W36" i="33" s="1"/>
  <c r="X35" i="33"/>
  <c r="AA31" i="33"/>
  <c r="T43" i="33"/>
  <c r="S36" i="33"/>
  <c r="AB59" i="33"/>
  <c r="AA59" i="33" s="1"/>
  <c r="W24" i="33"/>
  <c r="W59" i="33"/>
  <c r="H98" i="33"/>
  <c r="H87" i="33"/>
  <c r="AB65" i="33"/>
  <c r="AB76" i="33" s="1"/>
  <c r="K45" i="33"/>
  <c r="AB73" i="32"/>
  <c r="AA73" i="32" s="1"/>
  <c r="W73" i="32"/>
  <c r="S50" i="32"/>
  <c r="AB45" i="32"/>
  <c r="AB50" i="32" s="1"/>
  <c r="T57" i="32"/>
  <c r="W48" i="32"/>
  <c r="X53" i="32"/>
  <c r="X50" i="32"/>
  <c r="X54" i="32"/>
  <c r="X51" i="32"/>
  <c r="W51" i="32" s="1"/>
  <c r="X49" i="32"/>
  <c r="L126" i="31"/>
  <c r="K124" i="31"/>
  <c r="AB65" i="31"/>
  <c r="AB132" i="31"/>
  <c r="G126" i="31"/>
  <c r="W185" i="31"/>
  <c r="X112" i="31"/>
  <c r="W112" i="31" s="1"/>
  <c r="AB68" i="31"/>
  <c r="AB112" i="31" s="1"/>
  <c r="W65" i="31"/>
  <c r="P124" i="31"/>
  <c r="AB149" i="31"/>
  <c r="AB185" i="31" s="1"/>
  <c r="O116" i="31"/>
  <c r="O121" i="31"/>
  <c r="W149" i="31"/>
  <c r="Q124" i="31" l="1"/>
  <c r="S124" i="31"/>
  <c r="U124" i="31"/>
  <c r="M126" i="31"/>
  <c r="AA45" i="32"/>
  <c r="O57" i="34"/>
  <c r="AA65" i="33"/>
  <c r="AA132" i="31"/>
  <c r="AA149" i="31"/>
  <c r="AA68" i="31"/>
  <c r="K126" i="31"/>
  <c r="AB52" i="34"/>
  <c r="AA52" i="34" s="1"/>
  <c r="AA32" i="34"/>
  <c r="W48" i="34"/>
  <c r="AB51" i="34"/>
  <c r="AA51" i="34" s="1"/>
  <c r="W47" i="34"/>
  <c r="AB49" i="34"/>
  <c r="AA49" i="34" s="1"/>
  <c r="AA43" i="34"/>
  <c r="W49" i="34"/>
  <c r="W51" i="34"/>
  <c r="AB47" i="34"/>
  <c r="AA47" i="34" s="1"/>
  <c r="AB48" i="34"/>
  <c r="AA48" i="34" s="1"/>
  <c r="T57" i="34"/>
  <c r="S57" i="34" s="1"/>
  <c r="AB40" i="33"/>
  <c r="AA40" i="33" s="1"/>
  <c r="AB35" i="33"/>
  <c r="AA35" i="33" s="1"/>
  <c r="AB39" i="33"/>
  <c r="AA39" i="33" s="1"/>
  <c r="AB37" i="33"/>
  <c r="AA37" i="33" s="1"/>
  <c r="W40" i="33"/>
  <c r="AA76" i="33"/>
  <c r="W39" i="33"/>
  <c r="W35" i="33"/>
  <c r="T45" i="33"/>
  <c r="T95" i="33"/>
  <c r="AA36" i="33"/>
  <c r="W37" i="33"/>
  <c r="AA50" i="32"/>
  <c r="AB49" i="32"/>
  <c r="AA49" i="32" s="1"/>
  <c r="W49" i="32"/>
  <c r="W54" i="32"/>
  <c r="W53" i="32"/>
  <c r="W50" i="32"/>
  <c r="AB51" i="32"/>
  <c r="AA51" i="32" s="1"/>
  <c r="AB54" i="32"/>
  <c r="AA54" i="32" s="1"/>
  <c r="AB53" i="32"/>
  <c r="AA53" i="32" s="1"/>
  <c r="T59" i="32"/>
  <c r="AA65" i="31"/>
  <c r="AA185" i="31"/>
  <c r="P126" i="31"/>
  <c r="O124" i="31"/>
  <c r="AB118" i="31"/>
  <c r="AB117" i="31"/>
  <c r="AB116" i="31"/>
  <c r="AB121" i="31"/>
  <c r="AB120" i="31"/>
  <c r="X118" i="31"/>
  <c r="X117" i="31"/>
  <c r="X116" i="31"/>
  <c r="AA112" i="31"/>
  <c r="X121" i="31"/>
  <c r="X120" i="31"/>
  <c r="U126" i="31" l="1"/>
  <c r="S126" i="31"/>
  <c r="Q126" i="31"/>
  <c r="AA117" i="31"/>
  <c r="AA116" i="31"/>
  <c r="AA121" i="31"/>
  <c r="AA118" i="31"/>
  <c r="AA120" i="31"/>
  <c r="O126" i="31"/>
  <c r="W120" i="31"/>
  <c r="W118" i="31"/>
  <c r="W121" i="31"/>
  <c r="W117" i="31"/>
  <c r="W116" i="31"/>
  <c r="G24" i="30" l="1"/>
  <c r="D79" i="30" l="1"/>
  <c r="K78" i="30"/>
  <c r="G78" i="30"/>
  <c r="G77" i="30"/>
  <c r="M78" i="30"/>
  <c r="M77" i="30"/>
  <c r="L77" i="30" s="1"/>
  <c r="O77" i="30" s="1"/>
  <c r="Q78" i="30"/>
  <c r="Q77" i="30"/>
  <c r="G26" i="30"/>
  <c r="G32" i="30"/>
  <c r="Q30" i="30"/>
  <c r="Q29" i="30"/>
  <c r="D33" i="30"/>
  <c r="AC92" i="30"/>
  <c r="Y92" i="30"/>
  <c r="AC91" i="30"/>
  <c r="Y91" i="30"/>
  <c r="AC90" i="30"/>
  <c r="Y90" i="30"/>
  <c r="AC89" i="30"/>
  <c r="Y89" i="30"/>
  <c r="AC88" i="30"/>
  <c r="Y88" i="30"/>
  <c r="AC87" i="30"/>
  <c r="Y87" i="30"/>
  <c r="AC86" i="30"/>
  <c r="Y86" i="30"/>
  <c r="AC85" i="30"/>
  <c r="Y85" i="30"/>
  <c r="AC84" i="30"/>
  <c r="Y84" i="30"/>
  <c r="AC83" i="30"/>
  <c r="Y83" i="30"/>
  <c r="G83" i="30"/>
  <c r="AC82" i="30"/>
  <c r="Y82" i="30"/>
  <c r="G82" i="30"/>
  <c r="AC78" i="30"/>
  <c r="Y78" i="30"/>
  <c r="U78" i="30"/>
  <c r="AC72" i="30"/>
  <c r="Y72" i="30"/>
  <c r="U72" i="30"/>
  <c r="G72" i="30"/>
  <c r="AC71" i="30"/>
  <c r="Y71" i="30"/>
  <c r="U71" i="30"/>
  <c r="G71" i="30"/>
  <c r="AC70" i="30"/>
  <c r="Y70" i="30"/>
  <c r="U70" i="30"/>
  <c r="G70" i="30"/>
  <c r="AC69" i="30"/>
  <c r="Y69" i="30"/>
  <c r="U69" i="30"/>
  <c r="G69" i="30"/>
  <c r="AC60" i="30"/>
  <c r="Y60" i="30"/>
  <c r="U60" i="30"/>
  <c r="Q60" i="30"/>
  <c r="M60" i="30"/>
  <c r="I60" i="30"/>
  <c r="E60" i="30"/>
  <c r="AC59" i="30"/>
  <c r="Y59" i="30"/>
  <c r="U59" i="30"/>
  <c r="Q59" i="30"/>
  <c r="M59" i="30"/>
  <c r="I59" i="30"/>
  <c r="E59" i="30"/>
  <c r="AC58" i="30"/>
  <c r="Y58" i="30"/>
  <c r="U58" i="30"/>
  <c r="Q58" i="30"/>
  <c r="M58" i="30"/>
  <c r="AC57" i="30"/>
  <c r="Y57" i="30"/>
  <c r="U57" i="30"/>
  <c r="Q57" i="30"/>
  <c r="P57" i="30" s="1"/>
  <c r="M57" i="30"/>
  <c r="I57" i="30"/>
  <c r="E57" i="30"/>
  <c r="AC56" i="30"/>
  <c r="Y56" i="30"/>
  <c r="U56" i="30"/>
  <c r="Q56" i="30"/>
  <c r="P56" i="30" s="1"/>
  <c r="M56" i="30"/>
  <c r="I56" i="30"/>
  <c r="E56" i="30"/>
  <c r="AC55" i="30"/>
  <c r="Y55" i="30"/>
  <c r="U55" i="30"/>
  <c r="Q55" i="30"/>
  <c r="P55" i="30" s="1"/>
  <c r="M55" i="30"/>
  <c r="E55" i="30"/>
  <c r="U54" i="30"/>
  <c r="Q54" i="30"/>
  <c r="P54" i="30" s="1"/>
  <c r="M54" i="30"/>
  <c r="I54" i="30"/>
  <c r="E54" i="30"/>
  <c r="D51" i="30"/>
  <c r="AC49" i="30"/>
  <c r="Y49" i="30"/>
  <c r="H49" i="30"/>
  <c r="G49" i="30"/>
  <c r="AC41" i="30"/>
  <c r="Y41" i="30"/>
  <c r="AC40" i="30"/>
  <c r="Y40" i="30"/>
  <c r="U40" i="30"/>
  <c r="AC39" i="30"/>
  <c r="Y39" i="30"/>
  <c r="U39" i="30"/>
  <c r="AC38" i="30"/>
  <c r="Y38" i="30"/>
  <c r="U38" i="30"/>
  <c r="Q38" i="30"/>
  <c r="P38" i="30"/>
  <c r="T38" i="30" s="1"/>
  <c r="AC37" i="30"/>
  <c r="Y37" i="30"/>
  <c r="U37" i="30"/>
  <c r="Q37" i="30"/>
  <c r="AC36" i="30"/>
  <c r="Y36" i="30"/>
  <c r="U36" i="30"/>
  <c r="Q36" i="30"/>
  <c r="G36" i="30"/>
  <c r="AC30" i="30"/>
  <c r="Y30" i="30"/>
  <c r="U30" i="30"/>
  <c r="P30" i="30"/>
  <c r="AC29" i="30"/>
  <c r="Y29" i="30"/>
  <c r="U29" i="30"/>
  <c r="P29" i="30"/>
  <c r="AC27" i="30"/>
  <c r="Y27" i="30"/>
  <c r="U27" i="30"/>
  <c r="G27" i="30"/>
  <c r="AC26" i="30"/>
  <c r="Y26" i="30"/>
  <c r="AC25" i="30"/>
  <c r="Y25" i="30"/>
  <c r="AC23" i="30"/>
  <c r="Y23" i="30"/>
  <c r="U23" i="30"/>
  <c r="Q23" i="30"/>
  <c r="AC22" i="30"/>
  <c r="Y22" i="30"/>
  <c r="U22" i="30"/>
  <c r="Q22" i="30"/>
  <c r="G22" i="30"/>
  <c r="AC21" i="30"/>
  <c r="Y21" i="30"/>
  <c r="U21" i="30"/>
  <c r="Q21" i="30"/>
  <c r="AB10" i="30"/>
  <c r="X10" i="30"/>
  <c r="AA10" i="30" s="1"/>
  <c r="T10" i="30"/>
  <c r="W10" i="30" s="1"/>
  <c r="P10" i="30"/>
  <c r="S10" i="30" s="1"/>
  <c r="L10" i="30"/>
  <c r="O10" i="30" s="1"/>
  <c r="K10" i="30"/>
  <c r="G10" i="30"/>
  <c r="D11" i="30"/>
  <c r="H6" i="30"/>
  <c r="L6" i="30" s="1"/>
  <c r="P6" i="30" s="1"/>
  <c r="T6" i="30" s="1"/>
  <c r="X6" i="30" s="1"/>
  <c r="AB6" i="30" s="1"/>
  <c r="AB3" i="30"/>
  <c r="AB9" i="30" s="1"/>
  <c r="X3" i="30"/>
  <c r="X9" i="30" s="1"/>
  <c r="T3" i="30"/>
  <c r="P3" i="30"/>
  <c r="L3" i="30"/>
  <c r="H3" i="30"/>
  <c r="D3" i="30"/>
  <c r="E69" i="26"/>
  <c r="E20" i="26"/>
  <c r="E21" i="26"/>
  <c r="E22" i="26"/>
  <c r="D21" i="26"/>
  <c r="D22" i="26"/>
  <c r="D20" i="26"/>
  <c r="E68" i="28"/>
  <c r="E67" i="28"/>
  <c r="E66" i="28"/>
  <c r="E60" i="28"/>
  <c r="E19" i="28"/>
  <c r="E55" i="28"/>
  <c r="E18" i="28"/>
  <c r="E54" i="28"/>
  <c r="E17" i="28"/>
  <c r="E50" i="28"/>
  <c r="E49" i="28"/>
  <c r="E48" i="28"/>
  <c r="E46" i="28"/>
  <c r="E45" i="28"/>
  <c r="E44" i="28"/>
  <c r="E41" i="28"/>
  <c r="E40" i="28"/>
  <c r="E39" i="28"/>
  <c r="E38" i="28"/>
  <c r="E37" i="28"/>
  <c r="E36" i="28"/>
  <c r="E35" i="28"/>
  <c r="E34" i="28"/>
  <c r="E29" i="28"/>
  <c r="E28" i="28"/>
  <c r="E13" i="28"/>
  <c r="E12" i="28"/>
  <c r="E11" i="28"/>
  <c r="E10" i="28"/>
  <c r="E9" i="28"/>
  <c r="E8" i="28"/>
  <c r="E6" i="28"/>
  <c r="E2" i="26"/>
  <c r="E2" i="27" s="1"/>
  <c r="G2" i="28"/>
  <c r="M47" i="5"/>
  <c r="E47" i="5"/>
  <c r="E46" i="5"/>
  <c r="AF51" i="5"/>
  <c r="AE51" i="5"/>
  <c r="AD51" i="5"/>
  <c r="Y50" i="5"/>
  <c r="C47" i="5"/>
  <c r="C46" i="5"/>
  <c r="H51" i="15"/>
  <c r="L51" i="15" s="1"/>
  <c r="G51" i="15"/>
  <c r="H51" i="14"/>
  <c r="L51" i="14" s="1"/>
  <c r="G51" i="14"/>
  <c r="H51" i="12"/>
  <c r="L51" i="12" s="1"/>
  <c r="G51" i="12"/>
  <c r="P51" i="19"/>
  <c r="T51" i="19" s="1"/>
  <c r="G51" i="19"/>
  <c r="L51" i="11"/>
  <c r="G51" i="11"/>
  <c r="G51" i="10"/>
  <c r="P51" i="7"/>
  <c r="K51" i="7"/>
  <c r="G51" i="7"/>
  <c r="I19" i="42"/>
  <c r="G19" i="42"/>
  <c r="F20" i="27"/>
  <c r="F19" i="42" s="1"/>
  <c r="U18" i="28"/>
  <c r="D41" i="23"/>
  <c r="F6" i="27"/>
  <c r="A81" i="28"/>
  <c r="C79" i="28"/>
  <c r="C77" i="28"/>
  <c r="B76" i="28"/>
  <c r="B69" i="28"/>
  <c r="L68" i="28"/>
  <c r="K68" i="28"/>
  <c r="J68" i="28"/>
  <c r="I68" i="28"/>
  <c r="X68" i="28" s="1"/>
  <c r="H68" i="28"/>
  <c r="W68" i="28" s="1"/>
  <c r="G68" i="28"/>
  <c r="V68" i="28" s="1"/>
  <c r="F68" i="28"/>
  <c r="U68" i="28" s="1"/>
  <c r="B68" i="28"/>
  <c r="B67" i="28"/>
  <c r="F66" i="28"/>
  <c r="U66" i="28" s="1"/>
  <c r="B66" i="28"/>
  <c r="A65" i="28"/>
  <c r="F60" i="28"/>
  <c r="U60" i="28" s="1"/>
  <c r="L55" i="28"/>
  <c r="K55" i="28"/>
  <c r="J55" i="28"/>
  <c r="J56" i="28" s="1"/>
  <c r="I55" i="28"/>
  <c r="H55" i="28"/>
  <c r="G55" i="28"/>
  <c r="F55" i="28"/>
  <c r="U55" i="28" s="1"/>
  <c r="L18" i="28"/>
  <c r="K18" i="28"/>
  <c r="I18" i="28"/>
  <c r="H18" i="28"/>
  <c r="G18" i="28"/>
  <c r="F54" i="28"/>
  <c r="U54" i="28" s="1"/>
  <c r="L17" i="28"/>
  <c r="K17" i="28"/>
  <c r="I17" i="28"/>
  <c r="H17" i="28"/>
  <c r="G17" i="28"/>
  <c r="F17" i="28"/>
  <c r="L34" i="28"/>
  <c r="K34" i="28"/>
  <c r="L13" i="28"/>
  <c r="K13" i="28"/>
  <c r="I13" i="28"/>
  <c r="H13" i="28"/>
  <c r="G13" i="28"/>
  <c r="F13" i="28"/>
  <c r="U13" i="28" s="1"/>
  <c r="L11" i="28"/>
  <c r="K11" i="28"/>
  <c r="I11" i="28"/>
  <c r="H11" i="28"/>
  <c r="L9" i="28"/>
  <c r="K9" i="28"/>
  <c r="G56" i="27"/>
  <c r="C44" i="27"/>
  <c r="G70" i="26"/>
  <c r="G70" i="28" s="1"/>
  <c r="V70" i="28" s="1"/>
  <c r="I23" i="28" l="1"/>
  <c r="O20" i="27"/>
  <c r="P20" i="27" s="1"/>
  <c r="M20" i="27"/>
  <c r="N20" i="27" s="1"/>
  <c r="M42" i="26"/>
  <c r="N42" i="26" s="1"/>
  <c r="H41" i="42"/>
  <c r="O41" i="42" s="1"/>
  <c r="P41" i="42" s="1"/>
  <c r="H19" i="42"/>
  <c r="Q19" i="42" s="1"/>
  <c r="R19" i="42" s="1"/>
  <c r="M19" i="42"/>
  <c r="N19" i="42" s="1"/>
  <c r="W17" i="28"/>
  <c r="O17" i="28"/>
  <c r="P17" i="28" s="1"/>
  <c r="X18" i="28"/>
  <c r="Q18" i="28"/>
  <c r="R18" i="28" s="1"/>
  <c r="V13" i="28"/>
  <c r="M13" i="28"/>
  <c r="N13" i="28" s="1"/>
  <c r="Q17" i="28"/>
  <c r="R17" i="28" s="1"/>
  <c r="V55" i="28"/>
  <c r="M55" i="28"/>
  <c r="N55" i="28" s="1"/>
  <c r="X11" i="28"/>
  <c r="Q11" i="28"/>
  <c r="R11" i="28" s="1"/>
  <c r="W13" i="28"/>
  <c r="O13" i="28"/>
  <c r="P13" i="28" s="1"/>
  <c r="V18" i="28"/>
  <c r="M18" i="28"/>
  <c r="N18" i="28" s="1"/>
  <c r="W55" i="28"/>
  <c r="O55" i="28"/>
  <c r="P55" i="28" s="1"/>
  <c r="W11" i="28"/>
  <c r="X13" i="28"/>
  <c r="Q13" i="28"/>
  <c r="R13" i="28" s="1"/>
  <c r="V17" i="28"/>
  <c r="M17" i="28"/>
  <c r="N17" i="28" s="1"/>
  <c r="W18" i="28"/>
  <c r="O18" i="28"/>
  <c r="P18" i="28" s="1"/>
  <c r="X55" i="28"/>
  <c r="Q55" i="28"/>
  <c r="R55" i="28" s="1"/>
  <c r="I20" i="28"/>
  <c r="L49" i="30"/>
  <c r="K49" i="30"/>
  <c r="X17" i="28"/>
  <c r="G41" i="30"/>
  <c r="G40" i="30"/>
  <c r="K41" i="30"/>
  <c r="F44" i="26"/>
  <c r="F29" i="26"/>
  <c r="F28" i="26"/>
  <c r="U17" i="28"/>
  <c r="K51" i="12"/>
  <c r="O51" i="19"/>
  <c r="K51" i="19"/>
  <c r="F56" i="28"/>
  <c r="U56" i="28" s="1"/>
  <c r="K36" i="28"/>
  <c r="L37" i="28"/>
  <c r="K40" i="28"/>
  <c r="L41" i="28"/>
  <c r="F20" i="26"/>
  <c r="L39" i="28"/>
  <c r="L35" i="28"/>
  <c r="G91" i="30"/>
  <c r="G87" i="30"/>
  <c r="G90" i="30"/>
  <c r="K90" i="30"/>
  <c r="G84" i="30"/>
  <c r="K84" i="30"/>
  <c r="G88" i="30"/>
  <c r="K88" i="30"/>
  <c r="G86" i="30"/>
  <c r="K86" i="30"/>
  <c r="G89" i="30"/>
  <c r="G92" i="30"/>
  <c r="G85" i="30"/>
  <c r="E56" i="26"/>
  <c r="L36" i="28"/>
  <c r="L40" i="28"/>
  <c r="E69" i="28"/>
  <c r="H70" i="26"/>
  <c r="I70" i="26" s="1"/>
  <c r="E51" i="28"/>
  <c r="E56" i="28"/>
  <c r="E14" i="28"/>
  <c r="K77" i="30"/>
  <c r="G75" i="30"/>
  <c r="L78" i="30"/>
  <c r="O78" i="30" s="1"/>
  <c r="K75" i="30"/>
  <c r="O75" i="30"/>
  <c r="P77" i="30"/>
  <c r="T11" i="30"/>
  <c r="W11" i="30" s="1"/>
  <c r="D65" i="30"/>
  <c r="G39" i="30"/>
  <c r="L11" i="30"/>
  <c r="L13" i="30" s="1"/>
  <c r="AB11" i="30"/>
  <c r="G61" i="30"/>
  <c r="G23" i="30"/>
  <c r="P23" i="30"/>
  <c r="T23" i="30" s="1"/>
  <c r="S23" i="30" s="1"/>
  <c r="G30" i="30"/>
  <c r="G31" i="30"/>
  <c r="P61" i="30"/>
  <c r="K61" i="30"/>
  <c r="K40" i="30"/>
  <c r="P24" i="30"/>
  <c r="O24" i="30" s="1"/>
  <c r="G25" i="30"/>
  <c r="K26" i="30"/>
  <c r="H33" i="30"/>
  <c r="G28" i="26" s="1"/>
  <c r="T72" i="30"/>
  <c r="T39" i="30"/>
  <c r="X39" i="30" s="1"/>
  <c r="AB39" i="30" s="1"/>
  <c r="AA39" i="30" s="1"/>
  <c r="K39" i="30"/>
  <c r="G38" i="30"/>
  <c r="O38" i="30"/>
  <c r="G37" i="30"/>
  <c r="G29" i="30"/>
  <c r="K25" i="30"/>
  <c r="P22" i="30"/>
  <c r="T22" i="30" s="1"/>
  <c r="X22" i="30" s="1"/>
  <c r="W22" i="30" s="1"/>
  <c r="P21" i="30"/>
  <c r="K21" i="30"/>
  <c r="G21" i="30"/>
  <c r="P11" i="30"/>
  <c r="S9" i="30"/>
  <c r="X25" i="30"/>
  <c r="W25" i="30" s="1"/>
  <c r="D13" i="30"/>
  <c r="D15" i="30" s="1"/>
  <c r="K9" i="30"/>
  <c r="H11" i="30"/>
  <c r="I11" i="30" s="1"/>
  <c r="X11" i="30"/>
  <c r="AA9" i="30"/>
  <c r="X38" i="30"/>
  <c r="W38" i="30" s="1"/>
  <c r="G9" i="30"/>
  <c r="W9" i="30"/>
  <c r="O26" i="30"/>
  <c r="K30" i="30"/>
  <c r="K38" i="30"/>
  <c r="K27" i="30"/>
  <c r="S38" i="30"/>
  <c r="O41" i="30"/>
  <c r="H51" i="30"/>
  <c r="K36" i="30"/>
  <c r="O9" i="30"/>
  <c r="O25" i="30"/>
  <c r="K69" i="30"/>
  <c r="K71" i="30"/>
  <c r="K82" i="30"/>
  <c r="D95" i="30"/>
  <c r="K85" i="30"/>
  <c r="K87" i="30"/>
  <c r="K91" i="30"/>
  <c r="K38" i="28"/>
  <c r="E61" i="28"/>
  <c r="H2" i="28"/>
  <c r="G2" i="26"/>
  <c r="F2" i="26"/>
  <c r="K37" i="28"/>
  <c r="K39" i="28"/>
  <c r="K41" i="28"/>
  <c r="K45" i="28"/>
  <c r="L38" i="28"/>
  <c r="F6" i="28"/>
  <c r="U6" i="28" s="1"/>
  <c r="K35" i="28"/>
  <c r="P51" i="15"/>
  <c r="O51" i="15"/>
  <c r="K51" i="15"/>
  <c r="K70" i="13"/>
  <c r="P51" i="14"/>
  <c r="O51" i="14"/>
  <c r="K51" i="14"/>
  <c r="P51" i="12"/>
  <c r="O51" i="12"/>
  <c r="X51" i="19"/>
  <c r="W51" i="19"/>
  <c r="S51" i="19"/>
  <c r="P51" i="11"/>
  <c r="O51" i="11" s="1"/>
  <c r="K51" i="11"/>
  <c r="T51" i="7"/>
  <c r="S51" i="7" s="1"/>
  <c r="O51" i="7"/>
  <c r="F14" i="26"/>
  <c r="G54" i="28"/>
  <c r="G66" i="28"/>
  <c r="V66" i="28" s="1"/>
  <c r="H66" i="26"/>
  <c r="I66" i="26" s="1"/>
  <c r="F69" i="28"/>
  <c r="U69" i="28" s="1"/>
  <c r="L45" i="28"/>
  <c r="M54" i="27" l="1"/>
  <c r="H56" i="27"/>
  <c r="M56" i="27" s="1"/>
  <c r="T42" i="26"/>
  <c r="H34" i="42"/>
  <c r="O34" i="42" s="1"/>
  <c r="P34" i="42" s="1"/>
  <c r="O19" i="42"/>
  <c r="P19" i="42" s="1"/>
  <c r="M20" i="26"/>
  <c r="N20" i="26" s="1"/>
  <c r="O42" i="26"/>
  <c r="P42" i="26" s="1"/>
  <c r="I41" i="42"/>
  <c r="Q41" i="42" s="1"/>
  <c r="R41" i="42" s="1"/>
  <c r="G28" i="42"/>
  <c r="M28" i="42" s="1"/>
  <c r="N28" i="42" s="1"/>
  <c r="G27" i="42"/>
  <c r="E77" i="26"/>
  <c r="E76" i="42"/>
  <c r="F31" i="28"/>
  <c r="U31" i="28" s="1"/>
  <c r="V54" i="28"/>
  <c r="M54" i="28"/>
  <c r="N54" i="28" s="1"/>
  <c r="O20" i="26"/>
  <c r="P20" i="26" s="1"/>
  <c r="H20" i="28"/>
  <c r="G20" i="28"/>
  <c r="O49" i="30"/>
  <c r="P49" i="30"/>
  <c r="I33" i="30"/>
  <c r="O40" i="30"/>
  <c r="I51" i="30"/>
  <c r="F20" i="28"/>
  <c r="U20" i="28" s="1"/>
  <c r="G56" i="28"/>
  <c r="M11" i="30"/>
  <c r="Q11" i="30"/>
  <c r="K92" i="30"/>
  <c r="P92" i="30"/>
  <c r="O92" i="30" s="1"/>
  <c r="K89" i="30"/>
  <c r="G11" i="30"/>
  <c r="O61" i="30"/>
  <c r="H70" i="28"/>
  <c r="W70" i="28" s="1"/>
  <c r="G58" i="30"/>
  <c r="F2" i="27"/>
  <c r="E77" i="28"/>
  <c r="E62" i="28"/>
  <c r="P78" i="30"/>
  <c r="G51" i="30"/>
  <c r="G33" i="30"/>
  <c r="O11" i="30"/>
  <c r="K83" i="30"/>
  <c r="O91" i="30"/>
  <c r="T13" i="30"/>
  <c r="T15" i="30" s="1"/>
  <c r="W15" i="30" s="1"/>
  <c r="K22" i="30"/>
  <c r="O87" i="30"/>
  <c r="K23" i="30"/>
  <c r="O89" i="30"/>
  <c r="O23" i="30"/>
  <c r="H95" i="30"/>
  <c r="I95" i="30" s="1"/>
  <c r="O31" i="30"/>
  <c r="K31" i="30"/>
  <c r="H79" i="30"/>
  <c r="G44" i="26" s="1"/>
  <c r="O21" i="30"/>
  <c r="K72" i="30"/>
  <c r="O72" i="30"/>
  <c r="O70" i="30"/>
  <c r="K70" i="30"/>
  <c r="O83" i="30"/>
  <c r="O32" i="30"/>
  <c r="S72" i="30"/>
  <c r="S39" i="30"/>
  <c r="O39" i="30"/>
  <c r="W39" i="30"/>
  <c r="P37" i="30"/>
  <c r="O37" i="30" s="1"/>
  <c r="K37" i="30"/>
  <c r="O29" i="30"/>
  <c r="K29" i="30"/>
  <c r="O22" i="30"/>
  <c r="S22" i="30"/>
  <c r="S87" i="30"/>
  <c r="L95" i="30"/>
  <c r="O82" i="30"/>
  <c r="O84" i="30"/>
  <c r="T70" i="30"/>
  <c r="S70" i="30" s="1"/>
  <c r="AA11" i="30"/>
  <c r="X13" i="30"/>
  <c r="X15" i="30" s="1"/>
  <c r="AA15" i="30" s="1"/>
  <c r="AB25" i="30"/>
  <c r="AA25" i="30" s="1"/>
  <c r="O88" i="30"/>
  <c r="S89" i="30"/>
  <c r="L51" i="30"/>
  <c r="P36" i="30"/>
  <c r="O36" i="30" s="1"/>
  <c r="X21" i="30"/>
  <c r="W21" i="30" s="1"/>
  <c r="O30" i="30"/>
  <c r="AB38" i="30"/>
  <c r="AA38" i="30" s="1"/>
  <c r="H13" i="30"/>
  <c r="K11" i="30"/>
  <c r="O71" i="30"/>
  <c r="S91" i="30"/>
  <c r="S83" i="30"/>
  <c r="O86" i="30"/>
  <c r="S41" i="30"/>
  <c r="O27" i="30"/>
  <c r="L109" i="30"/>
  <c r="O13" i="30"/>
  <c r="D109" i="30"/>
  <c r="G13" i="30"/>
  <c r="AB13" i="30" s="1"/>
  <c r="D98" i="30"/>
  <c r="D108" i="30"/>
  <c r="X72" i="30"/>
  <c r="W72" i="30" s="1"/>
  <c r="O90" i="30"/>
  <c r="O69" i="30"/>
  <c r="X23" i="30"/>
  <c r="W23" i="30" s="1"/>
  <c r="X26" i="30"/>
  <c r="W26" i="30" s="1"/>
  <c r="AB22" i="30"/>
  <c r="AA22" i="30" s="1"/>
  <c r="S11" i="30"/>
  <c r="P13" i="30"/>
  <c r="I2" i="28"/>
  <c r="I2" i="26" s="1"/>
  <c r="V42" i="26" s="1"/>
  <c r="H2" i="26"/>
  <c r="H2" i="27" s="1"/>
  <c r="G2" i="27"/>
  <c r="U42" i="27" s="1"/>
  <c r="T51" i="15"/>
  <c r="S51" i="15"/>
  <c r="T70" i="13"/>
  <c r="S70" i="13" s="1"/>
  <c r="T51" i="14"/>
  <c r="S51" i="14"/>
  <c r="T51" i="12"/>
  <c r="S51" i="12"/>
  <c r="AB51" i="19"/>
  <c r="AA51" i="19"/>
  <c r="T51" i="11"/>
  <c r="S51" i="11" s="1"/>
  <c r="O51" i="10"/>
  <c r="K51" i="10"/>
  <c r="X51" i="7"/>
  <c r="W51" i="7" s="1"/>
  <c r="G50" i="6"/>
  <c r="O50" i="6"/>
  <c r="K50" i="6"/>
  <c r="H54" i="28"/>
  <c r="H66" i="28"/>
  <c r="W66" i="28" s="1"/>
  <c r="O54" i="27" l="1"/>
  <c r="P54" i="27" s="1"/>
  <c r="U42" i="26"/>
  <c r="V42" i="27"/>
  <c r="H28" i="42"/>
  <c r="O28" i="42" s="1"/>
  <c r="P28" i="42" s="1"/>
  <c r="G31" i="42"/>
  <c r="M27" i="42"/>
  <c r="N27" i="42" s="1"/>
  <c r="G30" i="42"/>
  <c r="O27" i="42"/>
  <c r="P27" i="42" s="1"/>
  <c r="O20" i="28"/>
  <c r="P20" i="28" s="1"/>
  <c r="M39" i="26"/>
  <c r="N39" i="26" s="1"/>
  <c r="H38" i="42"/>
  <c r="O38" i="42" s="1"/>
  <c r="P38" i="42" s="1"/>
  <c r="I79" i="30"/>
  <c r="G43" i="42"/>
  <c r="Q20" i="28"/>
  <c r="R20" i="28" s="1"/>
  <c r="G32" i="28"/>
  <c r="M20" i="28"/>
  <c r="N20" i="28" s="1"/>
  <c r="F33" i="28"/>
  <c r="U33" i="28" s="1"/>
  <c r="F32" i="28"/>
  <c r="U32" i="28" s="1"/>
  <c r="V56" i="28"/>
  <c r="M56" i="28"/>
  <c r="N56" i="28" s="1"/>
  <c r="W54" i="28"/>
  <c r="O54" i="28"/>
  <c r="P54" i="28" s="1"/>
  <c r="M95" i="30"/>
  <c r="M51" i="30"/>
  <c r="M33" i="30"/>
  <c r="S40" i="30"/>
  <c r="U19" i="28"/>
  <c r="F23" i="28"/>
  <c r="H56" i="28"/>
  <c r="K51" i="30"/>
  <c r="I70" i="28"/>
  <c r="X70" i="28" s="1"/>
  <c r="K33" i="30"/>
  <c r="G56" i="30"/>
  <c r="G57" i="30"/>
  <c r="G54" i="30"/>
  <c r="G55" i="30"/>
  <c r="G60" i="30"/>
  <c r="G59" i="30"/>
  <c r="P58" i="30"/>
  <c r="J70" i="26"/>
  <c r="E79" i="28"/>
  <c r="E81" i="28" s="1"/>
  <c r="G95" i="30"/>
  <c r="G79" i="30"/>
  <c r="H63" i="30"/>
  <c r="D110" i="30"/>
  <c r="D111" i="30" s="1"/>
  <c r="O85" i="30"/>
  <c r="K95" i="30"/>
  <c r="T109" i="30"/>
  <c r="T37" i="30"/>
  <c r="S37" i="30" s="1"/>
  <c r="W13" i="30"/>
  <c r="X40" i="30"/>
  <c r="AB40" i="30" s="1"/>
  <c r="K58" i="30"/>
  <c r="L79" i="30"/>
  <c r="X61" i="30"/>
  <c r="W61" i="30" s="1"/>
  <c r="T29" i="30"/>
  <c r="S90" i="30"/>
  <c r="T71" i="30"/>
  <c r="S71" i="30" s="1"/>
  <c r="T30" i="30"/>
  <c r="S30" i="30" s="1"/>
  <c r="P109" i="30"/>
  <c r="S13" i="30"/>
  <c r="AB26" i="30"/>
  <c r="AA26" i="30" s="1"/>
  <c r="P79" i="30"/>
  <c r="T69" i="30"/>
  <c r="S69" i="30" s="1"/>
  <c r="D100" i="30"/>
  <c r="X41" i="30"/>
  <c r="W41" i="30" s="1"/>
  <c r="S84" i="30"/>
  <c r="AB72" i="30"/>
  <c r="AA72" i="30" s="1"/>
  <c r="AB109" i="30"/>
  <c r="AB15" i="30"/>
  <c r="X83" i="30"/>
  <c r="W83" i="30" s="1"/>
  <c r="T78" i="30"/>
  <c r="S78" i="30" s="1"/>
  <c r="H109" i="30"/>
  <c r="K13" i="30"/>
  <c r="P51" i="30"/>
  <c r="T36" i="30"/>
  <c r="S36" i="30" s="1"/>
  <c r="X89" i="30"/>
  <c r="W89" i="30" s="1"/>
  <c r="S82" i="30"/>
  <c r="P95" i="30"/>
  <c r="Q95" i="30" s="1"/>
  <c r="X87" i="30"/>
  <c r="W87" i="30" s="1"/>
  <c r="AB23" i="30"/>
  <c r="AA23" i="30" s="1"/>
  <c r="S86" i="30"/>
  <c r="AB21" i="30"/>
  <c r="AA21" i="30" s="1"/>
  <c r="S88" i="30"/>
  <c r="X109" i="30"/>
  <c r="AA13" i="30"/>
  <c r="S92" i="30"/>
  <c r="T27" i="30"/>
  <c r="S27" i="30" s="1"/>
  <c r="X91" i="30"/>
  <c r="W91" i="30" s="1"/>
  <c r="X70" i="30"/>
  <c r="W70" i="30" s="1"/>
  <c r="J2" i="28"/>
  <c r="W51" i="15"/>
  <c r="X51" i="15"/>
  <c r="X70" i="13"/>
  <c r="W70" i="13" s="1"/>
  <c r="X51" i="14"/>
  <c r="W51" i="14"/>
  <c r="X51" i="12"/>
  <c r="W51" i="12"/>
  <c r="X51" i="11"/>
  <c r="W51" i="11"/>
  <c r="T51" i="10"/>
  <c r="AB51" i="7"/>
  <c r="AA51" i="7" s="1"/>
  <c r="T50" i="6"/>
  <c r="J56" i="26"/>
  <c r="Q56" i="26" s="1"/>
  <c r="R56" i="26" s="1"/>
  <c r="K71" i="26"/>
  <c r="I66" i="28"/>
  <c r="X66" i="28" s="1"/>
  <c r="J66" i="26"/>
  <c r="K48" i="26"/>
  <c r="I43" i="42" l="1"/>
  <c r="J43" i="42" s="1"/>
  <c r="K43" i="42" s="1"/>
  <c r="L43" i="42" s="1"/>
  <c r="I28" i="42"/>
  <c r="Q28" i="42" s="1"/>
  <c r="R28" i="42" s="1"/>
  <c r="H35" i="42"/>
  <c r="O35" i="42" s="1"/>
  <c r="P35" i="42" s="1"/>
  <c r="M36" i="26"/>
  <c r="N36" i="26" s="1"/>
  <c r="H36" i="42"/>
  <c r="O36" i="42" s="1"/>
  <c r="P36" i="42" s="1"/>
  <c r="M37" i="26"/>
  <c r="N37" i="26" s="1"/>
  <c r="M30" i="42"/>
  <c r="N30" i="42" s="1"/>
  <c r="O30" i="42"/>
  <c r="P30" i="42" s="1"/>
  <c r="G32" i="42"/>
  <c r="M31" i="42"/>
  <c r="N31" i="42" s="1"/>
  <c r="O31" i="42"/>
  <c r="P31" i="42" s="1"/>
  <c r="M41" i="26"/>
  <c r="N41" i="26" s="1"/>
  <c r="H40" i="42"/>
  <c r="O40" i="42" s="1"/>
  <c r="P40" i="42" s="1"/>
  <c r="M79" i="30"/>
  <c r="H43" i="42"/>
  <c r="M38" i="26"/>
  <c r="N38" i="26" s="1"/>
  <c r="H37" i="42"/>
  <c r="M40" i="26"/>
  <c r="N40" i="26" s="1"/>
  <c r="H39" i="42"/>
  <c r="O39" i="42" s="1"/>
  <c r="P39" i="42" s="1"/>
  <c r="I38" i="42"/>
  <c r="Q38" i="42" s="1"/>
  <c r="R38" i="42" s="1"/>
  <c r="M43" i="42"/>
  <c r="N43" i="42" s="1"/>
  <c r="V32" i="28"/>
  <c r="M32" i="28"/>
  <c r="N32" i="28" s="1"/>
  <c r="G33" i="28"/>
  <c r="M31" i="28"/>
  <c r="N31" i="28" s="1"/>
  <c r="V31" i="28"/>
  <c r="O56" i="28"/>
  <c r="P56" i="28" s="1"/>
  <c r="G63" i="30"/>
  <c r="I63" i="30"/>
  <c r="W40" i="30"/>
  <c r="Q51" i="30"/>
  <c r="Q79" i="30"/>
  <c r="L63" i="30"/>
  <c r="M63" i="30" s="1"/>
  <c r="T58" i="30"/>
  <c r="O51" i="30"/>
  <c r="K57" i="30"/>
  <c r="K54" i="30"/>
  <c r="K56" i="30"/>
  <c r="O58" i="30"/>
  <c r="K59" i="30"/>
  <c r="K70" i="26"/>
  <c r="J70" i="28"/>
  <c r="O95" i="30"/>
  <c r="K79" i="30"/>
  <c r="AA40" i="30"/>
  <c r="S85" i="30"/>
  <c r="X85" i="30"/>
  <c r="W85" i="30" s="1"/>
  <c r="X37" i="30"/>
  <c r="W37" i="30" s="1"/>
  <c r="O79" i="30"/>
  <c r="AB61" i="30"/>
  <c r="AA61" i="30" s="1"/>
  <c r="K55" i="30"/>
  <c r="X29" i="30"/>
  <c r="W29" i="30" s="1"/>
  <c r="S29" i="30"/>
  <c r="K60" i="30"/>
  <c r="AB91" i="30"/>
  <c r="AA91" i="30" s="1"/>
  <c r="X27" i="30"/>
  <c r="W27" i="30" s="1"/>
  <c r="AB70" i="30"/>
  <c r="AA70" i="30" s="1"/>
  <c r="T51" i="30"/>
  <c r="X36" i="30"/>
  <c r="W36" i="30" s="1"/>
  <c r="X78" i="30"/>
  <c r="W78" i="30" s="1"/>
  <c r="W49" i="30"/>
  <c r="X49" i="30"/>
  <c r="D102" i="30"/>
  <c r="X71" i="30"/>
  <c r="W71" i="30" s="1"/>
  <c r="X92" i="30"/>
  <c r="W92" i="30" s="1"/>
  <c r="X88" i="30"/>
  <c r="W88" i="30" s="1"/>
  <c r="X86" i="30"/>
  <c r="W86" i="30" s="1"/>
  <c r="AB89" i="30"/>
  <c r="AA89" i="30" s="1"/>
  <c r="X30" i="30"/>
  <c r="W30" i="30" s="1"/>
  <c r="AB87" i="30"/>
  <c r="AA87" i="30" s="1"/>
  <c r="X82" i="30"/>
  <c r="W82" i="30" s="1"/>
  <c r="T95" i="30"/>
  <c r="AB83" i="30"/>
  <c r="AA83" i="30" s="1"/>
  <c r="H65" i="30"/>
  <c r="I65" i="30" s="1"/>
  <c r="H108" i="30"/>
  <c r="H110" i="30" s="1"/>
  <c r="X84" i="30"/>
  <c r="W84" i="30" s="1"/>
  <c r="AB41" i="30"/>
  <c r="AA41" i="30" s="1"/>
  <c r="X69" i="30"/>
  <c r="W69" i="30" s="1"/>
  <c r="T79" i="30"/>
  <c r="X90" i="30"/>
  <c r="W90" i="30" s="1"/>
  <c r="I2" i="27"/>
  <c r="W42" i="27" s="1"/>
  <c r="K2" i="28"/>
  <c r="J2" i="26"/>
  <c r="J2" i="27" s="1"/>
  <c r="X42" i="27" s="1"/>
  <c r="AB51" i="15"/>
  <c r="AA51" i="15"/>
  <c r="AB70" i="13"/>
  <c r="AA70" i="13" s="1"/>
  <c r="AB51" i="14"/>
  <c r="AA51" i="14"/>
  <c r="AB51" i="12"/>
  <c r="AA51" i="12"/>
  <c r="AB51" i="11"/>
  <c r="AA51" i="11"/>
  <c r="X51" i="10"/>
  <c r="S51" i="10"/>
  <c r="X50" i="6"/>
  <c r="W50" i="6" s="1"/>
  <c r="S50" i="6"/>
  <c r="L48" i="26"/>
  <c r="J66" i="28"/>
  <c r="K66" i="26"/>
  <c r="K49" i="26"/>
  <c r="K71" i="28"/>
  <c r="L71" i="26"/>
  <c r="K54" i="26"/>
  <c r="U79" i="30" l="1"/>
  <c r="S95" i="30"/>
  <c r="U95" i="30"/>
  <c r="Q43" i="42"/>
  <c r="R43" i="42" s="1"/>
  <c r="S79" i="30"/>
  <c r="S58" i="30"/>
  <c r="S51" i="30"/>
  <c r="J28" i="42"/>
  <c r="K28" i="42" s="1"/>
  <c r="L28" i="42" s="1"/>
  <c r="M32" i="42"/>
  <c r="N32" i="42" s="1"/>
  <c r="O32" i="42"/>
  <c r="P32" i="42" s="1"/>
  <c r="O43" i="42"/>
  <c r="P43" i="42" s="1"/>
  <c r="O37" i="42"/>
  <c r="P37" i="42" s="1"/>
  <c r="W42" i="42"/>
  <c r="I35" i="42"/>
  <c r="Q35" i="42" s="1"/>
  <c r="R35" i="42" s="1"/>
  <c r="I36" i="42"/>
  <c r="Q36" i="42" s="1"/>
  <c r="R36" i="42" s="1"/>
  <c r="M31" i="26"/>
  <c r="N31" i="26" s="1"/>
  <c r="V33" i="28"/>
  <c r="M33" i="28"/>
  <c r="N33" i="28" s="1"/>
  <c r="M32" i="26"/>
  <c r="N32" i="26" s="1"/>
  <c r="H32" i="28"/>
  <c r="M35" i="26"/>
  <c r="N35" i="26" s="1"/>
  <c r="X58" i="30"/>
  <c r="W58" i="30" s="1"/>
  <c r="K63" i="30"/>
  <c r="AB85" i="30"/>
  <c r="AA85" i="30" s="1"/>
  <c r="G65" i="30"/>
  <c r="H98" i="30"/>
  <c r="G98" i="30" s="1"/>
  <c r="O55" i="30"/>
  <c r="L70" i="26"/>
  <c r="L70" i="28" s="1"/>
  <c r="K70" i="28"/>
  <c r="AB37" i="30"/>
  <c r="AA37" i="30" s="1"/>
  <c r="O56" i="30"/>
  <c r="AB29" i="30"/>
  <c r="AA29" i="30" s="1"/>
  <c r="X79" i="30"/>
  <c r="W79" i="30" s="1"/>
  <c r="AB69" i="30"/>
  <c r="AA69" i="30" s="1"/>
  <c r="L65" i="30"/>
  <c r="M65" i="30" s="1"/>
  <c r="L108" i="30"/>
  <c r="L110" i="30" s="1"/>
  <c r="X95" i="30"/>
  <c r="W95" i="30" s="1"/>
  <c r="AB82" i="30"/>
  <c r="AA82" i="30" s="1"/>
  <c r="AB92" i="30"/>
  <c r="AA92" i="30" s="1"/>
  <c r="H7" i="30"/>
  <c r="H15" i="30" s="1"/>
  <c r="T60" i="30"/>
  <c r="T57" i="30"/>
  <c r="T59" i="30"/>
  <c r="T56" i="30"/>
  <c r="T55" i="30"/>
  <c r="AB30" i="30"/>
  <c r="AA30" i="30" s="1"/>
  <c r="AA49" i="30"/>
  <c r="AB49" i="30"/>
  <c r="AB27" i="30"/>
  <c r="X33" i="30"/>
  <c r="W33" i="30" s="1"/>
  <c r="AB88" i="30"/>
  <c r="AA88" i="30" s="1"/>
  <c r="AB71" i="30"/>
  <c r="AA71" i="30" s="1"/>
  <c r="AB78" i="30"/>
  <c r="AA78" i="30" s="1"/>
  <c r="AB84" i="30"/>
  <c r="AA84" i="30" s="1"/>
  <c r="AB86" i="30"/>
  <c r="AA86" i="30" s="1"/>
  <c r="X51" i="30"/>
  <c r="W51" i="30" s="1"/>
  <c r="AB36" i="30"/>
  <c r="AA36" i="30" s="1"/>
  <c r="AB90" i="30"/>
  <c r="AA90" i="30" s="1"/>
  <c r="T54" i="30"/>
  <c r="L2" i="28"/>
  <c r="L2" i="26" s="1"/>
  <c r="K2" i="26"/>
  <c r="AB51" i="10"/>
  <c r="AA51" i="10" s="1"/>
  <c r="W51" i="10"/>
  <c r="AB50" i="6"/>
  <c r="AA50" i="6" s="1"/>
  <c r="L54" i="26"/>
  <c r="K66" i="28"/>
  <c r="L66" i="26"/>
  <c r="K50" i="26"/>
  <c r="L71" i="28"/>
  <c r="L49" i="26"/>
  <c r="T63" i="30" l="1"/>
  <c r="S55" i="30"/>
  <c r="S56" i="30"/>
  <c r="W32" i="28"/>
  <c r="O32" i="28"/>
  <c r="P32" i="28" s="1"/>
  <c r="M33" i="26"/>
  <c r="N33" i="26" s="1"/>
  <c r="H33" i="28"/>
  <c r="W31" i="28"/>
  <c r="O31" i="28"/>
  <c r="P31" i="28" s="1"/>
  <c r="AB58" i="30"/>
  <c r="AA58" i="30" s="1"/>
  <c r="G15" i="30"/>
  <c r="I15" i="30"/>
  <c r="K65" i="30"/>
  <c r="L98" i="30"/>
  <c r="AB33" i="30"/>
  <c r="AA27" i="30"/>
  <c r="H111" i="30"/>
  <c r="H100" i="30"/>
  <c r="AB51" i="30"/>
  <c r="AA51" i="30" s="1"/>
  <c r="X59" i="30"/>
  <c r="X56" i="30"/>
  <c r="X60" i="30"/>
  <c r="W60" i="30" s="1"/>
  <c r="X57" i="30"/>
  <c r="X55" i="30"/>
  <c r="W55" i="30" s="1"/>
  <c r="AB95" i="30"/>
  <c r="AA95" i="30" s="1"/>
  <c r="AB79" i="30"/>
  <c r="AA79" i="30" s="1"/>
  <c r="K2" i="27"/>
  <c r="L2" i="27"/>
  <c r="L50" i="26"/>
  <c r="L66" i="28"/>
  <c r="K98" i="30" l="1"/>
  <c r="M99" i="30"/>
  <c r="O33" i="28"/>
  <c r="P33" i="28" s="1"/>
  <c r="W33" i="28"/>
  <c r="AA33" i="30"/>
  <c r="W56" i="30"/>
  <c r="W57" i="30"/>
  <c r="W59" i="30"/>
  <c r="G100" i="30"/>
  <c r="L111" i="30"/>
  <c r="L100" i="30"/>
  <c r="AB55" i="30"/>
  <c r="AA55" i="30" s="1"/>
  <c r="AB59" i="30"/>
  <c r="AA59" i="30" s="1"/>
  <c r="AB56" i="30"/>
  <c r="AA56" i="30" s="1"/>
  <c r="AB60" i="30"/>
  <c r="AA60" i="30" s="1"/>
  <c r="AB57" i="30"/>
  <c r="AA57" i="30" s="1"/>
  <c r="T65" i="30"/>
  <c r="T108" i="30"/>
  <c r="T110" i="30" s="1"/>
  <c r="H102" i="30"/>
  <c r="L7" i="30" s="1"/>
  <c r="G102" i="30" l="1"/>
  <c r="K100" i="30"/>
  <c r="T98" i="30"/>
  <c r="L102" i="30" l="1"/>
  <c r="P7" i="30" s="1"/>
  <c r="L15" i="30"/>
  <c r="M15" i="30" s="1"/>
  <c r="T111" i="30"/>
  <c r="T100" i="30"/>
  <c r="H96" i="25"/>
  <c r="K85" i="25" s="1"/>
  <c r="AB96" i="25"/>
  <c r="X96" i="25"/>
  <c r="T96" i="25"/>
  <c r="P96" i="25"/>
  <c r="L96" i="25"/>
  <c r="D96" i="25"/>
  <c r="AB95" i="23"/>
  <c r="X95" i="23"/>
  <c r="T95" i="23"/>
  <c r="P95" i="23"/>
  <c r="L95" i="23"/>
  <c r="P9" i="25"/>
  <c r="T9" i="25" s="1"/>
  <c r="AC81" i="25"/>
  <c r="Y81" i="25"/>
  <c r="U81" i="25"/>
  <c r="Q81" i="25"/>
  <c r="M81" i="25"/>
  <c r="I81" i="25"/>
  <c r="AC80" i="25"/>
  <c r="Y80" i="25"/>
  <c r="U80" i="25"/>
  <c r="Q80" i="25"/>
  <c r="M80" i="25"/>
  <c r="I80" i="25"/>
  <c r="H80" i="25" s="1"/>
  <c r="G80" i="25"/>
  <c r="AC79" i="25"/>
  <c r="Y79" i="25"/>
  <c r="U79" i="25"/>
  <c r="Q79" i="25"/>
  <c r="M79" i="25"/>
  <c r="I79" i="25"/>
  <c r="H79" i="25" s="1"/>
  <c r="G79" i="25"/>
  <c r="AC78" i="25"/>
  <c r="Y78" i="25"/>
  <c r="U78" i="25"/>
  <c r="Q78" i="25"/>
  <c r="M78" i="25"/>
  <c r="I78" i="25"/>
  <c r="H78" i="25" s="1"/>
  <c r="G78" i="25"/>
  <c r="AC77" i="25"/>
  <c r="Y77" i="25"/>
  <c r="U77" i="25"/>
  <c r="Q77" i="25"/>
  <c r="M77" i="25"/>
  <c r="I77" i="25"/>
  <c r="H77" i="25" s="1"/>
  <c r="G77" i="25"/>
  <c r="AC76" i="25"/>
  <c r="Y76" i="25"/>
  <c r="U76" i="25"/>
  <c r="Q76" i="25"/>
  <c r="M76" i="25"/>
  <c r="I76" i="25"/>
  <c r="H76" i="25" s="1"/>
  <c r="G76" i="25"/>
  <c r="AC75" i="25"/>
  <c r="Y75" i="25"/>
  <c r="U75" i="25"/>
  <c r="Q75" i="25"/>
  <c r="M75" i="25"/>
  <c r="I75" i="25"/>
  <c r="H75" i="25" s="1"/>
  <c r="G75" i="25"/>
  <c r="AC74" i="25"/>
  <c r="Y74" i="25"/>
  <c r="U74" i="25"/>
  <c r="Q74" i="25"/>
  <c r="M74" i="25"/>
  <c r="I74" i="25"/>
  <c r="H74" i="25" s="1"/>
  <c r="G74" i="25"/>
  <c r="AC73" i="25"/>
  <c r="Y73" i="25"/>
  <c r="U73" i="25"/>
  <c r="Q73" i="25"/>
  <c r="M73" i="25"/>
  <c r="I73" i="25"/>
  <c r="H73" i="25" s="1"/>
  <c r="G73" i="25"/>
  <c r="AC72" i="25"/>
  <c r="Y72" i="25"/>
  <c r="U72" i="25"/>
  <c r="Q72" i="25"/>
  <c r="M72" i="25"/>
  <c r="I72" i="25"/>
  <c r="H72" i="25" s="1"/>
  <c r="K72" i="25" s="1"/>
  <c r="G72" i="25"/>
  <c r="AC71" i="25"/>
  <c r="Y71" i="25"/>
  <c r="K71" i="25"/>
  <c r="G71" i="25"/>
  <c r="AC70" i="25"/>
  <c r="Y70" i="25"/>
  <c r="G70" i="25"/>
  <c r="AC69" i="25"/>
  <c r="Y69" i="25"/>
  <c r="G69" i="25"/>
  <c r="D66" i="25"/>
  <c r="G66" i="25" s="1"/>
  <c r="AC65" i="25"/>
  <c r="Y65" i="25"/>
  <c r="I65" i="25"/>
  <c r="H65" i="25" s="1"/>
  <c r="G65" i="25"/>
  <c r="AC64" i="25"/>
  <c r="Y64" i="25"/>
  <c r="U64" i="25"/>
  <c r="Q64" i="25"/>
  <c r="M64" i="25"/>
  <c r="I64" i="25"/>
  <c r="H64" i="25" s="1"/>
  <c r="G64" i="25"/>
  <c r="AC63" i="25"/>
  <c r="Y63" i="25"/>
  <c r="U63" i="25"/>
  <c r="Q63" i="25"/>
  <c r="M63" i="25"/>
  <c r="I63" i="25"/>
  <c r="H63" i="25" s="1"/>
  <c r="G63" i="25"/>
  <c r="AC62" i="25"/>
  <c r="Y62" i="25"/>
  <c r="U62" i="25"/>
  <c r="Q62" i="25"/>
  <c r="M62" i="25"/>
  <c r="I62" i="25"/>
  <c r="H62" i="25" s="1"/>
  <c r="K62" i="25" s="1"/>
  <c r="G62" i="25"/>
  <c r="AC61" i="25"/>
  <c r="Y61" i="25"/>
  <c r="U61" i="25"/>
  <c r="Q61" i="25"/>
  <c r="M61" i="25"/>
  <c r="I61" i="25"/>
  <c r="H61" i="25" s="1"/>
  <c r="K61" i="25" s="1"/>
  <c r="G61" i="25"/>
  <c r="AC60" i="25"/>
  <c r="Y60" i="25"/>
  <c r="U60" i="25"/>
  <c r="Q60" i="25"/>
  <c r="M60" i="25"/>
  <c r="I60" i="25"/>
  <c r="H60" i="25" s="1"/>
  <c r="G60" i="25"/>
  <c r="AC59" i="25"/>
  <c r="Y59" i="25"/>
  <c r="I59" i="25"/>
  <c r="G59" i="25"/>
  <c r="D53" i="25"/>
  <c r="H52" i="25"/>
  <c r="K52" i="25" s="1"/>
  <c r="G52" i="25"/>
  <c r="H51" i="25"/>
  <c r="K51" i="25" s="1"/>
  <c r="G51" i="25"/>
  <c r="AC50" i="25"/>
  <c r="Y50" i="25"/>
  <c r="U50" i="25"/>
  <c r="Q50" i="25"/>
  <c r="M50" i="25"/>
  <c r="I50" i="25"/>
  <c r="G50" i="25"/>
  <c r="E50" i="25"/>
  <c r="AC49" i="25"/>
  <c r="Y49" i="25"/>
  <c r="U49" i="25"/>
  <c r="Q49" i="25"/>
  <c r="M49" i="25"/>
  <c r="I49" i="25"/>
  <c r="G49" i="25"/>
  <c r="E49" i="25"/>
  <c r="AC48" i="25"/>
  <c r="Y48" i="25"/>
  <c r="U48" i="25"/>
  <c r="Q48" i="25"/>
  <c r="M48" i="25"/>
  <c r="I48" i="25"/>
  <c r="H48" i="25" s="1"/>
  <c r="G48" i="25"/>
  <c r="AC47" i="25"/>
  <c r="Y47" i="25"/>
  <c r="U47" i="25"/>
  <c r="Q47" i="25"/>
  <c r="M47" i="25"/>
  <c r="I47" i="25"/>
  <c r="G47" i="25"/>
  <c r="E47" i="25"/>
  <c r="AC46" i="25"/>
  <c r="Y46" i="25"/>
  <c r="U46" i="25"/>
  <c r="Q46" i="25"/>
  <c r="M46" i="25"/>
  <c r="I46" i="25"/>
  <c r="G46" i="25"/>
  <c r="E46" i="25"/>
  <c r="AC45" i="25"/>
  <c r="Y45" i="25"/>
  <c r="U45" i="25"/>
  <c r="Q45" i="25"/>
  <c r="M45" i="25"/>
  <c r="I45" i="25"/>
  <c r="G45" i="25"/>
  <c r="E45" i="25"/>
  <c r="U44" i="25"/>
  <c r="Q44" i="25"/>
  <c r="M44" i="25"/>
  <c r="I44" i="25"/>
  <c r="G44" i="25"/>
  <c r="E44" i="25"/>
  <c r="D41" i="25"/>
  <c r="G41" i="25" s="1"/>
  <c r="AC39" i="25"/>
  <c r="Y39" i="25"/>
  <c r="U39" i="25"/>
  <c r="Q39" i="25"/>
  <c r="M39" i="25"/>
  <c r="I39" i="25"/>
  <c r="H39" i="25"/>
  <c r="K39" i="25" s="1"/>
  <c r="G39" i="25"/>
  <c r="AC38" i="25"/>
  <c r="Y38" i="25"/>
  <c r="U38" i="25"/>
  <c r="Q38" i="25"/>
  <c r="M38" i="25"/>
  <c r="I38" i="25"/>
  <c r="H38" i="25"/>
  <c r="L38" i="25" s="1"/>
  <c r="P38" i="25" s="1"/>
  <c r="S38" i="25" s="1"/>
  <c r="G38" i="25"/>
  <c r="AC37" i="25"/>
  <c r="Y37" i="25"/>
  <c r="U37" i="25"/>
  <c r="Q37" i="25"/>
  <c r="M37" i="25"/>
  <c r="I37" i="25"/>
  <c r="H37" i="25"/>
  <c r="K37" i="25" s="1"/>
  <c r="G37" i="25"/>
  <c r="AC36" i="25"/>
  <c r="Y36" i="25"/>
  <c r="U36" i="25"/>
  <c r="Q36" i="25"/>
  <c r="M36" i="25"/>
  <c r="I36" i="25"/>
  <c r="H36" i="25"/>
  <c r="L36" i="25" s="1"/>
  <c r="P36" i="25" s="1"/>
  <c r="S36" i="25" s="1"/>
  <c r="G36" i="25"/>
  <c r="AC35" i="25"/>
  <c r="Y35" i="25"/>
  <c r="U35" i="25"/>
  <c r="Q35" i="25"/>
  <c r="M35" i="25"/>
  <c r="I35" i="25"/>
  <c r="H35" i="25"/>
  <c r="K35" i="25" s="1"/>
  <c r="G35" i="25"/>
  <c r="AC34" i="25"/>
  <c r="Y34" i="25"/>
  <c r="U34" i="25"/>
  <c r="Q34" i="25"/>
  <c r="M34" i="25"/>
  <c r="I34" i="25"/>
  <c r="H34" i="25"/>
  <c r="K34" i="25" s="1"/>
  <c r="G34" i="25"/>
  <c r="AC33" i="25"/>
  <c r="Y33" i="25"/>
  <c r="U33" i="25"/>
  <c r="Q33" i="25"/>
  <c r="M33" i="25"/>
  <c r="I33" i="25"/>
  <c r="H33" i="25"/>
  <c r="K33" i="25" s="1"/>
  <c r="G33" i="25"/>
  <c r="D30" i="25"/>
  <c r="G30" i="25" s="1"/>
  <c r="AC28" i="25"/>
  <c r="Y28" i="25"/>
  <c r="U28" i="25"/>
  <c r="Q28" i="25"/>
  <c r="M28" i="25"/>
  <c r="I28" i="25"/>
  <c r="H28" i="25"/>
  <c r="L28" i="25" s="1"/>
  <c r="G28" i="25"/>
  <c r="AC27" i="25"/>
  <c r="Y27" i="25"/>
  <c r="U27" i="25"/>
  <c r="Q27" i="25"/>
  <c r="M27" i="25"/>
  <c r="I27" i="25"/>
  <c r="H27" i="25"/>
  <c r="K27" i="25" s="1"/>
  <c r="G27" i="25"/>
  <c r="AC26" i="25"/>
  <c r="Y26" i="25"/>
  <c r="U26" i="25"/>
  <c r="Q26" i="25"/>
  <c r="M26" i="25"/>
  <c r="I26" i="25"/>
  <c r="H26" i="25"/>
  <c r="L26" i="25" s="1"/>
  <c r="G26" i="25"/>
  <c r="AC25" i="25"/>
  <c r="Y25" i="25"/>
  <c r="U25" i="25"/>
  <c r="Q25" i="25"/>
  <c r="M25" i="25"/>
  <c r="I25" i="25"/>
  <c r="H25" i="25"/>
  <c r="L25" i="25" s="1"/>
  <c r="P25" i="25" s="1"/>
  <c r="G25" i="25"/>
  <c r="AC24" i="25"/>
  <c r="Y24" i="25"/>
  <c r="U24" i="25"/>
  <c r="Q24" i="25"/>
  <c r="M24" i="25"/>
  <c r="I24" i="25"/>
  <c r="H24" i="25"/>
  <c r="L24" i="25" s="1"/>
  <c r="G24" i="25"/>
  <c r="AC23" i="25"/>
  <c r="Y23" i="25"/>
  <c r="U23" i="25"/>
  <c r="Q23" i="25"/>
  <c r="M23" i="25"/>
  <c r="L23" i="25"/>
  <c r="P23" i="25" s="1"/>
  <c r="I23" i="25"/>
  <c r="H23" i="25"/>
  <c r="K23" i="25" s="1"/>
  <c r="G23" i="25"/>
  <c r="AC22" i="25"/>
  <c r="Y22" i="25"/>
  <c r="U22" i="25"/>
  <c r="Q22" i="25"/>
  <c r="M22" i="25"/>
  <c r="I22" i="25"/>
  <c r="H22" i="25"/>
  <c r="L22" i="25" s="1"/>
  <c r="G22" i="25"/>
  <c r="AC21" i="25"/>
  <c r="Y21" i="25"/>
  <c r="U21" i="25"/>
  <c r="Q21" i="25"/>
  <c r="M21" i="25"/>
  <c r="I21" i="25"/>
  <c r="H21" i="25"/>
  <c r="L21" i="25" s="1"/>
  <c r="G21" i="25"/>
  <c r="AB10" i="25"/>
  <c r="X10" i="25"/>
  <c r="AA10" i="25" s="1"/>
  <c r="T10" i="25"/>
  <c r="W10" i="25" s="1"/>
  <c r="P10" i="25"/>
  <c r="S10" i="25" s="1"/>
  <c r="L10" i="25"/>
  <c r="O10" i="25" s="1"/>
  <c r="K10" i="25"/>
  <c r="G10" i="25"/>
  <c r="P11" i="25"/>
  <c r="H6" i="25"/>
  <c r="L6" i="25" s="1"/>
  <c r="P6" i="25" s="1"/>
  <c r="T6" i="25" s="1"/>
  <c r="X6" i="25" s="1"/>
  <c r="AB6" i="25" s="1"/>
  <c r="AB3" i="25"/>
  <c r="X3" i="25"/>
  <c r="T3" i="25"/>
  <c r="L9" i="24"/>
  <c r="P9" i="24" s="1"/>
  <c r="T9" i="24" s="1"/>
  <c r="AC81" i="24"/>
  <c r="Y81" i="24"/>
  <c r="U81" i="24"/>
  <c r="Q81" i="24"/>
  <c r="M81" i="24"/>
  <c r="I81" i="24"/>
  <c r="AC80" i="24"/>
  <c r="Y80" i="24"/>
  <c r="U80" i="24"/>
  <c r="Q80" i="24"/>
  <c r="M80" i="24"/>
  <c r="I80" i="24"/>
  <c r="H80" i="24" s="1"/>
  <c r="G80" i="24"/>
  <c r="AC79" i="24"/>
  <c r="Y79" i="24"/>
  <c r="U79" i="24"/>
  <c r="Q79" i="24"/>
  <c r="M79" i="24"/>
  <c r="I79" i="24"/>
  <c r="H79" i="24" s="1"/>
  <c r="G79" i="24"/>
  <c r="AC78" i="24"/>
  <c r="Y78" i="24"/>
  <c r="U78" i="24"/>
  <c r="Q78" i="24"/>
  <c r="M78" i="24"/>
  <c r="I78" i="24"/>
  <c r="H78" i="24" s="1"/>
  <c r="G78" i="24"/>
  <c r="AC77" i="24"/>
  <c r="Y77" i="24"/>
  <c r="U77" i="24"/>
  <c r="Q77" i="24"/>
  <c r="M77" i="24"/>
  <c r="I77" i="24"/>
  <c r="H77" i="24" s="1"/>
  <c r="G77" i="24"/>
  <c r="AC76" i="24"/>
  <c r="Y76" i="24"/>
  <c r="U76" i="24"/>
  <c r="Q76" i="24"/>
  <c r="M76" i="24"/>
  <c r="I76" i="24"/>
  <c r="H76" i="24" s="1"/>
  <c r="G76" i="24"/>
  <c r="AC75" i="24"/>
  <c r="Y75" i="24"/>
  <c r="U75" i="24"/>
  <c r="Q75" i="24"/>
  <c r="M75" i="24"/>
  <c r="I75" i="24"/>
  <c r="H75" i="24" s="1"/>
  <c r="G75" i="24"/>
  <c r="AC74" i="24"/>
  <c r="Y74" i="24"/>
  <c r="U74" i="24"/>
  <c r="Q74" i="24"/>
  <c r="M74" i="24"/>
  <c r="I74" i="24"/>
  <c r="H74" i="24" s="1"/>
  <c r="G74" i="24"/>
  <c r="AC73" i="24"/>
  <c r="Y73" i="24"/>
  <c r="U73" i="24"/>
  <c r="Q73" i="24"/>
  <c r="M73" i="24"/>
  <c r="I73" i="24"/>
  <c r="H73" i="24" s="1"/>
  <c r="G73" i="24"/>
  <c r="AC72" i="24"/>
  <c r="Y72" i="24"/>
  <c r="U72" i="24"/>
  <c r="Q72" i="24"/>
  <c r="M72" i="24"/>
  <c r="I72" i="24"/>
  <c r="H72" i="24" s="1"/>
  <c r="G72" i="24"/>
  <c r="AC71" i="24"/>
  <c r="Y71" i="24"/>
  <c r="U71" i="24"/>
  <c r="Q71" i="24"/>
  <c r="M71" i="24"/>
  <c r="I71" i="24"/>
  <c r="H71" i="24" s="1"/>
  <c r="G71" i="24"/>
  <c r="AC70" i="24"/>
  <c r="Y70" i="24"/>
  <c r="U70" i="24"/>
  <c r="Q70" i="24"/>
  <c r="M70" i="24"/>
  <c r="I70" i="24"/>
  <c r="H70" i="24" s="1"/>
  <c r="G70" i="24"/>
  <c r="AC69" i="24"/>
  <c r="Y69" i="24"/>
  <c r="G69" i="24"/>
  <c r="D66" i="24"/>
  <c r="AC65" i="24"/>
  <c r="Y65" i="24"/>
  <c r="U65" i="24"/>
  <c r="Q65" i="24"/>
  <c r="M65" i="24"/>
  <c r="I65" i="24"/>
  <c r="H65" i="24" s="1"/>
  <c r="G65" i="24"/>
  <c r="AC64" i="24"/>
  <c r="Y64" i="24"/>
  <c r="U64" i="24"/>
  <c r="Q64" i="24"/>
  <c r="M64" i="24"/>
  <c r="I64" i="24"/>
  <c r="H64" i="24" s="1"/>
  <c r="G64" i="24"/>
  <c r="AC63" i="24"/>
  <c r="Y63" i="24"/>
  <c r="U63" i="24"/>
  <c r="Q63" i="24"/>
  <c r="M63" i="24"/>
  <c r="I63" i="24"/>
  <c r="H63" i="24" s="1"/>
  <c r="G63" i="24"/>
  <c r="AC62" i="24"/>
  <c r="Y62" i="24"/>
  <c r="U62" i="24"/>
  <c r="Q62" i="24"/>
  <c r="M62" i="24"/>
  <c r="I62" i="24"/>
  <c r="H62" i="24" s="1"/>
  <c r="G62" i="24"/>
  <c r="AC61" i="24"/>
  <c r="Y61" i="24"/>
  <c r="U61" i="24"/>
  <c r="Q61" i="24"/>
  <c r="M61" i="24"/>
  <c r="I61" i="24"/>
  <c r="H61" i="24" s="1"/>
  <c r="G61" i="24"/>
  <c r="AC60" i="24"/>
  <c r="Y60" i="24"/>
  <c r="U60" i="24"/>
  <c r="Q60" i="24"/>
  <c r="M60" i="24"/>
  <c r="I60" i="24"/>
  <c r="H60" i="24" s="1"/>
  <c r="G60" i="24"/>
  <c r="AC59" i="24"/>
  <c r="Y59" i="24"/>
  <c r="G59" i="24"/>
  <c r="D53" i="24"/>
  <c r="G53" i="24" s="1"/>
  <c r="H52" i="24"/>
  <c r="L52" i="24" s="1"/>
  <c r="G52" i="24"/>
  <c r="H51" i="24"/>
  <c r="L51" i="24" s="1"/>
  <c r="G51" i="24"/>
  <c r="AC50" i="24"/>
  <c r="Y50" i="24"/>
  <c r="U50" i="24"/>
  <c r="Q50" i="24"/>
  <c r="M50" i="24"/>
  <c r="I50" i="24"/>
  <c r="G50" i="24"/>
  <c r="E50" i="24"/>
  <c r="AC49" i="24"/>
  <c r="Y49" i="24"/>
  <c r="U49" i="24"/>
  <c r="Q49" i="24"/>
  <c r="M49" i="24"/>
  <c r="I49" i="24"/>
  <c r="G49" i="24"/>
  <c r="E49" i="24"/>
  <c r="AC48" i="24"/>
  <c r="Y48" i="24"/>
  <c r="U48" i="24"/>
  <c r="Q48" i="24"/>
  <c r="M48" i="24"/>
  <c r="I48" i="24"/>
  <c r="H48" i="24" s="1"/>
  <c r="G39" i="27" s="1"/>
  <c r="G48" i="24"/>
  <c r="AC47" i="24"/>
  <c r="Y47" i="24"/>
  <c r="U47" i="24"/>
  <c r="Q47" i="24"/>
  <c r="M47" i="24"/>
  <c r="I47" i="24"/>
  <c r="G47" i="24"/>
  <c r="E47" i="24"/>
  <c r="AC46" i="24"/>
  <c r="Y46" i="24"/>
  <c r="U46" i="24"/>
  <c r="Q46" i="24"/>
  <c r="M46" i="24"/>
  <c r="I46" i="24"/>
  <c r="G46" i="24"/>
  <c r="E46" i="24"/>
  <c r="AC45" i="24"/>
  <c r="Y45" i="24"/>
  <c r="U45" i="24"/>
  <c r="Q45" i="24"/>
  <c r="M45" i="24"/>
  <c r="I45" i="24"/>
  <c r="G45" i="24"/>
  <c r="E45" i="24"/>
  <c r="U44" i="24"/>
  <c r="Q44" i="24"/>
  <c r="M44" i="24"/>
  <c r="I44" i="24"/>
  <c r="G44" i="24"/>
  <c r="E44" i="24"/>
  <c r="D41" i="24"/>
  <c r="G41" i="24" s="1"/>
  <c r="AC39" i="24"/>
  <c r="Y39" i="24"/>
  <c r="U39" i="24"/>
  <c r="Q39" i="24"/>
  <c r="M39" i="24"/>
  <c r="I39" i="24"/>
  <c r="H39" i="24"/>
  <c r="L39" i="24" s="1"/>
  <c r="O39" i="24" s="1"/>
  <c r="G39" i="24"/>
  <c r="AC38" i="24"/>
  <c r="Y38" i="24"/>
  <c r="U38" i="24"/>
  <c r="Q38" i="24"/>
  <c r="M38" i="24"/>
  <c r="I38" i="24"/>
  <c r="H38" i="24"/>
  <c r="L38" i="24" s="1"/>
  <c r="O38" i="24" s="1"/>
  <c r="G38" i="24"/>
  <c r="AC37" i="24"/>
  <c r="Y37" i="24"/>
  <c r="U37" i="24"/>
  <c r="Q37" i="24"/>
  <c r="M37" i="24"/>
  <c r="I37" i="24"/>
  <c r="H37" i="24"/>
  <c r="L37" i="24" s="1"/>
  <c r="O37" i="24" s="1"/>
  <c r="G37" i="24"/>
  <c r="AC36" i="24"/>
  <c r="Y36" i="24"/>
  <c r="U36" i="24"/>
  <c r="Q36" i="24"/>
  <c r="M36" i="24"/>
  <c r="I36" i="24"/>
  <c r="H36" i="24"/>
  <c r="L36" i="24" s="1"/>
  <c r="O36" i="24" s="1"/>
  <c r="G36" i="24"/>
  <c r="AC35" i="24"/>
  <c r="Y35" i="24"/>
  <c r="U35" i="24"/>
  <c r="Q35" i="24"/>
  <c r="M35" i="24"/>
  <c r="I35" i="24"/>
  <c r="H35" i="24"/>
  <c r="L35" i="24" s="1"/>
  <c r="O35" i="24" s="1"/>
  <c r="G35" i="24"/>
  <c r="AC34" i="24"/>
  <c r="Y34" i="24"/>
  <c r="U34" i="24"/>
  <c r="Q34" i="24"/>
  <c r="M34" i="24"/>
  <c r="I34" i="24"/>
  <c r="H34" i="24"/>
  <c r="L34" i="24" s="1"/>
  <c r="O34" i="24" s="1"/>
  <c r="G34" i="24"/>
  <c r="AC33" i="24"/>
  <c r="Y33" i="24"/>
  <c r="U33" i="24"/>
  <c r="Q33" i="24"/>
  <c r="M33" i="24"/>
  <c r="I33" i="24"/>
  <c r="H33" i="24"/>
  <c r="K33" i="24" s="1"/>
  <c r="G33" i="24"/>
  <c r="D30" i="24"/>
  <c r="G30" i="24" s="1"/>
  <c r="AC28" i="24"/>
  <c r="Y28" i="24"/>
  <c r="U28" i="24"/>
  <c r="Q28" i="24"/>
  <c r="M28" i="24"/>
  <c r="I28" i="24"/>
  <c r="H28" i="24"/>
  <c r="K28" i="24" s="1"/>
  <c r="G28" i="24"/>
  <c r="AC27" i="24"/>
  <c r="Y27" i="24"/>
  <c r="U27" i="24"/>
  <c r="Q27" i="24"/>
  <c r="M27" i="24"/>
  <c r="I27" i="24"/>
  <c r="H27" i="24"/>
  <c r="L27" i="24" s="1"/>
  <c r="P27" i="24" s="1"/>
  <c r="S27" i="24" s="1"/>
  <c r="G27" i="24"/>
  <c r="AC26" i="24"/>
  <c r="Y26" i="24"/>
  <c r="U26" i="24"/>
  <c r="Q26" i="24"/>
  <c r="M26" i="24"/>
  <c r="I26" i="24"/>
  <c r="H26" i="24"/>
  <c r="K26" i="24" s="1"/>
  <c r="G26" i="24"/>
  <c r="AC25" i="24"/>
  <c r="Y25" i="24"/>
  <c r="U25" i="24"/>
  <c r="Q25" i="24"/>
  <c r="M25" i="24"/>
  <c r="I25" i="24"/>
  <c r="H25" i="24"/>
  <c r="L25" i="24" s="1"/>
  <c r="G25" i="24"/>
  <c r="AC24" i="24"/>
  <c r="Y24" i="24"/>
  <c r="U24" i="24"/>
  <c r="Q24" i="24"/>
  <c r="M24" i="24"/>
  <c r="I24" i="24"/>
  <c r="H24" i="24"/>
  <c r="K24" i="24" s="1"/>
  <c r="G24" i="24"/>
  <c r="AC23" i="24"/>
  <c r="Y23" i="24"/>
  <c r="U23" i="24"/>
  <c r="Q23" i="24"/>
  <c r="M23" i="24"/>
  <c r="I23" i="24"/>
  <c r="H23" i="24"/>
  <c r="L23" i="24" s="1"/>
  <c r="O23" i="24" s="1"/>
  <c r="G23" i="24"/>
  <c r="AC22" i="24"/>
  <c r="Y22" i="24"/>
  <c r="U22" i="24"/>
  <c r="Q22" i="24"/>
  <c r="M22" i="24"/>
  <c r="L22" i="24"/>
  <c r="P22" i="24" s="1"/>
  <c r="T22" i="24" s="1"/>
  <c r="I22" i="24"/>
  <c r="H22" i="24"/>
  <c r="K22" i="24" s="1"/>
  <c r="G22" i="24"/>
  <c r="AC21" i="24"/>
  <c r="Y21" i="24"/>
  <c r="U21" i="24"/>
  <c r="Q21" i="24"/>
  <c r="M21" i="24"/>
  <c r="I21" i="24"/>
  <c r="G21" i="24"/>
  <c r="AB10" i="24"/>
  <c r="X10" i="24"/>
  <c r="AA10" i="24" s="1"/>
  <c r="T10" i="24"/>
  <c r="W10" i="24" s="1"/>
  <c r="P10" i="24"/>
  <c r="S10" i="24" s="1"/>
  <c r="L10" i="24"/>
  <c r="O10" i="24" s="1"/>
  <c r="K10" i="24"/>
  <c r="G10" i="24"/>
  <c r="H6" i="24"/>
  <c r="L6" i="24" s="1"/>
  <c r="P6" i="24" s="1"/>
  <c r="T6" i="24" s="1"/>
  <c r="X6" i="24" s="1"/>
  <c r="AB6" i="24" s="1"/>
  <c r="AB3" i="24"/>
  <c r="AB9" i="24" s="1"/>
  <c r="X3" i="24"/>
  <c r="X9" i="24" s="1"/>
  <c r="T3" i="24"/>
  <c r="D95" i="23"/>
  <c r="H95" i="23"/>
  <c r="G84" i="23"/>
  <c r="G85" i="23"/>
  <c r="G86" i="23"/>
  <c r="G83" i="23"/>
  <c r="G67" i="23"/>
  <c r="I68" i="23"/>
  <c r="H68" i="23" s="1"/>
  <c r="G64" i="23"/>
  <c r="AC88" i="23"/>
  <c r="Y88" i="23"/>
  <c r="AC83" i="23"/>
  <c r="Y83" i="23"/>
  <c r="AC82" i="23"/>
  <c r="Y82" i="23"/>
  <c r="G82" i="23"/>
  <c r="AC81" i="23"/>
  <c r="Y81" i="23"/>
  <c r="AC80" i="23"/>
  <c r="Y80" i="23"/>
  <c r="G80" i="23"/>
  <c r="AC79" i="23"/>
  <c r="Y79" i="23"/>
  <c r="AC78" i="23"/>
  <c r="Y78" i="23"/>
  <c r="G78" i="23"/>
  <c r="AC77" i="23"/>
  <c r="Y77" i="23"/>
  <c r="G77" i="23"/>
  <c r="AC76" i="23"/>
  <c r="Y76" i="23"/>
  <c r="G76" i="23"/>
  <c r="AC75" i="23"/>
  <c r="Y75" i="23"/>
  <c r="AC74" i="23"/>
  <c r="Y74" i="23"/>
  <c r="G74" i="23"/>
  <c r="AC73" i="23"/>
  <c r="Y73" i="23"/>
  <c r="AC72" i="23"/>
  <c r="Y72" i="23"/>
  <c r="G72" i="23"/>
  <c r="D69" i="23"/>
  <c r="AC68" i="23"/>
  <c r="Y68" i="23"/>
  <c r="U68" i="23"/>
  <c r="Q68" i="23"/>
  <c r="M68" i="23"/>
  <c r="G68" i="23"/>
  <c r="AC64" i="23"/>
  <c r="Y64" i="23"/>
  <c r="AC63" i="23"/>
  <c r="Y63" i="23"/>
  <c r="G63" i="23"/>
  <c r="AC62" i="23"/>
  <c r="Y62" i="23"/>
  <c r="G62" i="23"/>
  <c r="AC61" i="23"/>
  <c r="Y61" i="23"/>
  <c r="G61" i="23"/>
  <c r="AC60" i="23"/>
  <c r="Y60" i="23"/>
  <c r="G60" i="23"/>
  <c r="AC59" i="23"/>
  <c r="Y59" i="23"/>
  <c r="D53" i="23"/>
  <c r="L51" i="23"/>
  <c r="H42" i="27" s="1"/>
  <c r="M42" i="27" s="1"/>
  <c r="G51" i="23"/>
  <c r="AC50" i="23"/>
  <c r="Y50" i="23"/>
  <c r="U50" i="23"/>
  <c r="Q50" i="23"/>
  <c r="M50" i="23"/>
  <c r="I50" i="23"/>
  <c r="E50" i="23"/>
  <c r="AC49" i="23"/>
  <c r="Y49" i="23"/>
  <c r="U49" i="23"/>
  <c r="Q49" i="23"/>
  <c r="M49" i="23"/>
  <c r="I49" i="23"/>
  <c r="E49" i="23"/>
  <c r="AC48" i="23"/>
  <c r="Y48" i="23"/>
  <c r="U48" i="23"/>
  <c r="Q48" i="23"/>
  <c r="M48" i="23"/>
  <c r="G48" i="23"/>
  <c r="AC47" i="23"/>
  <c r="Y47" i="23"/>
  <c r="U47" i="23"/>
  <c r="Q47" i="23"/>
  <c r="M47" i="23"/>
  <c r="I47" i="23"/>
  <c r="E47" i="23"/>
  <c r="AC46" i="23"/>
  <c r="Y46" i="23"/>
  <c r="U46" i="23"/>
  <c r="Q46" i="23"/>
  <c r="M46" i="23"/>
  <c r="I46" i="23"/>
  <c r="E46" i="23"/>
  <c r="AC45" i="23"/>
  <c r="Y45" i="23"/>
  <c r="U45" i="23"/>
  <c r="Q45" i="23"/>
  <c r="M45" i="23"/>
  <c r="I45" i="23"/>
  <c r="E45" i="23"/>
  <c r="U44" i="23"/>
  <c r="Q44" i="23"/>
  <c r="M44" i="23"/>
  <c r="I44" i="23"/>
  <c r="G44" i="23"/>
  <c r="E44" i="23"/>
  <c r="AC39" i="23"/>
  <c r="Y39" i="23"/>
  <c r="U39" i="23"/>
  <c r="Q39" i="23"/>
  <c r="I39" i="23"/>
  <c r="G39" i="23"/>
  <c r="AC38" i="23"/>
  <c r="Y38" i="23"/>
  <c r="U38" i="23"/>
  <c r="Q38" i="23"/>
  <c r="I38" i="23"/>
  <c r="G38" i="23"/>
  <c r="AC37" i="23"/>
  <c r="Y37" i="23"/>
  <c r="U37" i="23"/>
  <c r="Q37" i="23"/>
  <c r="P37" i="23"/>
  <c r="T37" i="23" s="1"/>
  <c r="AC36" i="23"/>
  <c r="Y36" i="23"/>
  <c r="U36" i="23"/>
  <c r="Q36" i="23"/>
  <c r="AC35" i="23"/>
  <c r="Y35" i="23"/>
  <c r="U35" i="23"/>
  <c r="Q35" i="23"/>
  <c r="G35" i="23"/>
  <c r="AC34" i="23"/>
  <c r="Y34" i="23"/>
  <c r="U34" i="23"/>
  <c r="Q34" i="23"/>
  <c r="G34" i="23"/>
  <c r="AC33" i="23"/>
  <c r="Y33" i="23"/>
  <c r="U33" i="23"/>
  <c r="Q33" i="23"/>
  <c r="D30" i="23"/>
  <c r="G30" i="23" s="1"/>
  <c r="AC28" i="23"/>
  <c r="Y28" i="23"/>
  <c r="U28" i="23"/>
  <c r="Q28" i="23"/>
  <c r="M28" i="23"/>
  <c r="I28" i="23"/>
  <c r="H28" i="23"/>
  <c r="L28" i="23" s="1"/>
  <c r="O28" i="23" s="1"/>
  <c r="G28" i="23"/>
  <c r="AC27" i="23"/>
  <c r="Y27" i="23"/>
  <c r="U27" i="23"/>
  <c r="Q27" i="23"/>
  <c r="M27" i="23"/>
  <c r="I27" i="23"/>
  <c r="H27" i="23"/>
  <c r="L27" i="23" s="1"/>
  <c r="G27" i="23"/>
  <c r="AC26" i="23"/>
  <c r="Y26" i="23"/>
  <c r="U26" i="23"/>
  <c r="Q26" i="23"/>
  <c r="M26" i="23"/>
  <c r="I26" i="23"/>
  <c r="H26" i="23"/>
  <c r="L26" i="23" s="1"/>
  <c r="P26" i="23" s="1"/>
  <c r="G26" i="23"/>
  <c r="AC25" i="23"/>
  <c r="Y25" i="23"/>
  <c r="U25" i="23"/>
  <c r="Q25" i="23"/>
  <c r="M25" i="23"/>
  <c r="I25" i="23"/>
  <c r="H25" i="23"/>
  <c r="L25" i="23" s="1"/>
  <c r="G25" i="23"/>
  <c r="AC24" i="23"/>
  <c r="Y24" i="23"/>
  <c r="U24" i="23"/>
  <c r="Q24" i="23"/>
  <c r="M24" i="23"/>
  <c r="I24" i="23"/>
  <c r="H24" i="23"/>
  <c r="L24" i="23" s="1"/>
  <c r="O24" i="23" s="1"/>
  <c r="G24" i="23"/>
  <c r="AC23" i="23"/>
  <c r="Y23" i="23"/>
  <c r="U23" i="23"/>
  <c r="Q23" i="23"/>
  <c r="M23" i="23"/>
  <c r="I23" i="23"/>
  <c r="H23" i="23"/>
  <c r="K23" i="23" s="1"/>
  <c r="G23" i="23"/>
  <c r="AC22" i="23"/>
  <c r="Y22" i="23"/>
  <c r="U22" i="23"/>
  <c r="Q22" i="23"/>
  <c r="M22" i="23"/>
  <c r="I22" i="23"/>
  <c r="H22" i="23"/>
  <c r="L22" i="23" s="1"/>
  <c r="P22" i="23" s="1"/>
  <c r="G22" i="23"/>
  <c r="AC21" i="23"/>
  <c r="Y21" i="23"/>
  <c r="U21" i="23"/>
  <c r="Q21" i="23"/>
  <c r="M21" i="23"/>
  <c r="I21" i="23"/>
  <c r="H21" i="23"/>
  <c r="L21" i="23" s="1"/>
  <c r="O21" i="23" s="1"/>
  <c r="G21" i="23"/>
  <c r="G10" i="23"/>
  <c r="AB9" i="23"/>
  <c r="D11" i="23"/>
  <c r="H6" i="23"/>
  <c r="L6" i="23" s="1"/>
  <c r="P6" i="23" s="1"/>
  <c r="T6" i="23" s="1"/>
  <c r="X6" i="23" s="1"/>
  <c r="AB6" i="23" s="1"/>
  <c r="AB3" i="23"/>
  <c r="X3" i="23"/>
  <c r="X9" i="23" s="1"/>
  <c r="X60" i="20"/>
  <c r="AB60" i="20" s="1"/>
  <c r="E13" i="22"/>
  <c r="D5" i="22"/>
  <c r="E6" i="22"/>
  <c r="F6" i="22" s="1"/>
  <c r="G6" i="22" s="1"/>
  <c r="H6" i="22" s="1"/>
  <c r="I6" i="22" s="1"/>
  <c r="J6" i="22" s="1"/>
  <c r="E3" i="22"/>
  <c r="F3" i="22" s="1"/>
  <c r="G3" i="22" s="1"/>
  <c r="H3" i="22" s="1"/>
  <c r="I3" i="22" s="1"/>
  <c r="J3" i="22" s="1"/>
  <c r="K48" i="24" l="1"/>
  <c r="Q96" i="25"/>
  <c r="I96" i="25"/>
  <c r="Q95" i="23"/>
  <c r="O85" i="25"/>
  <c r="M96" i="25"/>
  <c r="K34" i="24"/>
  <c r="AB11" i="24"/>
  <c r="H48" i="27"/>
  <c r="M95" i="23"/>
  <c r="F48" i="27"/>
  <c r="I95" i="23"/>
  <c r="F21" i="27"/>
  <c r="F20" i="42" s="1"/>
  <c r="K102" i="30"/>
  <c r="K67" i="23"/>
  <c r="L67" i="23"/>
  <c r="P67" i="23" s="1"/>
  <c r="P26" i="31"/>
  <c r="L33" i="25"/>
  <c r="P33" i="25" s="1"/>
  <c r="S33" i="25" s="1"/>
  <c r="K23" i="24"/>
  <c r="H30" i="24"/>
  <c r="K27" i="24"/>
  <c r="K35" i="24"/>
  <c r="K51" i="24"/>
  <c r="P35" i="23"/>
  <c r="T35" i="23" s="1"/>
  <c r="X35" i="23" s="1"/>
  <c r="W35" i="23" s="1"/>
  <c r="K22" i="23"/>
  <c r="L48" i="24"/>
  <c r="P48" i="24" s="1"/>
  <c r="P15" i="30"/>
  <c r="G32" i="22"/>
  <c r="G14" i="22" s="1"/>
  <c r="S9" i="24"/>
  <c r="K15" i="30"/>
  <c r="P51" i="23"/>
  <c r="O42" i="27" s="1"/>
  <c r="P42" i="27" s="1"/>
  <c r="K51" i="23"/>
  <c r="D32" i="22"/>
  <c r="H32" i="22"/>
  <c r="E32" i="22"/>
  <c r="I32" i="22"/>
  <c r="I8" i="22" s="1"/>
  <c r="F32" i="22"/>
  <c r="J32" i="22"/>
  <c r="K65" i="23"/>
  <c r="K62" i="24"/>
  <c r="L62" i="24"/>
  <c r="P62" i="24" s="1"/>
  <c r="K64" i="24"/>
  <c r="L64" i="24"/>
  <c r="P64" i="24" s="1"/>
  <c r="L27" i="25"/>
  <c r="P27" i="25" s="1"/>
  <c r="T27" i="25" s="1"/>
  <c r="L79" i="25"/>
  <c r="O79" i="25" s="1"/>
  <c r="L35" i="25"/>
  <c r="P35" i="25" s="1"/>
  <c r="S35" i="25" s="1"/>
  <c r="X9" i="25"/>
  <c r="AB9" i="25" s="1"/>
  <c r="S9" i="25"/>
  <c r="L37" i="25"/>
  <c r="P37" i="25" s="1"/>
  <c r="S37" i="25" s="1"/>
  <c r="L52" i="25"/>
  <c r="P52" i="25" s="1"/>
  <c r="AB11" i="25"/>
  <c r="L39" i="25"/>
  <c r="P39" i="25" s="1"/>
  <c r="S39" i="25" s="1"/>
  <c r="L77" i="25"/>
  <c r="O77" i="25" s="1"/>
  <c r="L48" i="25"/>
  <c r="O48" i="25" s="1"/>
  <c r="L60" i="25"/>
  <c r="O60" i="25" s="1"/>
  <c r="L62" i="25"/>
  <c r="O62" i="25" s="1"/>
  <c r="L51" i="25"/>
  <c r="O51" i="25" s="1"/>
  <c r="L34" i="25"/>
  <c r="K36" i="25"/>
  <c r="K38" i="25"/>
  <c r="H41" i="25"/>
  <c r="H45" i="25" s="1"/>
  <c r="K45" i="25" s="1"/>
  <c r="K21" i="25"/>
  <c r="K25" i="25"/>
  <c r="K48" i="25"/>
  <c r="L61" i="25"/>
  <c r="P61" i="25" s="1"/>
  <c r="L75" i="25"/>
  <c r="O75" i="25" s="1"/>
  <c r="L73" i="25"/>
  <c r="O73" i="25" s="1"/>
  <c r="K60" i="25"/>
  <c r="L72" i="25"/>
  <c r="P72" i="25" s="1"/>
  <c r="O9" i="25"/>
  <c r="L11" i="25"/>
  <c r="Q11" i="25" s="1"/>
  <c r="T25" i="25"/>
  <c r="S25" i="25"/>
  <c r="P13" i="25"/>
  <c r="P24" i="25"/>
  <c r="O24" i="25"/>
  <c r="O28" i="25"/>
  <c r="P28" i="25"/>
  <c r="G9" i="25"/>
  <c r="D11" i="25"/>
  <c r="T11" i="25"/>
  <c r="S11" i="25" s="1"/>
  <c r="T23" i="25"/>
  <c r="S23" i="25"/>
  <c r="S27" i="25"/>
  <c r="H11" i="25"/>
  <c r="K9" i="25"/>
  <c r="P22" i="25"/>
  <c r="O22" i="25"/>
  <c r="P26" i="25"/>
  <c r="O26" i="25"/>
  <c r="L30" i="25"/>
  <c r="H30" i="25"/>
  <c r="T36" i="25"/>
  <c r="T39" i="25"/>
  <c r="D55" i="25"/>
  <c r="G55" i="25" s="1"/>
  <c r="G53" i="25"/>
  <c r="K69" i="25"/>
  <c r="K70" i="25"/>
  <c r="K22" i="25"/>
  <c r="K24" i="25"/>
  <c r="K26" i="25"/>
  <c r="K28" i="25"/>
  <c r="O33" i="25"/>
  <c r="O38" i="25"/>
  <c r="P51" i="25"/>
  <c r="L63" i="25"/>
  <c r="K63" i="25"/>
  <c r="O21" i="25"/>
  <c r="O23" i="25"/>
  <c r="O25" i="25"/>
  <c r="O27" i="25"/>
  <c r="O36" i="25"/>
  <c r="H66" i="25"/>
  <c r="K59" i="25"/>
  <c r="L64" i="25"/>
  <c r="K64" i="25"/>
  <c r="K65" i="25"/>
  <c r="L74" i="25"/>
  <c r="K74" i="25"/>
  <c r="L76" i="25"/>
  <c r="K76" i="25"/>
  <c r="L78" i="25"/>
  <c r="K78" i="25"/>
  <c r="L80" i="25"/>
  <c r="K80" i="25"/>
  <c r="P21" i="25"/>
  <c r="T38" i="25"/>
  <c r="K73" i="25"/>
  <c r="K75" i="25"/>
  <c r="K77" i="25"/>
  <c r="K79" i="25"/>
  <c r="P69" i="24"/>
  <c r="O69" i="24" s="1"/>
  <c r="K69" i="24"/>
  <c r="O59" i="24"/>
  <c r="K59" i="24"/>
  <c r="P52" i="24"/>
  <c r="O52" i="24"/>
  <c r="P51" i="24"/>
  <c r="T51" i="24" s="1"/>
  <c r="O51" i="24"/>
  <c r="K52" i="24"/>
  <c r="K38" i="24"/>
  <c r="K39" i="24"/>
  <c r="P25" i="24"/>
  <c r="O25" i="24"/>
  <c r="K25" i="24"/>
  <c r="O27" i="24"/>
  <c r="L28" i="24"/>
  <c r="K21" i="24"/>
  <c r="K9" i="24"/>
  <c r="H11" i="24"/>
  <c r="AA9" i="24"/>
  <c r="X11" i="24"/>
  <c r="W22" i="24"/>
  <c r="X22" i="24"/>
  <c r="L11" i="24"/>
  <c r="O9" i="24"/>
  <c r="G9" i="24"/>
  <c r="D11" i="24"/>
  <c r="F12" i="27" s="1"/>
  <c r="F12" i="28" s="1"/>
  <c r="U12" i="28" s="1"/>
  <c r="W9" i="24"/>
  <c r="T11" i="24"/>
  <c r="P11" i="24"/>
  <c r="P37" i="24"/>
  <c r="P23" i="24"/>
  <c r="L24" i="24"/>
  <c r="P35" i="24"/>
  <c r="K37" i="24"/>
  <c r="P39" i="24"/>
  <c r="H66" i="24"/>
  <c r="K60" i="24"/>
  <c r="L60" i="24"/>
  <c r="L71" i="24"/>
  <c r="K71" i="24"/>
  <c r="L73" i="24"/>
  <c r="K73" i="24"/>
  <c r="L75" i="24"/>
  <c r="K75" i="24"/>
  <c r="L77" i="24"/>
  <c r="K77" i="24"/>
  <c r="L79" i="24"/>
  <c r="K79" i="24"/>
  <c r="P36" i="24"/>
  <c r="D55" i="24"/>
  <c r="G55" i="24" s="1"/>
  <c r="S22" i="24"/>
  <c r="H41" i="24"/>
  <c r="L33" i="24"/>
  <c r="O22" i="24"/>
  <c r="L26" i="24"/>
  <c r="T27" i="24"/>
  <c r="P34" i="24"/>
  <c r="K36" i="24"/>
  <c r="P38" i="24"/>
  <c r="T52" i="24"/>
  <c r="S52" i="24"/>
  <c r="L70" i="24"/>
  <c r="K70" i="24"/>
  <c r="L72" i="24"/>
  <c r="K72" i="24"/>
  <c r="L74" i="24"/>
  <c r="K74" i="24"/>
  <c r="L76" i="24"/>
  <c r="K76" i="24"/>
  <c r="L78" i="24"/>
  <c r="K78" i="24"/>
  <c r="L80" i="24"/>
  <c r="K80" i="24"/>
  <c r="L61" i="24"/>
  <c r="K61" i="24"/>
  <c r="L63" i="24"/>
  <c r="K63" i="24"/>
  <c r="L65" i="24"/>
  <c r="K65" i="24"/>
  <c r="K39" i="23"/>
  <c r="P39" i="23"/>
  <c r="T39" i="23" s="1"/>
  <c r="X39" i="23" s="1"/>
  <c r="L23" i="23"/>
  <c r="O23" i="23" s="1"/>
  <c r="K28" i="23"/>
  <c r="K59" i="23"/>
  <c r="K73" i="23"/>
  <c r="O87" i="23"/>
  <c r="G87" i="23"/>
  <c r="G75" i="23"/>
  <c r="L88" i="23"/>
  <c r="G81" i="23"/>
  <c r="G79" i="23"/>
  <c r="G73" i="23"/>
  <c r="K86" i="23"/>
  <c r="K84" i="23"/>
  <c r="K85" i="23"/>
  <c r="G65" i="23"/>
  <c r="O67" i="23"/>
  <c r="G66" i="23"/>
  <c r="G59" i="23"/>
  <c r="G37" i="23"/>
  <c r="K37" i="23"/>
  <c r="G36" i="23"/>
  <c r="O37" i="23"/>
  <c r="P33" i="23"/>
  <c r="T33" i="23" s="1"/>
  <c r="X33" i="23" s="1"/>
  <c r="W33" i="23" s="1"/>
  <c r="K33" i="23"/>
  <c r="G33" i="23"/>
  <c r="O27" i="23"/>
  <c r="P27" i="23"/>
  <c r="T27" i="23" s="1"/>
  <c r="X27" i="23" s="1"/>
  <c r="AB27" i="23" s="1"/>
  <c r="K21" i="23"/>
  <c r="K27" i="23"/>
  <c r="P28" i="23"/>
  <c r="T28" i="23" s="1"/>
  <c r="X28" i="23" s="1"/>
  <c r="T22" i="23"/>
  <c r="S22" i="23"/>
  <c r="AA9" i="23"/>
  <c r="W28" i="23"/>
  <c r="O25" i="23"/>
  <c r="P25" i="23"/>
  <c r="T26" i="23"/>
  <c r="S26" i="23"/>
  <c r="H30" i="23"/>
  <c r="O22" i="23"/>
  <c r="P24" i="23"/>
  <c r="K25" i="23"/>
  <c r="K26" i="23"/>
  <c r="S28" i="23"/>
  <c r="H41" i="23"/>
  <c r="K34" i="23"/>
  <c r="P36" i="23"/>
  <c r="O36" i="23" s="1"/>
  <c r="P21" i="23"/>
  <c r="K24" i="23"/>
  <c r="X37" i="23"/>
  <c r="W37" i="23" s="1"/>
  <c r="O26" i="23"/>
  <c r="T51" i="23"/>
  <c r="P38" i="23"/>
  <c r="O38" i="23" s="1"/>
  <c r="K36" i="23"/>
  <c r="S37" i="23"/>
  <c r="K38" i="23"/>
  <c r="K60" i="23"/>
  <c r="K61" i="23"/>
  <c r="L68" i="23"/>
  <c r="K68" i="23"/>
  <c r="K72" i="23"/>
  <c r="O79" i="23"/>
  <c r="K80" i="23"/>
  <c r="H69" i="23"/>
  <c r="I69" i="23" s="1"/>
  <c r="K64" i="23"/>
  <c r="K78" i="23"/>
  <c r="K63" i="23"/>
  <c r="K76" i="23"/>
  <c r="D55" i="23"/>
  <c r="K62" i="23"/>
  <c r="K74" i="23"/>
  <c r="K82" i="23"/>
  <c r="K79" i="23"/>
  <c r="I22" i="26" l="1"/>
  <c r="Q22" i="26" s="1"/>
  <c r="R22" i="26" s="1"/>
  <c r="S26" i="31"/>
  <c r="T33" i="25"/>
  <c r="W39" i="23"/>
  <c r="O39" i="23"/>
  <c r="I21" i="42"/>
  <c r="O48" i="27"/>
  <c r="P48" i="27" s="1"/>
  <c r="P48" i="23"/>
  <c r="T48" i="23" s="1"/>
  <c r="M48" i="27"/>
  <c r="N48" i="27" s="1"/>
  <c r="O51" i="23"/>
  <c r="O35" i="25"/>
  <c r="AA9" i="25"/>
  <c r="W9" i="25"/>
  <c r="X11" i="25"/>
  <c r="S35" i="23"/>
  <c r="K35" i="23"/>
  <c r="D15" i="25"/>
  <c r="D26" i="31"/>
  <c r="F22" i="27"/>
  <c r="H50" i="25"/>
  <c r="K50" i="25" s="1"/>
  <c r="M11" i="25"/>
  <c r="I11" i="25"/>
  <c r="G21" i="42"/>
  <c r="G41" i="23"/>
  <c r="I41" i="23"/>
  <c r="F21" i="26"/>
  <c r="P60" i="25"/>
  <c r="S60" i="25" s="1"/>
  <c r="S15" i="30"/>
  <c r="Q15" i="30"/>
  <c r="F48" i="28"/>
  <c r="U48" i="28" s="1"/>
  <c r="H48" i="28"/>
  <c r="G48" i="28"/>
  <c r="P23" i="23"/>
  <c r="T23" i="23" s="1"/>
  <c r="O64" i="24"/>
  <c r="K88" i="23"/>
  <c r="P88" i="23"/>
  <c r="H22" i="27"/>
  <c r="O35" i="23"/>
  <c r="T35" i="25"/>
  <c r="X35" i="25" s="1"/>
  <c r="O52" i="25"/>
  <c r="S51" i="24"/>
  <c r="O62" i="24"/>
  <c r="O48" i="24"/>
  <c r="O73" i="23"/>
  <c r="H89" i="23"/>
  <c r="O65" i="23"/>
  <c r="S33" i="23"/>
  <c r="I48" i="28"/>
  <c r="L30" i="23"/>
  <c r="O15" i="30"/>
  <c r="S51" i="23"/>
  <c r="K77" i="23"/>
  <c r="O59" i="23"/>
  <c r="P79" i="25"/>
  <c r="T79" i="25" s="1"/>
  <c r="P77" i="25"/>
  <c r="T77" i="25" s="1"/>
  <c r="K41" i="25"/>
  <c r="O39" i="25"/>
  <c r="T37" i="25"/>
  <c r="W37" i="25" s="1"/>
  <c r="L41" i="25"/>
  <c r="O41" i="25" s="1"/>
  <c r="H47" i="25"/>
  <c r="K47" i="25" s="1"/>
  <c r="P113" i="25"/>
  <c r="O37" i="25"/>
  <c r="P75" i="25"/>
  <c r="S75" i="25" s="1"/>
  <c r="P48" i="25"/>
  <c r="S48" i="25" s="1"/>
  <c r="O72" i="25"/>
  <c r="P62" i="25"/>
  <c r="S62" i="25" s="1"/>
  <c r="O61" i="25"/>
  <c r="H46" i="25"/>
  <c r="K46" i="25" s="1"/>
  <c r="P34" i="25"/>
  <c r="O34" i="25"/>
  <c r="H49" i="25"/>
  <c r="K49" i="25" s="1"/>
  <c r="P73" i="25"/>
  <c r="T73" i="25" s="1"/>
  <c r="O71" i="25"/>
  <c r="P78" i="25"/>
  <c r="O78" i="25"/>
  <c r="P74" i="25"/>
  <c r="O74" i="25"/>
  <c r="O64" i="25"/>
  <c r="P64" i="25"/>
  <c r="P63" i="25"/>
  <c r="O63" i="25"/>
  <c r="L45" i="25"/>
  <c r="O45" i="25" s="1"/>
  <c r="L47" i="25"/>
  <c r="O47" i="25" s="1"/>
  <c r="L46" i="25"/>
  <c r="O46" i="25" s="1"/>
  <c r="O30" i="25"/>
  <c r="L44" i="25"/>
  <c r="S22" i="25"/>
  <c r="T22" i="25"/>
  <c r="H13" i="25"/>
  <c r="K11" i="25"/>
  <c r="X23" i="25"/>
  <c r="W23" i="25"/>
  <c r="S24" i="25"/>
  <c r="T24" i="25"/>
  <c r="X38" i="25"/>
  <c r="W38" i="25"/>
  <c r="O59" i="25"/>
  <c r="L66" i="25"/>
  <c r="S52" i="25"/>
  <c r="T52" i="25"/>
  <c r="T61" i="25"/>
  <c r="S61" i="25"/>
  <c r="X39" i="25"/>
  <c r="W39" i="25"/>
  <c r="T13" i="25"/>
  <c r="W11" i="25"/>
  <c r="T28" i="25"/>
  <c r="S28" i="25"/>
  <c r="X33" i="25"/>
  <c r="W33" i="25"/>
  <c r="P80" i="25"/>
  <c r="O80" i="25"/>
  <c r="P76" i="25"/>
  <c r="O76" i="25"/>
  <c r="O65" i="25"/>
  <c r="S51" i="25"/>
  <c r="T51" i="25"/>
  <c r="T72" i="25"/>
  <c r="S72" i="25"/>
  <c r="O69" i="25"/>
  <c r="X36" i="25"/>
  <c r="W36" i="25"/>
  <c r="S26" i="25"/>
  <c r="T26" i="25"/>
  <c r="X13" i="25"/>
  <c r="X113" i="25" s="1"/>
  <c r="AA11" i="25"/>
  <c r="X27" i="25"/>
  <c r="W27" i="25"/>
  <c r="P30" i="25"/>
  <c r="T21" i="25"/>
  <c r="S21" i="25"/>
  <c r="O70" i="25"/>
  <c r="H44" i="25"/>
  <c r="K30" i="25"/>
  <c r="D13" i="25"/>
  <c r="G11" i="25"/>
  <c r="X25" i="25"/>
  <c r="W25" i="25"/>
  <c r="L13" i="25"/>
  <c r="L113" i="25" s="1"/>
  <c r="O11" i="25"/>
  <c r="T69" i="24"/>
  <c r="S69" i="24" s="1"/>
  <c r="T59" i="24"/>
  <c r="S59" i="24" s="1"/>
  <c r="G66" i="24"/>
  <c r="P21" i="24"/>
  <c r="O21" i="24" s="1"/>
  <c r="P28" i="24"/>
  <c r="O28" i="24"/>
  <c r="S25" i="24"/>
  <c r="T25" i="24"/>
  <c r="X51" i="24"/>
  <c r="W51" i="24"/>
  <c r="O79" i="24"/>
  <c r="P79" i="24"/>
  <c r="O75" i="24"/>
  <c r="P75" i="24"/>
  <c r="O71" i="24"/>
  <c r="P71" i="24"/>
  <c r="P60" i="24"/>
  <c r="O60" i="24"/>
  <c r="P65" i="24"/>
  <c r="O65" i="24"/>
  <c r="P61" i="24"/>
  <c r="O61" i="24"/>
  <c r="P78" i="24"/>
  <c r="O78" i="24"/>
  <c r="P74" i="24"/>
  <c r="O74" i="24"/>
  <c r="P70" i="24"/>
  <c r="O70" i="24"/>
  <c r="T62" i="24"/>
  <c r="S62" i="24"/>
  <c r="T34" i="24"/>
  <c r="S34" i="24"/>
  <c r="T39" i="24"/>
  <c r="S39" i="24"/>
  <c r="P24" i="24"/>
  <c r="O24" i="24"/>
  <c r="D13" i="24"/>
  <c r="D15" i="24" s="1"/>
  <c r="G11" i="24"/>
  <c r="L13" i="24"/>
  <c r="L15" i="24" s="1"/>
  <c r="O11" i="24"/>
  <c r="X13" i="24"/>
  <c r="X15" i="24" s="1"/>
  <c r="AA15" i="24" s="1"/>
  <c r="AA11" i="24"/>
  <c r="X52" i="24"/>
  <c r="W52" i="24"/>
  <c r="X27" i="24"/>
  <c r="W27" i="24"/>
  <c r="L41" i="24"/>
  <c r="O33" i="24"/>
  <c r="P33" i="24"/>
  <c r="T48" i="24"/>
  <c r="S48" i="24"/>
  <c r="O77" i="24"/>
  <c r="P77" i="24"/>
  <c r="O73" i="24"/>
  <c r="P73" i="24"/>
  <c r="S23" i="24"/>
  <c r="T23" i="24"/>
  <c r="P13" i="24"/>
  <c r="P15" i="24" s="1"/>
  <c r="S11" i="24"/>
  <c r="AA22" i="24"/>
  <c r="AB22" i="24"/>
  <c r="P63" i="24"/>
  <c r="O63" i="24"/>
  <c r="P80" i="24"/>
  <c r="O80" i="24"/>
  <c r="P76" i="24"/>
  <c r="O76" i="24"/>
  <c r="P72" i="24"/>
  <c r="O72" i="24"/>
  <c r="T64" i="24"/>
  <c r="S64" i="24"/>
  <c r="T38" i="24"/>
  <c r="S38" i="24"/>
  <c r="P26" i="24"/>
  <c r="O26" i="24"/>
  <c r="H45" i="24"/>
  <c r="K45" i="24" s="1"/>
  <c r="H49" i="24"/>
  <c r="K49" i="24" s="1"/>
  <c r="K41" i="24"/>
  <c r="H46" i="24"/>
  <c r="K46" i="24" s="1"/>
  <c r="T36" i="24"/>
  <c r="S36" i="24"/>
  <c r="L66" i="24"/>
  <c r="T35" i="24"/>
  <c r="S35" i="24"/>
  <c r="T13" i="24"/>
  <c r="T15" i="24" s="1"/>
  <c r="W11" i="24"/>
  <c r="H13" i="24"/>
  <c r="K11" i="24"/>
  <c r="T37" i="24"/>
  <c r="S37" i="24"/>
  <c r="L30" i="24"/>
  <c r="K30" i="24" s="1"/>
  <c r="S39" i="23"/>
  <c r="O88" i="23"/>
  <c r="K87" i="23"/>
  <c r="K75" i="23"/>
  <c r="O75" i="23"/>
  <c r="K83" i="23"/>
  <c r="K81" i="23"/>
  <c r="O81" i="23"/>
  <c r="O77" i="23"/>
  <c r="O83" i="23"/>
  <c r="O84" i="23"/>
  <c r="O86" i="23"/>
  <c r="O85" i="23"/>
  <c r="O66" i="23"/>
  <c r="K66" i="23"/>
  <c r="G69" i="23"/>
  <c r="K48" i="23"/>
  <c r="L69" i="23"/>
  <c r="M69" i="23" s="1"/>
  <c r="L41" i="23"/>
  <c r="O33" i="23"/>
  <c r="W27" i="23"/>
  <c r="AA27" i="23"/>
  <c r="S27" i="23"/>
  <c r="O64" i="23"/>
  <c r="P68" i="23"/>
  <c r="O68" i="23"/>
  <c r="O82" i="23"/>
  <c r="O74" i="23"/>
  <c r="O63" i="23"/>
  <c r="O78" i="23"/>
  <c r="O80" i="23"/>
  <c r="O72" i="23"/>
  <c r="P34" i="23"/>
  <c r="O34" i="23" s="1"/>
  <c r="S24" i="23"/>
  <c r="T24" i="23"/>
  <c r="T25" i="23"/>
  <c r="S25" i="23"/>
  <c r="O61" i="23"/>
  <c r="T38" i="23"/>
  <c r="S38" i="23" s="1"/>
  <c r="AB35" i="23"/>
  <c r="AA35" i="23" s="1"/>
  <c r="AB37" i="23"/>
  <c r="AA37" i="23" s="1"/>
  <c r="P30" i="23"/>
  <c r="P44" i="23" s="1"/>
  <c r="T21" i="23"/>
  <c r="S21" i="23"/>
  <c r="T36" i="23"/>
  <c r="S36" i="23" s="1"/>
  <c r="G45" i="23"/>
  <c r="G49" i="23"/>
  <c r="G46" i="23"/>
  <c r="G50" i="23"/>
  <c r="G47" i="23"/>
  <c r="W22" i="23"/>
  <c r="X22" i="23"/>
  <c r="O60" i="23"/>
  <c r="X51" i="23"/>
  <c r="W51" i="23" s="1"/>
  <c r="L44" i="23"/>
  <c r="O30" i="23"/>
  <c r="AB28" i="23"/>
  <c r="AA28" i="23"/>
  <c r="O62" i="23"/>
  <c r="AB33" i="23"/>
  <c r="AA33" i="23" s="1"/>
  <c r="AB39" i="23"/>
  <c r="AA39" i="23" s="1"/>
  <c r="H44" i="23"/>
  <c r="H53" i="23" s="1"/>
  <c r="K30" i="23"/>
  <c r="W26" i="23"/>
  <c r="X26" i="23"/>
  <c r="O76" i="23"/>
  <c r="I14" i="22"/>
  <c r="I35" i="22" s="1"/>
  <c r="I36" i="22" s="1"/>
  <c r="G35" i="22"/>
  <c r="G36" i="22" s="1"/>
  <c r="W35" i="25" l="1"/>
  <c r="O48" i="23"/>
  <c r="H21" i="42"/>
  <c r="Q21" i="42" s="1"/>
  <c r="R21" i="42" s="1"/>
  <c r="M22" i="27"/>
  <c r="N22" i="27" s="1"/>
  <c r="O22" i="27"/>
  <c r="P22" i="27" s="1"/>
  <c r="F22" i="26"/>
  <c r="F22" i="28" s="1"/>
  <c r="U22" i="28" s="1"/>
  <c r="F21" i="42"/>
  <c r="F22" i="42" s="1"/>
  <c r="F24" i="42" s="1"/>
  <c r="S48" i="23"/>
  <c r="X48" i="23"/>
  <c r="W48" i="23" s="1"/>
  <c r="O26" i="31"/>
  <c r="H22" i="26"/>
  <c r="H22" i="28" s="1"/>
  <c r="K66" i="25"/>
  <c r="K49" i="23"/>
  <c r="K45" i="23"/>
  <c r="K46" i="23"/>
  <c r="T60" i="25"/>
  <c r="W60" i="25" s="1"/>
  <c r="X48" i="28"/>
  <c r="Q48" i="28"/>
  <c r="R48" i="28" s="1"/>
  <c r="V48" i="28"/>
  <c r="M48" i="28"/>
  <c r="N48" i="28" s="1"/>
  <c r="W48" i="28"/>
  <c r="O48" i="28"/>
  <c r="P48" i="28" s="1"/>
  <c r="I22" i="28"/>
  <c r="S23" i="23"/>
  <c r="G26" i="31"/>
  <c r="D29" i="31"/>
  <c r="F23" i="27"/>
  <c r="K41" i="23"/>
  <c r="M41" i="23"/>
  <c r="U24" i="28"/>
  <c r="F21" i="28"/>
  <c r="U21" i="28" s="1"/>
  <c r="K26" i="31"/>
  <c r="K69" i="23"/>
  <c r="X37" i="25"/>
  <c r="AB37" i="25" s="1"/>
  <c r="T62" i="25"/>
  <c r="X62" i="25" s="1"/>
  <c r="S77" i="25"/>
  <c r="S15" i="24"/>
  <c r="S79" i="25"/>
  <c r="P89" i="23"/>
  <c r="T48" i="25"/>
  <c r="W48" i="25" s="1"/>
  <c r="T75" i="25"/>
  <c r="W75" i="25" s="1"/>
  <c r="L50" i="25"/>
  <c r="O50" i="25" s="1"/>
  <c r="L49" i="25"/>
  <c r="O49" i="25" s="1"/>
  <c r="S13" i="25"/>
  <c r="T113" i="25"/>
  <c r="H113" i="25"/>
  <c r="S73" i="25"/>
  <c r="S34" i="25"/>
  <c r="P41" i="25"/>
  <c r="T34" i="25"/>
  <c r="S71" i="25"/>
  <c r="O13" i="25"/>
  <c r="AA27" i="25"/>
  <c r="AB27" i="25"/>
  <c r="AA36" i="25"/>
  <c r="AB36" i="25"/>
  <c r="H53" i="25"/>
  <c r="K44" i="25"/>
  <c r="AA33" i="25"/>
  <c r="AB33" i="25"/>
  <c r="W13" i="25"/>
  <c r="AA39" i="25"/>
  <c r="AB39" i="25"/>
  <c r="S70" i="25"/>
  <c r="T30" i="25"/>
  <c r="X21" i="25"/>
  <c r="W21" i="25"/>
  <c r="X15" i="25"/>
  <c r="S65" i="25"/>
  <c r="T80" i="25"/>
  <c r="S80" i="25"/>
  <c r="T15" i="25"/>
  <c r="X52" i="25"/>
  <c r="W52" i="25"/>
  <c r="P66" i="25"/>
  <c r="S59" i="25"/>
  <c r="X73" i="25"/>
  <c r="W73" i="25"/>
  <c r="AA23" i="25"/>
  <c r="AB23" i="25"/>
  <c r="AA35" i="25"/>
  <c r="AB35" i="25"/>
  <c r="T74" i="25"/>
  <c r="S74" i="25"/>
  <c r="P44" i="25"/>
  <c r="S30" i="25"/>
  <c r="X51" i="25"/>
  <c r="W51" i="25"/>
  <c r="X28" i="25"/>
  <c r="W28" i="25"/>
  <c r="X24" i="25"/>
  <c r="W24" i="25"/>
  <c r="X22" i="25"/>
  <c r="W22" i="25"/>
  <c r="T64" i="25"/>
  <c r="S64" i="25"/>
  <c r="AA25" i="25"/>
  <c r="AB25" i="25"/>
  <c r="X77" i="25"/>
  <c r="W77" i="25"/>
  <c r="X79" i="25"/>
  <c r="W79" i="25"/>
  <c r="X60" i="25"/>
  <c r="X26" i="25"/>
  <c r="W26" i="25"/>
  <c r="S69" i="25"/>
  <c r="X72" i="25"/>
  <c r="W72" i="25"/>
  <c r="T76" i="25"/>
  <c r="S76" i="25"/>
  <c r="AA38" i="25"/>
  <c r="AB38" i="25"/>
  <c r="K13" i="25"/>
  <c r="T63" i="25"/>
  <c r="S63" i="25"/>
  <c r="T78" i="25"/>
  <c r="S78" i="25"/>
  <c r="W61" i="25"/>
  <c r="X61" i="25"/>
  <c r="D113" i="25"/>
  <c r="G13" i="25"/>
  <c r="AB13" i="25" s="1"/>
  <c r="O44" i="25"/>
  <c r="K66" i="24"/>
  <c r="H53" i="24"/>
  <c r="S28" i="24"/>
  <c r="T28" i="24"/>
  <c r="X25" i="24"/>
  <c r="W25" i="24"/>
  <c r="T21" i="24"/>
  <c r="S21" i="24" s="1"/>
  <c r="W15" i="24"/>
  <c r="O15" i="24"/>
  <c r="H96" i="24"/>
  <c r="K13" i="24"/>
  <c r="X64" i="24"/>
  <c r="W64" i="24"/>
  <c r="S63" i="24"/>
  <c r="T63" i="24"/>
  <c r="H15" i="24"/>
  <c r="K15" i="24" s="1"/>
  <c r="W38" i="24"/>
  <c r="X38" i="24"/>
  <c r="T72" i="24"/>
  <c r="S72" i="24"/>
  <c r="T80" i="24"/>
  <c r="S80" i="24"/>
  <c r="P96" i="24"/>
  <c r="S13" i="24"/>
  <c r="T77" i="24"/>
  <c r="S77" i="24"/>
  <c r="L49" i="24"/>
  <c r="O49" i="24" s="1"/>
  <c r="L46" i="24"/>
  <c r="O46" i="24" s="1"/>
  <c r="L50" i="24"/>
  <c r="L47" i="24"/>
  <c r="O41" i="24"/>
  <c r="L45" i="24"/>
  <c r="O45" i="24" s="1"/>
  <c r="AB52" i="24"/>
  <c r="AA52" i="24"/>
  <c r="X96" i="24"/>
  <c r="AA13" i="24"/>
  <c r="T71" i="24"/>
  <c r="S71" i="24"/>
  <c r="T79" i="24"/>
  <c r="S79" i="24"/>
  <c r="X23" i="24"/>
  <c r="W23" i="24"/>
  <c r="X48" i="24"/>
  <c r="W48" i="24"/>
  <c r="W39" i="24"/>
  <c r="X39" i="24"/>
  <c r="X62" i="24"/>
  <c r="W62" i="24"/>
  <c r="T74" i="24"/>
  <c r="S74" i="24"/>
  <c r="S61" i="24"/>
  <c r="T61" i="24"/>
  <c r="W35" i="24"/>
  <c r="X35" i="24"/>
  <c r="W36" i="24"/>
  <c r="X36" i="24"/>
  <c r="S26" i="24"/>
  <c r="T26" i="24"/>
  <c r="T76" i="24"/>
  <c r="S76" i="24"/>
  <c r="T73" i="24"/>
  <c r="S73" i="24"/>
  <c r="T33" i="24"/>
  <c r="P41" i="24"/>
  <c r="S33" i="24"/>
  <c r="AA27" i="24"/>
  <c r="AB27" i="24"/>
  <c r="T75" i="24"/>
  <c r="S75" i="24"/>
  <c r="K44" i="24"/>
  <c r="W37" i="24"/>
  <c r="X37" i="24"/>
  <c r="T96" i="24"/>
  <c r="W13" i="24"/>
  <c r="P66" i="24"/>
  <c r="O66" i="24" s="1"/>
  <c r="L96" i="24"/>
  <c r="O13" i="24"/>
  <c r="D96" i="24"/>
  <c r="G13" i="24"/>
  <c r="AB13" i="24" s="1"/>
  <c r="S24" i="24"/>
  <c r="T24" i="24"/>
  <c r="P30" i="24"/>
  <c r="O30" i="24" s="1"/>
  <c r="W34" i="24"/>
  <c r="X34" i="24"/>
  <c r="T70" i="24"/>
  <c r="S70" i="24"/>
  <c r="T78" i="24"/>
  <c r="S78" i="24"/>
  <c r="S65" i="24"/>
  <c r="T65" i="24"/>
  <c r="T60" i="24"/>
  <c r="S60" i="24"/>
  <c r="AB51" i="24"/>
  <c r="AA51" i="24"/>
  <c r="L89" i="23"/>
  <c r="M89" i="23" s="1"/>
  <c r="P69" i="23"/>
  <c r="Q69" i="23" s="1"/>
  <c r="K50" i="23"/>
  <c r="K47" i="23"/>
  <c r="X83" i="23"/>
  <c r="W83" i="23" s="1"/>
  <c r="AB22" i="23"/>
  <c r="AA22" i="23"/>
  <c r="X38" i="23"/>
  <c r="W38" i="23" s="1"/>
  <c r="T34" i="23"/>
  <c r="S34" i="23" s="1"/>
  <c r="P41" i="23"/>
  <c r="S68" i="23"/>
  <c r="T68" i="23"/>
  <c r="X79" i="23"/>
  <c r="W79" i="23" s="1"/>
  <c r="X73" i="23"/>
  <c r="W73" i="23" s="1"/>
  <c r="X81" i="23"/>
  <c r="W81" i="23" s="1"/>
  <c r="K44" i="23"/>
  <c r="I53" i="23"/>
  <c r="AB51" i="23"/>
  <c r="AA51" i="23" s="1"/>
  <c r="X21" i="23"/>
  <c r="T30" i="23"/>
  <c r="W21" i="23"/>
  <c r="W25" i="23"/>
  <c r="X25" i="23"/>
  <c r="AB26" i="23"/>
  <c r="AA26" i="23"/>
  <c r="X77" i="23"/>
  <c r="W77" i="23" s="1"/>
  <c r="S30" i="23"/>
  <c r="W24" i="23"/>
  <c r="X24" i="23"/>
  <c r="X75" i="23"/>
  <c r="W75" i="23" s="1"/>
  <c r="O44" i="23"/>
  <c r="X23" i="23"/>
  <c r="W23" i="23"/>
  <c r="X36" i="23"/>
  <c r="W36" i="23" s="1"/>
  <c r="M21" i="42" l="1"/>
  <c r="N21" i="42" s="1"/>
  <c r="O21" i="42"/>
  <c r="P21" i="42" s="1"/>
  <c r="F23" i="26"/>
  <c r="AA37" i="25"/>
  <c r="AB48" i="23"/>
  <c r="AA48" i="23" s="1"/>
  <c r="P47" i="23"/>
  <c r="P46" i="23"/>
  <c r="P45" i="23"/>
  <c r="O66" i="25"/>
  <c r="K50" i="24"/>
  <c r="K47" i="24"/>
  <c r="G22" i="28"/>
  <c r="M22" i="28" s="1"/>
  <c r="N22" i="28" s="1"/>
  <c r="Q22" i="28"/>
  <c r="R22" i="28" s="1"/>
  <c r="M22" i="26"/>
  <c r="N22" i="26" s="1"/>
  <c r="O22" i="26"/>
  <c r="P22" i="26" s="1"/>
  <c r="D31" i="31"/>
  <c r="O41" i="23"/>
  <c r="Q41" i="23"/>
  <c r="F25" i="26"/>
  <c r="U23" i="28"/>
  <c r="Q89" i="23"/>
  <c r="K89" i="23"/>
  <c r="X88" i="23"/>
  <c r="O69" i="23"/>
  <c r="X48" i="25"/>
  <c r="AB48" i="25" s="1"/>
  <c r="W62" i="25"/>
  <c r="X75" i="25"/>
  <c r="AB75" i="25" s="1"/>
  <c r="H55" i="24"/>
  <c r="L48" i="28"/>
  <c r="K48" i="28"/>
  <c r="X59" i="23"/>
  <c r="W59" i="23" s="1"/>
  <c r="O89" i="23"/>
  <c r="L53" i="25"/>
  <c r="AA13" i="25"/>
  <c r="AB113" i="25"/>
  <c r="P46" i="25"/>
  <c r="S46" i="25" s="1"/>
  <c r="S41" i="25"/>
  <c r="P45" i="25"/>
  <c r="S45" i="25" s="1"/>
  <c r="P47" i="25"/>
  <c r="S47" i="25" s="1"/>
  <c r="P50" i="25"/>
  <c r="S50" i="25" s="1"/>
  <c r="P49" i="25"/>
  <c r="S49" i="25" s="1"/>
  <c r="X34" i="25"/>
  <c r="T41" i="25"/>
  <c r="W34" i="25"/>
  <c r="AB62" i="25"/>
  <c r="AA62" i="25"/>
  <c r="W71" i="25"/>
  <c r="X71" i="25"/>
  <c r="W15" i="25"/>
  <c r="W76" i="25"/>
  <c r="X76" i="25"/>
  <c r="X64" i="25"/>
  <c r="W64" i="25"/>
  <c r="AA51" i="25"/>
  <c r="AB51" i="25"/>
  <c r="AB22" i="25"/>
  <c r="AA22" i="25"/>
  <c r="S44" i="25"/>
  <c r="AB73" i="25"/>
  <c r="AA73" i="25"/>
  <c r="W78" i="25"/>
  <c r="X78" i="25"/>
  <c r="X69" i="25"/>
  <c r="W69" i="25" s="1"/>
  <c r="AB26" i="25"/>
  <c r="AA26" i="25"/>
  <c r="X59" i="25"/>
  <c r="W59" i="25" s="1"/>
  <c r="T66" i="25"/>
  <c r="AA52" i="25"/>
  <c r="AB52" i="25"/>
  <c r="W65" i="25"/>
  <c r="X65" i="25"/>
  <c r="AB24" i="25"/>
  <c r="AA24" i="25"/>
  <c r="X70" i="25"/>
  <c r="W70" i="25" s="1"/>
  <c r="K53" i="25"/>
  <c r="H55" i="25"/>
  <c r="AA61" i="25"/>
  <c r="AB61" i="25"/>
  <c r="AA60" i="25"/>
  <c r="AB60" i="25"/>
  <c r="W63" i="25"/>
  <c r="X63" i="25"/>
  <c r="AA21" i="25"/>
  <c r="X30" i="25"/>
  <c r="AB21" i="25"/>
  <c r="AB77" i="25"/>
  <c r="AA77" i="25"/>
  <c r="W74" i="25"/>
  <c r="X74" i="25"/>
  <c r="AB15" i="25"/>
  <c r="AA15" i="25" s="1"/>
  <c r="AA72" i="25"/>
  <c r="AB72" i="25"/>
  <c r="AB79" i="25"/>
  <c r="AA79" i="25"/>
  <c r="AA28" i="25"/>
  <c r="AB28" i="25"/>
  <c r="W80" i="25"/>
  <c r="X80" i="25"/>
  <c r="W30" i="25"/>
  <c r="T44" i="25"/>
  <c r="AA25" i="24"/>
  <c r="AB25" i="24"/>
  <c r="W21" i="24"/>
  <c r="X21" i="24"/>
  <c r="W28" i="24"/>
  <c r="X28" i="24"/>
  <c r="G15" i="24"/>
  <c r="W24" i="24"/>
  <c r="X24" i="24"/>
  <c r="X65" i="24"/>
  <c r="W65" i="24"/>
  <c r="O44" i="24"/>
  <c r="AB96" i="24"/>
  <c r="AB15" i="24"/>
  <c r="T41" i="24"/>
  <c r="W33" i="24"/>
  <c r="X33" i="24"/>
  <c r="W76" i="24"/>
  <c r="X76" i="24"/>
  <c r="W74" i="24"/>
  <c r="X74" i="24"/>
  <c r="X69" i="24"/>
  <c r="W69" i="24" s="1"/>
  <c r="W80" i="24"/>
  <c r="X80" i="24"/>
  <c r="X59" i="24"/>
  <c r="W59" i="24" s="1"/>
  <c r="T66" i="24"/>
  <c r="AB35" i="24"/>
  <c r="AA35" i="24"/>
  <c r="AB23" i="24"/>
  <c r="AA23" i="24"/>
  <c r="X71" i="24"/>
  <c r="W71" i="24"/>
  <c r="X77" i="24"/>
  <c r="W77" i="24"/>
  <c r="W70" i="24"/>
  <c r="X70" i="24"/>
  <c r="X61" i="24"/>
  <c r="W61" i="24"/>
  <c r="AB34" i="24"/>
  <c r="AA34" i="24"/>
  <c r="AB37" i="24"/>
  <c r="AA37" i="24"/>
  <c r="AA64" i="24"/>
  <c r="AB64" i="24"/>
  <c r="L53" i="24"/>
  <c r="K53" i="24" s="1"/>
  <c r="X26" i="24"/>
  <c r="W26" i="24"/>
  <c r="X73" i="24"/>
  <c r="W73" i="24"/>
  <c r="AA62" i="24"/>
  <c r="AB62" i="24"/>
  <c r="AA48" i="24"/>
  <c r="AB48" i="24"/>
  <c r="W72" i="24"/>
  <c r="X72" i="24"/>
  <c r="X60" i="24"/>
  <c r="W60" i="24"/>
  <c r="W78" i="24"/>
  <c r="X78" i="24"/>
  <c r="X75" i="24"/>
  <c r="W75" i="24"/>
  <c r="P45" i="24"/>
  <c r="S45" i="24" s="1"/>
  <c r="P49" i="24"/>
  <c r="S49" i="24" s="1"/>
  <c r="P46" i="24"/>
  <c r="S46" i="24" s="1"/>
  <c r="P50" i="24"/>
  <c r="P47" i="24"/>
  <c r="S41" i="24"/>
  <c r="AB36" i="24"/>
  <c r="AA36" i="24"/>
  <c r="AB39" i="24"/>
  <c r="AA39" i="24"/>
  <c r="T30" i="24"/>
  <c r="S30" i="24" s="1"/>
  <c r="X79" i="24"/>
  <c r="W79" i="24"/>
  <c r="AB38" i="24"/>
  <c r="AA38" i="24"/>
  <c r="X63" i="24"/>
  <c r="W63" i="24"/>
  <c r="G53" i="23"/>
  <c r="H108" i="23"/>
  <c r="L53" i="23"/>
  <c r="X60" i="23"/>
  <c r="W60" i="23" s="1"/>
  <c r="X64" i="23"/>
  <c r="W64" i="23" s="1"/>
  <c r="AB81" i="23"/>
  <c r="AA81" i="23" s="1"/>
  <c r="X74" i="23"/>
  <c r="W74" i="23" s="1"/>
  <c r="AA23" i="23"/>
  <c r="AB23" i="23"/>
  <c r="S44" i="23"/>
  <c r="X82" i="23"/>
  <c r="W82" i="23" s="1"/>
  <c r="AB73" i="23"/>
  <c r="AA73" i="23" s="1"/>
  <c r="X68" i="23"/>
  <c r="W68" i="23"/>
  <c r="AB83" i="23"/>
  <c r="AA83" i="23" s="1"/>
  <c r="AB24" i="23"/>
  <c r="AA24" i="23"/>
  <c r="X61" i="23"/>
  <c r="W61" i="23" s="1"/>
  <c r="AB77" i="23"/>
  <c r="AA77" i="23" s="1"/>
  <c r="T44" i="23"/>
  <c r="W30" i="23"/>
  <c r="H55" i="23"/>
  <c r="I55" i="23" s="1"/>
  <c r="T69" i="23"/>
  <c r="X34" i="23"/>
  <c r="W34" i="23" s="1"/>
  <c r="T41" i="23"/>
  <c r="S41" i="23" s="1"/>
  <c r="AB38" i="23"/>
  <c r="AA38" i="23" s="1"/>
  <c r="X80" i="23"/>
  <c r="W80" i="23" s="1"/>
  <c r="X78" i="23"/>
  <c r="W78" i="23" s="1"/>
  <c r="AA25" i="23"/>
  <c r="AB25" i="23"/>
  <c r="X30" i="23"/>
  <c r="AB21" i="23"/>
  <c r="AA21" i="23"/>
  <c r="AB79" i="23"/>
  <c r="AA79" i="23" s="1"/>
  <c r="X63" i="23"/>
  <c r="W63" i="23" s="1"/>
  <c r="X72" i="23"/>
  <c r="W72" i="23" s="1"/>
  <c r="AB36" i="23"/>
  <c r="AA36" i="23" s="1"/>
  <c r="X76" i="23"/>
  <c r="W76" i="23" s="1"/>
  <c r="AB75" i="23"/>
  <c r="AA75" i="23" s="1"/>
  <c r="P50" i="23"/>
  <c r="P49" i="23"/>
  <c r="X62" i="23"/>
  <c r="W62" i="23" s="1"/>
  <c r="S66" i="25" l="1"/>
  <c r="O47" i="24"/>
  <c r="O50" i="24"/>
  <c r="T89" i="23"/>
  <c r="S89" i="23" s="1"/>
  <c r="O22" i="28"/>
  <c r="P22" i="28" s="1"/>
  <c r="D33" i="31"/>
  <c r="G31" i="31"/>
  <c r="AB31" i="31" s="1"/>
  <c r="AB33" i="31" s="1"/>
  <c r="D207" i="31"/>
  <c r="L108" i="23"/>
  <c r="M53" i="23"/>
  <c r="W88" i="23"/>
  <c r="AA48" i="25"/>
  <c r="AA75" i="25"/>
  <c r="L55" i="25"/>
  <c r="AB59" i="23"/>
  <c r="AA59" i="23" s="1"/>
  <c r="O53" i="25"/>
  <c r="W41" i="25"/>
  <c r="T49" i="25"/>
  <c r="W49" i="25" s="1"/>
  <c r="T45" i="25"/>
  <c r="W45" i="25" s="1"/>
  <c r="T46" i="25"/>
  <c r="W46" i="25" s="1"/>
  <c r="T50" i="25"/>
  <c r="W50" i="25" s="1"/>
  <c r="T47" i="25"/>
  <c r="W47" i="25" s="1"/>
  <c r="P53" i="25"/>
  <c r="P55" i="25" s="1"/>
  <c r="X41" i="25"/>
  <c r="X50" i="25" s="1"/>
  <c r="AA50" i="25" s="1"/>
  <c r="AA34" i="25"/>
  <c r="AB34" i="25"/>
  <c r="AB41" i="25" s="1"/>
  <c r="AB46" i="25" s="1"/>
  <c r="AB30" i="25"/>
  <c r="AB71" i="25"/>
  <c r="AA71" i="25"/>
  <c r="AB74" i="25"/>
  <c r="AA74" i="25"/>
  <c r="W44" i="25"/>
  <c r="AA30" i="25"/>
  <c r="AB63" i="25"/>
  <c r="AA63" i="25"/>
  <c r="AB80" i="25"/>
  <c r="AA80" i="25"/>
  <c r="K55" i="25"/>
  <c r="X66" i="25"/>
  <c r="AB59" i="25"/>
  <c r="AA59" i="25" s="1"/>
  <c r="AB69" i="25"/>
  <c r="AA69" i="25" s="1"/>
  <c r="AB70" i="25"/>
  <c r="AA70" i="25" s="1"/>
  <c r="AB65" i="25"/>
  <c r="AA65" i="25"/>
  <c r="AB78" i="25"/>
  <c r="AA78" i="25"/>
  <c r="AB76" i="25"/>
  <c r="AA76" i="25"/>
  <c r="AB64" i="25"/>
  <c r="AA64" i="25"/>
  <c r="S66" i="24"/>
  <c r="AA28" i="24"/>
  <c r="AB28" i="24"/>
  <c r="AB21" i="24"/>
  <c r="AA21" i="24" s="1"/>
  <c r="AB63" i="24"/>
  <c r="AA63" i="24"/>
  <c r="T44" i="24"/>
  <c r="S44" i="24" s="1"/>
  <c r="AB75" i="24"/>
  <c r="AA75" i="24"/>
  <c r="AB78" i="24"/>
  <c r="AA78" i="24"/>
  <c r="AB72" i="24"/>
  <c r="AA72" i="24"/>
  <c r="AB70" i="24"/>
  <c r="AA70" i="24"/>
  <c r="AA26" i="24"/>
  <c r="AB26" i="24"/>
  <c r="AB71" i="24"/>
  <c r="AA71" i="24"/>
  <c r="AB76" i="24"/>
  <c r="AA76" i="24"/>
  <c r="AB65" i="24"/>
  <c r="AA65" i="24"/>
  <c r="X66" i="24"/>
  <c r="AB59" i="24"/>
  <c r="AA59" i="24" s="1"/>
  <c r="T45" i="24"/>
  <c r="W45" i="24" s="1"/>
  <c r="T49" i="24"/>
  <c r="W49" i="24" s="1"/>
  <c r="T46" i="24"/>
  <c r="W46" i="24" s="1"/>
  <c r="T47" i="24"/>
  <c r="T50" i="24"/>
  <c r="W41" i="24"/>
  <c r="L55" i="24"/>
  <c r="K55" i="24" s="1"/>
  <c r="X30" i="24"/>
  <c r="W30" i="24" s="1"/>
  <c r="AB80" i="24"/>
  <c r="AA80" i="24"/>
  <c r="AB69" i="24"/>
  <c r="AA69" i="24" s="1"/>
  <c r="P53" i="24"/>
  <c r="O53" i="24" s="1"/>
  <c r="AA24" i="24"/>
  <c r="AB24" i="24"/>
  <c r="AB79" i="24"/>
  <c r="AA79" i="24"/>
  <c r="AA60" i="24"/>
  <c r="AB60" i="24"/>
  <c r="AB73" i="24"/>
  <c r="AA73" i="24"/>
  <c r="AB61" i="24"/>
  <c r="AA61" i="24"/>
  <c r="AB77" i="24"/>
  <c r="AA77" i="24"/>
  <c r="AB74" i="24"/>
  <c r="AA74" i="24"/>
  <c r="X41" i="24"/>
  <c r="AB33" i="24"/>
  <c r="AB41" i="24" s="1"/>
  <c r="AA33" i="24"/>
  <c r="S69" i="23"/>
  <c r="K53" i="23"/>
  <c r="L55" i="23"/>
  <c r="O50" i="23"/>
  <c r="H13" i="23"/>
  <c r="G55" i="23"/>
  <c r="O49" i="23"/>
  <c r="O45" i="23"/>
  <c r="O47" i="23"/>
  <c r="O46" i="23"/>
  <c r="X89" i="23"/>
  <c r="AB72" i="23"/>
  <c r="AA72" i="23" s="1"/>
  <c r="AB80" i="23"/>
  <c r="AA80" i="23" s="1"/>
  <c r="AB63" i="23"/>
  <c r="AA63" i="23" s="1"/>
  <c r="AB76" i="23"/>
  <c r="AA76" i="23" s="1"/>
  <c r="AA30" i="23"/>
  <c r="AB78" i="23"/>
  <c r="AA78" i="23" s="1"/>
  <c r="W44" i="23"/>
  <c r="AB61" i="23"/>
  <c r="AA61" i="23" s="1"/>
  <c r="AB68" i="23"/>
  <c r="AA68" i="23"/>
  <c r="AB82" i="23"/>
  <c r="AA82" i="23" s="1"/>
  <c r="AB74" i="23"/>
  <c r="AA74" i="23" s="1"/>
  <c r="T49" i="23"/>
  <c r="S49" i="23" s="1"/>
  <c r="T46" i="23"/>
  <c r="S46" i="23" s="1"/>
  <c r="T50" i="23"/>
  <c r="T47" i="23"/>
  <c r="S47" i="23" s="1"/>
  <c r="T45" i="23"/>
  <c r="S45" i="23" s="1"/>
  <c r="AB64" i="23"/>
  <c r="AA64" i="23" s="1"/>
  <c r="P53" i="23"/>
  <c r="Q53" i="23" s="1"/>
  <c r="AB62" i="23"/>
  <c r="AA62" i="23" s="1"/>
  <c r="AB30" i="23"/>
  <c r="AB34" i="23"/>
  <c r="AB41" i="23" s="1"/>
  <c r="X41" i="23"/>
  <c r="W41" i="23" s="1"/>
  <c r="X69" i="23"/>
  <c r="AB88" i="23"/>
  <c r="AA88" i="23"/>
  <c r="AB60" i="23"/>
  <c r="AA60" i="23" s="1"/>
  <c r="W66" i="25" l="1"/>
  <c r="AB45" i="25"/>
  <c r="S50" i="24"/>
  <c r="S47" i="24"/>
  <c r="X47" i="25"/>
  <c r="AA47" i="25" s="1"/>
  <c r="D218" i="31"/>
  <c r="D209" i="31"/>
  <c r="D211" i="31" s="1"/>
  <c r="L13" i="23"/>
  <c r="L109" i="23" s="1"/>
  <c r="L110" i="23" s="1"/>
  <c r="M55" i="23"/>
  <c r="AA34" i="23"/>
  <c r="O55" i="25"/>
  <c r="O53" i="23"/>
  <c r="P108" i="23"/>
  <c r="W89" i="23"/>
  <c r="X49" i="25"/>
  <c r="AA49" i="25" s="1"/>
  <c r="AB50" i="25"/>
  <c r="S53" i="25"/>
  <c r="T53" i="25"/>
  <c r="AB47" i="25"/>
  <c r="X45" i="25"/>
  <c r="AA45" i="25" s="1"/>
  <c r="X46" i="25"/>
  <c r="AA46" i="25" s="1"/>
  <c r="AA41" i="25"/>
  <c r="AB49" i="25"/>
  <c r="S55" i="25"/>
  <c r="AB66" i="25"/>
  <c r="AA66" i="25" s="1"/>
  <c r="T55" i="25"/>
  <c r="W66" i="24"/>
  <c r="AB30" i="24"/>
  <c r="AB47" i="24" s="1"/>
  <c r="AB66" i="24"/>
  <c r="AA66" i="24" s="1"/>
  <c r="X50" i="24"/>
  <c r="X47" i="24"/>
  <c r="X45" i="24"/>
  <c r="AA45" i="24" s="1"/>
  <c r="AA41" i="24"/>
  <c r="X49" i="24"/>
  <c r="AA49" i="24" s="1"/>
  <c r="X46" i="24"/>
  <c r="AA46" i="24" s="1"/>
  <c r="T53" i="24"/>
  <c r="S53" i="24" s="1"/>
  <c r="AB46" i="24"/>
  <c r="AB45" i="24"/>
  <c r="P55" i="24"/>
  <c r="O55" i="24" s="1"/>
  <c r="H109" i="23"/>
  <c r="H110" i="23" s="1"/>
  <c r="H98" i="23"/>
  <c r="W69" i="23"/>
  <c r="AB69" i="23"/>
  <c r="AA69" i="23" s="1"/>
  <c r="K55" i="23"/>
  <c r="K13" i="23"/>
  <c r="S50" i="23"/>
  <c r="X45" i="23"/>
  <c r="W45" i="23" s="1"/>
  <c r="X49" i="23"/>
  <c r="X46" i="23"/>
  <c r="W46" i="23" s="1"/>
  <c r="X50" i="23"/>
  <c r="X47" i="23"/>
  <c r="AA41" i="23"/>
  <c r="P55" i="23"/>
  <c r="Q55" i="23" s="1"/>
  <c r="AB45" i="23"/>
  <c r="AB49" i="23"/>
  <c r="AB46" i="23"/>
  <c r="AB50" i="23"/>
  <c r="AB47" i="23"/>
  <c r="T53" i="23"/>
  <c r="AB89" i="23"/>
  <c r="AB49" i="24" l="1"/>
  <c r="AA47" i="24"/>
  <c r="W47" i="24"/>
  <c r="AA30" i="24"/>
  <c r="W50" i="24"/>
  <c r="L98" i="23"/>
  <c r="M98" i="23" s="1"/>
  <c r="AA89" i="23"/>
  <c r="S53" i="23"/>
  <c r="T108" i="23"/>
  <c r="W53" i="25"/>
  <c r="W55" i="25"/>
  <c r="AB50" i="24"/>
  <c r="AA50" i="24" s="1"/>
  <c r="T55" i="24"/>
  <c r="S55" i="24" s="1"/>
  <c r="H111" i="23"/>
  <c r="AA50" i="23"/>
  <c r="AA49" i="23"/>
  <c r="AA47" i="23"/>
  <c r="AA45" i="23"/>
  <c r="W47" i="23"/>
  <c r="P13" i="23"/>
  <c r="O55" i="23"/>
  <c r="AA46" i="23"/>
  <c r="W49" i="23"/>
  <c r="W50" i="23"/>
  <c r="T55" i="23"/>
  <c r="T13" i="23" s="1"/>
  <c r="L111" i="23" l="1"/>
  <c r="K98" i="23"/>
  <c r="O13" i="23"/>
  <c r="P109" i="23"/>
  <c r="P110" i="23" s="1"/>
  <c r="P98" i="23"/>
  <c r="Q98" i="23" s="1"/>
  <c r="T109" i="23"/>
  <c r="T110" i="23" s="1"/>
  <c r="T98" i="23"/>
  <c r="S13" i="23"/>
  <c r="S55" i="23"/>
  <c r="T111" i="23" l="1"/>
  <c r="W13" i="23"/>
  <c r="S98" i="23"/>
  <c r="O98" i="23"/>
  <c r="P111" i="23"/>
  <c r="T70" i="21" l="1"/>
  <c r="G70" i="21"/>
  <c r="L69" i="21"/>
  <c r="P69" i="21" s="1"/>
  <c r="T69" i="21" s="1"/>
  <c r="P9" i="21"/>
  <c r="T9" i="21" s="1"/>
  <c r="S9" i="21" s="1"/>
  <c r="L9" i="21"/>
  <c r="AC81" i="21"/>
  <c r="Y81" i="21"/>
  <c r="U81" i="21"/>
  <c r="Q81" i="21"/>
  <c r="M81" i="21"/>
  <c r="I81" i="21"/>
  <c r="AC80" i="21"/>
  <c r="Y80" i="21"/>
  <c r="U80" i="21"/>
  <c r="Q80" i="21"/>
  <c r="M80" i="21"/>
  <c r="I80" i="21"/>
  <c r="H80" i="21" s="1"/>
  <c r="G80" i="21"/>
  <c r="AC79" i="21"/>
  <c r="Y79" i="21"/>
  <c r="U79" i="21"/>
  <c r="Q79" i="21"/>
  <c r="M79" i="21"/>
  <c r="I79" i="21"/>
  <c r="H79" i="21" s="1"/>
  <c r="G79" i="21"/>
  <c r="AC78" i="21"/>
  <c r="Y78" i="21"/>
  <c r="U78" i="21"/>
  <c r="Q78" i="21"/>
  <c r="M78" i="21"/>
  <c r="I78" i="21"/>
  <c r="H78" i="21" s="1"/>
  <c r="G78" i="21"/>
  <c r="AC77" i="21"/>
  <c r="Y77" i="21"/>
  <c r="U77" i="21"/>
  <c r="Q77" i="21"/>
  <c r="M77" i="21"/>
  <c r="I77" i="21"/>
  <c r="H77" i="21" s="1"/>
  <c r="G77" i="21"/>
  <c r="AC76" i="21"/>
  <c r="Y76" i="21"/>
  <c r="U76" i="21"/>
  <c r="Q76" i="21"/>
  <c r="M76" i="21"/>
  <c r="I76" i="21"/>
  <c r="H76" i="21" s="1"/>
  <c r="G76" i="21"/>
  <c r="AC75" i="21"/>
  <c r="Y75" i="21"/>
  <c r="U75" i="21"/>
  <c r="Q75" i="21"/>
  <c r="M75" i="21"/>
  <c r="I75" i="21"/>
  <c r="H75" i="21" s="1"/>
  <c r="G75" i="21"/>
  <c r="AC74" i="21"/>
  <c r="Y74" i="21"/>
  <c r="U74" i="21"/>
  <c r="Q74" i="21"/>
  <c r="M74" i="21"/>
  <c r="I74" i="21"/>
  <c r="H74" i="21" s="1"/>
  <c r="G74" i="21"/>
  <c r="AC73" i="21"/>
  <c r="Y73" i="21"/>
  <c r="U73" i="21"/>
  <c r="Q73" i="21"/>
  <c r="M73" i="21"/>
  <c r="I73" i="21"/>
  <c r="H73" i="21" s="1"/>
  <c r="G73" i="21"/>
  <c r="AC72" i="21"/>
  <c r="Y72" i="21"/>
  <c r="U72" i="21"/>
  <c r="Q72" i="21"/>
  <c r="M72" i="21"/>
  <c r="I72" i="21"/>
  <c r="H72" i="21" s="1"/>
  <c r="G72" i="21"/>
  <c r="AC71" i="21"/>
  <c r="Y71" i="21"/>
  <c r="U71" i="21"/>
  <c r="Q71" i="21"/>
  <c r="M71" i="21"/>
  <c r="I71" i="21"/>
  <c r="H71" i="21" s="1"/>
  <c r="G71" i="21"/>
  <c r="AC70" i="21"/>
  <c r="Y70" i="21"/>
  <c r="AC69" i="21"/>
  <c r="Y69" i="21"/>
  <c r="D66" i="21"/>
  <c r="AC65" i="21"/>
  <c r="Y65" i="21"/>
  <c r="U65" i="21"/>
  <c r="Q65" i="21"/>
  <c r="M65" i="21"/>
  <c r="I65" i="21"/>
  <c r="H65" i="21" s="1"/>
  <c r="G65" i="21"/>
  <c r="AC64" i="21"/>
  <c r="Y64" i="21"/>
  <c r="U64" i="21"/>
  <c r="Q64" i="21"/>
  <c r="M64" i="21"/>
  <c r="I64" i="21"/>
  <c r="H64" i="21" s="1"/>
  <c r="G64" i="21"/>
  <c r="AC63" i="21"/>
  <c r="Y63" i="21"/>
  <c r="U63" i="21"/>
  <c r="Q63" i="21"/>
  <c r="M63" i="21"/>
  <c r="I63" i="21"/>
  <c r="H63" i="21" s="1"/>
  <c r="G63" i="21"/>
  <c r="AC62" i="21"/>
  <c r="Y62" i="21"/>
  <c r="U62" i="21"/>
  <c r="Q62" i="21"/>
  <c r="M62" i="21"/>
  <c r="I62" i="21"/>
  <c r="H62" i="21" s="1"/>
  <c r="G62" i="21"/>
  <c r="AC61" i="21"/>
  <c r="Y61" i="21"/>
  <c r="U61" i="21"/>
  <c r="Q61" i="21"/>
  <c r="M61" i="21"/>
  <c r="I61" i="21"/>
  <c r="H61" i="21" s="1"/>
  <c r="G61" i="21"/>
  <c r="AC60" i="21"/>
  <c r="Y60" i="21"/>
  <c r="AC59" i="21"/>
  <c r="Y59" i="21"/>
  <c r="D53" i="21"/>
  <c r="G53" i="21" s="1"/>
  <c r="H52" i="21"/>
  <c r="K52" i="21" s="1"/>
  <c r="G52" i="21"/>
  <c r="H51" i="21"/>
  <c r="K51" i="21" s="1"/>
  <c r="G51" i="21"/>
  <c r="AC50" i="21"/>
  <c r="Y50" i="21"/>
  <c r="U50" i="21"/>
  <c r="Q50" i="21"/>
  <c r="M50" i="21"/>
  <c r="I50" i="21"/>
  <c r="G50" i="21"/>
  <c r="E50" i="21"/>
  <c r="AC49" i="21"/>
  <c r="Y49" i="21"/>
  <c r="U49" i="21"/>
  <c r="Q49" i="21"/>
  <c r="M49" i="21"/>
  <c r="I49" i="21"/>
  <c r="G49" i="21"/>
  <c r="E49" i="21"/>
  <c r="AC48" i="21"/>
  <c r="Y48" i="21"/>
  <c r="U48" i="21"/>
  <c r="Q48" i="21"/>
  <c r="M48" i="21"/>
  <c r="I48" i="21"/>
  <c r="H48" i="21" s="1"/>
  <c r="K48" i="21" s="1"/>
  <c r="G48" i="21"/>
  <c r="AC47" i="21"/>
  <c r="Y47" i="21"/>
  <c r="U47" i="21"/>
  <c r="Q47" i="21"/>
  <c r="M47" i="21"/>
  <c r="I47" i="21"/>
  <c r="G47" i="21"/>
  <c r="E47" i="21"/>
  <c r="AC46" i="21"/>
  <c r="Y46" i="21"/>
  <c r="U46" i="21"/>
  <c r="Q46" i="21"/>
  <c r="M46" i="21"/>
  <c r="I46" i="21"/>
  <c r="G46" i="21"/>
  <c r="E46" i="21"/>
  <c r="AC45" i="21"/>
  <c r="Y45" i="21"/>
  <c r="U45" i="21"/>
  <c r="Q45" i="21"/>
  <c r="M45" i="21"/>
  <c r="I45" i="21"/>
  <c r="G45" i="21"/>
  <c r="E45" i="21"/>
  <c r="U44" i="21"/>
  <c r="Q44" i="21"/>
  <c r="M44" i="21"/>
  <c r="I44" i="21"/>
  <c r="G44" i="21"/>
  <c r="E44" i="21"/>
  <c r="D41" i="21"/>
  <c r="G41" i="21" s="1"/>
  <c r="AC39" i="21"/>
  <c r="Y39" i="21"/>
  <c r="U39" i="21"/>
  <c r="Q39" i="21"/>
  <c r="H39" i="21"/>
  <c r="L39" i="21" s="1"/>
  <c r="P39" i="21" s="1"/>
  <c r="G39" i="21"/>
  <c r="AC38" i="21"/>
  <c r="Y38" i="21"/>
  <c r="U38" i="21"/>
  <c r="Q38" i="21"/>
  <c r="H38" i="21"/>
  <c r="K38" i="21" s="1"/>
  <c r="G38" i="21"/>
  <c r="AC37" i="21"/>
  <c r="Y37" i="21"/>
  <c r="U37" i="21"/>
  <c r="Q37" i="21"/>
  <c r="H37" i="21"/>
  <c r="K37" i="21" s="1"/>
  <c r="G37" i="21"/>
  <c r="AC36" i="21"/>
  <c r="Y36" i="21"/>
  <c r="U36" i="21"/>
  <c r="Q36" i="21"/>
  <c r="H36" i="21"/>
  <c r="K36" i="21" s="1"/>
  <c r="G36" i="21"/>
  <c r="AC35" i="21"/>
  <c r="Y35" i="21"/>
  <c r="U35" i="21"/>
  <c r="Q35" i="21"/>
  <c r="L35" i="21"/>
  <c r="O35" i="21" s="1"/>
  <c r="H35" i="21"/>
  <c r="K35" i="21" s="1"/>
  <c r="G35" i="21"/>
  <c r="AC34" i="21"/>
  <c r="Y34" i="21"/>
  <c r="U34" i="21"/>
  <c r="Q34" i="21"/>
  <c r="H34" i="21"/>
  <c r="G34" i="21"/>
  <c r="AC33" i="21"/>
  <c r="Y33" i="21"/>
  <c r="U33" i="21"/>
  <c r="Q33" i="21"/>
  <c r="H33" i="21"/>
  <c r="K33" i="21" s="1"/>
  <c r="G33" i="21"/>
  <c r="D30" i="21"/>
  <c r="G30" i="21" s="1"/>
  <c r="AC28" i="21"/>
  <c r="Y28" i="21"/>
  <c r="U28" i="21"/>
  <c r="Q28" i="21"/>
  <c r="H28" i="21"/>
  <c r="G28" i="21"/>
  <c r="AC27" i="21"/>
  <c r="Y27" i="21"/>
  <c r="U27" i="21"/>
  <c r="Q27" i="21"/>
  <c r="H27" i="21"/>
  <c r="K27" i="21" s="1"/>
  <c r="G27" i="21"/>
  <c r="AC26" i="21"/>
  <c r="Y26" i="21"/>
  <c r="U26" i="21"/>
  <c r="Q26" i="21"/>
  <c r="H26" i="21"/>
  <c r="G26" i="21"/>
  <c r="AC25" i="21"/>
  <c r="Y25" i="21"/>
  <c r="U25" i="21"/>
  <c r="Q25" i="21"/>
  <c r="H25" i="21"/>
  <c r="K25" i="21" s="1"/>
  <c r="G25" i="21"/>
  <c r="AC24" i="21"/>
  <c r="Y24" i="21"/>
  <c r="U24" i="21"/>
  <c r="Q24" i="21"/>
  <c r="H24" i="21"/>
  <c r="G24" i="21"/>
  <c r="AC23" i="21"/>
  <c r="Y23" i="21"/>
  <c r="H23" i="21"/>
  <c r="L23" i="21" s="1"/>
  <c r="G23" i="21"/>
  <c r="AC22" i="21"/>
  <c r="Y22" i="21"/>
  <c r="H22" i="21"/>
  <c r="G22" i="21"/>
  <c r="AC21" i="21"/>
  <c r="Y21" i="21"/>
  <c r="H21" i="21"/>
  <c r="H30" i="21" s="1"/>
  <c r="G21" i="21"/>
  <c r="D11" i="21"/>
  <c r="AB10" i="21"/>
  <c r="X10" i="21"/>
  <c r="AA10" i="21" s="1"/>
  <c r="T10" i="21"/>
  <c r="W10" i="21" s="1"/>
  <c r="P10" i="21"/>
  <c r="G10" i="21"/>
  <c r="AB9" i="21"/>
  <c r="AB11" i="21" s="1"/>
  <c r="H6" i="21"/>
  <c r="L6" i="21" s="1"/>
  <c r="P6" i="21" s="1"/>
  <c r="T6" i="21" s="1"/>
  <c r="X6" i="21" s="1"/>
  <c r="AB6" i="21" s="1"/>
  <c r="AB3" i="21"/>
  <c r="X3" i="21"/>
  <c r="X9" i="21" s="1"/>
  <c r="T3" i="21"/>
  <c r="P3" i="21"/>
  <c r="L3" i="21"/>
  <c r="H3" i="21"/>
  <c r="D3" i="21"/>
  <c r="AC77" i="20"/>
  <c r="Y77" i="20"/>
  <c r="U77" i="20"/>
  <c r="Q77" i="20"/>
  <c r="M77" i="20"/>
  <c r="I77" i="20"/>
  <c r="AC76" i="20"/>
  <c r="Y76" i="20"/>
  <c r="U76" i="20"/>
  <c r="Q76" i="20"/>
  <c r="M76" i="20"/>
  <c r="I76" i="20"/>
  <c r="H76" i="20" s="1"/>
  <c r="G76" i="20"/>
  <c r="AC75" i="20"/>
  <c r="Y75" i="20"/>
  <c r="U75" i="20"/>
  <c r="Q75" i="20"/>
  <c r="M75" i="20"/>
  <c r="I75" i="20"/>
  <c r="H75" i="20" s="1"/>
  <c r="G75" i="20"/>
  <c r="AC74" i="20"/>
  <c r="Y74" i="20"/>
  <c r="U74" i="20"/>
  <c r="Q74" i="20"/>
  <c r="M74" i="20"/>
  <c r="I74" i="20"/>
  <c r="H74" i="20" s="1"/>
  <c r="G74" i="20"/>
  <c r="AC73" i="20"/>
  <c r="Y73" i="20"/>
  <c r="U73" i="20"/>
  <c r="Q73" i="20"/>
  <c r="M73" i="20"/>
  <c r="I73" i="20"/>
  <c r="H73" i="20" s="1"/>
  <c r="G73" i="20"/>
  <c r="AC72" i="20"/>
  <c r="Y72" i="20"/>
  <c r="U72" i="20"/>
  <c r="Q72" i="20"/>
  <c r="M72" i="20"/>
  <c r="I72" i="20"/>
  <c r="H72" i="20" s="1"/>
  <c r="G72" i="20"/>
  <c r="AC71" i="20"/>
  <c r="Y71" i="20"/>
  <c r="U71" i="20"/>
  <c r="Q71" i="20"/>
  <c r="M71" i="20"/>
  <c r="I71" i="20"/>
  <c r="H71" i="20" s="1"/>
  <c r="G71" i="20"/>
  <c r="AC70" i="20"/>
  <c r="Y70" i="20"/>
  <c r="U70" i="20"/>
  <c r="Q70" i="20"/>
  <c r="M70" i="20"/>
  <c r="I70" i="20"/>
  <c r="H70" i="20" s="1"/>
  <c r="G70" i="20"/>
  <c r="AC69" i="20"/>
  <c r="Y69" i="20"/>
  <c r="U69" i="20"/>
  <c r="Q69" i="20"/>
  <c r="M69" i="20"/>
  <c r="I69" i="20"/>
  <c r="H69" i="20" s="1"/>
  <c r="G69" i="20"/>
  <c r="AC68" i="20"/>
  <c r="Y68" i="20"/>
  <c r="U68" i="20"/>
  <c r="Q68" i="20"/>
  <c r="M68" i="20"/>
  <c r="I68" i="20"/>
  <c r="H68" i="20" s="1"/>
  <c r="G68" i="20"/>
  <c r="AC67" i="20"/>
  <c r="Y67" i="20"/>
  <c r="U67" i="20"/>
  <c r="Q67" i="20"/>
  <c r="M67" i="20"/>
  <c r="I67" i="20"/>
  <c r="H67" i="20" s="1"/>
  <c r="G67" i="20"/>
  <c r="AC66" i="20"/>
  <c r="Y66" i="20"/>
  <c r="U66" i="20"/>
  <c r="Q66" i="20"/>
  <c r="M66" i="20"/>
  <c r="I66" i="20"/>
  <c r="H66" i="20" s="1"/>
  <c r="G66" i="20"/>
  <c r="AC65" i="20"/>
  <c r="Y65" i="20"/>
  <c r="U65" i="20"/>
  <c r="Q65" i="20"/>
  <c r="M65" i="20"/>
  <c r="I65" i="20"/>
  <c r="H65" i="20" s="1"/>
  <c r="G65" i="20"/>
  <c r="D62" i="20"/>
  <c r="G60" i="20"/>
  <c r="G59" i="20"/>
  <c r="D53" i="20"/>
  <c r="G53" i="20" s="1"/>
  <c r="H52" i="20"/>
  <c r="K52" i="20" s="1"/>
  <c r="G52" i="20"/>
  <c r="H51" i="20"/>
  <c r="K51" i="20" s="1"/>
  <c r="G51" i="20"/>
  <c r="AC50" i="20"/>
  <c r="Y50" i="20"/>
  <c r="U50" i="20"/>
  <c r="Q50" i="20"/>
  <c r="M50" i="20"/>
  <c r="I50" i="20"/>
  <c r="G50" i="20"/>
  <c r="E50" i="20"/>
  <c r="AC49" i="20"/>
  <c r="Y49" i="20"/>
  <c r="U49" i="20"/>
  <c r="Q49" i="20"/>
  <c r="M49" i="20"/>
  <c r="I49" i="20"/>
  <c r="G49" i="20"/>
  <c r="E49" i="20"/>
  <c r="AC48" i="20"/>
  <c r="Y48" i="20"/>
  <c r="U48" i="20"/>
  <c r="Q48" i="20"/>
  <c r="M48" i="20"/>
  <c r="I48" i="20"/>
  <c r="H48" i="20" s="1"/>
  <c r="G48" i="20"/>
  <c r="AC47" i="20"/>
  <c r="Y47" i="20"/>
  <c r="U47" i="20"/>
  <c r="Q47" i="20"/>
  <c r="M47" i="20"/>
  <c r="I47" i="20"/>
  <c r="G47" i="20"/>
  <c r="E47" i="20"/>
  <c r="AC46" i="20"/>
  <c r="Y46" i="20"/>
  <c r="U46" i="20"/>
  <c r="Q46" i="20"/>
  <c r="M46" i="20"/>
  <c r="I46" i="20"/>
  <c r="G46" i="20"/>
  <c r="E46" i="20"/>
  <c r="AC45" i="20"/>
  <c r="Y45" i="20"/>
  <c r="U45" i="20"/>
  <c r="Q45" i="20"/>
  <c r="M45" i="20"/>
  <c r="I45" i="20"/>
  <c r="G45" i="20"/>
  <c r="E45" i="20"/>
  <c r="U44" i="20"/>
  <c r="Q44" i="20"/>
  <c r="M44" i="20"/>
  <c r="I44" i="20"/>
  <c r="G44" i="20"/>
  <c r="E44" i="20"/>
  <c r="D41" i="20"/>
  <c r="G41" i="20" s="1"/>
  <c r="AC39" i="20"/>
  <c r="Y39" i="20"/>
  <c r="U39" i="20"/>
  <c r="Q39" i="20"/>
  <c r="M39" i="20"/>
  <c r="I39" i="20"/>
  <c r="H39" i="20"/>
  <c r="G39" i="20"/>
  <c r="AC38" i="20"/>
  <c r="Y38" i="20"/>
  <c r="U38" i="20"/>
  <c r="Q38" i="20"/>
  <c r="M38" i="20"/>
  <c r="I38" i="20"/>
  <c r="H38" i="20"/>
  <c r="L38" i="20" s="1"/>
  <c r="O38" i="20" s="1"/>
  <c r="G38" i="20"/>
  <c r="AC37" i="20"/>
  <c r="Y37" i="20"/>
  <c r="U37" i="20"/>
  <c r="Q37" i="20"/>
  <c r="M37" i="20"/>
  <c r="I37" i="20"/>
  <c r="H37" i="20"/>
  <c r="G37" i="20"/>
  <c r="AC36" i="20"/>
  <c r="Y36" i="20"/>
  <c r="U36" i="20"/>
  <c r="Q36" i="20"/>
  <c r="M36" i="20"/>
  <c r="I36" i="20"/>
  <c r="H36" i="20"/>
  <c r="L36" i="20" s="1"/>
  <c r="O36" i="20" s="1"/>
  <c r="G36" i="20"/>
  <c r="AC35" i="20"/>
  <c r="Y35" i="20"/>
  <c r="U35" i="20"/>
  <c r="Q35" i="20"/>
  <c r="M35" i="20"/>
  <c r="I35" i="20"/>
  <c r="H35" i="20"/>
  <c r="L35" i="20" s="1"/>
  <c r="O35" i="20" s="1"/>
  <c r="G35" i="20"/>
  <c r="AC34" i="20"/>
  <c r="Y34" i="20"/>
  <c r="U34" i="20"/>
  <c r="Q34" i="20"/>
  <c r="M34" i="20"/>
  <c r="I34" i="20"/>
  <c r="H34" i="20"/>
  <c r="K34" i="20" s="1"/>
  <c r="G34" i="20"/>
  <c r="AC33" i="20"/>
  <c r="Y33" i="20"/>
  <c r="U33" i="20"/>
  <c r="Q33" i="20"/>
  <c r="M33" i="20"/>
  <c r="I33" i="20"/>
  <c r="H33" i="20"/>
  <c r="K33" i="20" s="1"/>
  <c r="G33" i="20"/>
  <c r="D30" i="20"/>
  <c r="G30" i="20" s="1"/>
  <c r="AC28" i="20"/>
  <c r="Y28" i="20"/>
  <c r="U28" i="20"/>
  <c r="Q28" i="20"/>
  <c r="M28" i="20"/>
  <c r="I28" i="20"/>
  <c r="H28" i="20"/>
  <c r="K28" i="20" s="1"/>
  <c r="G28" i="20"/>
  <c r="AC27" i="20"/>
  <c r="Y27" i="20"/>
  <c r="U27" i="20"/>
  <c r="Q27" i="20"/>
  <c r="M27" i="20"/>
  <c r="I27" i="20"/>
  <c r="H27" i="20"/>
  <c r="L27" i="20" s="1"/>
  <c r="G27" i="20"/>
  <c r="AC26" i="20"/>
  <c r="Y26" i="20"/>
  <c r="U26" i="20"/>
  <c r="Q26" i="20"/>
  <c r="M26" i="20"/>
  <c r="I26" i="20"/>
  <c r="H26" i="20"/>
  <c r="K26" i="20" s="1"/>
  <c r="G26" i="20"/>
  <c r="AC25" i="20"/>
  <c r="Y25" i="20"/>
  <c r="U25" i="20"/>
  <c r="Q25" i="20"/>
  <c r="M25" i="20"/>
  <c r="I25" i="20"/>
  <c r="H25" i="20"/>
  <c r="K25" i="20" s="1"/>
  <c r="G25" i="20"/>
  <c r="AC24" i="20"/>
  <c r="Y24" i="20"/>
  <c r="U24" i="20"/>
  <c r="Q24" i="20"/>
  <c r="M24" i="20"/>
  <c r="I24" i="20"/>
  <c r="H24" i="20"/>
  <c r="K24" i="20" s="1"/>
  <c r="G24" i="20"/>
  <c r="AC23" i="20"/>
  <c r="Y23" i="20"/>
  <c r="U23" i="20"/>
  <c r="Q23" i="20"/>
  <c r="M23" i="20"/>
  <c r="I23" i="20"/>
  <c r="H23" i="20"/>
  <c r="L23" i="20" s="1"/>
  <c r="G23" i="20"/>
  <c r="AC22" i="20"/>
  <c r="Y22" i="20"/>
  <c r="U22" i="20"/>
  <c r="Q22" i="20"/>
  <c r="M22" i="20"/>
  <c r="I22" i="20"/>
  <c r="H22" i="20"/>
  <c r="K22" i="20" s="1"/>
  <c r="G22" i="20"/>
  <c r="AC21" i="20"/>
  <c r="Y21" i="20"/>
  <c r="U21" i="20"/>
  <c r="Q21" i="20"/>
  <c r="M21" i="20"/>
  <c r="I21" i="20"/>
  <c r="H21" i="20"/>
  <c r="L21" i="20" s="1"/>
  <c r="O21" i="20" s="1"/>
  <c r="G21" i="20"/>
  <c r="G10" i="20"/>
  <c r="D11" i="20"/>
  <c r="H6" i="20"/>
  <c r="L6" i="20" s="1"/>
  <c r="P6" i="20" s="1"/>
  <c r="T6" i="20" s="1"/>
  <c r="X6" i="20" s="1"/>
  <c r="AB6" i="20" s="1"/>
  <c r="AB3" i="20"/>
  <c r="X3" i="20"/>
  <c r="T3" i="20"/>
  <c r="AC81" i="19"/>
  <c r="Y81" i="19"/>
  <c r="U81" i="19"/>
  <c r="Q81" i="19"/>
  <c r="M81" i="19"/>
  <c r="AC80" i="19"/>
  <c r="Y80" i="19"/>
  <c r="U80" i="19"/>
  <c r="Q80" i="19"/>
  <c r="M80" i="19"/>
  <c r="H80" i="19"/>
  <c r="G80" i="19"/>
  <c r="AC79" i="19"/>
  <c r="Y79" i="19"/>
  <c r="U79" i="19"/>
  <c r="Q79" i="19"/>
  <c r="M79" i="19"/>
  <c r="H79" i="19"/>
  <c r="G79" i="19"/>
  <c r="AC78" i="19"/>
  <c r="Y78" i="19"/>
  <c r="U78" i="19"/>
  <c r="Q78" i="19"/>
  <c r="M78" i="19"/>
  <c r="H78" i="19"/>
  <c r="G78" i="19"/>
  <c r="AC77" i="19"/>
  <c r="Y77" i="19"/>
  <c r="U77" i="19"/>
  <c r="Q77" i="19"/>
  <c r="M77" i="19"/>
  <c r="H77" i="19"/>
  <c r="G77" i="19"/>
  <c r="AC76" i="19"/>
  <c r="Y76" i="19"/>
  <c r="U76" i="19"/>
  <c r="Q76" i="19"/>
  <c r="M76" i="19"/>
  <c r="H76" i="19"/>
  <c r="G76" i="19"/>
  <c r="AC75" i="19"/>
  <c r="Y75" i="19"/>
  <c r="U75" i="19"/>
  <c r="Q75" i="19"/>
  <c r="M75" i="19"/>
  <c r="H75" i="19"/>
  <c r="G75" i="19"/>
  <c r="AC74" i="19"/>
  <c r="Y74" i="19"/>
  <c r="U74" i="19"/>
  <c r="Q74" i="19"/>
  <c r="M74" i="19"/>
  <c r="H74" i="19"/>
  <c r="G74" i="19"/>
  <c r="AC73" i="19"/>
  <c r="Y73" i="19"/>
  <c r="U73" i="19"/>
  <c r="Q73" i="19"/>
  <c r="M73" i="19"/>
  <c r="H73" i="19"/>
  <c r="G73" i="19"/>
  <c r="AC72" i="19"/>
  <c r="Y72" i="19"/>
  <c r="U72" i="19"/>
  <c r="Q72" i="19"/>
  <c r="M72" i="19"/>
  <c r="H72" i="19"/>
  <c r="G72" i="19"/>
  <c r="AC71" i="19"/>
  <c r="Y71" i="19"/>
  <c r="U71" i="19"/>
  <c r="Q71" i="19"/>
  <c r="G71" i="19"/>
  <c r="AC70" i="19"/>
  <c r="Y70" i="19"/>
  <c r="U70" i="19"/>
  <c r="Q70" i="19"/>
  <c r="G70" i="19"/>
  <c r="AC69" i="19"/>
  <c r="Y69" i="19"/>
  <c r="U69" i="19"/>
  <c r="Q69" i="19"/>
  <c r="G69" i="19"/>
  <c r="D66" i="19"/>
  <c r="G66" i="19" s="1"/>
  <c r="AC65" i="19"/>
  <c r="Y65" i="19"/>
  <c r="U65" i="19"/>
  <c r="Q65" i="19"/>
  <c r="M65" i="19"/>
  <c r="H65" i="19"/>
  <c r="G65" i="19"/>
  <c r="AC64" i="19"/>
  <c r="Y64" i="19"/>
  <c r="U64" i="19"/>
  <c r="Q64" i="19"/>
  <c r="M64" i="19"/>
  <c r="H64" i="19"/>
  <c r="G64" i="19"/>
  <c r="AC63" i="19"/>
  <c r="Y63" i="19"/>
  <c r="U63" i="19"/>
  <c r="Q63" i="19"/>
  <c r="M63" i="19"/>
  <c r="H63" i="19"/>
  <c r="K63" i="19" s="1"/>
  <c r="G63" i="19"/>
  <c r="AC62" i="19"/>
  <c r="Y62" i="19"/>
  <c r="U62" i="19"/>
  <c r="Q62" i="19"/>
  <c r="M62" i="19"/>
  <c r="H62" i="19"/>
  <c r="G62" i="19"/>
  <c r="AC61" i="19"/>
  <c r="Y61" i="19"/>
  <c r="U61" i="19"/>
  <c r="Q61" i="19"/>
  <c r="M61" i="19"/>
  <c r="H61" i="19"/>
  <c r="K61" i="19" s="1"/>
  <c r="G61" i="19"/>
  <c r="AC60" i="19"/>
  <c r="Y60" i="19"/>
  <c r="U60" i="19"/>
  <c r="Q60" i="19"/>
  <c r="M60" i="19"/>
  <c r="H60" i="19"/>
  <c r="G60" i="19"/>
  <c r="AC59" i="19"/>
  <c r="Y59" i="19"/>
  <c r="U59" i="19"/>
  <c r="Q59" i="19"/>
  <c r="M59" i="19"/>
  <c r="H59" i="19"/>
  <c r="G59" i="19"/>
  <c r="D53" i="19"/>
  <c r="AC50" i="19"/>
  <c r="Y50" i="19"/>
  <c r="U50" i="19"/>
  <c r="Q50" i="19"/>
  <c r="M50" i="19"/>
  <c r="I50" i="19"/>
  <c r="E50" i="19"/>
  <c r="AC49" i="19"/>
  <c r="Y49" i="19"/>
  <c r="U49" i="19"/>
  <c r="Q49" i="19"/>
  <c r="M49" i="19"/>
  <c r="I49" i="19"/>
  <c r="E49" i="19"/>
  <c r="AC48" i="19"/>
  <c r="Y48" i="19"/>
  <c r="U48" i="19"/>
  <c r="Q48" i="19"/>
  <c r="M48" i="19"/>
  <c r="G48" i="19"/>
  <c r="AC47" i="19"/>
  <c r="Y47" i="19"/>
  <c r="U47" i="19"/>
  <c r="Q47" i="19"/>
  <c r="M47" i="19"/>
  <c r="I47" i="19"/>
  <c r="E47" i="19"/>
  <c r="AC46" i="19"/>
  <c r="Y46" i="19"/>
  <c r="U46" i="19"/>
  <c r="Q46" i="19"/>
  <c r="M46" i="19"/>
  <c r="I46" i="19"/>
  <c r="E46" i="19"/>
  <c r="AC45" i="19"/>
  <c r="Y45" i="19"/>
  <c r="U45" i="19"/>
  <c r="Q45" i="19"/>
  <c r="M45" i="19"/>
  <c r="I45" i="19"/>
  <c r="G45" i="19"/>
  <c r="E45" i="19"/>
  <c r="U44" i="19"/>
  <c r="Q44" i="19"/>
  <c r="M44" i="19"/>
  <c r="I44" i="19"/>
  <c r="E44" i="19"/>
  <c r="D41" i="19"/>
  <c r="AC39" i="19"/>
  <c r="Y39" i="19"/>
  <c r="U39" i="19"/>
  <c r="Q39" i="19"/>
  <c r="M39" i="19"/>
  <c r="I39" i="19"/>
  <c r="H39" i="19"/>
  <c r="K39" i="19" s="1"/>
  <c r="G39" i="19"/>
  <c r="AC38" i="19"/>
  <c r="Y38" i="19"/>
  <c r="U38" i="19"/>
  <c r="Q38" i="19"/>
  <c r="M38" i="19"/>
  <c r="I38" i="19"/>
  <c r="H38" i="19"/>
  <c r="K38" i="19" s="1"/>
  <c r="G38" i="19"/>
  <c r="AC37" i="19"/>
  <c r="Y37" i="19"/>
  <c r="U37" i="19"/>
  <c r="Q37" i="19"/>
  <c r="M37" i="19"/>
  <c r="K37" i="19"/>
  <c r="I37" i="19"/>
  <c r="H37" i="19"/>
  <c r="L37" i="19" s="1"/>
  <c r="G37" i="19"/>
  <c r="AC36" i="19"/>
  <c r="Y36" i="19"/>
  <c r="U36" i="19"/>
  <c r="Q36" i="19"/>
  <c r="M36" i="19"/>
  <c r="I36" i="19"/>
  <c r="H36" i="19"/>
  <c r="K36" i="19" s="1"/>
  <c r="G36" i="19"/>
  <c r="AC35" i="19"/>
  <c r="Y35" i="19"/>
  <c r="U35" i="19"/>
  <c r="Q35" i="19"/>
  <c r="M35" i="19"/>
  <c r="I35" i="19"/>
  <c r="H35" i="19"/>
  <c r="K35" i="19" s="1"/>
  <c r="G35" i="19"/>
  <c r="AC34" i="19"/>
  <c r="Y34" i="19"/>
  <c r="U34" i="19"/>
  <c r="Q34" i="19"/>
  <c r="M34" i="19"/>
  <c r="I34" i="19"/>
  <c r="H34" i="19"/>
  <c r="L34" i="19" s="1"/>
  <c r="P34" i="19" s="1"/>
  <c r="T34" i="19" s="1"/>
  <c r="G34" i="19"/>
  <c r="AC33" i="19"/>
  <c r="Y33" i="19"/>
  <c r="U33" i="19"/>
  <c r="Q33" i="19"/>
  <c r="M33" i="19"/>
  <c r="I33" i="19"/>
  <c r="H33" i="19"/>
  <c r="K33" i="19" s="1"/>
  <c r="G33" i="19"/>
  <c r="D30" i="19"/>
  <c r="AC28" i="19"/>
  <c r="Y28" i="19"/>
  <c r="U28" i="19"/>
  <c r="Q28" i="19"/>
  <c r="M28" i="19"/>
  <c r="I28" i="19"/>
  <c r="H28" i="19"/>
  <c r="L28" i="19" s="1"/>
  <c r="O28" i="19" s="1"/>
  <c r="G28" i="19"/>
  <c r="AC27" i="19"/>
  <c r="Y27" i="19"/>
  <c r="U27" i="19"/>
  <c r="Q27" i="19"/>
  <c r="M27" i="19"/>
  <c r="I27" i="19"/>
  <c r="H27" i="19"/>
  <c r="K27" i="19" s="1"/>
  <c r="G27" i="19"/>
  <c r="AC26" i="19"/>
  <c r="Y26" i="19"/>
  <c r="U26" i="19"/>
  <c r="Q26" i="19"/>
  <c r="M26" i="19"/>
  <c r="I26" i="19"/>
  <c r="H26" i="19"/>
  <c r="L26" i="19" s="1"/>
  <c r="O26" i="19" s="1"/>
  <c r="G26" i="19"/>
  <c r="AC25" i="19"/>
  <c r="Y25" i="19"/>
  <c r="U25" i="19"/>
  <c r="Q25" i="19"/>
  <c r="M25" i="19"/>
  <c r="I25" i="19"/>
  <c r="H25" i="19"/>
  <c r="L25" i="19" s="1"/>
  <c r="O25" i="19" s="1"/>
  <c r="G25" i="19"/>
  <c r="AC24" i="19"/>
  <c r="Y24" i="19"/>
  <c r="U24" i="19"/>
  <c r="Q24" i="19"/>
  <c r="M24" i="19"/>
  <c r="I24" i="19"/>
  <c r="H24" i="19"/>
  <c r="L24" i="19" s="1"/>
  <c r="O24" i="19" s="1"/>
  <c r="G24" i="19"/>
  <c r="AC23" i="19"/>
  <c r="Y23" i="19"/>
  <c r="U23" i="19"/>
  <c r="Q23" i="19"/>
  <c r="M23" i="19"/>
  <c r="I23" i="19"/>
  <c r="G23" i="19"/>
  <c r="AC22" i="19"/>
  <c r="Y22" i="19"/>
  <c r="U22" i="19"/>
  <c r="P22" i="19"/>
  <c r="AC21" i="19"/>
  <c r="Y21" i="19"/>
  <c r="U21" i="19"/>
  <c r="AB10" i="19"/>
  <c r="X10" i="19"/>
  <c r="AA10" i="19" s="1"/>
  <c r="T10" i="19"/>
  <c r="W10" i="19" s="1"/>
  <c r="P10" i="19"/>
  <c r="S10" i="19" s="1"/>
  <c r="L10" i="19"/>
  <c r="O10" i="19" s="1"/>
  <c r="K10" i="19"/>
  <c r="G10" i="19"/>
  <c r="D9" i="19"/>
  <c r="H6" i="19"/>
  <c r="L6" i="19" s="1"/>
  <c r="P6" i="19" s="1"/>
  <c r="T6" i="19" s="1"/>
  <c r="X6" i="19" s="1"/>
  <c r="AB6" i="19" s="1"/>
  <c r="AB3" i="19"/>
  <c r="AB9" i="19" s="1"/>
  <c r="X3" i="19"/>
  <c r="X9" i="19" s="1"/>
  <c r="T3" i="19"/>
  <c r="T9" i="19" s="1"/>
  <c r="W9" i="19" s="1"/>
  <c r="P9" i="19"/>
  <c r="L9" i="19"/>
  <c r="H9" i="19"/>
  <c r="AC81" i="18"/>
  <c r="Y81" i="18"/>
  <c r="U81" i="18"/>
  <c r="Q81" i="18"/>
  <c r="M81" i="18"/>
  <c r="I81" i="18"/>
  <c r="AC80" i="18"/>
  <c r="Y80" i="18"/>
  <c r="U80" i="18"/>
  <c r="Q80" i="18"/>
  <c r="M80" i="18"/>
  <c r="I80" i="18"/>
  <c r="H80" i="18" s="1"/>
  <c r="G80" i="18"/>
  <c r="AC79" i="18"/>
  <c r="Y79" i="18"/>
  <c r="U79" i="18"/>
  <c r="Q79" i="18"/>
  <c r="M79" i="18"/>
  <c r="I79" i="18"/>
  <c r="H79" i="18" s="1"/>
  <c r="G79" i="18"/>
  <c r="AC78" i="18"/>
  <c r="Y78" i="18"/>
  <c r="U78" i="18"/>
  <c r="Q78" i="18"/>
  <c r="M78" i="18"/>
  <c r="I78" i="18"/>
  <c r="H78" i="18" s="1"/>
  <c r="G78" i="18"/>
  <c r="AC77" i="18"/>
  <c r="Y77" i="18"/>
  <c r="U77" i="18"/>
  <c r="Q77" i="18"/>
  <c r="M77" i="18"/>
  <c r="I77" i="18"/>
  <c r="H77" i="18" s="1"/>
  <c r="G77" i="18"/>
  <c r="AC76" i="18"/>
  <c r="Y76" i="18"/>
  <c r="U76" i="18"/>
  <c r="Q76" i="18"/>
  <c r="M76" i="18"/>
  <c r="I76" i="18"/>
  <c r="H76" i="18" s="1"/>
  <c r="G76" i="18"/>
  <c r="AC75" i="18"/>
  <c r="Y75" i="18"/>
  <c r="U75" i="18"/>
  <c r="Q75" i="18"/>
  <c r="M75" i="18"/>
  <c r="I75" i="18"/>
  <c r="H75" i="18" s="1"/>
  <c r="G75" i="18"/>
  <c r="AC74" i="18"/>
  <c r="Y74" i="18"/>
  <c r="U74" i="18"/>
  <c r="Q74" i="18"/>
  <c r="M74" i="18"/>
  <c r="I74" i="18"/>
  <c r="H74" i="18" s="1"/>
  <c r="G74" i="18"/>
  <c r="AC73" i="18"/>
  <c r="Y73" i="18"/>
  <c r="U73" i="18"/>
  <c r="Q73" i="18"/>
  <c r="M73" i="18"/>
  <c r="I73" i="18"/>
  <c r="H73" i="18" s="1"/>
  <c r="G73" i="18"/>
  <c r="AC72" i="18"/>
  <c r="Y72" i="18"/>
  <c r="U72" i="18"/>
  <c r="Q72" i="18"/>
  <c r="M72" i="18"/>
  <c r="I72" i="18"/>
  <c r="H72" i="18" s="1"/>
  <c r="G72" i="18"/>
  <c r="AC71" i="18"/>
  <c r="Y71" i="18"/>
  <c r="U71" i="18"/>
  <c r="Q71" i="18"/>
  <c r="M71" i="18"/>
  <c r="I71" i="18"/>
  <c r="H71" i="18" s="1"/>
  <c r="G71" i="18"/>
  <c r="AC70" i="18"/>
  <c r="Y70" i="18"/>
  <c r="U70" i="18"/>
  <c r="Q70" i="18"/>
  <c r="M70" i="18"/>
  <c r="I70" i="18"/>
  <c r="H70" i="18" s="1"/>
  <c r="G70" i="18"/>
  <c r="AC69" i="18"/>
  <c r="Y69" i="18"/>
  <c r="U69" i="18"/>
  <c r="T69" i="18" s="1"/>
  <c r="S69" i="18"/>
  <c r="O69" i="18"/>
  <c r="K69" i="18"/>
  <c r="G69" i="18"/>
  <c r="D66" i="18"/>
  <c r="G66" i="18" s="1"/>
  <c r="AC65" i="18"/>
  <c r="Y65" i="18"/>
  <c r="U65" i="18"/>
  <c r="Q65" i="18"/>
  <c r="M65" i="18"/>
  <c r="I65" i="18"/>
  <c r="H65" i="18" s="1"/>
  <c r="K65" i="18" s="1"/>
  <c r="G65" i="18"/>
  <c r="AC64" i="18"/>
  <c r="Y64" i="18"/>
  <c r="U64" i="18"/>
  <c r="Q64" i="18"/>
  <c r="M64" i="18"/>
  <c r="I64" i="18"/>
  <c r="H64" i="18" s="1"/>
  <c r="G64" i="18"/>
  <c r="AC63" i="18"/>
  <c r="Y63" i="18"/>
  <c r="U63" i="18"/>
  <c r="Q63" i="18"/>
  <c r="M63" i="18"/>
  <c r="I63" i="18"/>
  <c r="H63" i="18" s="1"/>
  <c r="K63" i="18" s="1"/>
  <c r="G63" i="18"/>
  <c r="AC62" i="18"/>
  <c r="Y62" i="18"/>
  <c r="U62" i="18"/>
  <c r="Q62" i="18"/>
  <c r="M62" i="18"/>
  <c r="I62" i="18"/>
  <c r="H62" i="18" s="1"/>
  <c r="G62" i="18"/>
  <c r="AC61" i="18"/>
  <c r="Y61" i="18"/>
  <c r="U61" i="18"/>
  <c r="Q61" i="18"/>
  <c r="M61" i="18"/>
  <c r="I61" i="18"/>
  <c r="H61" i="18" s="1"/>
  <c r="K61" i="18" s="1"/>
  <c r="G61" i="18"/>
  <c r="AC60" i="18"/>
  <c r="Y60" i="18"/>
  <c r="U60" i="18"/>
  <c r="Q60" i="18"/>
  <c r="M60" i="18"/>
  <c r="I60" i="18"/>
  <c r="H60" i="18" s="1"/>
  <c r="G60" i="18"/>
  <c r="AC59" i="18"/>
  <c r="Y59" i="18"/>
  <c r="U59" i="18"/>
  <c r="Q59" i="18"/>
  <c r="M59" i="18"/>
  <c r="I59" i="18"/>
  <c r="H59" i="18" s="1"/>
  <c r="G59" i="18"/>
  <c r="G53" i="18"/>
  <c r="D53" i="18"/>
  <c r="H52" i="18"/>
  <c r="L52" i="18" s="1"/>
  <c r="G52" i="18"/>
  <c r="H51" i="18"/>
  <c r="L51" i="18" s="1"/>
  <c r="G51" i="18"/>
  <c r="AC50" i="18"/>
  <c r="Y50" i="18"/>
  <c r="U50" i="18"/>
  <c r="Q50" i="18"/>
  <c r="M50" i="18"/>
  <c r="I50" i="18"/>
  <c r="G50" i="18"/>
  <c r="E50" i="18"/>
  <c r="AC49" i="18"/>
  <c r="Y49" i="18"/>
  <c r="U49" i="18"/>
  <c r="Q49" i="18"/>
  <c r="M49" i="18"/>
  <c r="I49" i="18"/>
  <c r="G49" i="18"/>
  <c r="E49" i="18"/>
  <c r="AC48" i="18"/>
  <c r="Y48" i="18"/>
  <c r="U48" i="18"/>
  <c r="Q48" i="18"/>
  <c r="M48" i="18"/>
  <c r="I48" i="18"/>
  <c r="H48" i="18" s="1"/>
  <c r="G48" i="18"/>
  <c r="AC47" i="18"/>
  <c r="Y47" i="18"/>
  <c r="U47" i="18"/>
  <c r="Q47" i="18"/>
  <c r="M47" i="18"/>
  <c r="I47" i="18"/>
  <c r="G47" i="18"/>
  <c r="E47" i="18"/>
  <c r="AC46" i="18"/>
  <c r="Y46" i="18"/>
  <c r="U46" i="18"/>
  <c r="Q46" i="18"/>
  <c r="M46" i="18"/>
  <c r="I46" i="18"/>
  <c r="G46" i="18"/>
  <c r="E46" i="18"/>
  <c r="AC45" i="18"/>
  <c r="Y45" i="18"/>
  <c r="U45" i="18"/>
  <c r="Q45" i="18"/>
  <c r="M45" i="18"/>
  <c r="I45" i="18"/>
  <c r="G45" i="18"/>
  <c r="E45" i="18"/>
  <c r="U44" i="18"/>
  <c r="Q44" i="18"/>
  <c r="M44" i="18"/>
  <c r="I44" i="18"/>
  <c r="G44" i="18"/>
  <c r="E44" i="18"/>
  <c r="D41" i="18"/>
  <c r="AC39" i="18"/>
  <c r="Y39" i="18"/>
  <c r="U39" i="18"/>
  <c r="Q39" i="18"/>
  <c r="M39" i="18"/>
  <c r="I39" i="18"/>
  <c r="H39" i="18"/>
  <c r="K39" i="18" s="1"/>
  <c r="G39" i="18"/>
  <c r="AC38" i="18"/>
  <c r="Y38" i="18"/>
  <c r="U38" i="18"/>
  <c r="Q38" i="18"/>
  <c r="M38" i="18"/>
  <c r="I38" i="18"/>
  <c r="H38" i="18"/>
  <c r="L38" i="18" s="1"/>
  <c r="P38" i="18" s="1"/>
  <c r="G38" i="18"/>
  <c r="AC37" i="18"/>
  <c r="Y37" i="18"/>
  <c r="U37" i="18"/>
  <c r="Q37" i="18"/>
  <c r="M37" i="18"/>
  <c r="I37" i="18"/>
  <c r="H37" i="18"/>
  <c r="K37" i="18" s="1"/>
  <c r="G37" i="18"/>
  <c r="AC36" i="18"/>
  <c r="Y36" i="18"/>
  <c r="U36" i="18"/>
  <c r="Q36" i="18"/>
  <c r="M36" i="18"/>
  <c r="I36" i="18"/>
  <c r="H36" i="18"/>
  <c r="K36" i="18" s="1"/>
  <c r="G36" i="18"/>
  <c r="AC35" i="18"/>
  <c r="Y35" i="18"/>
  <c r="U35" i="18"/>
  <c r="Q35" i="18"/>
  <c r="M35" i="18"/>
  <c r="L35" i="18"/>
  <c r="P35" i="18" s="1"/>
  <c r="T35" i="18" s="1"/>
  <c r="I35" i="18"/>
  <c r="H35" i="18"/>
  <c r="K35" i="18" s="1"/>
  <c r="G35" i="18"/>
  <c r="AC34" i="18"/>
  <c r="Y34" i="18"/>
  <c r="U34" i="18"/>
  <c r="Q34" i="18"/>
  <c r="M34" i="18"/>
  <c r="I34" i="18"/>
  <c r="H34" i="18"/>
  <c r="K34" i="18" s="1"/>
  <c r="G34" i="18"/>
  <c r="AC33" i="18"/>
  <c r="Y33" i="18"/>
  <c r="U33" i="18"/>
  <c r="Q33" i="18"/>
  <c r="M33" i="18"/>
  <c r="L33" i="18"/>
  <c r="O33" i="18" s="1"/>
  <c r="I33" i="18"/>
  <c r="H33" i="18"/>
  <c r="K33" i="18" s="1"/>
  <c r="G33" i="18"/>
  <c r="D30" i="18"/>
  <c r="G30" i="18" s="1"/>
  <c r="AC28" i="18"/>
  <c r="Y28" i="18"/>
  <c r="U28" i="18"/>
  <c r="Q28" i="18"/>
  <c r="M28" i="18"/>
  <c r="I28" i="18"/>
  <c r="H28" i="18"/>
  <c r="K28" i="18" s="1"/>
  <c r="G28" i="18"/>
  <c r="AC27" i="18"/>
  <c r="Y27" i="18"/>
  <c r="U27" i="18"/>
  <c r="Q27" i="18"/>
  <c r="M27" i="18"/>
  <c r="I27" i="18"/>
  <c r="H27" i="18"/>
  <c r="L27" i="18" s="1"/>
  <c r="O27" i="18" s="1"/>
  <c r="G27" i="18"/>
  <c r="AC26" i="18"/>
  <c r="Y26" i="18"/>
  <c r="U26" i="18"/>
  <c r="Q26" i="18"/>
  <c r="M26" i="18"/>
  <c r="L26" i="18"/>
  <c r="O26" i="18" s="1"/>
  <c r="K26" i="18"/>
  <c r="I26" i="18"/>
  <c r="H26" i="18"/>
  <c r="G26" i="18"/>
  <c r="AC25" i="18"/>
  <c r="Y25" i="18"/>
  <c r="U25" i="18"/>
  <c r="Q25" i="18"/>
  <c r="M25" i="18"/>
  <c r="I25" i="18"/>
  <c r="H25" i="18"/>
  <c r="L25" i="18" s="1"/>
  <c r="O25" i="18" s="1"/>
  <c r="G25" i="18"/>
  <c r="AC24" i="18"/>
  <c r="Y24" i="18"/>
  <c r="U24" i="18"/>
  <c r="Q24" i="18"/>
  <c r="M24" i="18"/>
  <c r="I24" i="18"/>
  <c r="H24" i="18"/>
  <c r="K24" i="18" s="1"/>
  <c r="G24" i="18"/>
  <c r="AC23" i="18"/>
  <c r="Y23" i="18"/>
  <c r="U23" i="18"/>
  <c r="Q23" i="18"/>
  <c r="M23" i="18"/>
  <c r="I23" i="18"/>
  <c r="H23" i="18"/>
  <c r="L23" i="18" s="1"/>
  <c r="P23" i="18" s="1"/>
  <c r="G23" i="18"/>
  <c r="AC22" i="18"/>
  <c r="Y22" i="18"/>
  <c r="U22" i="18"/>
  <c r="Q22" i="18"/>
  <c r="M22" i="18"/>
  <c r="I22" i="18"/>
  <c r="H22" i="18"/>
  <c r="L22" i="18" s="1"/>
  <c r="G22" i="18"/>
  <c r="AC21" i="18"/>
  <c r="Y21" i="18"/>
  <c r="U21" i="18"/>
  <c r="Q21" i="18"/>
  <c r="M21" i="18"/>
  <c r="I21" i="18"/>
  <c r="H21" i="18"/>
  <c r="L21" i="18" s="1"/>
  <c r="P21" i="18" s="1"/>
  <c r="G21" i="18"/>
  <c r="D11" i="18"/>
  <c r="D13" i="18" s="1"/>
  <c r="D99" i="18" s="1"/>
  <c r="AB10" i="18"/>
  <c r="X10" i="18"/>
  <c r="AA10" i="18" s="1"/>
  <c r="T10" i="18"/>
  <c r="W10" i="18" s="1"/>
  <c r="S10" i="18"/>
  <c r="P10" i="18"/>
  <c r="L10" i="18"/>
  <c r="O10" i="18" s="1"/>
  <c r="K10" i="18"/>
  <c r="G10" i="18"/>
  <c r="H6" i="18"/>
  <c r="L6" i="18" s="1"/>
  <c r="P6" i="18" s="1"/>
  <c r="T6" i="18" s="1"/>
  <c r="X6" i="18" s="1"/>
  <c r="AB6" i="18" s="1"/>
  <c r="AB3" i="18"/>
  <c r="AB9" i="18" s="1"/>
  <c r="AB11" i="18" s="1"/>
  <c r="X3" i="18"/>
  <c r="X9" i="18" s="1"/>
  <c r="T3" i="18"/>
  <c r="T9" i="18" s="1"/>
  <c r="P9" i="18"/>
  <c r="L9" i="18"/>
  <c r="L11" i="18" s="1"/>
  <c r="AC81" i="17"/>
  <c r="Y81" i="17"/>
  <c r="U81" i="17"/>
  <c r="Q81" i="17"/>
  <c r="M81" i="17"/>
  <c r="I81" i="17"/>
  <c r="AC80" i="17"/>
  <c r="Y80" i="17"/>
  <c r="U80" i="17"/>
  <c r="Q80" i="17"/>
  <c r="M80" i="17"/>
  <c r="I80" i="17"/>
  <c r="H80" i="17" s="1"/>
  <c r="G80" i="17"/>
  <c r="AC79" i="17"/>
  <c r="Y79" i="17"/>
  <c r="U79" i="17"/>
  <c r="Q79" i="17"/>
  <c r="M79" i="17"/>
  <c r="I79" i="17"/>
  <c r="H79" i="17" s="1"/>
  <c r="G79" i="17"/>
  <c r="AC78" i="17"/>
  <c r="Y78" i="17"/>
  <c r="U78" i="17"/>
  <c r="Q78" i="17"/>
  <c r="M78" i="17"/>
  <c r="I78" i="17"/>
  <c r="H78" i="17" s="1"/>
  <c r="G78" i="17"/>
  <c r="AC77" i="17"/>
  <c r="Y77" i="17"/>
  <c r="U77" i="17"/>
  <c r="Q77" i="17"/>
  <c r="M77" i="17"/>
  <c r="I77" i="17"/>
  <c r="H77" i="17" s="1"/>
  <c r="G77" i="17"/>
  <c r="AC76" i="17"/>
  <c r="Y76" i="17"/>
  <c r="U76" i="17"/>
  <c r="Q76" i="17"/>
  <c r="M76" i="17"/>
  <c r="I76" i="17"/>
  <c r="H76" i="17" s="1"/>
  <c r="G76" i="17"/>
  <c r="AC75" i="17"/>
  <c r="Y75" i="17"/>
  <c r="U75" i="17"/>
  <c r="Q75" i="17"/>
  <c r="M75" i="17"/>
  <c r="I75" i="17"/>
  <c r="H75" i="17" s="1"/>
  <c r="G75" i="17"/>
  <c r="AC74" i="17"/>
  <c r="Y74" i="17"/>
  <c r="U74" i="17"/>
  <c r="Q74" i="17"/>
  <c r="M74" i="17"/>
  <c r="I74" i="17"/>
  <c r="H74" i="17" s="1"/>
  <c r="G74" i="17"/>
  <c r="AC73" i="17"/>
  <c r="Y73" i="17"/>
  <c r="U73" i="17"/>
  <c r="Q73" i="17"/>
  <c r="M73" i="17"/>
  <c r="I73" i="17"/>
  <c r="H73" i="17" s="1"/>
  <c r="G73" i="17"/>
  <c r="AC72" i="17"/>
  <c r="Y72" i="17"/>
  <c r="U72" i="17"/>
  <c r="Q72" i="17"/>
  <c r="M72" i="17"/>
  <c r="I72" i="17"/>
  <c r="H72" i="17" s="1"/>
  <c r="G72" i="17"/>
  <c r="AC71" i="17"/>
  <c r="Y71" i="17"/>
  <c r="U71" i="17"/>
  <c r="Q71" i="17"/>
  <c r="M71" i="17"/>
  <c r="I71" i="17"/>
  <c r="H71" i="17" s="1"/>
  <c r="G71" i="17"/>
  <c r="AC70" i="17"/>
  <c r="Y70" i="17"/>
  <c r="U70" i="17"/>
  <c r="Q70" i="17"/>
  <c r="M70" i="17"/>
  <c r="I70" i="17"/>
  <c r="H70" i="17" s="1"/>
  <c r="G70" i="17"/>
  <c r="AC69" i="17"/>
  <c r="Y69" i="17"/>
  <c r="D66" i="17"/>
  <c r="G66" i="17" s="1"/>
  <c r="AC65" i="17"/>
  <c r="Y65" i="17"/>
  <c r="U65" i="17"/>
  <c r="Q65" i="17"/>
  <c r="M65" i="17"/>
  <c r="I65" i="17"/>
  <c r="H65" i="17" s="1"/>
  <c r="G65" i="17"/>
  <c r="AC64" i="17"/>
  <c r="Y64" i="17"/>
  <c r="U64" i="17"/>
  <c r="Q64" i="17"/>
  <c r="M64" i="17"/>
  <c r="I64" i="17"/>
  <c r="H64" i="17" s="1"/>
  <c r="G64" i="17"/>
  <c r="AC63" i="17"/>
  <c r="Y63" i="17"/>
  <c r="U63" i="17"/>
  <c r="Q63" i="17"/>
  <c r="M63" i="17"/>
  <c r="I63" i="17"/>
  <c r="H63" i="17" s="1"/>
  <c r="G63" i="17"/>
  <c r="AC62" i="17"/>
  <c r="Y62" i="17"/>
  <c r="U62" i="17"/>
  <c r="Q62" i="17"/>
  <c r="M62" i="17"/>
  <c r="I62" i="17"/>
  <c r="H62" i="17" s="1"/>
  <c r="G62" i="17"/>
  <c r="AC61" i="17"/>
  <c r="Y61" i="17"/>
  <c r="U61" i="17"/>
  <c r="Q61" i="17"/>
  <c r="M61" i="17"/>
  <c r="I61" i="17"/>
  <c r="H61" i="17" s="1"/>
  <c r="G61" i="17"/>
  <c r="AC60" i="17"/>
  <c r="Y60" i="17"/>
  <c r="U60" i="17"/>
  <c r="Q60" i="17"/>
  <c r="M60" i="17"/>
  <c r="I60" i="17"/>
  <c r="H60" i="17" s="1"/>
  <c r="G60" i="17"/>
  <c r="AC59" i="17"/>
  <c r="Y59" i="17"/>
  <c r="U59" i="17"/>
  <c r="Q59" i="17"/>
  <c r="M59" i="17"/>
  <c r="I59" i="17"/>
  <c r="H59" i="17" s="1"/>
  <c r="G59" i="17"/>
  <c r="D53" i="17"/>
  <c r="G53" i="17" s="1"/>
  <c r="H52" i="17"/>
  <c r="L52" i="17" s="1"/>
  <c r="P52" i="17" s="1"/>
  <c r="G52" i="17"/>
  <c r="H51" i="17"/>
  <c r="K51" i="17" s="1"/>
  <c r="G51" i="17"/>
  <c r="AC50" i="17"/>
  <c r="Y50" i="17"/>
  <c r="U50" i="17"/>
  <c r="Q50" i="17"/>
  <c r="M50" i="17"/>
  <c r="I50" i="17"/>
  <c r="G50" i="17"/>
  <c r="E50" i="17"/>
  <c r="AC49" i="17"/>
  <c r="Y49" i="17"/>
  <c r="U49" i="17"/>
  <c r="Q49" i="17"/>
  <c r="M49" i="17"/>
  <c r="I49" i="17"/>
  <c r="G49" i="17"/>
  <c r="E49" i="17"/>
  <c r="AC48" i="17"/>
  <c r="Y48" i="17"/>
  <c r="U48" i="17"/>
  <c r="Q48" i="17"/>
  <c r="M48" i="17"/>
  <c r="I48" i="17"/>
  <c r="H48" i="17" s="1"/>
  <c r="G48" i="17"/>
  <c r="AC47" i="17"/>
  <c r="Y47" i="17"/>
  <c r="U47" i="17"/>
  <c r="Q47" i="17"/>
  <c r="M47" i="17"/>
  <c r="I47" i="17"/>
  <c r="G47" i="17"/>
  <c r="E47" i="17"/>
  <c r="AC46" i="17"/>
  <c r="Y46" i="17"/>
  <c r="U46" i="17"/>
  <c r="Q46" i="17"/>
  <c r="M46" i="17"/>
  <c r="I46" i="17"/>
  <c r="G46" i="17"/>
  <c r="E46" i="17"/>
  <c r="AC45" i="17"/>
  <c r="Y45" i="17"/>
  <c r="U45" i="17"/>
  <c r="Q45" i="17"/>
  <c r="M45" i="17"/>
  <c r="I45" i="17"/>
  <c r="G45" i="17"/>
  <c r="E45" i="17"/>
  <c r="U44" i="17"/>
  <c r="Q44" i="17"/>
  <c r="M44" i="17"/>
  <c r="I44" i="17"/>
  <c r="G44" i="17"/>
  <c r="E44" i="17"/>
  <c r="D41" i="17"/>
  <c r="G41" i="17" s="1"/>
  <c r="AC39" i="17"/>
  <c r="Y39" i="17"/>
  <c r="U39" i="17"/>
  <c r="Q39" i="17"/>
  <c r="M39" i="17"/>
  <c r="I39" i="17"/>
  <c r="H39" i="17"/>
  <c r="L39" i="17" s="1"/>
  <c r="G39" i="17"/>
  <c r="AC38" i="17"/>
  <c r="Y38" i="17"/>
  <c r="U38" i="17"/>
  <c r="Q38" i="17"/>
  <c r="M38" i="17"/>
  <c r="I38" i="17"/>
  <c r="H38" i="17"/>
  <c r="L38" i="17" s="1"/>
  <c r="G38" i="17"/>
  <c r="AC37" i="17"/>
  <c r="Y37" i="17"/>
  <c r="U37" i="17"/>
  <c r="Q37" i="17"/>
  <c r="M37" i="17"/>
  <c r="I37" i="17"/>
  <c r="H37" i="17"/>
  <c r="L37" i="17" s="1"/>
  <c r="G37" i="17"/>
  <c r="AC36" i="17"/>
  <c r="Y36" i="17"/>
  <c r="U36" i="17"/>
  <c r="Q36" i="17"/>
  <c r="M36" i="17"/>
  <c r="I36" i="17"/>
  <c r="H36" i="17"/>
  <c r="L36" i="17" s="1"/>
  <c r="G36" i="17"/>
  <c r="AC35" i="17"/>
  <c r="Y35" i="17"/>
  <c r="U35" i="17"/>
  <c r="Q35" i="17"/>
  <c r="M35" i="17"/>
  <c r="I35" i="17"/>
  <c r="H35" i="17"/>
  <c r="L35" i="17" s="1"/>
  <c r="O35" i="17" s="1"/>
  <c r="G35" i="17"/>
  <c r="AC34" i="17"/>
  <c r="Y34" i="17"/>
  <c r="U34" i="17"/>
  <c r="Q34" i="17"/>
  <c r="M34" i="17"/>
  <c r="I34" i="17"/>
  <c r="H34" i="17"/>
  <c r="G34" i="17"/>
  <c r="AC33" i="17"/>
  <c r="Y33" i="17"/>
  <c r="U33" i="17"/>
  <c r="Q33" i="17"/>
  <c r="M33" i="17"/>
  <c r="I33" i="17"/>
  <c r="H33" i="17"/>
  <c r="K33" i="17" s="1"/>
  <c r="G33" i="17"/>
  <c r="D30" i="17"/>
  <c r="G30" i="17" s="1"/>
  <c r="AC28" i="17"/>
  <c r="Y28" i="17"/>
  <c r="U28" i="17"/>
  <c r="Q28" i="17"/>
  <c r="M28" i="17"/>
  <c r="I28" i="17"/>
  <c r="H28" i="17"/>
  <c r="K28" i="17" s="1"/>
  <c r="G28" i="17"/>
  <c r="AC27" i="17"/>
  <c r="Y27" i="17"/>
  <c r="U27" i="17"/>
  <c r="Q27" i="17"/>
  <c r="M27" i="17"/>
  <c r="I27" i="17"/>
  <c r="H27" i="17"/>
  <c r="K27" i="17" s="1"/>
  <c r="G27" i="17"/>
  <c r="AC26" i="17"/>
  <c r="Y26" i="17"/>
  <c r="U26" i="17"/>
  <c r="Q26" i="17"/>
  <c r="M26" i="17"/>
  <c r="I26" i="17"/>
  <c r="H26" i="17"/>
  <c r="K26" i="17" s="1"/>
  <c r="G26" i="17"/>
  <c r="AC25" i="17"/>
  <c r="Y25" i="17"/>
  <c r="U25" i="17"/>
  <c r="Q25" i="17"/>
  <c r="M25" i="17"/>
  <c r="I25" i="17"/>
  <c r="H25" i="17"/>
  <c r="K25" i="17" s="1"/>
  <c r="G25" i="17"/>
  <c r="AC24" i="17"/>
  <c r="Y24" i="17"/>
  <c r="U24" i="17"/>
  <c r="Q24" i="17"/>
  <c r="M24" i="17"/>
  <c r="I24" i="17"/>
  <c r="H24" i="17"/>
  <c r="K24" i="17" s="1"/>
  <c r="G24" i="17"/>
  <c r="AC23" i="17"/>
  <c r="Y23" i="17"/>
  <c r="U23" i="17"/>
  <c r="Q23" i="17"/>
  <c r="M23" i="17"/>
  <c r="L23" i="17"/>
  <c r="P23" i="17" s="1"/>
  <c r="S23" i="17" s="1"/>
  <c r="I23" i="17"/>
  <c r="H23" i="17"/>
  <c r="K23" i="17" s="1"/>
  <c r="G23" i="17"/>
  <c r="AC22" i="17"/>
  <c r="Y22" i="17"/>
  <c r="U22" i="17"/>
  <c r="Q22" i="17"/>
  <c r="M22" i="17"/>
  <c r="I22" i="17"/>
  <c r="H22" i="17"/>
  <c r="K22" i="17" s="1"/>
  <c r="G22" i="17"/>
  <c r="AC21" i="17"/>
  <c r="Y21" i="17"/>
  <c r="U21" i="17"/>
  <c r="Q21" i="17"/>
  <c r="M21" i="17"/>
  <c r="I21" i="17"/>
  <c r="H21" i="17"/>
  <c r="K21" i="17" s="1"/>
  <c r="G21" i="17"/>
  <c r="AB10" i="17"/>
  <c r="X10" i="17"/>
  <c r="AA10" i="17" s="1"/>
  <c r="T10" i="17"/>
  <c r="W10" i="17" s="1"/>
  <c r="P10" i="17"/>
  <c r="S10" i="17" s="1"/>
  <c r="L10" i="17"/>
  <c r="O10" i="17" s="1"/>
  <c r="K10" i="17"/>
  <c r="G10" i="17"/>
  <c r="P9" i="17"/>
  <c r="S9" i="17" s="1"/>
  <c r="D11" i="17"/>
  <c r="F11" i="27" s="1"/>
  <c r="F11" i="28" s="1"/>
  <c r="U11" i="28" s="1"/>
  <c r="H6" i="17"/>
  <c r="L6" i="17" s="1"/>
  <c r="P6" i="17" s="1"/>
  <c r="T6" i="17" s="1"/>
  <c r="X6" i="17" s="1"/>
  <c r="AB6" i="17" s="1"/>
  <c r="AB3" i="17"/>
  <c r="AB9" i="17" s="1"/>
  <c r="AB11" i="17" s="1"/>
  <c r="X3" i="17"/>
  <c r="X9" i="17" s="1"/>
  <c r="T3" i="17"/>
  <c r="T9" i="17" s="1"/>
  <c r="W9" i="17" s="1"/>
  <c r="L9" i="17"/>
  <c r="P33" i="15"/>
  <c r="T33" i="15" s="1"/>
  <c r="G33" i="15"/>
  <c r="AC81" i="15"/>
  <c r="Y81" i="15"/>
  <c r="U81" i="15"/>
  <c r="Q81" i="15"/>
  <c r="M81" i="15"/>
  <c r="I81" i="15"/>
  <c r="AC80" i="15"/>
  <c r="Y80" i="15"/>
  <c r="U80" i="15"/>
  <c r="Q80" i="15"/>
  <c r="M80" i="15"/>
  <c r="I80" i="15"/>
  <c r="H80" i="15" s="1"/>
  <c r="G80" i="15"/>
  <c r="AC79" i="15"/>
  <c r="Y79" i="15"/>
  <c r="U79" i="15"/>
  <c r="Q79" i="15"/>
  <c r="M79" i="15"/>
  <c r="I79" i="15"/>
  <c r="H79" i="15" s="1"/>
  <c r="G79" i="15"/>
  <c r="AC78" i="15"/>
  <c r="Y78" i="15"/>
  <c r="U78" i="15"/>
  <c r="Q78" i="15"/>
  <c r="M78" i="15"/>
  <c r="I78" i="15"/>
  <c r="H78" i="15" s="1"/>
  <c r="G78" i="15"/>
  <c r="AC77" i="15"/>
  <c r="Y77" i="15"/>
  <c r="U77" i="15"/>
  <c r="Q77" i="15"/>
  <c r="M77" i="15"/>
  <c r="I77" i="15"/>
  <c r="H77" i="15" s="1"/>
  <c r="G77" i="15"/>
  <c r="AC76" i="15"/>
  <c r="Y76" i="15"/>
  <c r="U76" i="15"/>
  <c r="Q76" i="15"/>
  <c r="M76" i="15"/>
  <c r="I76" i="15"/>
  <c r="H76" i="15" s="1"/>
  <c r="G76" i="15"/>
  <c r="AC75" i="15"/>
  <c r="Y75" i="15"/>
  <c r="U75" i="15"/>
  <c r="Q75" i="15"/>
  <c r="M75" i="15"/>
  <c r="I75" i="15"/>
  <c r="H75" i="15" s="1"/>
  <c r="G75" i="15"/>
  <c r="AC74" i="15"/>
  <c r="Y74" i="15"/>
  <c r="U74" i="15"/>
  <c r="Q74" i="15"/>
  <c r="M74" i="15"/>
  <c r="I74" i="15"/>
  <c r="H74" i="15" s="1"/>
  <c r="G74" i="15"/>
  <c r="AC73" i="15"/>
  <c r="Y73" i="15"/>
  <c r="U73" i="15"/>
  <c r="Q73" i="15"/>
  <c r="M73" i="15"/>
  <c r="I73" i="15"/>
  <c r="H73" i="15" s="1"/>
  <c r="G73" i="15"/>
  <c r="AC72" i="15"/>
  <c r="Y72" i="15"/>
  <c r="U72" i="15"/>
  <c r="Q72" i="15"/>
  <c r="M72" i="15"/>
  <c r="I72" i="15"/>
  <c r="H72" i="15" s="1"/>
  <c r="G72" i="15"/>
  <c r="AC71" i="15"/>
  <c r="Y71" i="15"/>
  <c r="U71" i="15"/>
  <c r="Q71" i="15"/>
  <c r="M71" i="15"/>
  <c r="I71" i="15"/>
  <c r="H71" i="15" s="1"/>
  <c r="G71" i="15"/>
  <c r="AC70" i="15"/>
  <c r="Y70" i="15"/>
  <c r="U70" i="15"/>
  <c r="Q70" i="15"/>
  <c r="M70" i="15"/>
  <c r="I70" i="15"/>
  <c r="H70" i="15" s="1"/>
  <c r="G70" i="15"/>
  <c r="AC69" i="15"/>
  <c r="Y69" i="15"/>
  <c r="U69" i="15"/>
  <c r="Q69" i="15"/>
  <c r="M69" i="15"/>
  <c r="I69" i="15"/>
  <c r="H69" i="15" s="1"/>
  <c r="G69" i="15"/>
  <c r="D66" i="15"/>
  <c r="G66" i="15" s="1"/>
  <c r="AC65" i="15"/>
  <c r="Y65" i="15"/>
  <c r="U65" i="15"/>
  <c r="Q65" i="15"/>
  <c r="M65" i="15"/>
  <c r="I65" i="15"/>
  <c r="H65" i="15" s="1"/>
  <c r="G65" i="15"/>
  <c r="AC64" i="15"/>
  <c r="Y64" i="15"/>
  <c r="U64" i="15"/>
  <c r="Q64" i="15"/>
  <c r="M64" i="15"/>
  <c r="I64" i="15"/>
  <c r="H64" i="15" s="1"/>
  <c r="G64" i="15"/>
  <c r="AC63" i="15"/>
  <c r="Y63" i="15"/>
  <c r="U63" i="15"/>
  <c r="Q63" i="15"/>
  <c r="M63" i="15"/>
  <c r="I63" i="15"/>
  <c r="H63" i="15" s="1"/>
  <c r="G63" i="15"/>
  <c r="AC62" i="15"/>
  <c r="Y62" i="15"/>
  <c r="U62" i="15"/>
  <c r="Q62" i="15"/>
  <c r="M62" i="15"/>
  <c r="I62" i="15"/>
  <c r="H62" i="15" s="1"/>
  <c r="G62" i="15"/>
  <c r="AC61" i="15"/>
  <c r="Y61" i="15"/>
  <c r="U61" i="15"/>
  <c r="Q61" i="15"/>
  <c r="M61" i="15"/>
  <c r="I61" i="15"/>
  <c r="H61" i="15" s="1"/>
  <c r="G61" i="15"/>
  <c r="AC60" i="15"/>
  <c r="Y60" i="15"/>
  <c r="U60" i="15"/>
  <c r="Q60" i="15"/>
  <c r="M60" i="15"/>
  <c r="I60" i="15"/>
  <c r="H60" i="15" s="1"/>
  <c r="G60" i="15"/>
  <c r="AC59" i="15"/>
  <c r="Y59" i="15"/>
  <c r="U59" i="15"/>
  <c r="Q59" i="15"/>
  <c r="M59" i="15"/>
  <c r="I59" i="15"/>
  <c r="H59" i="15" s="1"/>
  <c r="G59" i="15"/>
  <c r="D53" i="15"/>
  <c r="AC50" i="15"/>
  <c r="Y50" i="15"/>
  <c r="U50" i="15"/>
  <c r="Q50" i="15"/>
  <c r="M50" i="15"/>
  <c r="I50" i="15"/>
  <c r="E50" i="15"/>
  <c r="AC49" i="15"/>
  <c r="Y49" i="15"/>
  <c r="U49" i="15"/>
  <c r="Q49" i="15"/>
  <c r="M49" i="15"/>
  <c r="I49" i="15"/>
  <c r="E49" i="15"/>
  <c r="AC48" i="15"/>
  <c r="Y48" i="15"/>
  <c r="U48" i="15"/>
  <c r="Q48" i="15"/>
  <c r="M48" i="15"/>
  <c r="G48" i="15"/>
  <c r="AC47" i="15"/>
  <c r="Y47" i="15"/>
  <c r="U47" i="15"/>
  <c r="Q47" i="15"/>
  <c r="M47" i="15"/>
  <c r="I47" i="15"/>
  <c r="E47" i="15"/>
  <c r="AC46" i="15"/>
  <c r="Y46" i="15"/>
  <c r="U46" i="15"/>
  <c r="Q46" i="15"/>
  <c r="M46" i="15"/>
  <c r="I46" i="15"/>
  <c r="G46" i="15"/>
  <c r="E46" i="15"/>
  <c r="AC45" i="15"/>
  <c r="Y45" i="15"/>
  <c r="U45" i="15"/>
  <c r="Q45" i="15"/>
  <c r="M45" i="15"/>
  <c r="I45" i="15"/>
  <c r="G45" i="15"/>
  <c r="E45" i="15"/>
  <c r="U44" i="15"/>
  <c r="Q44" i="15"/>
  <c r="M44" i="15"/>
  <c r="I44" i="15"/>
  <c r="E44" i="15"/>
  <c r="D41" i="15"/>
  <c r="AC39" i="15"/>
  <c r="Y39" i="15"/>
  <c r="U39" i="15"/>
  <c r="Q39" i="15"/>
  <c r="M39" i="15"/>
  <c r="I39" i="15"/>
  <c r="H39" i="15"/>
  <c r="K39" i="15" s="1"/>
  <c r="G39" i="15"/>
  <c r="AC38" i="15"/>
  <c r="Y38" i="15"/>
  <c r="U38" i="15"/>
  <c r="Q38" i="15"/>
  <c r="M38" i="15"/>
  <c r="I38" i="15"/>
  <c r="H38" i="15"/>
  <c r="K38" i="15" s="1"/>
  <c r="G38" i="15"/>
  <c r="AC37" i="15"/>
  <c r="Y37" i="15"/>
  <c r="U37" i="15"/>
  <c r="Q37" i="15"/>
  <c r="M37" i="15"/>
  <c r="I37" i="15"/>
  <c r="H37" i="15"/>
  <c r="K37" i="15" s="1"/>
  <c r="G37" i="15"/>
  <c r="AC36" i="15"/>
  <c r="Y36" i="15"/>
  <c r="U36" i="15"/>
  <c r="Q36" i="15"/>
  <c r="M36" i="15"/>
  <c r="K36" i="15"/>
  <c r="I36" i="15"/>
  <c r="H36" i="15"/>
  <c r="L36" i="15" s="1"/>
  <c r="P36" i="15" s="1"/>
  <c r="G36" i="15"/>
  <c r="AC35" i="15"/>
  <c r="Y35" i="15"/>
  <c r="U35" i="15"/>
  <c r="Q35" i="15"/>
  <c r="M35" i="15"/>
  <c r="I35" i="15"/>
  <c r="H35" i="15"/>
  <c r="K35" i="15" s="1"/>
  <c r="G35" i="15"/>
  <c r="AC34" i="15"/>
  <c r="Y34" i="15"/>
  <c r="U34" i="15"/>
  <c r="Q34" i="15"/>
  <c r="M34" i="15"/>
  <c r="I34" i="15"/>
  <c r="H34" i="15"/>
  <c r="K34" i="15" s="1"/>
  <c r="G34" i="15"/>
  <c r="AC33" i="15"/>
  <c r="Y33" i="15"/>
  <c r="D30" i="15"/>
  <c r="G30" i="15" s="1"/>
  <c r="AC28" i="15"/>
  <c r="Y28" i="15"/>
  <c r="U28" i="15"/>
  <c r="Q28" i="15"/>
  <c r="M28" i="15"/>
  <c r="I28" i="15"/>
  <c r="H28" i="15"/>
  <c r="L28" i="15" s="1"/>
  <c r="O28" i="15" s="1"/>
  <c r="G28" i="15"/>
  <c r="AC27" i="15"/>
  <c r="Y27" i="15"/>
  <c r="U27" i="15"/>
  <c r="Q27" i="15"/>
  <c r="M27" i="15"/>
  <c r="I27" i="15"/>
  <c r="H27" i="15"/>
  <c r="K27" i="15" s="1"/>
  <c r="G27" i="15"/>
  <c r="AC26" i="15"/>
  <c r="Y26" i="15"/>
  <c r="U26" i="15"/>
  <c r="Q26" i="15"/>
  <c r="M26" i="15"/>
  <c r="I26" i="15"/>
  <c r="H26" i="15"/>
  <c r="L26" i="15" s="1"/>
  <c r="G26" i="15"/>
  <c r="AC25" i="15"/>
  <c r="Y25" i="15"/>
  <c r="U25" i="15"/>
  <c r="Q25" i="15"/>
  <c r="M25" i="15"/>
  <c r="I25" i="15"/>
  <c r="H25" i="15"/>
  <c r="G25" i="15"/>
  <c r="AC24" i="15"/>
  <c r="Y24" i="15"/>
  <c r="U24" i="15"/>
  <c r="Q24" i="15"/>
  <c r="M24" i="15"/>
  <c r="I24" i="15"/>
  <c r="H24" i="15"/>
  <c r="K24" i="15" s="1"/>
  <c r="G24" i="15"/>
  <c r="AC23" i="15"/>
  <c r="Y23" i="15"/>
  <c r="U23" i="15"/>
  <c r="Q23" i="15"/>
  <c r="M23" i="15"/>
  <c r="I23" i="15"/>
  <c r="H23" i="15"/>
  <c r="G23" i="15"/>
  <c r="AC22" i="15"/>
  <c r="Y22" i="15"/>
  <c r="U22" i="15"/>
  <c r="Q22" i="15"/>
  <c r="M22" i="15"/>
  <c r="L22" i="15"/>
  <c r="O22" i="15" s="1"/>
  <c r="I22" i="15"/>
  <c r="H22" i="15"/>
  <c r="K22" i="15" s="1"/>
  <c r="G22" i="15"/>
  <c r="AC21" i="15"/>
  <c r="Y21" i="15"/>
  <c r="U21" i="15"/>
  <c r="Q21" i="15"/>
  <c r="M21" i="15"/>
  <c r="I21" i="15"/>
  <c r="H21" i="15"/>
  <c r="G21" i="15"/>
  <c r="AB10" i="15"/>
  <c r="X10" i="15"/>
  <c r="AA10" i="15" s="1"/>
  <c r="G10" i="15"/>
  <c r="AB9" i="15"/>
  <c r="AB11" i="15" s="1"/>
  <c r="H6" i="15"/>
  <c r="L6" i="15" s="1"/>
  <c r="P6" i="15" s="1"/>
  <c r="T6" i="15" s="1"/>
  <c r="X6" i="15" s="1"/>
  <c r="AB6" i="15" s="1"/>
  <c r="AB3" i="15"/>
  <c r="X3" i="15"/>
  <c r="X9" i="15" s="1"/>
  <c r="T3" i="15"/>
  <c r="K23" i="21" l="1"/>
  <c r="L25" i="21"/>
  <c r="O25" i="21" s="1"/>
  <c r="L38" i="21"/>
  <c r="O38" i="21" s="1"/>
  <c r="H41" i="21"/>
  <c r="L33" i="21"/>
  <c r="O33" i="21" s="1"/>
  <c r="L51" i="21"/>
  <c r="P51" i="21" s="1"/>
  <c r="F45" i="26"/>
  <c r="F44" i="42"/>
  <c r="K59" i="19"/>
  <c r="H66" i="19"/>
  <c r="K38" i="18"/>
  <c r="H30" i="19"/>
  <c r="I30" i="19" s="1"/>
  <c r="K25" i="19"/>
  <c r="L27" i="21"/>
  <c r="P35" i="21"/>
  <c r="S35" i="21" s="1"/>
  <c r="L36" i="21"/>
  <c r="O36" i="21" s="1"/>
  <c r="H41" i="15"/>
  <c r="I41" i="15"/>
  <c r="L22" i="17"/>
  <c r="P22" i="17" s="1"/>
  <c r="S22" i="17" s="1"/>
  <c r="AB11" i="19"/>
  <c r="AB13" i="19" s="1"/>
  <c r="L34" i="21"/>
  <c r="O34" i="21" s="1"/>
  <c r="L37" i="21"/>
  <c r="F45" i="27"/>
  <c r="F45" i="28" s="1"/>
  <c r="U45" i="28" s="1"/>
  <c r="D14" i="22"/>
  <c r="D15" i="22" s="1"/>
  <c r="E12" i="22" s="1"/>
  <c r="G69" i="21"/>
  <c r="H44" i="15"/>
  <c r="K36" i="20"/>
  <c r="L34" i="20"/>
  <c r="O34" i="20" s="1"/>
  <c r="G9" i="19"/>
  <c r="F10" i="27"/>
  <c r="L35" i="15"/>
  <c r="O35" i="15" s="1"/>
  <c r="L39" i="15"/>
  <c r="O39" i="15" s="1"/>
  <c r="L34" i="15"/>
  <c r="O34" i="15" s="1"/>
  <c r="L38" i="15"/>
  <c r="O38" i="15" s="1"/>
  <c r="L34" i="18"/>
  <c r="L36" i="18"/>
  <c r="P36" i="18" s="1"/>
  <c r="S36" i="18" s="1"/>
  <c r="O38" i="18"/>
  <c r="L39" i="18"/>
  <c r="K21" i="18"/>
  <c r="K27" i="18"/>
  <c r="D55" i="18"/>
  <c r="G55" i="18" s="1"/>
  <c r="K25" i="18"/>
  <c r="L28" i="18"/>
  <c r="O28" i="18" s="1"/>
  <c r="K28" i="15"/>
  <c r="L24" i="15"/>
  <c r="O24" i="15" s="1"/>
  <c r="L51" i="20"/>
  <c r="O51" i="20" s="1"/>
  <c r="K23" i="20"/>
  <c r="L52" i="20"/>
  <c r="O52" i="20" s="1"/>
  <c r="L21" i="17"/>
  <c r="P21" i="17" s="1"/>
  <c r="S21" i="17" s="1"/>
  <c r="L26" i="17"/>
  <c r="P26" i="17" s="1"/>
  <c r="S26" i="17" s="1"/>
  <c r="K37" i="17"/>
  <c r="L28" i="17"/>
  <c r="P28" i="17" s="1"/>
  <c r="S28" i="17" s="1"/>
  <c r="K52" i="17"/>
  <c r="L51" i="17"/>
  <c r="P51" i="17" s="1"/>
  <c r="K35" i="17"/>
  <c r="D13" i="21"/>
  <c r="D15" i="21" s="1"/>
  <c r="O23" i="21"/>
  <c r="P23" i="21"/>
  <c r="T23" i="21" s="1"/>
  <c r="K39" i="21"/>
  <c r="K21" i="21"/>
  <c r="L52" i="21"/>
  <c r="P52" i="21" s="1"/>
  <c r="T52" i="21" s="1"/>
  <c r="G47" i="19"/>
  <c r="G44" i="19"/>
  <c r="L70" i="20"/>
  <c r="P70" i="20" s="1"/>
  <c r="L79" i="19"/>
  <c r="O79" i="19" s="1"/>
  <c r="L80" i="18"/>
  <c r="O80" i="18" s="1"/>
  <c r="L63" i="21"/>
  <c r="O63" i="21" s="1"/>
  <c r="L71" i="15"/>
  <c r="O71" i="15" s="1"/>
  <c r="L79" i="15"/>
  <c r="O79" i="15" s="1"/>
  <c r="L63" i="17"/>
  <c r="O63" i="17" s="1"/>
  <c r="L71" i="21"/>
  <c r="O71" i="21" s="1"/>
  <c r="L79" i="21"/>
  <c r="O79" i="21" s="1"/>
  <c r="L77" i="15"/>
  <c r="O77" i="15" s="1"/>
  <c r="L73" i="21"/>
  <c r="O73" i="21" s="1"/>
  <c r="L73" i="19"/>
  <c r="P73" i="19" s="1"/>
  <c r="L61" i="21"/>
  <c r="O61" i="21" s="1"/>
  <c r="L71" i="17"/>
  <c r="O71" i="17" s="1"/>
  <c r="L75" i="17"/>
  <c r="P75" i="17" s="1"/>
  <c r="L72" i="20"/>
  <c r="O72" i="20" s="1"/>
  <c r="L76" i="20"/>
  <c r="P76" i="20" s="1"/>
  <c r="L76" i="18"/>
  <c r="P76" i="18" s="1"/>
  <c r="L74" i="18"/>
  <c r="P74" i="18" s="1"/>
  <c r="L66" i="20"/>
  <c r="P66" i="20" s="1"/>
  <c r="L59" i="15"/>
  <c r="P59" i="15" s="1"/>
  <c r="S59" i="15" s="1"/>
  <c r="L73" i="17"/>
  <c r="O73" i="17" s="1"/>
  <c r="S38" i="18"/>
  <c r="T38" i="18"/>
  <c r="X38" i="18" s="1"/>
  <c r="S39" i="21"/>
  <c r="T39" i="21"/>
  <c r="W39" i="21" s="1"/>
  <c r="P24" i="19"/>
  <c r="S24" i="19" s="1"/>
  <c r="P28" i="15"/>
  <c r="S28" i="15" s="1"/>
  <c r="P25" i="18"/>
  <c r="T25" i="18" s="1"/>
  <c r="W25" i="18" s="1"/>
  <c r="P27" i="18"/>
  <c r="S10" i="21"/>
  <c r="P33" i="21"/>
  <c r="T33" i="21" s="1"/>
  <c r="W33" i="21" s="1"/>
  <c r="O36" i="15"/>
  <c r="O39" i="21"/>
  <c r="K61" i="17"/>
  <c r="L61" i="17"/>
  <c r="O61" i="17" s="1"/>
  <c r="L60" i="17"/>
  <c r="P60" i="17" s="1"/>
  <c r="S60" i="17" s="1"/>
  <c r="L75" i="19"/>
  <c r="O75" i="19" s="1"/>
  <c r="L73" i="15"/>
  <c r="O73" i="15" s="1"/>
  <c r="L75" i="21"/>
  <c r="P75" i="21" s="1"/>
  <c r="L59" i="18"/>
  <c r="O59" i="18" s="1"/>
  <c r="L75" i="15"/>
  <c r="O75" i="15" s="1"/>
  <c r="L79" i="17"/>
  <c r="O79" i="17" s="1"/>
  <c r="L72" i="18"/>
  <c r="P72" i="18" s="1"/>
  <c r="P48" i="19"/>
  <c r="O48" i="19" s="1"/>
  <c r="L68" i="20"/>
  <c r="O68" i="20" s="1"/>
  <c r="L74" i="20"/>
  <c r="P74" i="20" s="1"/>
  <c r="L65" i="15"/>
  <c r="P65" i="15" s="1"/>
  <c r="S65" i="15" s="1"/>
  <c r="K65" i="15"/>
  <c r="K61" i="15"/>
  <c r="L61" i="15"/>
  <c r="O61" i="15" s="1"/>
  <c r="L63" i="15"/>
  <c r="O63" i="15" s="1"/>
  <c r="K63" i="15"/>
  <c r="L65" i="21"/>
  <c r="P65" i="21" s="1"/>
  <c r="T65" i="21" s="1"/>
  <c r="K65" i="21"/>
  <c r="L60" i="18"/>
  <c r="P60" i="18" s="1"/>
  <c r="S60" i="18" s="1"/>
  <c r="L63" i="19"/>
  <c r="P63" i="19" s="1"/>
  <c r="K63" i="21"/>
  <c r="L65" i="17"/>
  <c r="P65" i="17" s="1"/>
  <c r="S65" i="17" s="1"/>
  <c r="L77" i="17"/>
  <c r="P77" i="17" s="1"/>
  <c r="L61" i="18"/>
  <c r="P61" i="18" s="1"/>
  <c r="L63" i="18"/>
  <c r="P63" i="18" s="1"/>
  <c r="S63" i="18" s="1"/>
  <c r="L65" i="18"/>
  <c r="P65" i="18" s="1"/>
  <c r="T65" i="18" s="1"/>
  <c r="L70" i="18"/>
  <c r="P70" i="18" s="1"/>
  <c r="L78" i="18"/>
  <c r="P78" i="18" s="1"/>
  <c r="L77" i="19"/>
  <c r="P77" i="19" s="1"/>
  <c r="L77" i="21"/>
  <c r="P77" i="21" s="1"/>
  <c r="G106" i="13"/>
  <c r="G108" i="13"/>
  <c r="K108" i="13"/>
  <c r="G107" i="13"/>
  <c r="K61" i="21"/>
  <c r="T11" i="21"/>
  <c r="W9" i="21"/>
  <c r="G9" i="21"/>
  <c r="H11" i="21"/>
  <c r="K9" i="21"/>
  <c r="X11" i="21"/>
  <c r="AA9" i="21"/>
  <c r="S21" i="21"/>
  <c r="O9" i="21"/>
  <c r="P25" i="21"/>
  <c r="K28" i="21"/>
  <c r="L28" i="21"/>
  <c r="P11" i="21"/>
  <c r="K22" i="21"/>
  <c r="K26" i="21"/>
  <c r="L26" i="21"/>
  <c r="T51" i="21"/>
  <c r="S51" i="21"/>
  <c r="O21" i="21"/>
  <c r="S23" i="21"/>
  <c r="H45" i="21"/>
  <c r="K45" i="21" s="1"/>
  <c r="H49" i="21"/>
  <c r="K49" i="21" s="1"/>
  <c r="H46" i="21"/>
  <c r="K46" i="21" s="1"/>
  <c r="H50" i="21"/>
  <c r="K50" i="21" s="1"/>
  <c r="H47" i="21"/>
  <c r="K47" i="21" s="1"/>
  <c r="K41" i="21"/>
  <c r="K62" i="21"/>
  <c r="L62" i="21"/>
  <c r="K30" i="21"/>
  <c r="H44" i="21"/>
  <c r="K24" i="21"/>
  <c r="L24" i="21"/>
  <c r="S33" i="21"/>
  <c r="X33" i="21"/>
  <c r="K34" i="21"/>
  <c r="P34" i="21"/>
  <c r="P36" i="21"/>
  <c r="P38" i="21"/>
  <c r="D55" i="21"/>
  <c r="G55" i="21" s="1"/>
  <c r="K70" i="21"/>
  <c r="L78" i="21"/>
  <c r="K78" i="21"/>
  <c r="L76" i="21"/>
  <c r="K76" i="21"/>
  <c r="O51" i="21"/>
  <c r="G60" i="21"/>
  <c r="K64" i="21"/>
  <c r="L64" i="21"/>
  <c r="L74" i="21"/>
  <c r="K74" i="21"/>
  <c r="L72" i="21"/>
  <c r="K72" i="21"/>
  <c r="L80" i="21"/>
  <c r="K80" i="21"/>
  <c r="K69" i="21"/>
  <c r="K71" i="21"/>
  <c r="K73" i="21"/>
  <c r="K75" i="21"/>
  <c r="K77" i="21"/>
  <c r="K79" i="21"/>
  <c r="K60" i="20"/>
  <c r="P23" i="20"/>
  <c r="O23" i="20"/>
  <c r="O27" i="20"/>
  <c r="P27" i="20"/>
  <c r="S27" i="20" s="1"/>
  <c r="K21" i="20"/>
  <c r="L25" i="20"/>
  <c r="K27" i="20"/>
  <c r="L26" i="20"/>
  <c r="P26" i="20" s="1"/>
  <c r="T26" i="20" s="1"/>
  <c r="X26" i="20" s="1"/>
  <c r="L28" i="20"/>
  <c r="P28" i="20" s="1"/>
  <c r="T28" i="20" s="1"/>
  <c r="X28" i="20" s="1"/>
  <c r="K35" i="20"/>
  <c r="P36" i="20"/>
  <c r="T36" i="20" s="1"/>
  <c r="K38" i="20"/>
  <c r="H11" i="20"/>
  <c r="I11" i="20" s="1"/>
  <c r="P21" i="20"/>
  <c r="L22" i="20"/>
  <c r="H41" i="20"/>
  <c r="L33" i="20"/>
  <c r="P35" i="20"/>
  <c r="P38" i="20"/>
  <c r="L48" i="20"/>
  <c r="K48" i="20"/>
  <c r="D13" i="20"/>
  <c r="D15" i="20" s="1"/>
  <c r="K39" i="20"/>
  <c r="L39" i="20"/>
  <c r="G9" i="20"/>
  <c r="S26" i="20"/>
  <c r="H30" i="20"/>
  <c r="L24" i="20"/>
  <c r="O28" i="20"/>
  <c r="K37" i="20"/>
  <c r="L37" i="20"/>
  <c r="P51" i="20"/>
  <c r="P52" i="20"/>
  <c r="L65" i="20"/>
  <c r="K65" i="20"/>
  <c r="L73" i="20"/>
  <c r="K73" i="20"/>
  <c r="D55" i="20"/>
  <c r="G55" i="20" s="1"/>
  <c r="H62" i="20"/>
  <c r="L71" i="20"/>
  <c r="K71" i="20"/>
  <c r="L69" i="20"/>
  <c r="K69" i="20"/>
  <c r="L67" i="20"/>
  <c r="K67" i="20"/>
  <c r="L75" i="20"/>
  <c r="K75" i="20"/>
  <c r="K66" i="20"/>
  <c r="K68" i="20"/>
  <c r="K70" i="20"/>
  <c r="K72" i="20"/>
  <c r="K74" i="20"/>
  <c r="K76" i="20"/>
  <c r="L27" i="19"/>
  <c r="O27" i="19" s="1"/>
  <c r="G46" i="19"/>
  <c r="P23" i="19"/>
  <c r="T23" i="19" s="1"/>
  <c r="X23" i="19" s="1"/>
  <c r="K24" i="19"/>
  <c r="K26" i="19"/>
  <c r="K48" i="19"/>
  <c r="P37" i="19"/>
  <c r="O37" i="19"/>
  <c r="L33" i="19"/>
  <c r="P33" i="19" s="1"/>
  <c r="T33" i="19" s="1"/>
  <c r="X33" i="19" s="1"/>
  <c r="L35" i="19"/>
  <c r="O35" i="19" s="1"/>
  <c r="L39" i="19"/>
  <c r="L38" i="19"/>
  <c r="G22" i="19"/>
  <c r="G21" i="19"/>
  <c r="D55" i="19"/>
  <c r="L11" i="19"/>
  <c r="L13" i="19" s="1"/>
  <c r="O9" i="19"/>
  <c r="T22" i="19"/>
  <c r="S22" i="19" s="1"/>
  <c r="X34" i="19"/>
  <c r="W34" i="19"/>
  <c r="S9" i="19"/>
  <c r="P11" i="19"/>
  <c r="P13" i="19" s="1"/>
  <c r="K9" i="19"/>
  <c r="H11" i="19"/>
  <c r="X11" i="19"/>
  <c r="AA9" i="19"/>
  <c r="P28" i="19"/>
  <c r="H41" i="19"/>
  <c r="K34" i="19"/>
  <c r="O34" i="19"/>
  <c r="K21" i="19"/>
  <c r="T24" i="19"/>
  <c r="P25" i="19"/>
  <c r="P26" i="19"/>
  <c r="K28" i="19"/>
  <c r="P35" i="19"/>
  <c r="L36" i="19"/>
  <c r="G41" i="19"/>
  <c r="T11" i="19"/>
  <c r="O22" i="19"/>
  <c r="S33" i="19"/>
  <c r="S34" i="19"/>
  <c r="D11" i="19"/>
  <c r="D15" i="19" s="1"/>
  <c r="K22" i="19"/>
  <c r="O38" i="19"/>
  <c r="P38" i="19"/>
  <c r="K62" i="19"/>
  <c r="L62" i="19"/>
  <c r="L76" i="19"/>
  <c r="K76" i="19"/>
  <c r="L74" i="19"/>
  <c r="K74" i="19"/>
  <c r="K60" i="19"/>
  <c r="L60" i="19"/>
  <c r="L65" i="19"/>
  <c r="K65" i="19"/>
  <c r="O71" i="19"/>
  <c r="P71" i="19"/>
  <c r="L72" i="19"/>
  <c r="K72" i="19"/>
  <c r="L80" i="19"/>
  <c r="K80" i="19"/>
  <c r="L59" i="19"/>
  <c r="L61" i="19"/>
  <c r="K64" i="19"/>
  <c r="L64" i="19"/>
  <c r="K70" i="19"/>
  <c r="L78" i="19"/>
  <c r="K78" i="19"/>
  <c r="K69" i="19"/>
  <c r="K71" i="19"/>
  <c r="K73" i="19"/>
  <c r="K75" i="19"/>
  <c r="K77" i="19"/>
  <c r="K79" i="19"/>
  <c r="AA9" i="18"/>
  <c r="X11" i="18"/>
  <c r="T21" i="18"/>
  <c r="S21" i="18"/>
  <c r="L13" i="18"/>
  <c r="O11" i="18"/>
  <c r="O22" i="18"/>
  <c r="P22" i="18"/>
  <c r="T23" i="18"/>
  <c r="S23" i="18"/>
  <c r="X35" i="18"/>
  <c r="W35" i="18"/>
  <c r="S9" i="18"/>
  <c r="P11" i="18"/>
  <c r="W9" i="18"/>
  <c r="T11" i="18"/>
  <c r="O9" i="18"/>
  <c r="D15" i="18"/>
  <c r="K22" i="18"/>
  <c r="K23" i="18"/>
  <c r="L24" i="18"/>
  <c r="L30" i="18" s="1"/>
  <c r="P28" i="18"/>
  <c r="H30" i="18"/>
  <c r="O35" i="18"/>
  <c r="O36" i="18"/>
  <c r="K48" i="18"/>
  <c r="L48" i="18"/>
  <c r="P52" i="18"/>
  <c r="O52" i="18"/>
  <c r="P26" i="18"/>
  <c r="L37" i="18"/>
  <c r="H41" i="18"/>
  <c r="O23" i="18"/>
  <c r="S35" i="18"/>
  <c r="O39" i="18"/>
  <c r="P39" i="18"/>
  <c r="P51" i="18"/>
  <c r="O51" i="18"/>
  <c r="G13" i="18"/>
  <c r="AB13" i="18" s="1"/>
  <c r="O21" i="18"/>
  <c r="P33" i="18"/>
  <c r="G41" i="18"/>
  <c r="K59" i="18"/>
  <c r="H66" i="18"/>
  <c r="K66" i="18" s="1"/>
  <c r="L75" i="18"/>
  <c r="K75" i="18"/>
  <c r="L62" i="18"/>
  <c r="K62" i="18"/>
  <c r="L64" i="18"/>
  <c r="K64" i="18"/>
  <c r="L73" i="18"/>
  <c r="K73" i="18"/>
  <c r="K51" i="18"/>
  <c r="K52" i="18"/>
  <c r="K60" i="18"/>
  <c r="X69" i="18"/>
  <c r="W69" i="18"/>
  <c r="L71" i="18"/>
  <c r="K71" i="18"/>
  <c r="L79" i="18"/>
  <c r="K79" i="18"/>
  <c r="L77" i="18"/>
  <c r="K77" i="18"/>
  <c r="K70" i="18"/>
  <c r="K72" i="18"/>
  <c r="K74" i="18"/>
  <c r="K76" i="18"/>
  <c r="K78" i="18"/>
  <c r="K80" i="18"/>
  <c r="G69" i="17"/>
  <c r="H66" i="17"/>
  <c r="K66" i="17" s="1"/>
  <c r="K63" i="17"/>
  <c r="K65" i="17"/>
  <c r="O52" i="17"/>
  <c r="O51" i="17"/>
  <c r="K39" i="17"/>
  <c r="O23" i="17"/>
  <c r="L24" i="17"/>
  <c r="P24" i="17" s="1"/>
  <c r="S24" i="17" s="1"/>
  <c r="O26" i="17"/>
  <c r="L27" i="17"/>
  <c r="L25" i="17"/>
  <c r="P25" i="17" s="1"/>
  <c r="S25" i="17" s="1"/>
  <c r="O9" i="17"/>
  <c r="L11" i="17"/>
  <c r="X11" i="17"/>
  <c r="AA9" i="17"/>
  <c r="D13" i="17"/>
  <c r="D15" i="17" s="1"/>
  <c r="T11" i="17"/>
  <c r="O21" i="17"/>
  <c r="T22" i="17"/>
  <c r="T26" i="17"/>
  <c r="H41" i="17"/>
  <c r="L33" i="17"/>
  <c r="P38" i="17"/>
  <c r="O38" i="17"/>
  <c r="O39" i="17"/>
  <c r="P39" i="17"/>
  <c r="D55" i="17"/>
  <c r="G55" i="17" s="1"/>
  <c r="T51" i="17"/>
  <c r="S51" i="17"/>
  <c r="T23" i="17"/>
  <c r="H30" i="17"/>
  <c r="P35" i="17"/>
  <c r="T52" i="17"/>
  <c r="S52" i="17"/>
  <c r="P11" i="17"/>
  <c r="T21" i="17"/>
  <c r="T28" i="17"/>
  <c r="L34" i="17"/>
  <c r="K34" i="17"/>
  <c r="P36" i="17"/>
  <c r="O36" i="17"/>
  <c r="O37" i="17"/>
  <c r="P37" i="17"/>
  <c r="K48" i="17"/>
  <c r="L48" i="17"/>
  <c r="K62" i="17"/>
  <c r="L62" i="17"/>
  <c r="L70" i="17"/>
  <c r="K70" i="17"/>
  <c r="L78" i="17"/>
  <c r="K78" i="17"/>
  <c r="K64" i="17"/>
  <c r="L64" i="17"/>
  <c r="L76" i="17"/>
  <c r="K76" i="17"/>
  <c r="K36" i="17"/>
  <c r="K38" i="17"/>
  <c r="K59" i="17"/>
  <c r="K60" i="17"/>
  <c r="L74" i="17"/>
  <c r="K74" i="17"/>
  <c r="L59" i="17"/>
  <c r="L72" i="17"/>
  <c r="K72" i="17"/>
  <c r="L80" i="17"/>
  <c r="K80" i="17"/>
  <c r="K69" i="17"/>
  <c r="K71" i="17"/>
  <c r="K73" i="17"/>
  <c r="K75" i="17"/>
  <c r="K77" i="17"/>
  <c r="K79" i="17"/>
  <c r="K59" i="15"/>
  <c r="W10" i="15"/>
  <c r="O10" i="15"/>
  <c r="K10" i="15"/>
  <c r="S36" i="15"/>
  <c r="T36" i="15"/>
  <c r="W36" i="15" s="1"/>
  <c r="P34" i="15"/>
  <c r="P38" i="15"/>
  <c r="L37" i="15"/>
  <c r="O37" i="15" s="1"/>
  <c r="O26" i="15"/>
  <c r="P26" i="15"/>
  <c r="T26" i="15" s="1"/>
  <c r="P24" i="15"/>
  <c r="T24" i="15" s="1"/>
  <c r="K26" i="15"/>
  <c r="D55" i="15"/>
  <c r="P22" i="15"/>
  <c r="S22" i="15" s="1"/>
  <c r="D11" i="15"/>
  <c r="D13" i="15" s="1"/>
  <c r="L23" i="15"/>
  <c r="K23" i="15"/>
  <c r="X11" i="15"/>
  <c r="AA9" i="15"/>
  <c r="K21" i="15"/>
  <c r="H30" i="15"/>
  <c r="L21" i="15"/>
  <c r="K25" i="15"/>
  <c r="L25" i="15"/>
  <c r="L60" i="15"/>
  <c r="K60" i="15"/>
  <c r="S24" i="15"/>
  <c r="K62" i="15"/>
  <c r="L62" i="15"/>
  <c r="L27" i="15"/>
  <c r="T28" i="15"/>
  <c r="K33" i="15"/>
  <c r="P35" i="15"/>
  <c r="P39" i="15"/>
  <c r="G41" i="15"/>
  <c r="K48" i="15"/>
  <c r="H66" i="15"/>
  <c r="L70" i="15"/>
  <c r="K70" i="15"/>
  <c r="L78" i="15"/>
  <c r="K78" i="15"/>
  <c r="K64" i="15"/>
  <c r="L64" i="15"/>
  <c r="L76" i="15"/>
  <c r="K76" i="15"/>
  <c r="L74" i="15"/>
  <c r="K74" i="15"/>
  <c r="O33" i="15"/>
  <c r="T65" i="15"/>
  <c r="L72" i="15"/>
  <c r="K72" i="15"/>
  <c r="L80" i="15"/>
  <c r="K80" i="15"/>
  <c r="K69" i="15"/>
  <c r="K71" i="15"/>
  <c r="K73" i="15"/>
  <c r="K75" i="15"/>
  <c r="K77" i="15"/>
  <c r="K79" i="15"/>
  <c r="L69" i="15"/>
  <c r="G44" i="15" l="1"/>
  <c r="G35" i="27"/>
  <c r="J20" i="27"/>
  <c r="Q20" i="27" s="1"/>
  <c r="R20" i="27" s="1"/>
  <c r="T24" i="31"/>
  <c r="S24" i="31" s="1"/>
  <c r="T35" i="21"/>
  <c r="W35" i="21" s="1"/>
  <c r="G30" i="19"/>
  <c r="G5" i="42"/>
  <c r="AA4" i="42" s="1"/>
  <c r="AA5" i="42" s="1"/>
  <c r="S23" i="19"/>
  <c r="W23" i="19"/>
  <c r="AB23" i="19"/>
  <c r="AA23" i="19" s="1"/>
  <c r="O23" i="19"/>
  <c r="K23" i="19"/>
  <c r="P63" i="21"/>
  <c r="S63" i="21" s="1"/>
  <c r="P37" i="21"/>
  <c r="O37" i="21"/>
  <c r="P77" i="15"/>
  <c r="S77" i="15" s="1"/>
  <c r="T36" i="18"/>
  <c r="X36" i="18" s="1"/>
  <c r="P27" i="19"/>
  <c r="E14" i="22"/>
  <c r="E15" i="22" s="1"/>
  <c r="F12" i="22" s="1"/>
  <c r="T27" i="20"/>
  <c r="X27" i="20" s="1"/>
  <c r="P34" i="20"/>
  <c r="O52" i="21"/>
  <c r="X39" i="21"/>
  <c r="AA39" i="21" s="1"/>
  <c r="G13" i="21"/>
  <c r="AB13" i="21" s="1"/>
  <c r="AB96" i="21" s="1"/>
  <c r="O27" i="21"/>
  <c r="P27" i="21"/>
  <c r="O28" i="17"/>
  <c r="W38" i="18"/>
  <c r="L41" i="18"/>
  <c r="L46" i="18" s="1"/>
  <c r="O46" i="18" s="1"/>
  <c r="O63" i="19"/>
  <c r="L41" i="21"/>
  <c r="H29" i="26" s="1"/>
  <c r="M29" i="26" s="1"/>
  <c r="N29" i="26" s="1"/>
  <c r="F10" i="28"/>
  <c r="U10" i="28" s="1"/>
  <c r="I62" i="20"/>
  <c r="O25" i="17"/>
  <c r="P79" i="19"/>
  <c r="T79" i="19" s="1"/>
  <c r="S52" i="21"/>
  <c r="O22" i="17"/>
  <c r="D96" i="21"/>
  <c r="G11" i="21"/>
  <c r="I11" i="21"/>
  <c r="O65" i="15"/>
  <c r="P61" i="17"/>
  <c r="T61" i="17" s="1"/>
  <c r="O77" i="17"/>
  <c r="T63" i="18"/>
  <c r="W63" i="18" s="1"/>
  <c r="P71" i="17"/>
  <c r="T71" i="17" s="1"/>
  <c r="O76" i="18"/>
  <c r="P79" i="15"/>
  <c r="S79" i="15" s="1"/>
  <c r="P75" i="15"/>
  <c r="T75" i="15" s="1"/>
  <c r="S65" i="21"/>
  <c r="O75" i="17"/>
  <c r="P80" i="18"/>
  <c r="T80" i="18" s="1"/>
  <c r="P71" i="15"/>
  <c r="S71" i="15" s="1"/>
  <c r="P61" i="21"/>
  <c r="S61" i="21" s="1"/>
  <c r="T60" i="17"/>
  <c r="W60" i="17" s="1"/>
  <c r="P79" i="21"/>
  <c r="T79" i="21" s="1"/>
  <c r="S28" i="20"/>
  <c r="S36" i="20"/>
  <c r="K66" i="15"/>
  <c r="P59" i="18"/>
  <c r="T59" i="18" s="1"/>
  <c r="S25" i="18"/>
  <c r="X25" i="18"/>
  <c r="AB25" i="18" s="1"/>
  <c r="O34" i="18"/>
  <c r="P34" i="18"/>
  <c r="O70" i="20"/>
  <c r="P79" i="17"/>
  <c r="T79" i="17" s="1"/>
  <c r="P73" i="17"/>
  <c r="T73" i="17" s="1"/>
  <c r="P73" i="15"/>
  <c r="T73" i="15" s="1"/>
  <c r="O70" i="18"/>
  <c r="O72" i="18"/>
  <c r="O74" i="18"/>
  <c r="O76" i="20"/>
  <c r="O77" i="21"/>
  <c r="O77" i="19"/>
  <c r="O75" i="21"/>
  <c r="P63" i="15"/>
  <c r="T63" i="15" s="1"/>
  <c r="P63" i="17"/>
  <c r="S63" i="17" s="1"/>
  <c r="P68" i="20"/>
  <c r="S68" i="20" s="1"/>
  <c r="O63" i="18"/>
  <c r="P75" i="19"/>
  <c r="T75" i="19" s="1"/>
  <c r="P73" i="21"/>
  <c r="T73" i="21" s="1"/>
  <c r="O59" i="15"/>
  <c r="O65" i="21"/>
  <c r="T65" i="17"/>
  <c r="X65" i="17" s="1"/>
  <c r="O74" i="20"/>
  <c r="S65" i="18"/>
  <c r="P71" i="21"/>
  <c r="T71" i="21" s="1"/>
  <c r="O65" i="18"/>
  <c r="O73" i="19"/>
  <c r="P72" i="20"/>
  <c r="T72" i="20" s="1"/>
  <c r="O78" i="18"/>
  <c r="O61" i="18"/>
  <c r="T60" i="18"/>
  <c r="W60" i="18" s="1"/>
  <c r="T48" i="19"/>
  <c r="X48" i="19" s="1"/>
  <c r="W48" i="19" s="1"/>
  <c r="O66" i="20"/>
  <c r="P61" i="15"/>
  <c r="T61" i="15" s="1"/>
  <c r="O65" i="17"/>
  <c r="O60" i="17"/>
  <c r="O60" i="18"/>
  <c r="T59" i="15"/>
  <c r="X59" i="15" s="1"/>
  <c r="S26" i="15"/>
  <c r="O26" i="20"/>
  <c r="W26" i="20"/>
  <c r="T27" i="18"/>
  <c r="S27" i="18"/>
  <c r="L30" i="21"/>
  <c r="H28" i="26" s="1"/>
  <c r="M28" i="26" s="1"/>
  <c r="N28" i="26" s="1"/>
  <c r="W33" i="19"/>
  <c r="O48" i="21"/>
  <c r="P48" i="21"/>
  <c r="I39" i="26" s="1"/>
  <c r="O39" i="26" s="1"/>
  <c r="P39" i="26" s="1"/>
  <c r="K107" i="13"/>
  <c r="K106" i="13"/>
  <c r="G11" i="20"/>
  <c r="O69" i="21"/>
  <c r="T61" i="21"/>
  <c r="T75" i="21"/>
  <c r="S75" i="21"/>
  <c r="T77" i="21"/>
  <c r="S77" i="21"/>
  <c r="T36" i="21"/>
  <c r="S36" i="21"/>
  <c r="AB33" i="21"/>
  <c r="AA33" i="21"/>
  <c r="P24" i="21"/>
  <c r="O24" i="21"/>
  <c r="O22" i="21"/>
  <c r="P28" i="21"/>
  <c r="O28" i="21"/>
  <c r="H13" i="21"/>
  <c r="O60" i="21"/>
  <c r="X65" i="21"/>
  <c r="W65" i="21"/>
  <c r="X52" i="21"/>
  <c r="W52" i="21"/>
  <c r="P80" i="21"/>
  <c r="O80" i="21"/>
  <c r="P72" i="21"/>
  <c r="O72" i="21"/>
  <c r="P64" i="21"/>
  <c r="O64" i="21"/>
  <c r="K60" i="21"/>
  <c r="P76" i="21"/>
  <c r="O76" i="21"/>
  <c r="T38" i="21"/>
  <c r="S38" i="21"/>
  <c r="T34" i="21"/>
  <c r="S34" i="21"/>
  <c r="K44" i="21"/>
  <c r="H53" i="21"/>
  <c r="X59" i="21"/>
  <c r="W59" i="21" s="1"/>
  <c r="X23" i="21"/>
  <c r="W23" i="21"/>
  <c r="P26" i="21"/>
  <c r="O26" i="21"/>
  <c r="S25" i="21"/>
  <c r="T25" i="21"/>
  <c r="X21" i="21"/>
  <c r="W21" i="21" s="1"/>
  <c r="X13" i="21"/>
  <c r="X15" i="21" s="1"/>
  <c r="AA15" i="21" s="1"/>
  <c r="AA11" i="21"/>
  <c r="P74" i="21"/>
  <c r="O74" i="21"/>
  <c r="P78" i="21"/>
  <c r="O78" i="21"/>
  <c r="O70" i="21"/>
  <c r="P41" i="21"/>
  <c r="I29" i="26" s="1"/>
  <c r="P62" i="21"/>
  <c r="O62" i="21"/>
  <c r="X51" i="21"/>
  <c r="W51" i="21"/>
  <c r="S11" i="21"/>
  <c r="P13" i="21"/>
  <c r="T13" i="21"/>
  <c r="T15" i="21" s="1"/>
  <c r="W11" i="21"/>
  <c r="O60" i="20"/>
  <c r="G62" i="20"/>
  <c r="W28" i="20"/>
  <c r="S23" i="20"/>
  <c r="T23" i="20"/>
  <c r="P25" i="20"/>
  <c r="O25" i="20"/>
  <c r="T70" i="20"/>
  <c r="S70" i="20"/>
  <c r="X36" i="20"/>
  <c r="W36" i="20"/>
  <c r="T34" i="20"/>
  <c r="S34" i="20"/>
  <c r="AA26" i="20"/>
  <c r="AB26" i="20"/>
  <c r="T74" i="20"/>
  <c r="S74" i="20"/>
  <c r="T66" i="20"/>
  <c r="S66" i="20"/>
  <c r="O69" i="20"/>
  <c r="P69" i="20"/>
  <c r="O73" i="20"/>
  <c r="P73" i="20"/>
  <c r="O65" i="20"/>
  <c r="P65" i="20"/>
  <c r="T52" i="20"/>
  <c r="S52" i="20"/>
  <c r="P48" i="20"/>
  <c r="O48" i="20"/>
  <c r="L41" i="20"/>
  <c r="P33" i="20"/>
  <c r="O33" i="20"/>
  <c r="H13" i="20"/>
  <c r="O71" i="20"/>
  <c r="P71" i="20"/>
  <c r="T51" i="20"/>
  <c r="S51" i="20"/>
  <c r="K30" i="20"/>
  <c r="H44" i="20"/>
  <c r="P39" i="20"/>
  <c r="O39" i="20"/>
  <c r="S38" i="20"/>
  <c r="T38" i="20"/>
  <c r="H49" i="20"/>
  <c r="K49" i="20" s="1"/>
  <c r="H46" i="20"/>
  <c r="K46" i="20" s="1"/>
  <c r="H50" i="20"/>
  <c r="K50" i="20" s="1"/>
  <c r="H47" i="20"/>
  <c r="K47" i="20" s="1"/>
  <c r="H45" i="20"/>
  <c r="K45" i="20" s="1"/>
  <c r="K41" i="20"/>
  <c r="P22" i="20"/>
  <c r="O22" i="20"/>
  <c r="AA28" i="20"/>
  <c r="AB28" i="20"/>
  <c r="O75" i="20"/>
  <c r="P75" i="20"/>
  <c r="O67" i="20"/>
  <c r="P67" i="20"/>
  <c r="T76" i="20"/>
  <c r="S76" i="20"/>
  <c r="P37" i="20"/>
  <c r="O37" i="20"/>
  <c r="P24" i="20"/>
  <c r="O24" i="20"/>
  <c r="D92" i="20"/>
  <c r="G13" i="20"/>
  <c r="T35" i="20"/>
  <c r="S35" i="20"/>
  <c r="L30" i="20"/>
  <c r="S21" i="20"/>
  <c r="T21" i="20"/>
  <c r="P39" i="19"/>
  <c r="O39" i="19"/>
  <c r="S37" i="19"/>
  <c r="T37" i="19"/>
  <c r="O33" i="19"/>
  <c r="L41" i="19"/>
  <c r="L46" i="19" s="1"/>
  <c r="P46" i="19" s="1"/>
  <c r="T77" i="19"/>
  <c r="S77" i="19"/>
  <c r="L66" i="19"/>
  <c r="O59" i="19"/>
  <c r="P59" i="19"/>
  <c r="S63" i="19"/>
  <c r="T63" i="19"/>
  <c r="P74" i="19"/>
  <c r="O74" i="19"/>
  <c r="T38" i="19"/>
  <c r="S38" i="19"/>
  <c r="O21" i="19"/>
  <c r="L30" i="19"/>
  <c r="P21" i="19"/>
  <c r="AA11" i="19"/>
  <c r="X13" i="19"/>
  <c r="AB33" i="19"/>
  <c r="AA33" i="19"/>
  <c r="P78" i="19"/>
  <c r="O78" i="19"/>
  <c r="T71" i="19"/>
  <c r="S71" i="19"/>
  <c r="P64" i="19"/>
  <c r="O64" i="19"/>
  <c r="P60" i="19"/>
  <c r="O60" i="19"/>
  <c r="T73" i="19"/>
  <c r="S73" i="19"/>
  <c r="P62" i="19"/>
  <c r="O62" i="19"/>
  <c r="G11" i="19"/>
  <c r="W11" i="19"/>
  <c r="O36" i="19"/>
  <c r="P36" i="19"/>
  <c r="T26" i="19"/>
  <c r="S26" i="19"/>
  <c r="H45" i="19"/>
  <c r="G49" i="19"/>
  <c r="K46" i="19"/>
  <c r="G50" i="19"/>
  <c r="K41" i="19"/>
  <c r="K11" i="19"/>
  <c r="AA34" i="19"/>
  <c r="AB34" i="19"/>
  <c r="P61" i="19"/>
  <c r="O61" i="19"/>
  <c r="O69" i="19"/>
  <c r="P80" i="19"/>
  <c r="O80" i="19"/>
  <c r="P72" i="19"/>
  <c r="O72" i="19"/>
  <c r="P65" i="19"/>
  <c r="O65" i="19"/>
  <c r="P76" i="19"/>
  <c r="O76" i="19"/>
  <c r="T27" i="19"/>
  <c r="S27" i="19"/>
  <c r="S35" i="19"/>
  <c r="T35" i="19"/>
  <c r="T25" i="19"/>
  <c r="S25" i="19"/>
  <c r="T28" i="19"/>
  <c r="S28" i="19"/>
  <c r="S11" i="19"/>
  <c r="X22" i="19"/>
  <c r="W22" i="19" s="1"/>
  <c r="P70" i="19"/>
  <c r="O70" i="19" s="1"/>
  <c r="W24" i="19"/>
  <c r="X24" i="19"/>
  <c r="L45" i="19"/>
  <c r="O45" i="19" s="1"/>
  <c r="O41" i="19"/>
  <c r="O11" i="19"/>
  <c r="AB99" i="18"/>
  <c r="O79" i="18"/>
  <c r="P79" i="18"/>
  <c r="T61" i="18"/>
  <c r="S61" i="18"/>
  <c r="O75" i="18"/>
  <c r="P75" i="18"/>
  <c r="T51" i="18"/>
  <c r="S51" i="18"/>
  <c r="T28" i="18"/>
  <c r="S28" i="18"/>
  <c r="P13" i="18"/>
  <c r="S11" i="18"/>
  <c r="W21" i="18"/>
  <c r="X21" i="18"/>
  <c r="T76" i="18"/>
  <c r="S76" i="18"/>
  <c r="T78" i="18"/>
  <c r="S78" i="18"/>
  <c r="AB69" i="18"/>
  <c r="AA69" i="18"/>
  <c r="T72" i="18"/>
  <c r="S72" i="18"/>
  <c r="P62" i="18"/>
  <c r="O62" i="18"/>
  <c r="T74" i="18"/>
  <c r="S74" i="18"/>
  <c r="L44" i="18"/>
  <c r="O30" i="18"/>
  <c r="T39" i="18"/>
  <c r="S39" i="18"/>
  <c r="H50" i="18"/>
  <c r="K50" i="18" s="1"/>
  <c r="H47" i="18"/>
  <c r="K47" i="18" s="1"/>
  <c r="H49" i="18"/>
  <c r="K49" i="18" s="1"/>
  <c r="H46" i="18"/>
  <c r="K46" i="18" s="1"/>
  <c r="H45" i="18"/>
  <c r="K45" i="18" s="1"/>
  <c r="K41" i="18"/>
  <c r="T52" i="18"/>
  <c r="S52" i="18"/>
  <c r="W23" i="18"/>
  <c r="X23" i="18"/>
  <c r="T70" i="18"/>
  <c r="S70" i="18"/>
  <c r="L66" i="18"/>
  <c r="O66" i="18" s="1"/>
  <c r="S33" i="18"/>
  <c r="T33" i="18"/>
  <c r="P37" i="18"/>
  <c r="O37" i="18"/>
  <c r="P48" i="18"/>
  <c r="O48" i="18"/>
  <c r="O24" i="18"/>
  <c r="P24" i="18"/>
  <c r="T13" i="18"/>
  <c r="W11" i="18"/>
  <c r="AA25" i="18"/>
  <c r="T22" i="18"/>
  <c r="S22" i="18"/>
  <c r="L99" i="18"/>
  <c r="O13" i="18"/>
  <c r="X13" i="18"/>
  <c r="AA11" i="18"/>
  <c r="O77" i="18"/>
  <c r="P77" i="18"/>
  <c r="O71" i="18"/>
  <c r="P71" i="18"/>
  <c r="X65" i="18"/>
  <c r="W65" i="18"/>
  <c r="O73" i="18"/>
  <c r="P73" i="18"/>
  <c r="P64" i="18"/>
  <c r="O64" i="18"/>
  <c r="L49" i="18"/>
  <c r="O49" i="18" s="1"/>
  <c r="L45" i="18"/>
  <c r="O45" i="18" s="1"/>
  <c r="O41" i="18"/>
  <c r="AB38" i="18"/>
  <c r="AA38" i="18"/>
  <c r="T26" i="18"/>
  <c r="S26" i="18"/>
  <c r="H44" i="18"/>
  <c r="K30" i="18"/>
  <c r="AA35" i="18"/>
  <c r="AB35" i="18"/>
  <c r="L30" i="17"/>
  <c r="L44" i="17" s="1"/>
  <c r="O24" i="17"/>
  <c r="T25" i="17"/>
  <c r="X25" i="17" s="1"/>
  <c r="P27" i="17"/>
  <c r="O27" i="17"/>
  <c r="T24" i="17"/>
  <c r="W24" i="17" s="1"/>
  <c r="P76" i="17"/>
  <c r="O76" i="17"/>
  <c r="P80" i="17"/>
  <c r="O80" i="17"/>
  <c r="P74" i="17"/>
  <c r="O74" i="17"/>
  <c r="P48" i="17"/>
  <c r="O48" i="17"/>
  <c r="O30" i="17"/>
  <c r="P13" i="17"/>
  <c r="S11" i="17"/>
  <c r="K30" i="17"/>
  <c r="H44" i="17"/>
  <c r="T39" i="17"/>
  <c r="S39" i="17"/>
  <c r="L41" i="17"/>
  <c r="O33" i="17"/>
  <c r="P33" i="17"/>
  <c r="D96" i="17"/>
  <c r="P64" i="17"/>
  <c r="O64" i="17"/>
  <c r="P78" i="17"/>
  <c r="O78" i="17"/>
  <c r="P70" i="17"/>
  <c r="O70" i="17"/>
  <c r="P62" i="17"/>
  <c r="O62" i="17"/>
  <c r="T36" i="17"/>
  <c r="S36" i="17"/>
  <c r="X28" i="17"/>
  <c r="W28" i="17"/>
  <c r="H50" i="17"/>
  <c r="K50" i="17" s="1"/>
  <c r="H47" i="17"/>
  <c r="K47" i="17" s="1"/>
  <c r="K41" i="17"/>
  <c r="H45" i="17"/>
  <c r="K45" i="17" s="1"/>
  <c r="H49" i="17"/>
  <c r="K49" i="17" s="1"/>
  <c r="H46" i="17"/>
  <c r="K46" i="17" s="1"/>
  <c r="X22" i="17"/>
  <c r="W22" i="17"/>
  <c r="AA11" i="17"/>
  <c r="X13" i="17"/>
  <c r="T77" i="17"/>
  <c r="S77" i="17"/>
  <c r="T37" i="17"/>
  <c r="S37" i="17"/>
  <c r="W52" i="17"/>
  <c r="X52" i="17"/>
  <c r="X51" i="17"/>
  <c r="W51" i="17"/>
  <c r="O69" i="17"/>
  <c r="T75" i="17"/>
  <c r="S75" i="17"/>
  <c r="P34" i="17"/>
  <c r="O34" i="17"/>
  <c r="X21" i="17"/>
  <c r="W21" i="17"/>
  <c r="T35" i="17"/>
  <c r="S35" i="17"/>
  <c r="X23" i="17"/>
  <c r="W23" i="17"/>
  <c r="T38" i="17"/>
  <c r="S38" i="17"/>
  <c r="X26" i="17"/>
  <c r="W26" i="17"/>
  <c r="T13" i="17"/>
  <c r="W11" i="17"/>
  <c r="L13" i="17"/>
  <c r="O11" i="17"/>
  <c r="L66" i="17"/>
  <c r="O66" i="17" s="1"/>
  <c r="O59" i="17"/>
  <c r="P59" i="17"/>
  <c r="P72" i="17"/>
  <c r="O72" i="17"/>
  <c r="O9" i="15"/>
  <c r="L66" i="15"/>
  <c r="L11" i="15"/>
  <c r="S34" i="15"/>
  <c r="T34" i="15"/>
  <c r="P37" i="15"/>
  <c r="P41" i="15" s="1"/>
  <c r="L41" i="15"/>
  <c r="X36" i="15"/>
  <c r="AB36" i="15" s="1"/>
  <c r="S38" i="15"/>
  <c r="T38" i="15"/>
  <c r="T22" i="15"/>
  <c r="X22" i="15" s="1"/>
  <c r="P72" i="15"/>
  <c r="O72" i="15"/>
  <c r="P74" i="15"/>
  <c r="O74" i="15"/>
  <c r="P78" i="15"/>
  <c r="O78" i="15"/>
  <c r="T39" i="15"/>
  <c r="S39" i="15"/>
  <c r="X28" i="15"/>
  <c r="W28" i="15"/>
  <c r="P21" i="15"/>
  <c r="O21" i="15"/>
  <c r="L30" i="15"/>
  <c r="P64" i="15"/>
  <c r="O64" i="15"/>
  <c r="P27" i="15"/>
  <c r="O27" i="15"/>
  <c r="K30" i="15"/>
  <c r="X65" i="15"/>
  <c r="W65" i="15"/>
  <c r="P76" i="15"/>
  <c r="O76" i="15"/>
  <c r="P48" i="15"/>
  <c r="O48" i="15" s="1"/>
  <c r="T37" i="15"/>
  <c r="S33" i="15"/>
  <c r="P62" i="15"/>
  <c r="O62" i="15"/>
  <c r="P25" i="15"/>
  <c r="O25" i="15"/>
  <c r="X26" i="15"/>
  <c r="W26" i="15"/>
  <c r="H49" i="15"/>
  <c r="G49" i="15" s="1"/>
  <c r="G50" i="15"/>
  <c r="W24" i="15"/>
  <c r="X24" i="15"/>
  <c r="P60" i="15"/>
  <c r="O60" i="15"/>
  <c r="P70" i="15"/>
  <c r="O70" i="15"/>
  <c r="T35" i="15"/>
  <c r="S35" i="15"/>
  <c r="X13" i="15"/>
  <c r="X15" i="15" s="1"/>
  <c r="AA15" i="15" s="1"/>
  <c r="AA11" i="15"/>
  <c r="P23" i="15"/>
  <c r="O23" i="15"/>
  <c r="P80" i="15"/>
  <c r="O80" i="15"/>
  <c r="O69" i="15"/>
  <c r="P69" i="15"/>
  <c r="H47" i="15"/>
  <c r="G47" i="15" s="1"/>
  <c r="O29" i="26" l="1"/>
  <c r="P29" i="26" s="1"/>
  <c r="J20" i="26"/>
  <c r="Q20" i="26" s="1"/>
  <c r="R20" i="26" s="1"/>
  <c r="AB39" i="21"/>
  <c r="X35" i="21"/>
  <c r="AB35" i="21" s="1"/>
  <c r="M5" i="42"/>
  <c r="N5" i="42" s="1"/>
  <c r="G13" i="42"/>
  <c r="M13" i="42" s="1"/>
  <c r="N13" i="42" s="1"/>
  <c r="AB15" i="21"/>
  <c r="T63" i="21"/>
  <c r="W63" i="21" s="1"/>
  <c r="T71" i="15"/>
  <c r="X71" i="15" s="1"/>
  <c r="S73" i="21"/>
  <c r="X63" i="18"/>
  <c r="AA63" i="18" s="1"/>
  <c r="O46" i="19"/>
  <c r="S61" i="15"/>
  <c r="X60" i="17"/>
  <c r="AB60" i="17" s="1"/>
  <c r="S63" i="15"/>
  <c r="S79" i="19"/>
  <c r="O66" i="19"/>
  <c r="K66" i="19"/>
  <c r="T79" i="15"/>
  <c r="W79" i="15" s="1"/>
  <c r="S73" i="15"/>
  <c r="T77" i="15"/>
  <c r="X77" i="15" s="1"/>
  <c r="W36" i="18"/>
  <c r="O46" i="21"/>
  <c r="O45" i="21"/>
  <c r="O41" i="21"/>
  <c r="AA35" i="21"/>
  <c r="S75" i="15"/>
  <c r="W59" i="15"/>
  <c r="AA36" i="15"/>
  <c r="Q41" i="15"/>
  <c r="W25" i="17"/>
  <c r="L50" i="18"/>
  <c r="O50" i="18" s="1"/>
  <c r="P41" i="18"/>
  <c r="W27" i="20"/>
  <c r="T27" i="21"/>
  <c r="S27" i="21"/>
  <c r="K44" i="15"/>
  <c r="M41" i="15"/>
  <c r="S61" i="17"/>
  <c r="L47" i="18"/>
  <c r="O47" i="18" s="1"/>
  <c r="S72" i="20"/>
  <c r="S37" i="21"/>
  <c r="T37" i="21"/>
  <c r="T41" i="21" s="1"/>
  <c r="J29" i="26" s="1"/>
  <c r="Q29" i="26" s="1"/>
  <c r="R29" i="26" s="1"/>
  <c r="G14" i="26"/>
  <c r="X60" i="18"/>
  <c r="AB60" i="18" s="1"/>
  <c r="S79" i="21"/>
  <c r="S59" i="18"/>
  <c r="S71" i="17"/>
  <c r="S73" i="17"/>
  <c r="S80" i="18"/>
  <c r="T68" i="20"/>
  <c r="X68" i="20" s="1"/>
  <c r="K30" i="19"/>
  <c r="M30" i="19"/>
  <c r="L44" i="19"/>
  <c r="K44" i="19" s="1"/>
  <c r="S37" i="15"/>
  <c r="W22" i="15"/>
  <c r="O66" i="15"/>
  <c r="S34" i="18"/>
  <c r="T34" i="18"/>
  <c r="X24" i="17"/>
  <c r="W65" i="17"/>
  <c r="W15" i="21"/>
  <c r="S48" i="19"/>
  <c r="S79" i="17"/>
  <c r="S75" i="19"/>
  <c r="T63" i="17"/>
  <c r="X63" i="17" s="1"/>
  <c r="S71" i="21"/>
  <c r="G59" i="21"/>
  <c r="H66" i="21"/>
  <c r="G45" i="26" s="1"/>
  <c r="O41" i="15"/>
  <c r="P44" i="15"/>
  <c r="P30" i="20"/>
  <c r="W27" i="18"/>
  <c r="X27" i="18"/>
  <c r="S48" i="21"/>
  <c r="T48" i="21"/>
  <c r="J39" i="26" s="1"/>
  <c r="Q39" i="26" s="1"/>
  <c r="R39" i="26" s="1"/>
  <c r="X71" i="21"/>
  <c r="W71" i="21"/>
  <c r="S69" i="21"/>
  <c r="T62" i="21"/>
  <c r="S62" i="21"/>
  <c r="AB21" i="21"/>
  <c r="AA21" i="21" s="1"/>
  <c r="T26" i="21"/>
  <c r="S26" i="21"/>
  <c r="AB59" i="21"/>
  <c r="T64" i="21"/>
  <c r="S64" i="21"/>
  <c r="T80" i="21"/>
  <c r="S80" i="21"/>
  <c r="AB65" i="21"/>
  <c r="AA65" i="21"/>
  <c r="S22" i="21"/>
  <c r="P30" i="21"/>
  <c r="X75" i="21"/>
  <c r="W75" i="21"/>
  <c r="P96" i="21"/>
  <c r="S13" i="21"/>
  <c r="P45" i="21"/>
  <c r="P46" i="21"/>
  <c r="S41" i="21"/>
  <c r="S70" i="21"/>
  <c r="T74" i="21"/>
  <c r="S74" i="21"/>
  <c r="X79" i="21"/>
  <c r="W79" i="21"/>
  <c r="X25" i="21"/>
  <c r="W25" i="21"/>
  <c r="X34" i="21"/>
  <c r="W34" i="21"/>
  <c r="T76" i="21"/>
  <c r="S76" i="21"/>
  <c r="S24" i="21"/>
  <c r="T24" i="21"/>
  <c r="X77" i="21"/>
  <c r="W77" i="21"/>
  <c r="X73" i="21"/>
  <c r="W73" i="21"/>
  <c r="X61" i="21"/>
  <c r="W61" i="21"/>
  <c r="T96" i="21"/>
  <c r="W13" i="21"/>
  <c r="AB51" i="21"/>
  <c r="AA51" i="21"/>
  <c r="AA23" i="21"/>
  <c r="AB23" i="21"/>
  <c r="H55" i="21"/>
  <c r="K53" i="21"/>
  <c r="T72" i="21"/>
  <c r="S72" i="21"/>
  <c r="AB52" i="21"/>
  <c r="AA52" i="21"/>
  <c r="S60" i="21"/>
  <c r="H96" i="21"/>
  <c r="K13" i="21"/>
  <c r="T28" i="21"/>
  <c r="S28" i="21"/>
  <c r="X36" i="21"/>
  <c r="W36" i="21"/>
  <c r="T78" i="21"/>
  <c r="S78" i="21"/>
  <c r="X96" i="21"/>
  <c r="AA13" i="21"/>
  <c r="X38" i="21"/>
  <c r="W38" i="21"/>
  <c r="S60" i="20"/>
  <c r="S25" i="20"/>
  <c r="T25" i="20"/>
  <c r="X23" i="20"/>
  <c r="W23" i="20"/>
  <c r="P44" i="20"/>
  <c r="S30" i="20"/>
  <c r="W35" i="20"/>
  <c r="X35" i="20"/>
  <c r="S24" i="20"/>
  <c r="T24" i="20"/>
  <c r="W76" i="20"/>
  <c r="X76" i="20"/>
  <c r="P41" i="20"/>
  <c r="S33" i="20"/>
  <c r="T33" i="20"/>
  <c r="P62" i="20"/>
  <c r="T75" i="20"/>
  <c r="S75" i="20"/>
  <c r="X38" i="20"/>
  <c r="W38" i="20"/>
  <c r="T39" i="20"/>
  <c r="S39" i="20"/>
  <c r="W51" i="20"/>
  <c r="X51" i="20"/>
  <c r="T71" i="20"/>
  <c r="S71" i="20"/>
  <c r="L45" i="20"/>
  <c r="O45" i="20" s="1"/>
  <c r="O41" i="20"/>
  <c r="L49" i="20"/>
  <c r="O49" i="20" s="1"/>
  <c r="L46" i="20"/>
  <c r="O46" i="20" s="1"/>
  <c r="L50" i="20"/>
  <c r="O50" i="20" s="1"/>
  <c r="L47" i="20"/>
  <c r="O47" i="20" s="1"/>
  <c r="W52" i="20"/>
  <c r="X52" i="20"/>
  <c r="T73" i="20"/>
  <c r="S73" i="20"/>
  <c r="W74" i="20"/>
  <c r="X74" i="20"/>
  <c r="L44" i="20"/>
  <c r="O30" i="20"/>
  <c r="T37" i="20"/>
  <c r="S37" i="20"/>
  <c r="T22" i="20"/>
  <c r="S22" i="20"/>
  <c r="K44" i="20"/>
  <c r="H53" i="20"/>
  <c r="H92" i="20"/>
  <c r="K13" i="20"/>
  <c r="T65" i="20"/>
  <c r="S65" i="20"/>
  <c r="T69" i="20"/>
  <c r="S69" i="20"/>
  <c r="AA36" i="20"/>
  <c r="AB36" i="20"/>
  <c r="T67" i="20"/>
  <c r="S67" i="20"/>
  <c r="AA27" i="20"/>
  <c r="AB27" i="20"/>
  <c r="T48" i="20"/>
  <c r="S48" i="20"/>
  <c r="W66" i="20"/>
  <c r="X66" i="20"/>
  <c r="X21" i="20"/>
  <c r="W21" i="20"/>
  <c r="W72" i="20"/>
  <c r="X72" i="20"/>
  <c r="X34" i="20"/>
  <c r="W34" i="20"/>
  <c r="W70" i="20"/>
  <c r="X70" i="20"/>
  <c r="L47" i="19"/>
  <c r="K47" i="19" s="1"/>
  <c r="S39" i="19"/>
  <c r="T39" i="19"/>
  <c r="W37" i="19"/>
  <c r="X37" i="19"/>
  <c r="L49" i="19"/>
  <c r="K49" i="19" s="1"/>
  <c r="L50" i="19"/>
  <c r="K50" i="19" s="1"/>
  <c r="AB48" i="19"/>
  <c r="AA48" i="19" s="1"/>
  <c r="W27" i="19"/>
  <c r="X27" i="19"/>
  <c r="K45" i="19"/>
  <c r="H53" i="19"/>
  <c r="T64" i="19"/>
  <c r="S64" i="19"/>
  <c r="X96" i="19"/>
  <c r="AA13" i="19"/>
  <c r="X38" i="19"/>
  <c r="W38" i="19"/>
  <c r="T74" i="19"/>
  <c r="S74" i="19"/>
  <c r="T70" i="19"/>
  <c r="S70" i="19" s="1"/>
  <c r="P96" i="19"/>
  <c r="S13" i="19"/>
  <c r="W28" i="19"/>
  <c r="X28" i="19"/>
  <c r="T76" i="19"/>
  <c r="S76" i="19"/>
  <c r="T72" i="19"/>
  <c r="S72" i="19"/>
  <c r="S62" i="19"/>
  <c r="T62" i="19"/>
  <c r="S60" i="19"/>
  <c r="T60" i="19"/>
  <c r="X71" i="19"/>
  <c r="W71" i="19"/>
  <c r="X77" i="19"/>
  <c r="W77" i="19"/>
  <c r="L96" i="19"/>
  <c r="O13" i="19"/>
  <c r="T96" i="19"/>
  <c r="W13" i="19"/>
  <c r="D96" i="19"/>
  <c r="S59" i="19"/>
  <c r="P66" i="19"/>
  <c r="S66" i="19" s="1"/>
  <c r="T59" i="19"/>
  <c r="X75" i="19"/>
  <c r="W75" i="19"/>
  <c r="T80" i="19"/>
  <c r="S80" i="19"/>
  <c r="X73" i="19"/>
  <c r="W73" i="19"/>
  <c r="X79" i="19"/>
  <c r="W79" i="19"/>
  <c r="AB24" i="19"/>
  <c r="AA24" i="19"/>
  <c r="AB22" i="19"/>
  <c r="AA22" i="19" s="1"/>
  <c r="X25" i="19"/>
  <c r="W25" i="19"/>
  <c r="S65" i="19"/>
  <c r="T65" i="19"/>
  <c r="W26" i="19"/>
  <c r="X26" i="19"/>
  <c r="T78" i="19"/>
  <c r="S78" i="19"/>
  <c r="P30" i="19"/>
  <c r="T21" i="19"/>
  <c r="S21" i="19" s="1"/>
  <c r="X35" i="19"/>
  <c r="W35" i="19"/>
  <c r="T69" i="19"/>
  <c r="S69" i="19" s="1"/>
  <c r="S61" i="19"/>
  <c r="T61" i="19"/>
  <c r="T36" i="19"/>
  <c r="S36" i="19"/>
  <c r="X63" i="19"/>
  <c r="W63" i="19"/>
  <c r="P41" i="19"/>
  <c r="T99" i="18"/>
  <c r="W13" i="18"/>
  <c r="X26" i="18"/>
  <c r="W26" i="18"/>
  <c r="S64" i="18"/>
  <c r="T64" i="18"/>
  <c r="P66" i="18"/>
  <c r="S66" i="18" s="1"/>
  <c r="W39" i="18"/>
  <c r="X39" i="18"/>
  <c r="W72" i="18"/>
  <c r="X72" i="18"/>
  <c r="T73" i="18"/>
  <c r="S73" i="18"/>
  <c r="W59" i="18"/>
  <c r="X59" i="18"/>
  <c r="X99" i="18"/>
  <c r="AA13" i="18"/>
  <c r="T24" i="18"/>
  <c r="T30" i="18" s="1"/>
  <c r="S24" i="18"/>
  <c r="X33" i="18"/>
  <c r="W33" i="18"/>
  <c r="W78" i="18"/>
  <c r="X78" i="18"/>
  <c r="AA36" i="18"/>
  <c r="AB36" i="18"/>
  <c r="X51" i="18"/>
  <c r="W51" i="18"/>
  <c r="H53" i="18"/>
  <c r="K44" i="18"/>
  <c r="T77" i="18"/>
  <c r="S77" i="18"/>
  <c r="W22" i="18"/>
  <c r="X22" i="18"/>
  <c r="T48" i="18"/>
  <c r="S48" i="18"/>
  <c r="W70" i="18"/>
  <c r="X70" i="18"/>
  <c r="O44" i="18"/>
  <c r="S62" i="18"/>
  <c r="T62" i="18"/>
  <c r="W80" i="18"/>
  <c r="X80" i="18"/>
  <c r="P99" i="18"/>
  <c r="S13" i="18"/>
  <c r="T75" i="18"/>
  <c r="S75" i="18"/>
  <c r="P30" i="18"/>
  <c r="P47" i="18" s="1"/>
  <c r="S47" i="18" s="1"/>
  <c r="AA65" i="18"/>
  <c r="AB65" i="18"/>
  <c r="P45" i="18"/>
  <c r="S45" i="18" s="1"/>
  <c r="P50" i="18"/>
  <c r="S50" i="18" s="1"/>
  <c r="P46" i="18"/>
  <c r="S46" i="18" s="1"/>
  <c r="S41" i="18"/>
  <c r="W76" i="18"/>
  <c r="X76" i="18"/>
  <c r="AB21" i="18"/>
  <c r="AA21" i="18"/>
  <c r="X28" i="18"/>
  <c r="W28" i="18"/>
  <c r="X61" i="18"/>
  <c r="W61" i="18"/>
  <c r="T71" i="18"/>
  <c r="S71" i="18"/>
  <c r="T37" i="18"/>
  <c r="S37" i="18"/>
  <c r="AB23" i="18"/>
  <c r="AA23" i="18"/>
  <c r="W52" i="18"/>
  <c r="X52" i="18"/>
  <c r="W74" i="18"/>
  <c r="X74" i="18"/>
  <c r="T79" i="18"/>
  <c r="S79" i="18"/>
  <c r="S27" i="17"/>
  <c r="T27" i="17"/>
  <c r="P30" i="17"/>
  <c r="X77" i="17"/>
  <c r="W77" i="17"/>
  <c r="AA21" i="17"/>
  <c r="AB21" i="17"/>
  <c r="X35" i="17"/>
  <c r="W35" i="17"/>
  <c r="S69" i="17"/>
  <c r="AB51" i="17"/>
  <c r="AA51" i="17"/>
  <c r="X37" i="17"/>
  <c r="W37" i="17"/>
  <c r="AA25" i="17"/>
  <c r="AB25" i="17"/>
  <c r="T62" i="17"/>
  <c r="S62" i="17"/>
  <c r="X73" i="17"/>
  <c r="W73" i="17"/>
  <c r="X71" i="17"/>
  <c r="W71" i="17"/>
  <c r="T72" i="17"/>
  <c r="S72" i="17"/>
  <c r="T34" i="17"/>
  <c r="S34" i="17"/>
  <c r="AB52" i="17"/>
  <c r="AA52" i="17"/>
  <c r="AA60" i="17"/>
  <c r="X61" i="17"/>
  <c r="W61" i="17"/>
  <c r="T33" i="17"/>
  <c r="S33" i="17"/>
  <c r="P41" i="17"/>
  <c r="X39" i="17"/>
  <c r="W39" i="17"/>
  <c r="P96" i="17"/>
  <c r="S13" i="17"/>
  <c r="O44" i="17"/>
  <c r="T48" i="17"/>
  <c r="S48" i="17"/>
  <c r="T74" i="17"/>
  <c r="S74" i="17"/>
  <c r="T96" i="17"/>
  <c r="W13" i="17"/>
  <c r="AA28" i="17"/>
  <c r="AB28" i="17"/>
  <c r="W36" i="17"/>
  <c r="X36" i="17"/>
  <c r="T70" i="17"/>
  <c r="S70" i="17"/>
  <c r="T64" i="17"/>
  <c r="S64" i="17"/>
  <c r="X79" i="17"/>
  <c r="W79" i="17"/>
  <c r="H53" i="17"/>
  <c r="K44" i="17"/>
  <c r="L96" i="17"/>
  <c r="O13" i="17"/>
  <c r="AA23" i="17"/>
  <c r="AB23" i="17"/>
  <c r="L49" i="17"/>
  <c r="O49" i="17" s="1"/>
  <c r="L46" i="17"/>
  <c r="O46" i="17" s="1"/>
  <c r="L50" i="17"/>
  <c r="O50" i="17" s="1"/>
  <c r="L47" i="17"/>
  <c r="O47" i="17" s="1"/>
  <c r="L45" i="17"/>
  <c r="O45" i="17" s="1"/>
  <c r="O41" i="17"/>
  <c r="T80" i="17"/>
  <c r="S80" i="17"/>
  <c r="AB65" i="17"/>
  <c r="AA65" i="17"/>
  <c r="P66" i="17"/>
  <c r="S66" i="17" s="1"/>
  <c r="T59" i="17"/>
  <c r="S59" i="17"/>
  <c r="AA26" i="17"/>
  <c r="AB26" i="17"/>
  <c r="X75" i="17"/>
  <c r="W75" i="17"/>
  <c r="X96" i="17"/>
  <c r="AA13" i="17"/>
  <c r="W38" i="17"/>
  <c r="X38" i="17"/>
  <c r="AA24" i="17"/>
  <c r="AB24" i="17"/>
  <c r="AA22" i="17"/>
  <c r="AB22" i="17"/>
  <c r="T78" i="17"/>
  <c r="S78" i="17"/>
  <c r="T76" i="17"/>
  <c r="S76" i="17"/>
  <c r="L96" i="15"/>
  <c r="P11" i="15"/>
  <c r="K41" i="15"/>
  <c r="K45" i="15"/>
  <c r="K46" i="15"/>
  <c r="W34" i="15"/>
  <c r="X34" i="15"/>
  <c r="W38" i="15"/>
  <c r="X38" i="15"/>
  <c r="AB22" i="15"/>
  <c r="AA22" i="15"/>
  <c r="X63" i="15"/>
  <c r="W63" i="15"/>
  <c r="AB65" i="15"/>
  <c r="AA65" i="15"/>
  <c r="X96" i="15"/>
  <c r="AA13" i="15"/>
  <c r="X35" i="15"/>
  <c r="W35" i="15"/>
  <c r="AB26" i="15"/>
  <c r="AA26" i="15"/>
  <c r="T62" i="15"/>
  <c r="S62" i="15"/>
  <c r="D96" i="15"/>
  <c r="O30" i="15"/>
  <c r="K47" i="15"/>
  <c r="AB28" i="15"/>
  <c r="AA28" i="15"/>
  <c r="T74" i="15"/>
  <c r="S74" i="15"/>
  <c r="T69" i="15"/>
  <c r="S69" i="15"/>
  <c r="T80" i="15"/>
  <c r="S80" i="15"/>
  <c r="AB59" i="15"/>
  <c r="AA59" i="15"/>
  <c r="X37" i="15"/>
  <c r="W37" i="15"/>
  <c r="T76" i="15"/>
  <c r="S76" i="15"/>
  <c r="D15" i="15"/>
  <c r="H53" i="15"/>
  <c r="T64" i="15"/>
  <c r="S64" i="15"/>
  <c r="T70" i="15"/>
  <c r="S70" i="15"/>
  <c r="S60" i="15"/>
  <c r="T60" i="15"/>
  <c r="P66" i="15"/>
  <c r="T25" i="15"/>
  <c r="S25" i="15"/>
  <c r="T27" i="15"/>
  <c r="S27" i="15"/>
  <c r="P30" i="15"/>
  <c r="P49" i="15" s="1"/>
  <c r="T21" i="15"/>
  <c r="S21" i="15"/>
  <c r="X39" i="15"/>
  <c r="W39" i="15"/>
  <c r="T78" i="15"/>
  <c r="S78" i="15"/>
  <c r="T23" i="15"/>
  <c r="S23" i="15"/>
  <c r="AB24" i="15"/>
  <c r="AA24" i="15"/>
  <c r="T48" i="15"/>
  <c r="S48" i="15" s="1"/>
  <c r="X73" i="15"/>
  <c r="W73" i="15"/>
  <c r="X61" i="15"/>
  <c r="W61" i="15"/>
  <c r="X75" i="15"/>
  <c r="W75" i="15"/>
  <c r="T41" i="15"/>
  <c r="S41" i="15" s="1"/>
  <c r="X33" i="15"/>
  <c r="W33" i="15" s="1"/>
  <c r="T72" i="15"/>
  <c r="S72" i="15"/>
  <c r="J20" i="28" l="1"/>
  <c r="S45" i="21"/>
  <c r="I36" i="26"/>
  <c r="O36" i="26" s="1"/>
  <c r="P36" i="26" s="1"/>
  <c r="S46" i="21"/>
  <c r="I37" i="26"/>
  <c r="O37" i="26" s="1"/>
  <c r="P37" i="26" s="1"/>
  <c r="K29" i="26"/>
  <c r="L29" i="26" s="1"/>
  <c r="P47" i="21"/>
  <c r="I28" i="26"/>
  <c r="O30" i="21"/>
  <c r="T30" i="20"/>
  <c r="W71" i="15"/>
  <c r="X63" i="21"/>
  <c r="AA63" i="21" s="1"/>
  <c r="AB63" i="18"/>
  <c r="L53" i="18"/>
  <c r="W77" i="15"/>
  <c r="AA60" i="18"/>
  <c r="X79" i="15"/>
  <c r="AA79" i="15" s="1"/>
  <c r="G44" i="42"/>
  <c r="M44" i="42" s="1"/>
  <c r="N44" i="42" s="1"/>
  <c r="L53" i="21"/>
  <c r="L55" i="21" s="1"/>
  <c r="X27" i="21"/>
  <c r="W27" i="21"/>
  <c r="Q11" i="15"/>
  <c r="W63" i="17"/>
  <c r="T41" i="18"/>
  <c r="T47" i="18" s="1"/>
  <c r="W47" i="18" s="1"/>
  <c r="W37" i="21"/>
  <c r="X37" i="21"/>
  <c r="T41" i="19"/>
  <c r="P50" i="21"/>
  <c r="W68" i="20"/>
  <c r="G53" i="19"/>
  <c r="I53" i="19"/>
  <c r="I66" i="21"/>
  <c r="G53" i="15"/>
  <c r="I53" i="15"/>
  <c r="O30" i="19"/>
  <c r="Q30" i="19"/>
  <c r="K59" i="20"/>
  <c r="O59" i="20"/>
  <c r="L62" i="20"/>
  <c r="O62" i="20" s="1"/>
  <c r="S66" i="15"/>
  <c r="W34" i="18"/>
  <c r="X34" i="18"/>
  <c r="P49" i="21"/>
  <c r="G66" i="21"/>
  <c r="AB27" i="18"/>
  <c r="AA27" i="18"/>
  <c r="K59" i="21"/>
  <c r="L66" i="21"/>
  <c r="H44" i="26" s="1"/>
  <c r="X48" i="21"/>
  <c r="W48" i="21"/>
  <c r="S59" i="20"/>
  <c r="X59" i="20"/>
  <c r="W60" i="20"/>
  <c r="W26" i="21"/>
  <c r="X26" i="21"/>
  <c r="K55" i="21"/>
  <c r="AB61" i="21"/>
  <c r="AA61" i="21"/>
  <c r="AB77" i="21"/>
  <c r="AA77" i="21"/>
  <c r="AB34" i="21"/>
  <c r="AA34" i="21"/>
  <c r="AB79" i="21"/>
  <c r="AA79" i="21"/>
  <c r="X70" i="21"/>
  <c r="W70" i="21" s="1"/>
  <c r="P44" i="21"/>
  <c r="W80" i="21"/>
  <c r="X80" i="21"/>
  <c r="AA59" i="21"/>
  <c r="W62" i="21"/>
  <c r="X62" i="21"/>
  <c r="T46" i="21"/>
  <c r="W41" i="21"/>
  <c r="T45" i="21"/>
  <c r="AB36" i="21"/>
  <c r="AA36" i="21"/>
  <c r="X28" i="21"/>
  <c r="W28" i="21"/>
  <c r="X60" i="21"/>
  <c r="T66" i="21"/>
  <c r="J44" i="26" s="1"/>
  <c r="W24" i="21"/>
  <c r="X24" i="21"/>
  <c r="W76" i="21"/>
  <c r="X76" i="21"/>
  <c r="AB75" i="21"/>
  <c r="AA75" i="21"/>
  <c r="X22" i="21"/>
  <c r="W22" i="21" s="1"/>
  <c r="T30" i="21"/>
  <c r="S30" i="21" s="1"/>
  <c r="AB38" i="21"/>
  <c r="AA38" i="21"/>
  <c r="W72" i="21"/>
  <c r="X72" i="21"/>
  <c r="AB25" i="21"/>
  <c r="AA25" i="21"/>
  <c r="W74" i="21"/>
  <c r="X74" i="21"/>
  <c r="X64" i="21"/>
  <c r="W64" i="21"/>
  <c r="AB71" i="21"/>
  <c r="AA71" i="21"/>
  <c r="W78" i="21"/>
  <c r="X78" i="21"/>
  <c r="AB73" i="21"/>
  <c r="AA73" i="21"/>
  <c r="X69" i="21"/>
  <c r="W69" i="21" s="1"/>
  <c r="X25" i="20"/>
  <c r="W25" i="20"/>
  <c r="AB23" i="20"/>
  <c r="AA23" i="20"/>
  <c r="AB66" i="20"/>
  <c r="AA66" i="20"/>
  <c r="X67" i="20"/>
  <c r="W67" i="20"/>
  <c r="W37" i="20"/>
  <c r="X37" i="20"/>
  <c r="X73" i="20"/>
  <c r="W73" i="20"/>
  <c r="AB38" i="20"/>
  <c r="AA38" i="20"/>
  <c r="X24" i="20"/>
  <c r="W24" i="20"/>
  <c r="AB70" i="20"/>
  <c r="AA70" i="20"/>
  <c r="T44" i="20"/>
  <c r="W30" i="20"/>
  <c r="W48" i="20"/>
  <c r="X48" i="20"/>
  <c r="AB68" i="20"/>
  <c r="AA68" i="20"/>
  <c r="AB52" i="20"/>
  <c r="AA52" i="20"/>
  <c r="T41" i="20"/>
  <c r="W33" i="20"/>
  <c r="X33" i="20"/>
  <c r="AA34" i="20"/>
  <c r="AB34" i="20"/>
  <c r="AB72" i="20"/>
  <c r="AA72" i="20"/>
  <c r="AB21" i="20"/>
  <c r="AA21" i="20"/>
  <c r="X65" i="20"/>
  <c r="W65" i="20"/>
  <c r="W22" i="20"/>
  <c r="X22" i="20"/>
  <c r="L53" i="20"/>
  <c r="O44" i="20"/>
  <c r="X71" i="20"/>
  <c r="W71" i="20"/>
  <c r="W39" i="20"/>
  <c r="X39" i="20"/>
  <c r="X75" i="20"/>
  <c r="W75" i="20"/>
  <c r="W59" i="20"/>
  <c r="T62" i="20"/>
  <c r="AB76" i="20"/>
  <c r="AA76" i="20"/>
  <c r="AA35" i="20"/>
  <c r="AB35" i="20"/>
  <c r="X69" i="20"/>
  <c r="W69" i="20"/>
  <c r="H55" i="20"/>
  <c r="K53" i="20"/>
  <c r="AB74" i="20"/>
  <c r="AA74" i="20"/>
  <c r="AB51" i="20"/>
  <c r="AA51" i="20"/>
  <c r="P45" i="20"/>
  <c r="S45" i="20" s="1"/>
  <c r="P49" i="20"/>
  <c r="S49" i="20" s="1"/>
  <c r="P50" i="20"/>
  <c r="S50" i="20" s="1"/>
  <c r="P47" i="20"/>
  <c r="S47" i="20" s="1"/>
  <c r="P46" i="20"/>
  <c r="S46" i="20" s="1"/>
  <c r="S41" i="20"/>
  <c r="S44" i="20"/>
  <c r="AA37" i="19"/>
  <c r="AB37" i="19"/>
  <c r="W39" i="19"/>
  <c r="X39" i="19"/>
  <c r="T46" i="19"/>
  <c r="W46" i="19" s="1"/>
  <c r="T45" i="19"/>
  <c r="W45" i="19" s="1"/>
  <c r="W41" i="19"/>
  <c r="X59" i="19"/>
  <c r="T66" i="19"/>
  <c r="W66" i="19" s="1"/>
  <c r="W59" i="19"/>
  <c r="W78" i="19"/>
  <c r="X78" i="19"/>
  <c r="AB25" i="19"/>
  <c r="AA25" i="19"/>
  <c r="AB73" i="19"/>
  <c r="AA73" i="19"/>
  <c r="W60" i="19"/>
  <c r="X60" i="19"/>
  <c r="AB28" i="19"/>
  <c r="AA28" i="19"/>
  <c r="H55" i="19"/>
  <c r="P50" i="19"/>
  <c r="P47" i="19"/>
  <c r="P45" i="19"/>
  <c r="S45" i="19" s="1"/>
  <c r="P49" i="19"/>
  <c r="S46" i="19"/>
  <c r="S41" i="19"/>
  <c r="L53" i="19"/>
  <c r="T30" i="19"/>
  <c r="T47" i="19" s="1"/>
  <c r="X21" i="19"/>
  <c r="W21" i="19" s="1"/>
  <c r="X65" i="19"/>
  <c r="W65" i="19"/>
  <c r="AB75" i="19"/>
  <c r="AA75" i="19"/>
  <c r="AB96" i="19"/>
  <c r="W72" i="19"/>
  <c r="X72" i="19"/>
  <c r="X70" i="19"/>
  <c r="W70" i="19" s="1"/>
  <c r="W74" i="19"/>
  <c r="X74" i="19"/>
  <c r="AA35" i="19"/>
  <c r="AB35" i="19"/>
  <c r="X62" i="19"/>
  <c r="W62" i="19"/>
  <c r="AB27" i="19"/>
  <c r="AA27" i="19"/>
  <c r="P44" i="19"/>
  <c r="O44" i="19" s="1"/>
  <c r="AB79" i="19"/>
  <c r="AA79" i="19"/>
  <c r="AB77" i="19"/>
  <c r="AA77" i="19"/>
  <c r="AA63" i="19"/>
  <c r="AB63" i="19"/>
  <c r="X61" i="19"/>
  <c r="W61" i="19"/>
  <c r="X69" i="19"/>
  <c r="W69" i="19" s="1"/>
  <c r="AB26" i="19"/>
  <c r="AA26" i="19"/>
  <c r="W80" i="19"/>
  <c r="X80" i="19"/>
  <c r="AB71" i="19"/>
  <c r="AA71" i="19" s="1"/>
  <c r="W76" i="19"/>
  <c r="X76" i="19"/>
  <c r="AA38" i="19"/>
  <c r="AB38" i="19"/>
  <c r="X64" i="19"/>
  <c r="W64" i="19"/>
  <c r="X36" i="19"/>
  <c r="W36" i="19"/>
  <c r="W48" i="18"/>
  <c r="X48" i="18"/>
  <c r="H55" i="18"/>
  <c r="K53" i="18"/>
  <c r="AB52" i="18"/>
  <c r="AA52" i="18"/>
  <c r="AA61" i="18"/>
  <c r="AB61" i="18"/>
  <c r="P49" i="18"/>
  <c r="S49" i="18" s="1"/>
  <c r="AB22" i="18"/>
  <c r="AA22" i="18"/>
  <c r="T50" i="18"/>
  <c r="W50" i="18" s="1"/>
  <c r="T45" i="18"/>
  <c r="W45" i="18" s="1"/>
  <c r="X64" i="18"/>
  <c r="W64" i="18"/>
  <c r="X71" i="18"/>
  <c r="W71" i="18"/>
  <c r="AB80" i="18"/>
  <c r="AA80" i="18"/>
  <c r="AB74" i="18"/>
  <c r="AA74" i="18"/>
  <c r="AA28" i="18"/>
  <c r="AB28" i="18"/>
  <c r="AB76" i="18"/>
  <c r="AA76" i="18"/>
  <c r="X75" i="18"/>
  <c r="W75" i="18"/>
  <c r="L55" i="18"/>
  <c r="O53" i="18"/>
  <c r="X24" i="18"/>
  <c r="W24" i="18"/>
  <c r="AA59" i="18"/>
  <c r="AB59" i="18"/>
  <c r="X73" i="18"/>
  <c r="W73" i="18"/>
  <c r="X62" i="18"/>
  <c r="W62" i="18"/>
  <c r="X77" i="18"/>
  <c r="W77" i="18"/>
  <c r="AA33" i="18"/>
  <c r="AB33" i="18"/>
  <c r="AB72" i="18"/>
  <c r="AA72" i="18"/>
  <c r="AB26" i="18"/>
  <c r="AA26" i="18"/>
  <c r="AB78" i="18"/>
  <c r="AA78" i="18"/>
  <c r="T66" i="18"/>
  <c r="W66" i="18" s="1"/>
  <c r="P44" i="18"/>
  <c r="S30" i="18"/>
  <c r="AB70" i="18"/>
  <c r="AA70" i="18"/>
  <c r="X79" i="18"/>
  <c r="W79" i="18"/>
  <c r="X37" i="18"/>
  <c r="X41" i="18" s="1"/>
  <c r="W37" i="18"/>
  <c r="AB51" i="18"/>
  <c r="AA51" i="18"/>
  <c r="AA39" i="18"/>
  <c r="AB39" i="18"/>
  <c r="T44" i="18"/>
  <c r="W30" i="18"/>
  <c r="P44" i="17"/>
  <c r="S44" i="17" s="1"/>
  <c r="S30" i="17"/>
  <c r="X27" i="17"/>
  <c r="W27" i="17"/>
  <c r="T30" i="17"/>
  <c r="T66" i="17"/>
  <c r="W66" i="17" s="1"/>
  <c r="X59" i="17"/>
  <c r="W59" i="17"/>
  <c r="AB38" i="17"/>
  <c r="AA38" i="17"/>
  <c r="AB36" i="17"/>
  <c r="AA36" i="17"/>
  <c r="P45" i="17"/>
  <c r="P49" i="17"/>
  <c r="S49" i="17" s="1"/>
  <c r="P46" i="17"/>
  <c r="S46" i="17" s="1"/>
  <c r="S41" i="17"/>
  <c r="P50" i="17"/>
  <c r="S50" i="17" s="1"/>
  <c r="P47" i="17"/>
  <c r="S47" i="17" s="1"/>
  <c r="AB61" i="17"/>
  <c r="AA61" i="17"/>
  <c r="W72" i="17"/>
  <c r="X72" i="17"/>
  <c r="X69" i="17"/>
  <c r="W69" i="17"/>
  <c r="AA63" i="17"/>
  <c r="AB63" i="17"/>
  <c r="W80" i="17"/>
  <c r="X80" i="17"/>
  <c r="W76" i="17"/>
  <c r="X76" i="17"/>
  <c r="W78" i="17"/>
  <c r="X78" i="17"/>
  <c r="AB75" i="17"/>
  <c r="AA75" i="17"/>
  <c r="H55" i="17"/>
  <c r="K53" i="17"/>
  <c r="X64" i="17"/>
  <c r="W64" i="17"/>
  <c r="X48" i="17"/>
  <c r="W48" i="17"/>
  <c r="W34" i="17"/>
  <c r="X34" i="17"/>
  <c r="AB73" i="17"/>
  <c r="AA73" i="17"/>
  <c r="T41" i="17"/>
  <c r="X33" i="17"/>
  <c r="W33" i="17"/>
  <c r="AB35" i="17"/>
  <c r="AA35" i="17"/>
  <c r="AB79" i="17"/>
  <c r="AA79" i="17"/>
  <c r="W70" i="17"/>
  <c r="X70" i="17"/>
  <c r="W74" i="17"/>
  <c r="X74" i="17"/>
  <c r="L53" i="17"/>
  <c r="AB39" i="17"/>
  <c r="AA39" i="17"/>
  <c r="AB71" i="17"/>
  <c r="AA71" i="17"/>
  <c r="W62" i="17"/>
  <c r="X62" i="17"/>
  <c r="AB37" i="17"/>
  <c r="AA37" i="17"/>
  <c r="AB77" i="17"/>
  <c r="AA77" i="17"/>
  <c r="O13" i="15"/>
  <c r="L15" i="15"/>
  <c r="O11" i="15"/>
  <c r="AA38" i="15"/>
  <c r="AB38" i="15"/>
  <c r="AB34" i="15"/>
  <c r="AA34" i="15"/>
  <c r="O49" i="15"/>
  <c r="O45" i="15"/>
  <c r="K49" i="15"/>
  <c r="O46" i="15"/>
  <c r="K50" i="15"/>
  <c r="P50" i="15"/>
  <c r="O50" i="15" s="1"/>
  <c r="W78" i="15"/>
  <c r="X78" i="15"/>
  <c r="W25" i="15"/>
  <c r="X25" i="15"/>
  <c r="W76" i="15"/>
  <c r="X76" i="15"/>
  <c r="AB79" i="15"/>
  <c r="W72" i="15"/>
  <c r="X72" i="15"/>
  <c r="AB73" i="15"/>
  <c r="AA73" i="15"/>
  <c r="X48" i="15"/>
  <c r="W48" i="15" s="1"/>
  <c r="W23" i="15"/>
  <c r="X23" i="15"/>
  <c r="AB39" i="15"/>
  <c r="AA39" i="15"/>
  <c r="AB37" i="15"/>
  <c r="AA37" i="15"/>
  <c r="X69" i="15"/>
  <c r="W69" i="15"/>
  <c r="W62" i="15"/>
  <c r="X62" i="15"/>
  <c r="AB75" i="15"/>
  <c r="AA75" i="15"/>
  <c r="X27" i="15"/>
  <c r="W27" i="15"/>
  <c r="W70" i="15"/>
  <c r="X70" i="15"/>
  <c r="X64" i="15"/>
  <c r="W64" i="15"/>
  <c r="P47" i="15"/>
  <c r="O47" i="15" s="1"/>
  <c r="AB71" i="15"/>
  <c r="AA71" i="15"/>
  <c r="L53" i="15"/>
  <c r="O44" i="15"/>
  <c r="AB61" i="15"/>
  <c r="AA61" i="15"/>
  <c r="T30" i="15"/>
  <c r="T49" i="15" s="1"/>
  <c r="W21" i="15"/>
  <c r="X21" i="15"/>
  <c r="W74" i="15"/>
  <c r="X74" i="15"/>
  <c r="AA63" i="15"/>
  <c r="AB63" i="15"/>
  <c r="X41" i="15"/>
  <c r="W41" i="15" s="1"/>
  <c r="AB33" i="15"/>
  <c r="AA33" i="15" s="1"/>
  <c r="T45" i="15"/>
  <c r="T46" i="15"/>
  <c r="S30" i="15"/>
  <c r="W80" i="15"/>
  <c r="X80" i="15"/>
  <c r="AB77" i="15"/>
  <c r="AA77" i="15"/>
  <c r="H55" i="15"/>
  <c r="W60" i="15"/>
  <c r="X60" i="15"/>
  <c r="T66" i="15"/>
  <c r="W66" i="15" s="1"/>
  <c r="AB35" i="15"/>
  <c r="AA35" i="15"/>
  <c r="K44" i="26" l="1"/>
  <c r="L44" i="26" s="1"/>
  <c r="W45" i="21"/>
  <c r="J36" i="26"/>
  <c r="Q36" i="26" s="1"/>
  <c r="R36" i="26" s="1"/>
  <c r="W46" i="21"/>
  <c r="J37" i="26"/>
  <c r="Q37" i="26" s="1"/>
  <c r="R37" i="26" s="1"/>
  <c r="O49" i="21"/>
  <c r="O44" i="21"/>
  <c r="O47" i="21"/>
  <c r="T49" i="21"/>
  <c r="J40" i="26" s="1"/>
  <c r="J28" i="26"/>
  <c r="Q28" i="26" s="1"/>
  <c r="R28" i="26" s="1"/>
  <c r="AB63" i="21"/>
  <c r="M44" i="26"/>
  <c r="N44" i="26" s="1"/>
  <c r="O50" i="21"/>
  <c r="M66" i="21"/>
  <c r="H44" i="42"/>
  <c r="AB37" i="21"/>
  <c r="AA37" i="21"/>
  <c r="X30" i="20"/>
  <c r="AA30" i="20" s="1"/>
  <c r="X41" i="21"/>
  <c r="AB27" i="21"/>
  <c r="AA27" i="21"/>
  <c r="T46" i="18"/>
  <c r="W46" i="18" s="1"/>
  <c r="T49" i="18"/>
  <c r="W49" i="18" s="1"/>
  <c r="W41" i="18"/>
  <c r="X41" i="19"/>
  <c r="G55" i="15"/>
  <c r="I55" i="15"/>
  <c r="K53" i="15"/>
  <c r="M53" i="15"/>
  <c r="K53" i="19"/>
  <c r="M53" i="19"/>
  <c r="G55" i="19"/>
  <c r="I55" i="19"/>
  <c r="Q62" i="20"/>
  <c r="M62" i="20"/>
  <c r="K62" i="20"/>
  <c r="T50" i="15"/>
  <c r="S50" i="15" s="1"/>
  <c r="AB34" i="18"/>
  <c r="AA34" i="18"/>
  <c r="M45" i="26"/>
  <c r="N45" i="26" s="1"/>
  <c r="G45" i="28"/>
  <c r="K66" i="21"/>
  <c r="AB48" i="21"/>
  <c r="AA48" i="21"/>
  <c r="S59" i="21"/>
  <c r="P66" i="21"/>
  <c r="I44" i="26" s="1"/>
  <c r="O44" i="26" s="1"/>
  <c r="P44" i="26" s="1"/>
  <c r="O59" i="21"/>
  <c r="AA60" i="20"/>
  <c r="AA64" i="21"/>
  <c r="AB64" i="21"/>
  <c r="AA60" i="21"/>
  <c r="AB60" i="21"/>
  <c r="X66" i="21"/>
  <c r="W66" i="21" s="1"/>
  <c r="AB72" i="21"/>
  <c r="AA72" i="21"/>
  <c r="W60" i="21"/>
  <c r="T44" i="21"/>
  <c r="AB22" i="21"/>
  <c r="AA22" i="21" s="1"/>
  <c r="X30" i="21"/>
  <c r="X47" i="21" s="1"/>
  <c r="AB76" i="21"/>
  <c r="AA76" i="21"/>
  <c r="AA28" i="21"/>
  <c r="AB28" i="21"/>
  <c r="T50" i="21"/>
  <c r="J41" i="26" s="1"/>
  <c r="AB80" i="21"/>
  <c r="AA80" i="21"/>
  <c r="AB70" i="21"/>
  <c r="AA70" i="21" s="1"/>
  <c r="X45" i="21"/>
  <c r="AA45" i="21" s="1"/>
  <c r="AB78" i="21"/>
  <c r="AA78" i="21"/>
  <c r="AA62" i="21"/>
  <c r="AB62" i="21"/>
  <c r="AA26" i="21"/>
  <c r="AB26" i="21"/>
  <c r="AB69" i="21"/>
  <c r="AA69" i="21" s="1"/>
  <c r="AB74" i="21"/>
  <c r="AA74" i="21"/>
  <c r="AA24" i="21"/>
  <c r="AB24" i="21"/>
  <c r="AB41" i="21"/>
  <c r="T47" i="21"/>
  <c r="J38" i="26" s="1"/>
  <c r="P53" i="21"/>
  <c r="O53" i="21" s="1"/>
  <c r="S62" i="20"/>
  <c r="AB25" i="20"/>
  <c r="AA25" i="20"/>
  <c r="P53" i="20"/>
  <c r="P55" i="20" s="1"/>
  <c r="AB69" i="20"/>
  <c r="AA69" i="20"/>
  <c r="AA22" i="20"/>
  <c r="AB22" i="20"/>
  <c r="AB65" i="20"/>
  <c r="AA65" i="20"/>
  <c r="X41" i="20"/>
  <c r="AB33" i="20"/>
  <c r="AA33" i="20"/>
  <c r="AB48" i="20"/>
  <c r="AA48" i="20"/>
  <c r="AA37" i="20"/>
  <c r="AB37" i="20"/>
  <c r="AB75" i="20"/>
  <c r="AA75" i="20"/>
  <c r="AB71" i="20"/>
  <c r="AA71" i="20"/>
  <c r="AA24" i="20"/>
  <c r="AB24" i="20"/>
  <c r="AB67" i="20"/>
  <c r="AA67" i="20"/>
  <c r="K55" i="20"/>
  <c r="AA39" i="20"/>
  <c r="AB39" i="20"/>
  <c r="T50" i="20"/>
  <c r="W50" i="20" s="1"/>
  <c r="T47" i="20"/>
  <c r="W47" i="20" s="1"/>
  <c r="W41" i="20"/>
  <c r="T49" i="20"/>
  <c r="W49" i="20" s="1"/>
  <c r="T46" i="20"/>
  <c r="W46" i="20" s="1"/>
  <c r="T45" i="20"/>
  <c r="W45" i="20" s="1"/>
  <c r="X62" i="20"/>
  <c r="AB59" i="20"/>
  <c r="AA59" i="20" s="1"/>
  <c r="L55" i="20"/>
  <c r="O53" i="20"/>
  <c r="W44" i="20"/>
  <c r="AB73" i="20"/>
  <c r="AA73" i="20"/>
  <c r="AA39" i="19"/>
  <c r="AB39" i="19"/>
  <c r="S30" i="19"/>
  <c r="O49" i="19"/>
  <c r="S47" i="19"/>
  <c r="O47" i="19"/>
  <c r="T50" i="19"/>
  <c r="S50" i="19" s="1"/>
  <c r="O50" i="19"/>
  <c r="AA64" i="19"/>
  <c r="AB64" i="19"/>
  <c r="P53" i="19"/>
  <c r="X45" i="19"/>
  <c r="AA45" i="19" s="1"/>
  <c r="X46" i="19"/>
  <c r="AA46" i="19" s="1"/>
  <c r="AA41" i="19"/>
  <c r="AB80" i="19"/>
  <c r="AA80" i="19"/>
  <c r="AA36" i="19"/>
  <c r="AB36" i="19"/>
  <c r="AB41" i="19" s="1"/>
  <c r="AB76" i="19"/>
  <c r="AA76" i="19"/>
  <c r="AB69" i="19"/>
  <c r="AA69" i="19" s="1"/>
  <c r="AA62" i="19"/>
  <c r="AB62" i="19"/>
  <c r="AB74" i="19"/>
  <c r="AA74" i="19"/>
  <c r="AB72" i="19"/>
  <c r="AA72" i="19"/>
  <c r="X30" i="19"/>
  <c r="X50" i="19" s="1"/>
  <c r="AB21" i="19"/>
  <c r="AB30" i="19" s="1"/>
  <c r="L55" i="19"/>
  <c r="AA60" i="19"/>
  <c r="AB60" i="19"/>
  <c r="AA61" i="19"/>
  <c r="AB61" i="19"/>
  <c r="AB70" i="19"/>
  <c r="AA70" i="19" s="1"/>
  <c r="T44" i="19"/>
  <c r="S44" i="19" s="1"/>
  <c r="AB78" i="19"/>
  <c r="AA78" i="19"/>
  <c r="X66" i="19"/>
  <c r="AA66" i="19" s="1"/>
  <c r="AB59" i="19"/>
  <c r="AA59" i="19"/>
  <c r="AB65" i="19"/>
  <c r="AA65" i="19"/>
  <c r="T49" i="19"/>
  <c r="S49" i="19" s="1"/>
  <c r="K55" i="18"/>
  <c r="AB62" i="18"/>
  <c r="AA62" i="18"/>
  <c r="AB24" i="18"/>
  <c r="AB30" i="18" s="1"/>
  <c r="AA24" i="18"/>
  <c r="X30" i="18"/>
  <c r="X50" i="18" s="1"/>
  <c r="AA50" i="18" s="1"/>
  <c r="X66" i="18"/>
  <c r="AA66" i="18" s="1"/>
  <c r="AB64" i="18"/>
  <c r="AA64" i="18"/>
  <c r="AB79" i="18"/>
  <c r="AA79" i="18"/>
  <c r="AB77" i="18"/>
  <c r="AA77" i="18"/>
  <c r="O55" i="18"/>
  <c r="P53" i="18"/>
  <c r="S44" i="18"/>
  <c r="X49" i="18"/>
  <c r="AA49" i="18" s="1"/>
  <c r="X46" i="18"/>
  <c r="AA46" i="18" s="1"/>
  <c r="X45" i="18"/>
  <c r="AA45" i="18" s="1"/>
  <c r="AA41" i="18"/>
  <c r="AB73" i="18"/>
  <c r="AA73" i="18"/>
  <c r="AB71" i="18"/>
  <c r="AA71" i="18"/>
  <c r="AA37" i="18"/>
  <c r="AB37" i="18"/>
  <c r="AB41" i="18" s="1"/>
  <c r="AB75" i="18"/>
  <c r="AA75" i="18"/>
  <c r="AA48" i="18"/>
  <c r="AB48" i="18"/>
  <c r="W44" i="18"/>
  <c r="T44" i="17"/>
  <c r="W44" i="17" s="1"/>
  <c r="W30" i="17"/>
  <c r="AB27" i="17"/>
  <c r="AB30" i="17" s="1"/>
  <c r="X30" i="17"/>
  <c r="AA27" i="17"/>
  <c r="T45" i="17"/>
  <c r="T49" i="17"/>
  <c r="W49" i="17" s="1"/>
  <c r="T46" i="17"/>
  <c r="W46" i="17" s="1"/>
  <c r="T50" i="17"/>
  <c r="W50" i="17" s="1"/>
  <c r="T47" i="17"/>
  <c r="W47" i="17" s="1"/>
  <c r="W41" i="17"/>
  <c r="AA48" i="17"/>
  <c r="AB48" i="17"/>
  <c r="AB78" i="17"/>
  <c r="AA78" i="17"/>
  <c r="AB80" i="17"/>
  <c r="AA80" i="17"/>
  <c r="AB72" i="17"/>
  <c r="AA72" i="17"/>
  <c r="O53" i="17"/>
  <c r="L55" i="17"/>
  <c r="AB34" i="17"/>
  <c r="AA34" i="17"/>
  <c r="K55" i="17"/>
  <c r="S45" i="17"/>
  <c r="P53" i="17"/>
  <c r="X41" i="17"/>
  <c r="AB33" i="17"/>
  <c r="AA33" i="17"/>
  <c r="AB70" i="17"/>
  <c r="AA70" i="17"/>
  <c r="AB74" i="17"/>
  <c r="AA74" i="17"/>
  <c r="AA64" i="17"/>
  <c r="AB64" i="17"/>
  <c r="AB76" i="17"/>
  <c r="AA76" i="17"/>
  <c r="AA62" i="17"/>
  <c r="AB62" i="17"/>
  <c r="AB69" i="17"/>
  <c r="AA69" i="17" s="1"/>
  <c r="X66" i="17"/>
  <c r="AA66" i="17" s="1"/>
  <c r="AB59" i="17"/>
  <c r="AA59" i="17"/>
  <c r="P15" i="15"/>
  <c r="P96" i="15"/>
  <c r="S46" i="15"/>
  <c r="S49" i="15"/>
  <c r="S45" i="15"/>
  <c r="T47" i="15"/>
  <c r="S47" i="15" s="1"/>
  <c r="P53" i="15"/>
  <c r="L55" i="15"/>
  <c r="AB69" i="15"/>
  <c r="AA69" i="15"/>
  <c r="AB48" i="15"/>
  <c r="AA48" i="15" s="1"/>
  <c r="AB41" i="15"/>
  <c r="AA41" i="15" s="1"/>
  <c r="AA23" i="15"/>
  <c r="AB23" i="15"/>
  <c r="AB80" i="15"/>
  <c r="AA80" i="15"/>
  <c r="X45" i="15"/>
  <c r="X46" i="15"/>
  <c r="AB21" i="15"/>
  <c r="AA21" i="15"/>
  <c r="X30" i="15"/>
  <c r="X47" i="15" s="1"/>
  <c r="AA62" i="15"/>
  <c r="AB62" i="15"/>
  <c r="AB25" i="15"/>
  <c r="AA25" i="15"/>
  <c r="AA27" i="15"/>
  <c r="AB27" i="15"/>
  <c r="AB72" i="15"/>
  <c r="AA72" i="15"/>
  <c r="AA64" i="15"/>
  <c r="AB64" i="15"/>
  <c r="T44" i="15"/>
  <c r="S44" i="15" s="1"/>
  <c r="W30" i="15"/>
  <c r="AB76" i="15"/>
  <c r="AA76" i="15"/>
  <c r="AB78" i="15"/>
  <c r="AA78" i="15"/>
  <c r="AB74" i="15"/>
  <c r="AA74" i="15"/>
  <c r="AB70" i="15"/>
  <c r="AA70" i="15"/>
  <c r="AB60" i="15"/>
  <c r="AA60" i="15"/>
  <c r="X66" i="15"/>
  <c r="AA66" i="15" s="1"/>
  <c r="Q44" i="26" l="1"/>
  <c r="R44" i="26" s="1"/>
  <c r="S49" i="21"/>
  <c r="S44" i="21"/>
  <c r="J35" i="26"/>
  <c r="AB30" i="20"/>
  <c r="W47" i="21"/>
  <c r="S47" i="21"/>
  <c r="W30" i="21"/>
  <c r="S50" i="21"/>
  <c r="X49" i="21"/>
  <c r="X50" i="21"/>
  <c r="X46" i="21"/>
  <c r="AA46" i="21" s="1"/>
  <c r="AA41" i="21"/>
  <c r="M45" i="27"/>
  <c r="N45" i="27" s="1"/>
  <c r="O45" i="27"/>
  <c r="P45" i="27" s="1"/>
  <c r="I44" i="42"/>
  <c r="O45" i="26"/>
  <c r="P45" i="26" s="1"/>
  <c r="T53" i="18"/>
  <c r="T55" i="18" s="1"/>
  <c r="AB66" i="17"/>
  <c r="Q44" i="42"/>
  <c r="R44" i="42" s="1"/>
  <c r="O44" i="42"/>
  <c r="P44" i="42" s="1"/>
  <c r="V45" i="28"/>
  <c r="M45" i="28"/>
  <c r="N45" i="28" s="1"/>
  <c r="O15" i="15"/>
  <c r="Q15" i="15"/>
  <c r="AB41" i="17"/>
  <c r="K55" i="19"/>
  <c r="M55" i="19"/>
  <c r="K55" i="15"/>
  <c r="M55" i="15"/>
  <c r="O53" i="19"/>
  <c r="Q53" i="19"/>
  <c r="O53" i="15"/>
  <c r="Q53" i="15"/>
  <c r="Q66" i="21"/>
  <c r="AA21" i="19"/>
  <c r="O66" i="21"/>
  <c r="H45" i="28"/>
  <c r="X47" i="18"/>
  <c r="AA47" i="18" s="1"/>
  <c r="S53" i="20"/>
  <c r="AB66" i="18"/>
  <c r="S66" i="21"/>
  <c r="AB45" i="21"/>
  <c r="AB46" i="21"/>
  <c r="AB66" i="21"/>
  <c r="AA66" i="21" s="1"/>
  <c r="AB30" i="21"/>
  <c r="AB49" i="21" s="1"/>
  <c r="P55" i="21"/>
  <c r="O55" i="21" s="1"/>
  <c r="T53" i="21"/>
  <c r="S53" i="21" s="1"/>
  <c r="W62" i="20"/>
  <c r="O55" i="20"/>
  <c r="T53" i="20"/>
  <c r="X49" i="20"/>
  <c r="AA49" i="20" s="1"/>
  <c r="X46" i="20"/>
  <c r="AA46" i="20" s="1"/>
  <c r="X50" i="20"/>
  <c r="AA50" i="20" s="1"/>
  <c r="X47" i="20"/>
  <c r="AA47" i="20" s="1"/>
  <c r="X45" i="20"/>
  <c r="AA45" i="20" s="1"/>
  <c r="AA41" i="20"/>
  <c r="S55" i="20"/>
  <c r="AB62" i="20"/>
  <c r="AA62" i="20" s="1"/>
  <c r="AB41" i="20"/>
  <c r="W30" i="19"/>
  <c r="W50" i="19"/>
  <c r="AB66" i="19"/>
  <c r="X47" i="19"/>
  <c r="T53" i="19"/>
  <c r="S53" i="19" s="1"/>
  <c r="AA30" i="19"/>
  <c r="P55" i="19"/>
  <c r="X49" i="19"/>
  <c r="AB45" i="19"/>
  <c r="AB49" i="19"/>
  <c r="AB46" i="19"/>
  <c r="AB50" i="19"/>
  <c r="AA50" i="19" s="1"/>
  <c r="AB47" i="19"/>
  <c r="S53" i="18"/>
  <c r="P55" i="18"/>
  <c r="AB49" i="18"/>
  <c r="AB46" i="18"/>
  <c r="AB50" i="18"/>
  <c r="AB47" i="18"/>
  <c r="AB45" i="18"/>
  <c r="AA30" i="18"/>
  <c r="AA30" i="17"/>
  <c r="X50" i="17"/>
  <c r="AA50" i="17" s="1"/>
  <c r="X47" i="17"/>
  <c r="AA47" i="17" s="1"/>
  <c r="AA41" i="17"/>
  <c r="X45" i="17"/>
  <c r="X49" i="17"/>
  <c r="AA49" i="17" s="1"/>
  <c r="X46" i="17"/>
  <c r="AA46" i="17" s="1"/>
  <c r="P55" i="17"/>
  <c r="S53" i="17"/>
  <c r="W45" i="17"/>
  <c r="T53" i="17"/>
  <c r="AB49" i="17"/>
  <c r="AB46" i="17"/>
  <c r="AB50" i="17"/>
  <c r="AB47" i="17"/>
  <c r="AB45" i="17"/>
  <c r="O55" i="17"/>
  <c r="W45" i="15"/>
  <c r="W47" i="15"/>
  <c r="W46" i="15"/>
  <c r="T53" i="15"/>
  <c r="S53" i="15" s="1"/>
  <c r="W44" i="15"/>
  <c r="AA30" i="15"/>
  <c r="X49" i="15"/>
  <c r="X50" i="15"/>
  <c r="P55" i="15"/>
  <c r="AB46" i="15"/>
  <c r="AA46" i="15" s="1"/>
  <c r="AB45" i="15"/>
  <c r="AA45" i="15" s="1"/>
  <c r="AB66" i="15"/>
  <c r="AB30" i="15"/>
  <c r="W53" i="18" l="1"/>
  <c r="AA30" i="21"/>
  <c r="AA49" i="21"/>
  <c r="W49" i="21"/>
  <c r="W50" i="21"/>
  <c r="W45" i="28"/>
  <c r="O45" i="28"/>
  <c r="P45" i="28" s="1"/>
  <c r="I45" i="28"/>
  <c r="O55" i="15"/>
  <c r="Q55" i="15"/>
  <c r="O55" i="19"/>
  <c r="Q55" i="19"/>
  <c r="AA49" i="19"/>
  <c r="D40" i="2"/>
  <c r="D43" i="2" s="1"/>
  <c r="H11" i="17"/>
  <c r="G9" i="17"/>
  <c r="K9" i="17"/>
  <c r="T55" i="21"/>
  <c r="S55" i="21" s="1"/>
  <c r="AB47" i="21"/>
  <c r="AA47" i="21" s="1"/>
  <c r="AB50" i="21"/>
  <c r="AA50" i="21" s="1"/>
  <c r="W53" i="20"/>
  <c r="T55" i="20"/>
  <c r="AB45" i="20"/>
  <c r="AB49" i="20"/>
  <c r="AB46" i="20"/>
  <c r="AB50" i="20"/>
  <c r="AB47" i="20"/>
  <c r="AA47" i="19"/>
  <c r="W47" i="19"/>
  <c r="W49" i="19"/>
  <c r="T55" i="19"/>
  <c r="S55" i="19" s="1"/>
  <c r="W55" i="18"/>
  <c r="S55" i="18"/>
  <c r="T55" i="17"/>
  <c r="W53" i="17"/>
  <c r="S55" i="17"/>
  <c r="AA45" i="17"/>
  <c r="W50" i="15"/>
  <c r="W49" i="15"/>
  <c r="AB50" i="15"/>
  <c r="AA50" i="15" s="1"/>
  <c r="AB49" i="15"/>
  <c r="AA49" i="15" s="1"/>
  <c r="T55" i="15"/>
  <c r="S55" i="15" s="1"/>
  <c r="AB47" i="15"/>
  <c r="X45" i="28" l="1"/>
  <c r="Q45" i="28"/>
  <c r="R45" i="28" s="1"/>
  <c r="G11" i="17"/>
  <c r="H13" i="17"/>
  <c r="K11" i="17"/>
  <c r="W55" i="20"/>
  <c r="W55" i="17"/>
  <c r="AA47" i="15"/>
  <c r="N11" i="27" l="1"/>
  <c r="G11" i="28"/>
  <c r="G13" i="17"/>
  <c r="AB13" i="17" s="1"/>
  <c r="AB96" i="17" s="1"/>
  <c r="H96" i="17"/>
  <c r="K13" i="17"/>
  <c r="V11" i="28" l="1"/>
  <c r="M11" i="28"/>
  <c r="N11" i="28" s="1"/>
  <c r="O11" i="28"/>
  <c r="P11" i="28" s="1"/>
  <c r="Q39" i="12"/>
  <c r="AC100" i="13"/>
  <c r="AC101" i="13"/>
  <c r="AC99" i="13"/>
  <c r="Y100" i="13"/>
  <c r="Y101" i="13"/>
  <c r="Y99" i="13"/>
  <c r="G101" i="13"/>
  <c r="G100" i="13"/>
  <c r="G12" i="13"/>
  <c r="K12" i="13"/>
  <c r="D14" i="13"/>
  <c r="Q34" i="14"/>
  <c r="Q35" i="14"/>
  <c r="Q36" i="14"/>
  <c r="Q37" i="14"/>
  <c r="Q38" i="14"/>
  <c r="Q33" i="14"/>
  <c r="M34" i="14"/>
  <c r="M35" i="14"/>
  <c r="M36" i="14"/>
  <c r="M37" i="14"/>
  <c r="M38" i="14"/>
  <c r="M33" i="14"/>
  <c r="P21" i="14"/>
  <c r="T21" i="14" s="1"/>
  <c r="D89" i="14"/>
  <c r="H85" i="14"/>
  <c r="L85" i="14" s="1"/>
  <c r="P85" i="14" s="1"/>
  <c r="AC81" i="14"/>
  <c r="Y81" i="14"/>
  <c r="U81" i="14"/>
  <c r="Q81" i="14"/>
  <c r="M81" i="14"/>
  <c r="I81" i="14"/>
  <c r="AC80" i="14"/>
  <c r="Y80" i="14"/>
  <c r="U80" i="14"/>
  <c r="Q80" i="14"/>
  <c r="M80" i="14"/>
  <c r="I80" i="14"/>
  <c r="H80" i="14" s="1"/>
  <c r="K80" i="14" s="1"/>
  <c r="G80" i="14"/>
  <c r="AC79" i="14"/>
  <c r="Y79" i="14"/>
  <c r="U79" i="14"/>
  <c r="Q79" i="14"/>
  <c r="M79" i="14"/>
  <c r="I79" i="14"/>
  <c r="H79" i="14" s="1"/>
  <c r="G79" i="14"/>
  <c r="AC78" i="14"/>
  <c r="Y78" i="14"/>
  <c r="U78" i="14"/>
  <c r="Q78" i="14"/>
  <c r="M78" i="14"/>
  <c r="I78" i="14"/>
  <c r="H78" i="14" s="1"/>
  <c r="G78" i="14"/>
  <c r="AC77" i="14"/>
  <c r="Y77" i="14"/>
  <c r="U77" i="14"/>
  <c r="Q77" i="14"/>
  <c r="M77" i="14"/>
  <c r="I77" i="14"/>
  <c r="H77" i="14" s="1"/>
  <c r="G77" i="14"/>
  <c r="AC76" i="14"/>
  <c r="Y76" i="14"/>
  <c r="U76" i="14"/>
  <c r="Q76" i="14"/>
  <c r="M76" i="14"/>
  <c r="I76" i="14"/>
  <c r="H76" i="14" s="1"/>
  <c r="G76" i="14"/>
  <c r="AC75" i="14"/>
  <c r="Y75" i="14"/>
  <c r="U75" i="14"/>
  <c r="Q75" i="14"/>
  <c r="M75" i="14"/>
  <c r="I75" i="14"/>
  <c r="H75" i="14" s="1"/>
  <c r="G75" i="14"/>
  <c r="AC74" i="14"/>
  <c r="Y74" i="14"/>
  <c r="U74" i="14"/>
  <c r="Q74" i="14"/>
  <c r="M74" i="14"/>
  <c r="I74" i="14"/>
  <c r="H74" i="14" s="1"/>
  <c r="G74" i="14"/>
  <c r="AC73" i="14"/>
  <c r="Y73" i="14"/>
  <c r="U73" i="14"/>
  <c r="Q73" i="14"/>
  <c r="M73" i="14"/>
  <c r="I73" i="14"/>
  <c r="H73" i="14" s="1"/>
  <c r="G73" i="14"/>
  <c r="AC72" i="14"/>
  <c r="Y72" i="14"/>
  <c r="U72" i="14"/>
  <c r="Q72" i="14"/>
  <c r="M72" i="14"/>
  <c r="I72" i="14"/>
  <c r="H72" i="14" s="1"/>
  <c r="K72" i="14" s="1"/>
  <c r="G72" i="14"/>
  <c r="AC71" i="14"/>
  <c r="Y71" i="14"/>
  <c r="U71" i="14"/>
  <c r="Q71" i="14"/>
  <c r="M71" i="14"/>
  <c r="I71" i="14"/>
  <c r="H71" i="14" s="1"/>
  <c r="G71" i="14"/>
  <c r="AC70" i="14"/>
  <c r="Y70" i="14"/>
  <c r="U70" i="14"/>
  <c r="Q70" i="14"/>
  <c r="M70" i="14"/>
  <c r="I70" i="14"/>
  <c r="H70" i="14" s="1"/>
  <c r="G70" i="14"/>
  <c r="AC69" i="14"/>
  <c r="Y69" i="14"/>
  <c r="U69" i="14"/>
  <c r="Q69" i="14"/>
  <c r="M69" i="14"/>
  <c r="I69" i="14"/>
  <c r="H69" i="14" s="1"/>
  <c r="G69" i="14"/>
  <c r="D66" i="14"/>
  <c r="G66" i="14" s="1"/>
  <c r="AC65" i="14"/>
  <c r="Y65" i="14"/>
  <c r="U65" i="14"/>
  <c r="Q65" i="14"/>
  <c r="M65" i="14"/>
  <c r="I65" i="14"/>
  <c r="H65" i="14" s="1"/>
  <c r="G65" i="14"/>
  <c r="AC64" i="14"/>
  <c r="Y64" i="14"/>
  <c r="U64" i="14"/>
  <c r="Q64" i="14"/>
  <c r="M64" i="14"/>
  <c r="I64" i="14"/>
  <c r="H64" i="14" s="1"/>
  <c r="G64" i="14"/>
  <c r="AC63" i="14"/>
  <c r="Y63" i="14"/>
  <c r="U63" i="14"/>
  <c r="Q63" i="14"/>
  <c r="M63" i="14"/>
  <c r="I63" i="14"/>
  <c r="H63" i="14" s="1"/>
  <c r="G63" i="14"/>
  <c r="AC62" i="14"/>
  <c r="Y62" i="14"/>
  <c r="U62" i="14"/>
  <c r="Q62" i="14"/>
  <c r="M62" i="14"/>
  <c r="I62" i="14"/>
  <c r="H62" i="14" s="1"/>
  <c r="G62" i="14"/>
  <c r="AC61" i="14"/>
  <c r="Y61" i="14"/>
  <c r="U61" i="14"/>
  <c r="Q61" i="14"/>
  <c r="M61" i="14"/>
  <c r="I61" i="14"/>
  <c r="H61" i="14" s="1"/>
  <c r="K61" i="14" s="1"/>
  <c r="G61" i="14"/>
  <c r="AC60" i="14"/>
  <c r="Y60" i="14"/>
  <c r="U60" i="14"/>
  <c r="Q60" i="14"/>
  <c r="M60" i="14"/>
  <c r="I60" i="14"/>
  <c r="H60" i="14" s="1"/>
  <c r="K60" i="14" s="1"/>
  <c r="G60" i="14"/>
  <c r="AC59" i="14"/>
  <c r="Y59" i="14"/>
  <c r="U59" i="14"/>
  <c r="Q59" i="14"/>
  <c r="M59" i="14"/>
  <c r="I59" i="14"/>
  <c r="H59" i="14" s="1"/>
  <c r="G59" i="14"/>
  <c r="D53" i="14"/>
  <c r="AC50" i="14"/>
  <c r="Y50" i="14"/>
  <c r="U50" i="14"/>
  <c r="Q50" i="14"/>
  <c r="M50" i="14"/>
  <c r="I50" i="14"/>
  <c r="E50" i="14"/>
  <c r="AC49" i="14"/>
  <c r="Y49" i="14"/>
  <c r="U49" i="14"/>
  <c r="Q49" i="14"/>
  <c r="M49" i="14"/>
  <c r="I49" i="14"/>
  <c r="E49" i="14"/>
  <c r="AC48" i="14"/>
  <c r="Y48" i="14"/>
  <c r="U48" i="14"/>
  <c r="Q48" i="14"/>
  <c r="M48" i="14"/>
  <c r="I48" i="14"/>
  <c r="AC47" i="14"/>
  <c r="Y47" i="14"/>
  <c r="U47" i="14"/>
  <c r="Q47" i="14"/>
  <c r="M47" i="14"/>
  <c r="I47" i="14"/>
  <c r="E47" i="14"/>
  <c r="AC46" i="14"/>
  <c r="Y46" i="14"/>
  <c r="U46" i="14"/>
  <c r="Q46" i="14"/>
  <c r="M46" i="14"/>
  <c r="I46" i="14"/>
  <c r="E46" i="14"/>
  <c r="AC45" i="14"/>
  <c r="Y45" i="14"/>
  <c r="U45" i="14"/>
  <c r="Q45" i="14"/>
  <c r="M45" i="14"/>
  <c r="I45" i="14"/>
  <c r="G45" i="14"/>
  <c r="E45" i="14"/>
  <c r="U44" i="14"/>
  <c r="Q44" i="14"/>
  <c r="M44" i="14"/>
  <c r="I44" i="14"/>
  <c r="E44" i="14"/>
  <c r="D41" i="14"/>
  <c r="AC39" i="14"/>
  <c r="Y39" i="14"/>
  <c r="U39" i="14"/>
  <c r="T39" i="14"/>
  <c r="X39" i="14" s="1"/>
  <c r="S39" i="14"/>
  <c r="O39" i="14"/>
  <c r="H39" i="14"/>
  <c r="K39" i="14" s="1"/>
  <c r="G39" i="14"/>
  <c r="AC38" i="14"/>
  <c r="Y38" i="14"/>
  <c r="U38" i="14"/>
  <c r="I38" i="14"/>
  <c r="H38" i="14"/>
  <c r="AC37" i="14"/>
  <c r="Y37" i="14"/>
  <c r="U37" i="14"/>
  <c r="I37" i="14"/>
  <c r="H37" i="14"/>
  <c r="K37" i="14" s="1"/>
  <c r="G37" i="14"/>
  <c r="AC36" i="14"/>
  <c r="Y36" i="14"/>
  <c r="U36" i="14"/>
  <c r="T36" i="14"/>
  <c r="W36" i="14" s="1"/>
  <c r="S36" i="14"/>
  <c r="O36" i="14"/>
  <c r="I36" i="14"/>
  <c r="H36" i="14"/>
  <c r="K36" i="14" s="1"/>
  <c r="G36" i="14"/>
  <c r="AC35" i="14"/>
  <c r="Y35" i="14"/>
  <c r="U35" i="14"/>
  <c r="I35" i="14"/>
  <c r="H35" i="14"/>
  <c r="K35" i="14" s="1"/>
  <c r="G35" i="14"/>
  <c r="AC34" i="14"/>
  <c r="Y34" i="14"/>
  <c r="U34" i="14"/>
  <c r="I34" i="14"/>
  <c r="H34" i="14"/>
  <c r="K34" i="14" s="1"/>
  <c r="G34" i="14"/>
  <c r="AC33" i="14"/>
  <c r="Y33" i="14"/>
  <c r="U33" i="14"/>
  <c r="I33" i="14"/>
  <c r="H33" i="14"/>
  <c r="G33" i="14"/>
  <c r="D30" i="14"/>
  <c r="AC28" i="14"/>
  <c r="Y28" i="14"/>
  <c r="U28" i="14"/>
  <c r="Q28" i="14"/>
  <c r="M28" i="14"/>
  <c r="K28" i="14"/>
  <c r="I28" i="14"/>
  <c r="H28" i="14"/>
  <c r="L28" i="14" s="1"/>
  <c r="G28" i="14"/>
  <c r="AC27" i="14"/>
  <c r="Y27" i="14"/>
  <c r="U27" i="14"/>
  <c r="Q27" i="14"/>
  <c r="M27" i="14"/>
  <c r="I27" i="14"/>
  <c r="H27" i="14"/>
  <c r="K27" i="14" s="1"/>
  <c r="G27" i="14"/>
  <c r="AC26" i="14"/>
  <c r="Y26" i="14"/>
  <c r="U26" i="14"/>
  <c r="Q26" i="14"/>
  <c r="M26" i="14"/>
  <c r="I26" i="14"/>
  <c r="H26" i="14"/>
  <c r="K26" i="14" s="1"/>
  <c r="G26" i="14"/>
  <c r="AC25" i="14"/>
  <c r="Y25" i="14"/>
  <c r="U25" i="14"/>
  <c r="Q25" i="14"/>
  <c r="M25" i="14"/>
  <c r="I25" i="14"/>
  <c r="H25" i="14"/>
  <c r="G25" i="14"/>
  <c r="AC24" i="14"/>
  <c r="Y24" i="14"/>
  <c r="U24" i="14"/>
  <c r="Q24" i="14"/>
  <c r="M24" i="14"/>
  <c r="I24" i="14"/>
  <c r="H24" i="14"/>
  <c r="L24" i="14" s="1"/>
  <c r="G24" i="14"/>
  <c r="AC23" i="14"/>
  <c r="Y23" i="14"/>
  <c r="U23" i="14"/>
  <c r="Q23" i="14"/>
  <c r="M23" i="14"/>
  <c r="I23" i="14"/>
  <c r="H23" i="14"/>
  <c r="G23" i="14"/>
  <c r="AC22" i="14"/>
  <c r="Y22" i="14"/>
  <c r="U22" i="14"/>
  <c r="Q22" i="14"/>
  <c r="M22" i="14"/>
  <c r="I22" i="14"/>
  <c r="H22" i="14"/>
  <c r="K22" i="14" s="1"/>
  <c r="G22" i="14"/>
  <c r="AC21" i="14"/>
  <c r="Y21" i="14"/>
  <c r="G21" i="14"/>
  <c r="D11" i="14"/>
  <c r="AB10" i="14"/>
  <c r="X10" i="14"/>
  <c r="AA10" i="14" s="1"/>
  <c r="T10" i="14"/>
  <c r="W10" i="14" s="1"/>
  <c r="P10" i="14"/>
  <c r="S10" i="14" s="1"/>
  <c r="L10" i="14"/>
  <c r="O10" i="14" s="1"/>
  <c r="K10" i="14"/>
  <c r="G10" i="14"/>
  <c r="G9" i="14"/>
  <c r="H6" i="14"/>
  <c r="L6" i="14" s="1"/>
  <c r="P6" i="14" s="1"/>
  <c r="T6" i="14" s="1"/>
  <c r="X6" i="14" s="1"/>
  <c r="AB6" i="14" s="1"/>
  <c r="AB3" i="14"/>
  <c r="X3" i="14"/>
  <c r="T3" i="14"/>
  <c r="D103" i="13"/>
  <c r="G99" i="13"/>
  <c r="AC98" i="13"/>
  <c r="Y98" i="13"/>
  <c r="G98" i="13"/>
  <c r="AC97" i="13"/>
  <c r="Y97" i="13"/>
  <c r="G97" i="13"/>
  <c r="AC96" i="13"/>
  <c r="Y96" i="13"/>
  <c r="G96" i="13"/>
  <c r="AC95" i="13"/>
  <c r="Y95" i="13"/>
  <c r="G95" i="13"/>
  <c r="AC94" i="13"/>
  <c r="Y94" i="13"/>
  <c r="G94" i="13"/>
  <c r="AC93" i="13"/>
  <c r="Y93" i="13"/>
  <c r="G93" i="13"/>
  <c r="AC92" i="13"/>
  <c r="Y92" i="13"/>
  <c r="G92" i="13"/>
  <c r="AC91" i="13"/>
  <c r="Y91" i="13"/>
  <c r="G91" i="13"/>
  <c r="AC90" i="13"/>
  <c r="Y90" i="13"/>
  <c r="G90" i="13"/>
  <c r="AC89" i="13"/>
  <c r="Y89" i="13"/>
  <c r="G89" i="13"/>
  <c r="AC88" i="13"/>
  <c r="Y88" i="13"/>
  <c r="G88" i="13"/>
  <c r="D85" i="13"/>
  <c r="AC84" i="13"/>
  <c r="Y84" i="13"/>
  <c r="U84" i="13"/>
  <c r="M84" i="13"/>
  <c r="I84" i="13"/>
  <c r="H84" i="13" s="1"/>
  <c r="G84" i="13"/>
  <c r="AC83" i="13"/>
  <c r="Y83" i="13"/>
  <c r="U83" i="13"/>
  <c r="M83" i="13"/>
  <c r="I83" i="13"/>
  <c r="H83" i="13" s="1"/>
  <c r="G83" i="13"/>
  <c r="AC82" i="13"/>
  <c r="Y82" i="13"/>
  <c r="U82" i="13"/>
  <c r="M82" i="13"/>
  <c r="I82" i="13"/>
  <c r="H82" i="13" s="1"/>
  <c r="G82" i="13"/>
  <c r="AC81" i="13"/>
  <c r="Y81" i="13"/>
  <c r="U81" i="13"/>
  <c r="M81" i="13"/>
  <c r="I81" i="13"/>
  <c r="H81" i="13" s="1"/>
  <c r="G81" i="13"/>
  <c r="AC80" i="13"/>
  <c r="Y80" i="13"/>
  <c r="U80" i="13"/>
  <c r="M80" i="13"/>
  <c r="I80" i="13"/>
  <c r="H80" i="13" s="1"/>
  <c r="G80" i="13"/>
  <c r="AC79" i="13"/>
  <c r="Y79" i="13"/>
  <c r="U79" i="13"/>
  <c r="M79" i="13"/>
  <c r="I79" i="13"/>
  <c r="H79" i="13" s="1"/>
  <c r="G79" i="13"/>
  <c r="AC78" i="13"/>
  <c r="Y78" i="13"/>
  <c r="G78" i="13"/>
  <c r="AC69" i="13"/>
  <c r="Y69" i="13"/>
  <c r="U69" i="13"/>
  <c r="M69" i="13"/>
  <c r="I69" i="13"/>
  <c r="E69" i="13"/>
  <c r="AC68" i="13"/>
  <c r="Y68" i="13"/>
  <c r="U68" i="13"/>
  <c r="M68" i="13"/>
  <c r="I68" i="13"/>
  <c r="E68" i="13"/>
  <c r="AC67" i="13"/>
  <c r="Y67" i="13"/>
  <c r="U67" i="13"/>
  <c r="M67" i="13"/>
  <c r="P67" i="13" s="1"/>
  <c r="AC66" i="13"/>
  <c r="Y66" i="13"/>
  <c r="U66" i="13"/>
  <c r="M66" i="13"/>
  <c r="I66" i="13"/>
  <c r="E66" i="13"/>
  <c r="AC65" i="13"/>
  <c r="Y65" i="13"/>
  <c r="U65" i="13"/>
  <c r="M65" i="13"/>
  <c r="I65" i="13"/>
  <c r="E65" i="13"/>
  <c r="AC64" i="13"/>
  <c r="Y64" i="13"/>
  <c r="U64" i="13"/>
  <c r="M64" i="13"/>
  <c r="I64" i="13"/>
  <c r="E64" i="13"/>
  <c r="U63" i="13"/>
  <c r="M63" i="13"/>
  <c r="I63" i="13"/>
  <c r="E63" i="13"/>
  <c r="AC58" i="13"/>
  <c r="Y58" i="13"/>
  <c r="H58" i="13"/>
  <c r="AC57" i="13"/>
  <c r="Y57" i="13"/>
  <c r="AC56" i="13"/>
  <c r="Y56" i="13"/>
  <c r="AC55" i="13"/>
  <c r="Y55" i="13"/>
  <c r="AC54" i="13"/>
  <c r="Y54" i="13"/>
  <c r="AC53" i="13"/>
  <c r="Y53" i="13"/>
  <c r="AC43" i="13"/>
  <c r="Y43" i="13"/>
  <c r="AC29" i="13"/>
  <c r="Y29" i="13"/>
  <c r="AC28" i="13"/>
  <c r="Y28" i="13"/>
  <c r="AC27" i="13"/>
  <c r="Y27" i="13"/>
  <c r="AC26" i="13"/>
  <c r="Y26" i="13"/>
  <c r="AC25" i="13"/>
  <c r="Y25" i="13"/>
  <c r="AC24" i="13"/>
  <c r="Y24" i="13"/>
  <c r="AB13" i="13"/>
  <c r="X13" i="13"/>
  <c r="T13" i="13"/>
  <c r="P13" i="13"/>
  <c r="H6" i="13"/>
  <c r="L6" i="13" s="1"/>
  <c r="P6" i="13" s="1"/>
  <c r="T6" i="13" s="1"/>
  <c r="X6" i="13" s="1"/>
  <c r="AB6" i="13" s="1"/>
  <c r="AB3" i="13"/>
  <c r="X3" i="13"/>
  <c r="T3" i="13"/>
  <c r="F7" i="36"/>
  <c r="L89" i="12"/>
  <c r="M89" i="12" s="1"/>
  <c r="H89" i="12"/>
  <c r="D89" i="12"/>
  <c r="AC81" i="12"/>
  <c r="Y81" i="12"/>
  <c r="U81" i="12"/>
  <c r="Q81" i="12"/>
  <c r="M81" i="12"/>
  <c r="I81" i="12"/>
  <c r="AC80" i="12"/>
  <c r="Y80" i="12"/>
  <c r="U80" i="12"/>
  <c r="Q80" i="12"/>
  <c r="M80" i="12"/>
  <c r="I80" i="12"/>
  <c r="H80" i="12" s="1"/>
  <c r="K80" i="12" s="1"/>
  <c r="G80" i="12"/>
  <c r="AC79" i="12"/>
  <c r="Y79" i="12"/>
  <c r="U79" i="12"/>
  <c r="Q79" i="12"/>
  <c r="M79" i="12"/>
  <c r="I79" i="12"/>
  <c r="H79" i="12" s="1"/>
  <c r="G79" i="12"/>
  <c r="AC78" i="12"/>
  <c r="Y78" i="12"/>
  <c r="U78" i="12"/>
  <c r="Q78" i="12"/>
  <c r="M78" i="12"/>
  <c r="I78" i="12"/>
  <c r="H78" i="12" s="1"/>
  <c r="K78" i="12" s="1"/>
  <c r="G78" i="12"/>
  <c r="AC77" i="12"/>
  <c r="Y77" i="12"/>
  <c r="U77" i="12"/>
  <c r="Q77" i="12"/>
  <c r="M77" i="12"/>
  <c r="I77" i="12"/>
  <c r="H77" i="12" s="1"/>
  <c r="G77" i="12"/>
  <c r="AC76" i="12"/>
  <c r="Y76" i="12"/>
  <c r="U76" i="12"/>
  <c r="Q76" i="12"/>
  <c r="M76" i="12"/>
  <c r="I76" i="12"/>
  <c r="H76" i="12" s="1"/>
  <c r="G76" i="12"/>
  <c r="AC75" i="12"/>
  <c r="Y75" i="12"/>
  <c r="U75" i="12"/>
  <c r="Q75" i="12"/>
  <c r="M75" i="12"/>
  <c r="I75" i="12"/>
  <c r="H75" i="12" s="1"/>
  <c r="G75" i="12"/>
  <c r="AC74" i="12"/>
  <c r="Y74" i="12"/>
  <c r="U74" i="12"/>
  <c r="Q74" i="12"/>
  <c r="M74" i="12"/>
  <c r="I74" i="12"/>
  <c r="H74" i="12" s="1"/>
  <c r="G74" i="12"/>
  <c r="AC73" i="12"/>
  <c r="Y73" i="12"/>
  <c r="U73" i="12"/>
  <c r="Q73" i="12"/>
  <c r="M73" i="12"/>
  <c r="I73" i="12"/>
  <c r="H73" i="12" s="1"/>
  <c r="G73" i="12"/>
  <c r="AC72" i="12"/>
  <c r="Y72" i="12"/>
  <c r="U72" i="12"/>
  <c r="Q72" i="12"/>
  <c r="M72" i="12"/>
  <c r="I72" i="12"/>
  <c r="H72" i="12" s="1"/>
  <c r="G72" i="12"/>
  <c r="AC71" i="12"/>
  <c r="Y71" i="12"/>
  <c r="U71" i="12"/>
  <c r="Q71" i="12"/>
  <c r="M71" i="12"/>
  <c r="I71" i="12"/>
  <c r="H71" i="12" s="1"/>
  <c r="G71" i="12"/>
  <c r="AC70" i="12"/>
  <c r="Y70" i="12"/>
  <c r="U70" i="12"/>
  <c r="Q70" i="12"/>
  <c r="M70" i="12"/>
  <c r="I70" i="12"/>
  <c r="H70" i="12" s="1"/>
  <c r="G70" i="12"/>
  <c r="AC69" i="12"/>
  <c r="Y69" i="12"/>
  <c r="U69" i="12"/>
  <c r="Q69" i="12"/>
  <c r="M69" i="12"/>
  <c r="I69" i="12"/>
  <c r="H69" i="12" s="1"/>
  <c r="G69" i="12"/>
  <c r="D66" i="12"/>
  <c r="G66" i="12" s="1"/>
  <c r="AC65" i="12"/>
  <c r="Y65" i="12"/>
  <c r="U65" i="12"/>
  <c r="Q65" i="12"/>
  <c r="M65" i="12"/>
  <c r="I65" i="12"/>
  <c r="H65" i="12" s="1"/>
  <c r="G65" i="12"/>
  <c r="AC64" i="12"/>
  <c r="Y64" i="12"/>
  <c r="U64" i="12"/>
  <c r="Q64" i="12"/>
  <c r="M64" i="12"/>
  <c r="I64" i="12"/>
  <c r="H64" i="12" s="1"/>
  <c r="G64" i="12"/>
  <c r="AC63" i="12"/>
  <c r="Y63" i="12"/>
  <c r="U63" i="12"/>
  <c r="Q63" i="12"/>
  <c r="M63" i="12"/>
  <c r="I63" i="12"/>
  <c r="H63" i="12" s="1"/>
  <c r="G63" i="12"/>
  <c r="AC62" i="12"/>
  <c r="Y62" i="12"/>
  <c r="U62" i="12"/>
  <c r="Q62" i="12"/>
  <c r="M62" i="12"/>
  <c r="I62" i="12"/>
  <c r="H62" i="12" s="1"/>
  <c r="K62" i="12" s="1"/>
  <c r="G62" i="12"/>
  <c r="AC61" i="12"/>
  <c r="Y61" i="12"/>
  <c r="U61" i="12"/>
  <c r="Q61" i="12"/>
  <c r="M61" i="12"/>
  <c r="I61" i="12"/>
  <c r="H61" i="12" s="1"/>
  <c r="G61" i="12"/>
  <c r="AC60" i="12"/>
  <c r="Y60" i="12"/>
  <c r="U60" i="12"/>
  <c r="Q60" i="12"/>
  <c r="M60" i="12"/>
  <c r="I60" i="12"/>
  <c r="H60" i="12" s="1"/>
  <c r="K60" i="12" s="1"/>
  <c r="G60" i="12"/>
  <c r="AC59" i="12"/>
  <c r="Y59" i="12"/>
  <c r="U59" i="12"/>
  <c r="Q59" i="12"/>
  <c r="M59" i="12"/>
  <c r="I59" i="12"/>
  <c r="H59" i="12" s="1"/>
  <c r="K59" i="12" s="1"/>
  <c r="G59" i="12"/>
  <c r="D53" i="12"/>
  <c r="AC50" i="12"/>
  <c r="Y50" i="12"/>
  <c r="U50" i="12"/>
  <c r="Q50" i="12"/>
  <c r="M50" i="12"/>
  <c r="I50" i="12"/>
  <c r="E50" i="12"/>
  <c r="AC49" i="12"/>
  <c r="Y49" i="12"/>
  <c r="U49" i="12"/>
  <c r="Q49" i="12"/>
  <c r="M49" i="12"/>
  <c r="I49" i="12"/>
  <c r="E49" i="12"/>
  <c r="AC48" i="12"/>
  <c r="Y48" i="12"/>
  <c r="U48" i="12"/>
  <c r="Q48" i="12"/>
  <c r="P48" i="12" s="1"/>
  <c r="M48" i="12"/>
  <c r="AC47" i="12"/>
  <c r="Y47" i="12"/>
  <c r="U47" i="12"/>
  <c r="Q47" i="12"/>
  <c r="P47" i="12" s="1"/>
  <c r="M47" i="12"/>
  <c r="I47" i="12"/>
  <c r="E47" i="12"/>
  <c r="AC46" i="12"/>
  <c r="Y46" i="12"/>
  <c r="U46" i="12"/>
  <c r="Q46" i="12"/>
  <c r="P46" i="12" s="1"/>
  <c r="M46" i="12"/>
  <c r="I46" i="12"/>
  <c r="E46" i="12"/>
  <c r="AC45" i="12"/>
  <c r="Y45" i="12"/>
  <c r="U45" i="12"/>
  <c r="Q45" i="12"/>
  <c r="P45" i="12" s="1"/>
  <c r="M45" i="12"/>
  <c r="I45" i="12"/>
  <c r="E45" i="12"/>
  <c r="U44" i="12"/>
  <c r="Q44" i="12"/>
  <c r="M44" i="12"/>
  <c r="I44" i="12"/>
  <c r="E44" i="12"/>
  <c r="D41" i="12"/>
  <c r="AC39" i="12"/>
  <c r="Y39" i="12"/>
  <c r="G39" i="12"/>
  <c r="AC38" i="12"/>
  <c r="Y38" i="12"/>
  <c r="U38" i="12"/>
  <c r="Q38" i="12"/>
  <c r="AC37" i="12"/>
  <c r="Y37" i="12"/>
  <c r="G37" i="12"/>
  <c r="AC36" i="12"/>
  <c r="Y36" i="12"/>
  <c r="AC35" i="12"/>
  <c r="Y35" i="12"/>
  <c r="U35" i="12"/>
  <c r="Q35" i="12"/>
  <c r="G35" i="12"/>
  <c r="AC34" i="12"/>
  <c r="Y34" i="12"/>
  <c r="U34" i="12"/>
  <c r="Q34" i="12"/>
  <c r="AC33" i="12"/>
  <c r="Y33" i="12"/>
  <c r="U33" i="12"/>
  <c r="Q33" i="12"/>
  <c r="D30" i="12"/>
  <c r="G30" i="12" s="1"/>
  <c r="AC28" i="12"/>
  <c r="Y28" i="12"/>
  <c r="U28" i="12"/>
  <c r="Q28" i="12"/>
  <c r="M28" i="12"/>
  <c r="H28" i="12"/>
  <c r="K28" i="12" s="1"/>
  <c r="G28" i="12"/>
  <c r="AC27" i="12"/>
  <c r="Y27" i="12"/>
  <c r="U27" i="12"/>
  <c r="Q27" i="12"/>
  <c r="M27" i="12"/>
  <c r="H27" i="12"/>
  <c r="L27" i="12" s="1"/>
  <c r="G27" i="12"/>
  <c r="AC26" i="12"/>
  <c r="Y26" i="12"/>
  <c r="U26" i="12"/>
  <c r="Q26" i="12"/>
  <c r="M26" i="12"/>
  <c r="H26" i="12"/>
  <c r="K26" i="12" s="1"/>
  <c r="G26" i="12"/>
  <c r="AC25" i="12"/>
  <c r="Y25" i="12"/>
  <c r="U25" i="12"/>
  <c r="Q25" i="12"/>
  <c r="M25" i="12"/>
  <c r="H25" i="12"/>
  <c r="K25" i="12" s="1"/>
  <c r="G25" i="12"/>
  <c r="AC24" i="12"/>
  <c r="Y24" i="12"/>
  <c r="U24" i="12"/>
  <c r="Q24" i="12"/>
  <c r="M24" i="12"/>
  <c r="H24" i="12"/>
  <c r="K24" i="12" s="1"/>
  <c r="G24" i="12"/>
  <c r="AC23" i="12"/>
  <c r="Y23" i="12"/>
  <c r="U23" i="12"/>
  <c r="Q23" i="12"/>
  <c r="M23" i="12"/>
  <c r="H23" i="12"/>
  <c r="L23" i="12" s="1"/>
  <c r="G23" i="12"/>
  <c r="AC22" i="12"/>
  <c r="Y22" i="12"/>
  <c r="U22" i="12"/>
  <c r="Q22" i="12"/>
  <c r="M22" i="12"/>
  <c r="H22" i="12"/>
  <c r="K22" i="12" s="1"/>
  <c r="G22" i="12"/>
  <c r="AC21" i="12"/>
  <c r="Y21" i="12"/>
  <c r="U21" i="12"/>
  <c r="Q21" i="12"/>
  <c r="M21" i="12"/>
  <c r="H21" i="12"/>
  <c r="L21" i="12" s="1"/>
  <c r="G21" i="12"/>
  <c r="AB10" i="12"/>
  <c r="X10" i="12"/>
  <c r="AA10" i="12" s="1"/>
  <c r="W10" i="12"/>
  <c r="O10" i="12"/>
  <c r="K10" i="12"/>
  <c r="G10" i="12"/>
  <c r="G9" i="12"/>
  <c r="H6" i="12"/>
  <c r="L6" i="12" s="1"/>
  <c r="P6" i="12" s="1"/>
  <c r="T6" i="12" s="1"/>
  <c r="X6" i="12" s="1"/>
  <c r="AB6" i="12" s="1"/>
  <c r="AB3" i="12"/>
  <c r="X3" i="12"/>
  <c r="T3" i="12"/>
  <c r="Q60" i="11"/>
  <c r="M60" i="11"/>
  <c r="I60" i="11"/>
  <c r="H60" i="11" s="1"/>
  <c r="K60" i="11" s="1"/>
  <c r="AC81" i="11"/>
  <c r="Y81" i="11"/>
  <c r="U81" i="11"/>
  <c r="Q81" i="11"/>
  <c r="M81" i="11"/>
  <c r="I81" i="11"/>
  <c r="AC80" i="11"/>
  <c r="Y80" i="11"/>
  <c r="U80" i="11"/>
  <c r="Q80" i="11"/>
  <c r="M80" i="11"/>
  <c r="I80" i="11"/>
  <c r="H80" i="11" s="1"/>
  <c r="G80" i="11"/>
  <c r="AC79" i="11"/>
  <c r="Y79" i="11"/>
  <c r="U79" i="11"/>
  <c r="Q79" i="11"/>
  <c r="M79" i="11"/>
  <c r="I79" i="11"/>
  <c r="H79" i="11" s="1"/>
  <c r="G79" i="11"/>
  <c r="AC78" i="11"/>
  <c r="Y78" i="11"/>
  <c r="U78" i="11"/>
  <c r="Q78" i="11"/>
  <c r="M78" i="11"/>
  <c r="I78" i="11"/>
  <c r="H78" i="11" s="1"/>
  <c r="G78" i="11"/>
  <c r="AC77" i="11"/>
  <c r="Y77" i="11"/>
  <c r="U77" i="11"/>
  <c r="Q77" i="11"/>
  <c r="M77" i="11"/>
  <c r="I77" i="11"/>
  <c r="H77" i="11" s="1"/>
  <c r="G77" i="11"/>
  <c r="AC76" i="11"/>
  <c r="Y76" i="11"/>
  <c r="U76" i="11"/>
  <c r="Q76" i="11"/>
  <c r="M76" i="11"/>
  <c r="I76" i="11"/>
  <c r="H76" i="11" s="1"/>
  <c r="G76" i="11"/>
  <c r="AC75" i="11"/>
  <c r="Y75" i="11"/>
  <c r="U75" i="11"/>
  <c r="Q75" i="11"/>
  <c r="M75" i="11"/>
  <c r="I75" i="11"/>
  <c r="H75" i="11" s="1"/>
  <c r="G75" i="11"/>
  <c r="AC74" i="11"/>
  <c r="Y74" i="11"/>
  <c r="U74" i="11"/>
  <c r="Q74" i="11"/>
  <c r="M74" i="11"/>
  <c r="I74" i="11"/>
  <c r="H74" i="11" s="1"/>
  <c r="G74" i="11"/>
  <c r="AC73" i="11"/>
  <c r="Y73" i="11"/>
  <c r="U73" i="11"/>
  <c r="Q73" i="11"/>
  <c r="M73" i="11"/>
  <c r="I73" i="11"/>
  <c r="H73" i="11" s="1"/>
  <c r="K73" i="11" s="1"/>
  <c r="G73" i="11"/>
  <c r="AC72" i="11"/>
  <c r="Y72" i="11"/>
  <c r="U72" i="11"/>
  <c r="Q72" i="11"/>
  <c r="M72" i="11"/>
  <c r="I72" i="11"/>
  <c r="H72" i="11" s="1"/>
  <c r="AC71" i="11"/>
  <c r="Y71" i="11"/>
  <c r="U71" i="11"/>
  <c r="Q71" i="11"/>
  <c r="M71" i="11"/>
  <c r="I71" i="11"/>
  <c r="H71" i="11" s="1"/>
  <c r="AC70" i="11"/>
  <c r="Y70" i="11"/>
  <c r="U70" i="11"/>
  <c r="Q70" i="11"/>
  <c r="M70" i="11"/>
  <c r="I70" i="11"/>
  <c r="H70" i="11" s="1"/>
  <c r="AC69" i="11"/>
  <c r="Y69" i="11"/>
  <c r="D66" i="11"/>
  <c r="AC65" i="11"/>
  <c r="Y65" i="11"/>
  <c r="U65" i="11"/>
  <c r="Q65" i="11"/>
  <c r="M65" i="11"/>
  <c r="I65" i="11"/>
  <c r="H65" i="11" s="1"/>
  <c r="G65" i="11"/>
  <c r="AC64" i="11"/>
  <c r="Y64" i="11"/>
  <c r="U64" i="11"/>
  <c r="Q64" i="11"/>
  <c r="M64" i="11"/>
  <c r="I64" i="11"/>
  <c r="H64" i="11" s="1"/>
  <c r="K64" i="11" s="1"/>
  <c r="G64" i="11"/>
  <c r="AC63" i="11"/>
  <c r="Y63" i="11"/>
  <c r="U63" i="11"/>
  <c r="Q63" i="11"/>
  <c r="M63" i="11"/>
  <c r="I63" i="11"/>
  <c r="H63" i="11" s="1"/>
  <c r="G63" i="11"/>
  <c r="AC62" i="11"/>
  <c r="Y62" i="11"/>
  <c r="U62" i="11"/>
  <c r="Q62" i="11"/>
  <c r="M62" i="11"/>
  <c r="I62" i="11"/>
  <c r="H62" i="11" s="1"/>
  <c r="G62" i="11"/>
  <c r="AC61" i="11"/>
  <c r="Y61" i="11"/>
  <c r="U61" i="11"/>
  <c r="Q61" i="11"/>
  <c r="M61" i="11"/>
  <c r="I61" i="11"/>
  <c r="H61" i="11" s="1"/>
  <c r="G61" i="11"/>
  <c r="AC60" i="11"/>
  <c r="Y60" i="11"/>
  <c r="U60" i="11"/>
  <c r="G60" i="11"/>
  <c r="AC59" i="11"/>
  <c r="Y59" i="11"/>
  <c r="U59" i="11"/>
  <c r="Q59" i="11"/>
  <c r="M59" i="11"/>
  <c r="I59" i="11"/>
  <c r="H59" i="11" s="1"/>
  <c r="D53" i="11"/>
  <c r="AC50" i="11"/>
  <c r="Y50" i="11"/>
  <c r="U50" i="11"/>
  <c r="Q50" i="11"/>
  <c r="M50" i="11"/>
  <c r="I50" i="11"/>
  <c r="E50" i="11"/>
  <c r="AC49" i="11"/>
  <c r="Y49" i="11"/>
  <c r="U49" i="11"/>
  <c r="Q49" i="11"/>
  <c r="M49" i="11"/>
  <c r="I49" i="11"/>
  <c r="E49" i="11"/>
  <c r="AC48" i="11"/>
  <c r="Y48" i="11"/>
  <c r="U48" i="11"/>
  <c r="Q48" i="11"/>
  <c r="M48" i="11"/>
  <c r="AC47" i="11"/>
  <c r="Y47" i="11"/>
  <c r="U47" i="11"/>
  <c r="Q47" i="11"/>
  <c r="M47" i="11"/>
  <c r="I47" i="11"/>
  <c r="E47" i="11"/>
  <c r="AC46" i="11"/>
  <c r="Y46" i="11"/>
  <c r="U46" i="11"/>
  <c r="Q46" i="11"/>
  <c r="M46" i="11"/>
  <c r="I46" i="11"/>
  <c r="E46" i="11"/>
  <c r="AC45" i="11"/>
  <c r="Y45" i="11"/>
  <c r="U45" i="11"/>
  <c r="Q45" i="11"/>
  <c r="M45" i="11"/>
  <c r="E45" i="11"/>
  <c r="U44" i="11"/>
  <c r="Q44" i="11"/>
  <c r="M44" i="11"/>
  <c r="I44" i="11"/>
  <c r="E44" i="11"/>
  <c r="D41" i="11"/>
  <c r="AC39" i="11"/>
  <c r="Y39" i="11"/>
  <c r="U39" i="11"/>
  <c r="Q39" i="11"/>
  <c r="M39" i="11"/>
  <c r="I39" i="11"/>
  <c r="H39" i="11"/>
  <c r="L39" i="11" s="1"/>
  <c r="O39" i="11" s="1"/>
  <c r="G39" i="11"/>
  <c r="AC38" i="11"/>
  <c r="Y38" i="11"/>
  <c r="U38" i="11"/>
  <c r="Q38" i="11"/>
  <c r="M38" i="11"/>
  <c r="I38" i="11"/>
  <c r="H38" i="11"/>
  <c r="G38" i="11"/>
  <c r="AC37" i="11"/>
  <c r="Y37" i="11"/>
  <c r="U37" i="11"/>
  <c r="Q37" i="11"/>
  <c r="M37" i="11"/>
  <c r="I37" i="11"/>
  <c r="H37" i="11"/>
  <c r="L37" i="11" s="1"/>
  <c r="G37" i="11"/>
  <c r="AC36" i="11"/>
  <c r="Y36" i="11"/>
  <c r="U36" i="11"/>
  <c r="Q36" i="11"/>
  <c r="M36" i="11"/>
  <c r="I36" i="11"/>
  <c r="H36" i="11"/>
  <c r="G36" i="11"/>
  <c r="AC35" i="11"/>
  <c r="Y35" i="11"/>
  <c r="U35" i="11"/>
  <c r="Q35" i="11"/>
  <c r="M35" i="11"/>
  <c r="I35" i="11"/>
  <c r="H35" i="11"/>
  <c r="G35" i="11"/>
  <c r="AC34" i="11"/>
  <c r="Y34" i="11"/>
  <c r="U34" i="11"/>
  <c r="G34" i="11"/>
  <c r="AC33" i="11"/>
  <c r="Y33" i="11"/>
  <c r="U33" i="11"/>
  <c r="Q33" i="11"/>
  <c r="M33" i="11"/>
  <c r="G33" i="11"/>
  <c r="D30" i="11"/>
  <c r="AC28" i="11"/>
  <c r="Y28" i="11"/>
  <c r="U28" i="11"/>
  <c r="Q28" i="11"/>
  <c r="M28" i="11"/>
  <c r="L28" i="11"/>
  <c r="P28" i="11" s="1"/>
  <c r="S28" i="11" s="1"/>
  <c r="I28" i="11"/>
  <c r="H28" i="11"/>
  <c r="K28" i="11" s="1"/>
  <c r="G28" i="11"/>
  <c r="AC27" i="11"/>
  <c r="Y27" i="11"/>
  <c r="U27" i="11"/>
  <c r="Q27" i="11"/>
  <c r="M27" i="11"/>
  <c r="I27" i="11"/>
  <c r="H27" i="11"/>
  <c r="G27" i="11"/>
  <c r="AC26" i="11"/>
  <c r="Y26" i="11"/>
  <c r="U26" i="11"/>
  <c r="Q26" i="11"/>
  <c r="M26" i="11"/>
  <c r="L26" i="11"/>
  <c r="P26" i="11" s="1"/>
  <c r="S26" i="11" s="1"/>
  <c r="I26" i="11"/>
  <c r="H26" i="11"/>
  <c r="K26" i="11" s="1"/>
  <c r="G26" i="11"/>
  <c r="AC25" i="11"/>
  <c r="Y25" i="11"/>
  <c r="U25" i="11"/>
  <c r="Q25" i="11"/>
  <c r="M25" i="11"/>
  <c r="I25" i="11"/>
  <c r="H25" i="11"/>
  <c r="K25" i="11" s="1"/>
  <c r="G25" i="11"/>
  <c r="AC24" i="11"/>
  <c r="Y24" i="11"/>
  <c r="U24" i="11"/>
  <c r="Q24" i="11"/>
  <c r="M24" i="11"/>
  <c r="I24" i="11"/>
  <c r="H24" i="11"/>
  <c r="K24" i="11" s="1"/>
  <c r="G24" i="11"/>
  <c r="AC23" i="11"/>
  <c r="Y23" i="11"/>
  <c r="U23" i="11"/>
  <c r="Q23" i="11"/>
  <c r="M23" i="11"/>
  <c r="I23" i="11"/>
  <c r="H23" i="11"/>
  <c r="K23" i="11" s="1"/>
  <c r="G23" i="11"/>
  <c r="AC22" i="11"/>
  <c r="Y22" i="11"/>
  <c r="AC21" i="11"/>
  <c r="Y21" i="11"/>
  <c r="D11" i="11"/>
  <c r="D13" i="11" s="1"/>
  <c r="AB10" i="11"/>
  <c r="AA10" i="11"/>
  <c r="X10" i="11"/>
  <c r="T10" i="11"/>
  <c r="W10" i="11" s="1"/>
  <c r="P10" i="11"/>
  <c r="S10" i="11" s="1"/>
  <c r="L10" i="11"/>
  <c r="O10" i="11" s="1"/>
  <c r="K10" i="11"/>
  <c r="G10" i="11"/>
  <c r="L6" i="11"/>
  <c r="P6" i="11" s="1"/>
  <c r="T6" i="11" s="1"/>
  <c r="X6" i="11" s="1"/>
  <c r="AB6" i="11" s="1"/>
  <c r="H6" i="11"/>
  <c r="AB3" i="11"/>
  <c r="X3" i="11"/>
  <c r="T3" i="11"/>
  <c r="F16" i="36"/>
  <c r="P22" i="10"/>
  <c r="AC82" i="10"/>
  <c r="Y82" i="10"/>
  <c r="U82" i="10"/>
  <c r="Q82" i="10"/>
  <c r="M82" i="10"/>
  <c r="I82" i="10"/>
  <c r="AC81" i="10"/>
  <c r="Y81" i="10"/>
  <c r="U81" i="10"/>
  <c r="Q81" i="10"/>
  <c r="M81" i="10"/>
  <c r="I81" i="10"/>
  <c r="H81" i="10" s="1"/>
  <c r="G81" i="10"/>
  <c r="AC80" i="10"/>
  <c r="Y80" i="10"/>
  <c r="U80" i="10"/>
  <c r="Q80" i="10"/>
  <c r="M80" i="10"/>
  <c r="I80" i="10"/>
  <c r="H80" i="10" s="1"/>
  <c r="G80" i="10"/>
  <c r="AC79" i="10"/>
  <c r="Y79" i="10"/>
  <c r="U79" i="10"/>
  <c r="Q79" i="10"/>
  <c r="M79" i="10"/>
  <c r="I79" i="10"/>
  <c r="H79" i="10" s="1"/>
  <c r="G79" i="10"/>
  <c r="AC78" i="10"/>
  <c r="Y78" i="10"/>
  <c r="U78" i="10"/>
  <c r="Q78" i="10"/>
  <c r="M78" i="10"/>
  <c r="I78" i="10"/>
  <c r="H78" i="10" s="1"/>
  <c r="G78" i="10"/>
  <c r="AC77" i="10"/>
  <c r="Y77" i="10"/>
  <c r="U77" i="10"/>
  <c r="Q77" i="10"/>
  <c r="M77" i="10"/>
  <c r="I77" i="10"/>
  <c r="H77" i="10" s="1"/>
  <c r="G77" i="10"/>
  <c r="AC76" i="10"/>
  <c r="Y76" i="10"/>
  <c r="U76" i="10"/>
  <c r="Q76" i="10"/>
  <c r="M76" i="10"/>
  <c r="I76" i="10"/>
  <c r="H76" i="10" s="1"/>
  <c r="G76" i="10"/>
  <c r="AC75" i="10"/>
  <c r="Y75" i="10"/>
  <c r="U75" i="10"/>
  <c r="Q75" i="10"/>
  <c r="M75" i="10"/>
  <c r="I75" i="10"/>
  <c r="H75" i="10" s="1"/>
  <c r="G75" i="10"/>
  <c r="AC74" i="10"/>
  <c r="Y74" i="10"/>
  <c r="U74" i="10"/>
  <c r="Q74" i="10"/>
  <c r="M74" i="10"/>
  <c r="I74" i="10"/>
  <c r="H74" i="10" s="1"/>
  <c r="K74" i="10" s="1"/>
  <c r="G74" i="10"/>
  <c r="AC73" i="10"/>
  <c r="Y73" i="10"/>
  <c r="AC72" i="10"/>
  <c r="Y72" i="10"/>
  <c r="AC71" i="10"/>
  <c r="Y71" i="10"/>
  <c r="AC70" i="10"/>
  <c r="Y70" i="10"/>
  <c r="D67" i="10"/>
  <c r="AC66" i="10"/>
  <c r="Y66" i="10"/>
  <c r="U66" i="10"/>
  <c r="Q66" i="10"/>
  <c r="M66" i="10"/>
  <c r="I66" i="10"/>
  <c r="H66" i="10" s="1"/>
  <c r="G66" i="10"/>
  <c r="AC65" i="10"/>
  <c r="Y65" i="10"/>
  <c r="U65" i="10"/>
  <c r="Q65" i="10"/>
  <c r="M65" i="10"/>
  <c r="I65" i="10"/>
  <c r="H65" i="10" s="1"/>
  <c r="G65" i="10"/>
  <c r="AC64" i="10"/>
  <c r="Y64" i="10"/>
  <c r="G64" i="10"/>
  <c r="AC62" i="10"/>
  <c r="Y62" i="10"/>
  <c r="G62" i="10"/>
  <c r="AC61" i="10"/>
  <c r="Y61" i="10"/>
  <c r="G61" i="10"/>
  <c r="AC60" i="10"/>
  <c r="Y60" i="10"/>
  <c r="G60" i="10"/>
  <c r="AC59" i="10"/>
  <c r="Y59" i="10"/>
  <c r="G59" i="10"/>
  <c r="D53" i="10"/>
  <c r="AC50" i="10"/>
  <c r="Y50" i="10"/>
  <c r="U50" i="10"/>
  <c r="Q50" i="10"/>
  <c r="M50" i="10"/>
  <c r="I50" i="10"/>
  <c r="E50" i="10"/>
  <c r="AC49" i="10"/>
  <c r="Y49" i="10"/>
  <c r="U49" i="10"/>
  <c r="Q49" i="10"/>
  <c r="M49" i="10"/>
  <c r="I49" i="10"/>
  <c r="E49" i="10"/>
  <c r="AC48" i="10"/>
  <c r="Y48" i="10"/>
  <c r="U48" i="10"/>
  <c r="Q48" i="10"/>
  <c r="I48" i="10"/>
  <c r="G48" i="10"/>
  <c r="AC47" i="10"/>
  <c r="Y47" i="10"/>
  <c r="U47" i="10"/>
  <c r="Q47" i="10"/>
  <c r="M47" i="10"/>
  <c r="I47" i="10"/>
  <c r="E47" i="10"/>
  <c r="AC46" i="10"/>
  <c r="Y46" i="10"/>
  <c r="U46" i="10"/>
  <c r="Q46" i="10"/>
  <c r="M46" i="10"/>
  <c r="I46" i="10"/>
  <c r="G46" i="10"/>
  <c r="E46" i="10"/>
  <c r="AC45" i="10"/>
  <c r="Y45" i="10"/>
  <c r="U45" i="10"/>
  <c r="Q45" i="10"/>
  <c r="M45" i="10"/>
  <c r="I45" i="10"/>
  <c r="G45" i="10"/>
  <c r="E45" i="10"/>
  <c r="U44" i="10"/>
  <c r="Q44" i="10"/>
  <c r="M44" i="10"/>
  <c r="I44" i="10"/>
  <c r="E44" i="10"/>
  <c r="D41" i="10"/>
  <c r="AC39" i="10"/>
  <c r="Y39" i="10"/>
  <c r="U39" i="10"/>
  <c r="Q39" i="10"/>
  <c r="M39" i="10"/>
  <c r="I39" i="10"/>
  <c r="H39" i="10"/>
  <c r="K39" i="10" s="1"/>
  <c r="G39" i="10"/>
  <c r="AC38" i="10"/>
  <c r="Y38" i="10"/>
  <c r="U38" i="10"/>
  <c r="Q38" i="10"/>
  <c r="M38" i="10"/>
  <c r="I38" i="10"/>
  <c r="H38" i="10"/>
  <c r="K38" i="10" s="1"/>
  <c r="G38" i="10"/>
  <c r="AC37" i="10"/>
  <c r="Y37" i="10"/>
  <c r="U37" i="10"/>
  <c r="Q37" i="10"/>
  <c r="M37" i="10"/>
  <c r="I37" i="10"/>
  <c r="H37" i="10"/>
  <c r="K37" i="10" s="1"/>
  <c r="G37" i="10"/>
  <c r="AC36" i="10"/>
  <c r="Y36" i="10"/>
  <c r="U36" i="10"/>
  <c r="Q36" i="10"/>
  <c r="M36" i="10"/>
  <c r="I36" i="10"/>
  <c r="H36" i="10"/>
  <c r="K36" i="10" s="1"/>
  <c r="G36" i="10"/>
  <c r="AC35" i="10"/>
  <c r="Y35" i="10"/>
  <c r="U35" i="10"/>
  <c r="Q35" i="10"/>
  <c r="M35" i="10"/>
  <c r="I35" i="10"/>
  <c r="H35" i="10"/>
  <c r="K35" i="10" s="1"/>
  <c r="G35" i="10"/>
  <c r="AC34" i="10"/>
  <c r="Y34" i="10"/>
  <c r="U34" i="10"/>
  <c r="Q34" i="10"/>
  <c r="M34" i="10"/>
  <c r="I34" i="10"/>
  <c r="H34" i="10"/>
  <c r="L34" i="10" s="1"/>
  <c r="O34" i="10" s="1"/>
  <c r="G34" i="10"/>
  <c r="AC33" i="10"/>
  <c r="Y33" i="10"/>
  <c r="U33" i="10"/>
  <c r="Q33" i="10"/>
  <c r="M33" i="10"/>
  <c r="I33" i="10"/>
  <c r="H33" i="10"/>
  <c r="G33" i="10"/>
  <c r="D30" i="10"/>
  <c r="AC28" i="10"/>
  <c r="Y28" i="10"/>
  <c r="U28" i="10"/>
  <c r="Q28" i="10"/>
  <c r="M28" i="10"/>
  <c r="I28" i="10"/>
  <c r="H28" i="10"/>
  <c r="K28" i="10" s="1"/>
  <c r="G28" i="10"/>
  <c r="AC27" i="10"/>
  <c r="Y27" i="10"/>
  <c r="U27" i="10"/>
  <c r="Q27" i="10"/>
  <c r="M27" i="10"/>
  <c r="I27" i="10"/>
  <c r="H27" i="10"/>
  <c r="K27" i="10" s="1"/>
  <c r="G27" i="10"/>
  <c r="AC26" i="10"/>
  <c r="Y26" i="10"/>
  <c r="U26" i="10"/>
  <c r="Q26" i="10"/>
  <c r="M26" i="10"/>
  <c r="I26" i="10"/>
  <c r="H26" i="10"/>
  <c r="K26" i="10" s="1"/>
  <c r="G26" i="10"/>
  <c r="AC25" i="10"/>
  <c r="Y25" i="10"/>
  <c r="U25" i="10"/>
  <c r="Q25" i="10"/>
  <c r="M25" i="10"/>
  <c r="I25" i="10"/>
  <c r="H25" i="10"/>
  <c r="L25" i="10" s="1"/>
  <c r="G25" i="10"/>
  <c r="AC24" i="10"/>
  <c r="Y24" i="10"/>
  <c r="U24" i="10"/>
  <c r="Q24" i="10"/>
  <c r="I24" i="10"/>
  <c r="H24" i="10"/>
  <c r="K24" i="10" s="1"/>
  <c r="G24" i="10"/>
  <c r="AC23" i="10"/>
  <c r="Y23" i="10"/>
  <c r="U23" i="10"/>
  <c r="Q23" i="10"/>
  <c r="I23" i="10"/>
  <c r="H23" i="10"/>
  <c r="P23" i="10" s="1"/>
  <c r="G23" i="10"/>
  <c r="AC22" i="10"/>
  <c r="Y22" i="10"/>
  <c r="G22" i="10"/>
  <c r="AC21" i="10"/>
  <c r="Y21" i="10"/>
  <c r="U21" i="10"/>
  <c r="Q21" i="10"/>
  <c r="P21" i="10"/>
  <c r="AB10" i="10"/>
  <c r="X10" i="10"/>
  <c r="AA10" i="10" s="1"/>
  <c r="T10" i="10"/>
  <c r="W10" i="10" s="1"/>
  <c r="P10" i="10"/>
  <c r="S10" i="10" s="1"/>
  <c r="L10" i="10"/>
  <c r="O10" i="10" s="1"/>
  <c r="K10" i="10"/>
  <c r="G10" i="10"/>
  <c r="H6" i="10"/>
  <c r="L6" i="10" s="1"/>
  <c r="P6" i="10" s="1"/>
  <c r="T6" i="10" s="1"/>
  <c r="X6" i="10" s="1"/>
  <c r="AB6" i="10" s="1"/>
  <c r="AB3" i="10"/>
  <c r="AB9" i="10" s="1"/>
  <c r="X3" i="10"/>
  <c r="X9" i="10" s="1"/>
  <c r="T3" i="10"/>
  <c r="E50" i="4"/>
  <c r="E49" i="4"/>
  <c r="E47" i="4"/>
  <c r="E46" i="4"/>
  <c r="E45" i="4"/>
  <c r="E44" i="4"/>
  <c r="E50" i="7"/>
  <c r="E49" i="7"/>
  <c r="E47" i="7"/>
  <c r="E46" i="7"/>
  <c r="E45" i="7"/>
  <c r="E44" i="7"/>
  <c r="E50" i="9"/>
  <c r="E49" i="9"/>
  <c r="E47" i="9"/>
  <c r="E46" i="9"/>
  <c r="E45" i="9"/>
  <c r="E44" i="9"/>
  <c r="E49" i="6"/>
  <c r="E48" i="6"/>
  <c r="E46" i="6"/>
  <c r="E45" i="6"/>
  <c r="E44" i="6"/>
  <c r="E43" i="6"/>
  <c r="E50" i="3"/>
  <c r="E49" i="3"/>
  <c r="E47" i="3"/>
  <c r="E46" i="3"/>
  <c r="E45" i="3"/>
  <c r="G22" i="6"/>
  <c r="AC81" i="9"/>
  <c r="Y81" i="9"/>
  <c r="U81" i="9"/>
  <c r="Q81" i="9"/>
  <c r="M81" i="9"/>
  <c r="I81" i="9"/>
  <c r="AC80" i="9"/>
  <c r="Y80" i="9"/>
  <c r="U80" i="9"/>
  <c r="Q80" i="9"/>
  <c r="M80" i="9"/>
  <c r="I80" i="9"/>
  <c r="H80" i="9" s="1"/>
  <c r="G80" i="9"/>
  <c r="AC79" i="9"/>
  <c r="Y79" i="9"/>
  <c r="U79" i="9"/>
  <c r="Q79" i="9"/>
  <c r="M79" i="9"/>
  <c r="I79" i="9"/>
  <c r="H79" i="9" s="1"/>
  <c r="G79" i="9"/>
  <c r="AC78" i="9"/>
  <c r="Y78" i="9"/>
  <c r="G78" i="9"/>
  <c r="AC77" i="9"/>
  <c r="Y77" i="9"/>
  <c r="U77" i="9"/>
  <c r="Q77" i="9"/>
  <c r="M77" i="9"/>
  <c r="I77" i="9"/>
  <c r="H77" i="9" s="1"/>
  <c r="G77" i="9"/>
  <c r="AC76" i="9"/>
  <c r="Y76" i="9"/>
  <c r="U76" i="9"/>
  <c r="Q76" i="9"/>
  <c r="M76" i="9"/>
  <c r="I76" i="9"/>
  <c r="H76" i="9" s="1"/>
  <c r="G76" i="9"/>
  <c r="AC75" i="9"/>
  <c r="Y75" i="9"/>
  <c r="U75" i="9"/>
  <c r="Q75" i="9"/>
  <c r="M75" i="9"/>
  <c r="I75" i="9"/>
  <c r="H75" i="9" s="1"/>
  <c r="G75" i="9"/>
  <c r="AC74" i="9"/>
  <c r="Y74" i="9"/>
  <c r="U74" i="9"/>
  <c r="Q74" i="9"/>
  <c r="M74" i="9"/>
  <c r="I74" i="9"/>
  <c r="H74" i="9" s="1"/>
  <c r="G74" i="9"/>
  <c r="AC73" i="9"/>
  <c r="Y73" i="9"/>
  <c r="U73" i="9"/>
  <c r="Q73" i="9"/>
  <c r="M73" i="9"/>
  <c r="I73" i="9"/>
  <c r="H73" i="9" s="1"/>
  <c r="G73" i="9"/>
  <c r="AC72" i="9"/>
  <c r="Y72" i="9"/>
  <c r="U72" i="9"/>
  <c r="Q72" i="9"/>
  <c r="M72" i="9"/>
  <c r="I72" i="9"/>
  <c r="H72" i="9" s="1"/>
  <c r="G72" i="9"/>
  <c r="AC71" i="9"/>
  <c r="Y71" i="9"/>
  <c r="U71" i="9"/>
  <c r="Q71" i="9"/>
  <c r="M71" i="9"/>
  <c r="I71" i="9"/>
  <c r="H71" i="9" s="1"/>
  <c r="G71" i="9"/>
  <c r="AC70" i="9"/>
  <c r="Y70" i="9"/>
  <c r="U70" i="9"/>
  <c r="Q70" i="9"/>
  <c r="M70" i="9"/>
  <c r="I70" i="9"/>
  <c r="H70" i="9" s="1"/>
  <c r="G70" i="9"/>
  <c r="AC69" i="9"/>
  <c r="Y69" i="9"/>
  <c r="U69" i="9"/>
  <c r="Q69" i="9"/>
  <c r="M69" i="9"/>
  <c r="I69" i="9"/>
  <c r="H69" i="9" s="1"/>
  <c r="G69" i="9"/>
  <c r="D66" i="9"/>
  <c r="AC65" i="9"/>
  <c r="Y65" i="9"/>
  <c r="U65" i="9"/>
  <c r="Q65" i="9"/>
  <c r="M65" i="9"/>
  <c r="I65" i="9"/>
  <c r="H65" i="9" s="1"/>
  <c r="G65" i="9"/>
  <c r="AC64" i="9"/>
  <c r="Y64" i="9"/>
  <c r="U64" i="9"/>
  <c r="Q64" i="9"/>
  <c r="M64" i="9"/>
  <c r="I64" i="9"/>
  <c r="H64" i="9" s="1"/>
  <c r="K64" i="9" s="1"/>
  <c r="G64" i="9"/>
  <c r="AC63" i="9"/>
  <c r="Y63" i="9"/>
  <c r="U63" i="9"/>
  <c r="Q63" i="9"/>
  <c r="M63" i="9"/>
  <c r="I63" i="9"/>
  <c r="H63" i="9" s="1"/>
  <c r="G63" i="9"/>
  <c r="AC62" i="9"/>
  <c r="Y62" i="9"/>
  <c r="G62" i="9"/>
  <c r="AC61" i="9"/>
  <c r="Y61" i="9"/>
  <c r="U61" i="9"/>
  <c r="Q61" i="9"/>
  <c r="M61" i="9"/>
  <c r="I61" i="9"/>
  <c r="H61" i="9" s="1"/>
  <c r="G61" i="9"/>
  <c r="AC60" i="9"/>
  <c r="Y60" i="9"/>
  <c r="U60" i="9"/>
  <c r="Q60" i="9"/>
  <c r="M60" i="9"/>
  <c r="I60" i="9"/>
  <c r="H60" i="9" s="1"/>
  <c r="G60" i="9"/>
  <c r="AC59" i="9"/>
  <c r="Y59" i="9"/>
  <c r="U59" i="9"/>
  <c r="Q59" i="9"/>
  <c r="M59" i="9"/>
  <c r="I59" i="9"/>
  <c r="H59" i="9" s="1"/>
  <c r="K59" i="9" s="1"/>
  <c r="G59" i="9"/>
  <c r="D53" i="9"/>
  <c r="G53" i="9" s="1"/>
  <c r="H52" i="9"/>
  <c r="K52" i="9" s="1"/>
  <c r="G52" i="9"/>
  <c r="H51" i="9"/>
  <c r="L51" i="9" s="1"/>
  <c r="G51" i="9"/>
  <c r="AC50" i="9"/>
  <c r="Y50" i="9"/>
  <c r="U50" i="9"/>
  <c r="Q50" i="9"/>
  <c r="M50" i="9"/>
  <c r="I50" i="9"/>
  <c r="G50" i="9"/>
  <c r="AC49" i="9"/>
  <c r="Y49" i="9"/>
  <c r="U49" i="9"/>
  <c r="Q49" i="9"/>
  <c r="M49" i="9"/>
  <c r="I49" i="9"/>
  <c r="G49" i="9"/>
  <c r="AC48" i="9"/>
  <c r="Y48" i="9"/>
  <c r="U48" i="9"/>
  <c r="Q48" i="9"/>
  <c r="M48" i="9"/>
  <c r="I48" i="9"/>
  <c r="H48" i="9" s="1"/>
  <c r="K48" i="9" s="1"/>
  <c r="G48" i="9"/>
  <c r="AC47" i="9"/>
  <c r="Y47" i="9"/>
  <c r="U47" i="9"/>
  <c r="Q47" i="9"/>
  <c r="M47" i="9"/>
  <c r="I47" i="9"/>
  <c r="G47" i="9"/>
  <c r="AC46" i="9"/>
  <c r="Y46" i="9"/>
  <c r="U46" i="9"/>
  <c r="Q46" i="9"/>
  <c r="M46" i="9"/>
  <c r="I46" i="9"/>
  <c r="G46" i="9"/>
  <c r="AC45" i="9"/>
  <c r="Y45" i="9"/>
  <c r="U45" i="9"/>
  <c r="Q45" i="9"/>
  <c r="M45" i="9"/>
  <c r="I45" i="9"/>
  <c r="G45" i="9"/>
  <c r="U44" i="9"/>
  <c r="Q44" i="9"/>
  <c r="M44" i="9"/>
  <c r="I44" i="9"/>
  <c r="G44" i="9"/>
  <c r="D41" i="9"/>
  <c r="G41" i="9" s="1"/>
  <c r="AC39" i="9"/>
  <c r="Y39" i="9"/>
  <c r="U39" i="9"/>
  <c r="Q39" i="9"/>
  <c r="M39" i="9"/>
  <c r="I39" i="9"/>
  <c r="H39" i="9"/>
  <c r="L39" i="9" s="1"/>
  <c r="G39" i="9"/>
  <c r="AC38" i="9"/>
  <c r="Y38" i="9"/>
  <c r="U38" i="9"/>
  <c r="Q38" i="9"/>
  <c r="M38" i="9"/>
  <c r="I38" i="9"/>
  <c r="H38" i="9"/>
  <c r="K38" i="9" s="1"/>
  <c r="G38" i="9"/>
  <c r="AC37" i="9"/>
  <c r="Y37" i="9"/>
  <c r="U37" i="9"/>
  <c r="Q37" i="9"/>
  <c r="M37" i="9"/>
  <c r="I37" i="9"/>
  <c r="H37" i="9"/>
  <c r="K37" i="9" s="1"/>
  <c r="G37" i="9"/>
  <c r="AC36" i="9"/>
  <c r="Y36" i="9"/>
  <c r="U36" i="9"/>
  <c r="Q36" i="9"/>
  <c r="M36" i="9"/>
  <c r="I36" i="9"/>
  <c r="H36" i="9"/>
  <c r="K36" i="9" s="1"/>
  <c r="G36" i="9"/>
  <c r="AC35" i="9"/>
  <c r="Y35" i="9"/>
  <c r="U35" i="9"/>
  <c r="Q35" i="9"/>
  <c r="M35" i="9"/>
  <c r="K35" i="9"/>
  <c r="I35" i="9"/>
  <c r="H35" i="9"/>
  <c r="L35" i="9" s="1"/>
  <c r="G35" i="9"/>
  <c r="AC34" i="9"/>
  <c r="Y34" i="9"/>
  <c r="U34" i="9"/>
  <c r="Q34" i="9"/>
  <c r="M34" i="9"/>
  <c r="I34" i="9"/>
  <c r="H34" i="9"/>
  <c r="G34" i="9"/>
  <c r="AC33" i="9"/>
  <c r="Y33" i="9"/>
  <c r="U33" i="9"/>
  <c r="Q33" i="9"/>
  <c r="M33" i="9"/>
  <c r="I33" i="9"/>
  <c r="H33" i="9"/>
  <c r="K33" i="9" s="1"/>
  <c r="G33" i="9"/>
  <c r="D30" i="9"/>
  <c r="G30" i="9" s="1"/>
  <c r="AC28" i="9"/>
  <c r="Y28" i="9"/>
  <c r="U28" i="9"/>
  <c r="Q28" i="9"/>
  <c r="M28" i="9"/>
  <c r="I28" i="9"/>
  <c r="H28" i="9"/>
  <c r="L28" i="9" s="1"/>
  <c r="O28" i="9" s="1"/>
  <c r="G28" i="9"/>
  <c r="AC27" i="9"/>
  <c r="Y27" i="9"/>
  <c r="U27" i="9"/>
  <c r="Q27" i="9"/>
  <c r="M27" i="9"/>
  <c r="I27" i="9"/>
  <c r="H27" i="9"/>
  <c r="L27" i="9" s="1"/>
  <c r="G27" i="9"/>
  <c r="AC26" i="9"/>
  <c r="Y26" i="9"/>
  <c r="U26" i="9"/>
  <c r="Q26" i="9"/>
  <c r="M26" i="9"/>
  <c r="I26" i="9"/>
  <c r="H26" i="9"/>
  <c r="L26" i="9" s="1"/>
  <c r="P26" i="9" s="1"/>
  <c r="G26" i="9"/>
  <c r="AC25" i="9"/>
  <c r="Y25" i="9"/>
  <c r="U25" i="9"/>
  <c r="Q25" i="9"/>
  <c r="M25" i="9"/>
  <c r="I25" i="9"/>
  <c r="H25" i="9"/>
  <c r="K25" i="9" s="1"/>
  <c r="G25" i="9"/>
  <c r="AC24" i="9"/>
  <c r="Y24" i="9"/>
  <c r="U24" i="9"/>
  <c r="Q24" i="9"/>
  <c r="M24" i="9"/>
  <c r="I24" i="9"/>
  <c r="H24" i="9"/>
  <c r="L24" i="9" s="1"/>
  <c r="P24" i="9" s="1"/>
  <c r="G24" i="9"/>
  <c r="AC23" i="9"/>
  <c r="Y23" i="9"/>
  <c r="U23" i="9"/>
  <c r="Q23" i="9"/>
  <c r="M23" i="9"/>
  <c r="I23" i="9"/>
  <c r="H23" i="9"/>
  <c r="L23" i="9" s="1"/>
  <c r="O23" i="9" s="1"/>
  <c r="G23" i="9"/>
  <c r="AC22" i="9"/>
  <c r="Y22" i="9"/>
  <c r="U22" i="9"/>
  <c r="Q22" i="9"/>
  <c r="M22" i="9"/>
  <c r="I22" i="9"/>
  <c r="H22" i="9"/>
  <c r="L22" i="9" s="1"/>
  <c r="O22" i="9" s="1"/>
  <c r="G22" i="9"/>
  <c r="AC21" i="9"/>
  <c r="Y21" i="9"/>
  <c r="U21" i="9"/>
  <c r="Q21" i="9"/>
  <c r="M21" i="9"/>
  <c r="I21" i="9"/>
  <c r="H21" i="9"/>
  <c r="K21" i="9" s="1"/>
  <c r="G21" i="9"/>
  <c r="AB10" i="9"/>
  <c r="X10" i="9"/>
  <c r="AA10" i="9" s="1"/>
  <c r="W10" i="9"/>
  <c r="K10" i="9"/>
  <c r="G10" i="9"/>
  <c r="L6" i="9"/>
  <c r="P6" i="9" s="1"/>
  <c r="T6" i="9" s="1"/>
  <c r="X6" i="9" s="1"/>
  <c r="AB6" i="9" s="1"/>
  <c r="H6" i="9"/>
  <c r="I89" i="12" l="1"/>
  <c r="K34" i="10"/>
  <c r="O67" i="13"/>
  <c r="P48" i="11"/>
  <c r="K23" i="10"/>
  <c r="L38" i="10"/>
  <c r="P38" i="10" s="1"/>
  <c r="L24" i="11"/>
  <c r="AB11" i="10"/>
  <c r="L22" i="14"/>
  <c r="O22" i="14" s="1"/>
  <c r="L79" i="11"/>
  <c r="O79" i="11" s="1"/>
  <c r="L76" i="10"/>
  <c r="P76" i="10" s="1"/>
  <c r="L80" i="10"/>
  <c r="O80" i="10" s="1"/>
  <c r="K23" i="9"/>
  <c r="S10" i="12"/>
  <c r="S10" i="9"/>
  <c r="H13" i="36"/>
  <c r="L27" i="10"/>
  <c r="P27" i="10" s="1"/>
  <c r="S27" i="10" s="1"/>
  <c r="L36" i="10"/>
  <c r="P36" i="10" s="1"/>
  <c r="S36" i="10" s="1"/>
  <c r="O28" i="11"/>
  <c r="L23" i="11"/>
  <c r="O23" i="11" s="1"/>
  <c r="P85" i="12"/>
  <c r="P89" i="12" s="1"/>
  <c r="Q89" i="12" s="1"/>
  <c r="H89" i="14"/>
  <c r="G48" i="11"/>
  <c r="K43" i="13"/>
  <c r="G21" i="10"/>
  <c r="L36" i="9"/>
  <c r="O36" i="9" s="1"/>
  <c r="K39" i="9"/>
  <c r="L21" i="9"/>
  <c r="O21" i="9" s="1"/>
  <c r="H41" i="12"/>
  <c r="I41" i="12" s="1"/>
  <c r="G9" i="13"/>
  <c r="L75" i="10"/>
  <c r="O75" i="10" s="1"/>
  <c r="L79" i="10"/>
  <c r="O79" i="10" s="1"/>
  <c r="L77" i="10"/>
  <c r="P77" i="10" s="1"/>
  <c r="L81" i="10"/>
  <c r="O81" i="10" s="1"/>
  <c r="L48" i="14"/>
  <c r="K48" i="14" s="1"/>
  <c r="L62" i="14"/>
  <c r="P62" i="14" s="1"/>
  <c r="T62" i="14" s="1"/>
  <c r="L78" i="10"/>
  <c r="O78" i="10" s="1"/>
  <c r="L60" i="9"/>
  <c r="O60" i="9" s="1"/>
  <c r="L64" i="14"/>
  <c r="P64" i="14" s="1"/>
  <c r="L61" i="11"/>
  <c r="P61" i="11" s="1"/>
  <c r="T61" i="11" s="1"/>
  <c r="L71" i="11"/>
  <c r="P71" i="11" s="1"/>
  <c r="L11" i="12"/>
  <c r="K21" i="10"/>
  <c r="O26" i="11"/>
  <c r="P24" i="33"/>
  <c r="P32" i="32"/>
  <c r="K22" i="6"/>
  <c r="K74" i="14"/>
  <c r="L74" i="14"/>
  <c r="P74" i="14" s="1"/>
  <c r="T74" i="14" s="1"/>
  <c r="K71" i="10"/>
  <c r="L59" i="11"/>
  <c r="P59" i="11" s="1"/>
  <c r="L65" i="14"/>
  <c r="P65" i="14" s="1"/>
  <c r="L75" i="11"/>
  <c r="O75" i="11" s="1"/>
  <c r="K75" i="11"/>
  <c r="L76" i="14"/>
  <c r="P76" i="14" s="1"/>
  <c r="T76" i="14" s="1"/>
  <c r="K76" i="14"/>
  <c r="L77" i="11"/>
  <c r="O77" i="11" s="1"/>
  <c r="K77" i="11"/>
  <c r="L78" i="14"/>
  <c r="P78" i="14" s="1"/>
  <c r="S78" i="14" s="1"/>
  <c r="K78" i="14"/>
  <c r="L70" i="14"/>
  <c r="P70" i="14" s="1"/>
  <c r="T70" i="14" s="1"/>
  <c r="K70" i="14"/>
  <c r="L62" i="11"/>
  <c r="O62" i="11" s="1"/>
  <c r="L72" i="14"/>
  <c r="P72" i="14" s="1"/>
  <c r="S72" i="14" s="1"/>
  <c r="L80" i="14"/>
  <c r="P80" i="14" s="1"/>
  <c r="T80" i="14" s="1"/>
  <c r="L65" i="9"/>
  <c r="P65" i="9" s="1"/>
  <c r="L74" i="10"/>
  <c r="P74" i="10" s="1"/>
  <c r="L73" i="11"/>
  <c r="O73" i="11" s="1"/>
  <c r="L60" i="14"/>
  <c r="O60" i="14" s="1"/>
  <c r="L63" i="11"/>
  <c r="O63" i="11" s="1"/>
  <c r="L64" i="11"/>
  <c r="P64" i="11" s="1"/>
  <c r="K79" i="11"/>
  <c r="G48" i="12"/>
  <c r="D72" i="13"/>
  <c r="K100" i="13"/>
  <c r="K101" i="13"/>
  <c r="H110" i="13"/>
  <c r="H60" i="13"/>
  <c r="I60" i="13" s="1"/>
  <c r="O12" i="13"/>
  <c r="L79" i="13"/>
  <c r="L83" i="13"/>
  <c r="L81" i="13"/>
  <c r="L35" i="14"/>
  <c r="P35" i="14" s="1"/>
  <c r="W39" i="14"/>
  <c r="H41" i="14"/>
  <c r="H45" i="14" s="1"/>
  <c r="G36" i="27" s="1"/>
  <c r="L26" i="14"/>
  <c r="O28" i="14"/>
  <c r="P28" i="14"/>
  <c r="S28" i="14" s="1"/>
  <c r="O24" i="14"/>
  <c r="P24" i="14"/>
  <c r="T24" i="14" s="1"/>
  <c r="P22" i="14"/>
  <c r="T22" i="14" s="1"/>
  <c r="K24" i="14"/>
  <c r="L34" i="14"/>
  <c r="P34" i="14" s="1"/>
  <c r="X36" i="14"/>
  <c r="AA36" i="14" s="1"/>
  <c r="AB39" i="14"/>
  <c r="AA39" i="14" s="1"/>
  <c r="L33" i="14"/>
  <c r="L37" i="14"/>
  <c r="P37" i="14" s="1"/>
  <c r="L11" i="14"/>
  <c r="P9" i="14"/>
  <c r="O9" i="14" s="1"/>
  <c r="D102" i="14"/>
  <c r="D15" i="14"/>
  <c r="K25" i="14"/>
  <c r="L25" i="14"/>
  <c r="H30" i="14"/>
  <c r="K21" i="14"/>
  <c r="S24" i="14"/>
  <c r="G41" i="14"/>
  <c r="K23" i="14"/>
  <c r="L23" i="14"/>
  <c r="G48" i="14"/>
  <c r="H11" i="14"/>
  <c r="K9" i="14"/>
  <c r="S22" i="14"/>
  <c r="H66" i="14"/>
  <c r="K66" i="14" s="1"/>
  <c r="K59" i="14"/>
  <c r="L59" i="14"/>
  <c r="L27" i="14"/>
  <c r="K33" i="14"/>
  <c r="G38" i="14"/>
  <c r="L38" i="14"/>
  <c r="L61" i="14"/>
  <c r="K62" i="14"/>
  <c r="K73" i="14"/>
  <c r="L73" i="14"/>
  <c r="K75" i="14"/>
  <c r="L75" i="14"/>
  <c r="T85" i="14"/>
  <c r="P89" i="14"/>
  <c r="K64" i="14"/>
  <c r="K69" i="14"/>
  <c r="L69" i="14"/>
  <c r="K77" i="14"/>
  <c r="L77" i="14"/>
  <c r="D55" i="14"/>
  <c r="L63" i="14"/>
  <c r="K63" i="14"/>
  <c r="K71" i="14"/>
  <c r="L71" i="14"/>
  <c r="K79" i="14"/>
  <c r="L79" i="14"/>
  <c r="K65" i="14"/>
  <c r="L89" i="14"/>
  <c r="K80" i="13"/>
  <c r="L80" i="13"/>
  <c r="H85" i="13"/>
  <c r="K78" i="13"/>
  <c r="K82" i="13"/>
  <c r="L82" i="13"/>
  <c r="X58" i="13"/>
  <c r="W58" i="13" s="1"/>
  <c r="K81" i="13"/>
  <c r="K94" i="13"/>
  <c r="D74" i="13"/>
  <c r="L84" i="13"/>
  <c r="K84" i="13"/>
  <c r="K96" i="13"/>
  <c r="K79" i="13"/>
  <c r="K83" i="13"/>
  <c r="K90" i="13"/>
  <c r="K98" i="13"/>
  <c r="K88" i="13"/>
  <c r="K92" i="13"/>
  <c r="L110" i="13"/>
  <c r="L72" i="12"/>
  <c r="P72" i="12" s="1"/>
  <c r="K23" i="12"/>
  <c r="L25" i="12"/>
  <c r="L70" i="12"/>
  <c r="P70" i="12" s="1"/>
  <c r="L61" i="12"/>
  <c r="P61" i="12" s="1"/>
  <c r="L76" i="12"/>
  <c r="O76" i="12" s="1"/>
  <c r="K64" i="12"/>
  <c r="L64" i="12"/>
  <c r="P64" i="12" s="1"/>
  <c r="S64" i="12" s="1"/>
  <c r="L74" i="12"/>
  <c r="O74" i="12" s="1"/>
  <c r="L78" i="12"/>
  <c r="P78" i="12" s="1"/>
  <c r="T78" i="12" s="1"/>
  <c r="L80" i="12"/>
  <c r="P80" i="12" s="1"/>
  <c r="S80" i="12" s="1"/>
  <c r="G44" i="12"/>
  <c r="O38" i="12"/>
  <c r="K38" i="12"/>
  <c r="G38" i="12"/>
  <c r="K36" i="12"/>
  <c r="G36" i="12"/>
  <c r="K34" i="12"/>
  <c r="G34" i="12"/>
  <c r="G33" i="12"/>
  <c r="O27" i="12"/>
  <c r="P27" i="12"/>
  <c r="S27" i="12" s="1"/>
  <c r="O23" i="12"/>
  <c r="P23" i="12"/>
  <c r="L26" i="12"/>
  <c r="P26" i="12" s="1"/>
  <c r="T26" i="12" s="1"/>
  <c r="W26" i="12" s="1"/>
  <c r="L28" i="12"/>
  <c r="P28" i="12" s="1"/>
  <c r="T28" i="12" s="1"/>
  <c r="W28" i="12" s="1"/>
  <c r="K21" i="12"/>
  <c r="K27" i="12"/>
  <c r="H11" i="12"/>
  <c r="O21" i="12"/>
  <c r="P21" i="12"/>
  <c r="L22" i="12"/>
  <c r="G45" i="12"/>
  <c r="K33" i="12"/>
  <c r="O34" i="12"/>
  <c r="O36" i="12"/>
  <c r="D55" i="12"/>
  <c r="D11" i="12"/>
  <c r="K37" i="12"/>
  <c r="H30" i="12"/>
  <c r="K48" i="12"/>
  <c r="L24" i="12"/>
  <c r="T27" i="12"/>
  <c r="O28" i="12"/>
  <c r="K35" i="12"/>
  <c r="K39" i="12"/>
  <c r="L71" i="12"/>
  <c r="K71" i="12"/>
  <c r="L63" i="12"/>
  <c r="K63" i="12"/>
  <c r="L65" i="12"/>
  <c r="K65" i="12"/>
  <c r="L69" i="12"/>
  <c r="K69" i="12"/>
  <c r="L77" i="12"/>
  <c r="K77" i="12"/>
  <c r="L79" i="12"/>
  <c r="K79" i="12"/>
  <c r="H66" i="12"/>
  <c r="L59" i="12"/>
  <c r="L75" i="12"/>
  <c r="K75" i="12"/>
  <c r="L60" i="12"/>
  <c r="K61" i="12"/>
  <c r="L73" i="12"/>
  <c r="K73" i="12"/>
  <c r="L62" i="12"/>
  <c r="K70" i="12"/>
  <c r="K72" i="12"/>
  <c r="K74" i="12"/>
  <c r="K76" i="12"/>
  <c r="K33" i="11"/>
  <c r="K37" i="11"/>
  <c r="K39" i="11"/>
  <c r="L60" i="11"/>
  <c r="O60" i="11" s="1"/>
  <c r="K71" i="11"/>
  <c r="O37" i="11"/>
  <c r="P37" i="11"/>
  <c r="S37" i="11" s="1"/>
  <c r="K21" i="11"/>
  <c r="G21" i="11"/>
  <c r="D96" i="11"/>
  <c r="D15" i="11"/>
  <c r="T26" i="11"/>
  <c r="K36" i="11"/>
  <c r="L36" i="11"/>
  <c r="K48" i="11"/>
  <c r="G22" i="11"/>
  <c r="L22" i="11"/>
  <c r="P23" i="11"/>
  <c r="P24" i="11"/>
  <c r="O24" i="11"/>
  <c r="H30" i="11"/>
  <c r="I30" i="11" s="1"/>
  <c r="K22" i="11"/>
  <c r="K27" i="11"/>
  <c r="L27" i="11"/>
  <c r="G9" i="11"/>
  <c r="H11" i="11"/>
  <c r="O21" i="11"/>
  <c r="L35" i="11"/>
  <c r="K35" i="11"/>
  <c r="H41" i="11"/>
  <c r="G41" i="11" s="1"/>
  <c r="O34" i="11"/>
  <c r="K38" i="11"/>
  <c r="L38" i="11"/>
  <c r="L72" i="11"/>
  <c r="K72" i="11" s="1"/>
  <c r="G72" i="11"/>
  <c r="L80" i="11"/>
  <c r="K80" i="11"/>
  <c r="L25" i="11"/>
  <c r="T28" i="11"/>
  <c r="K34" i="11"/>
  <c r="P39" i="11"/>
  <c r="K59" i="11"/>
  <c r="H66" i="11"/>
  <c r="G59" i="11"/>
  <c r="L65" i="11"/>
  <c r="K65" i="11"/>
  <c r="G66" i="11"/>
  <c r="L78" i="11"/>
  <c r="K78" i="11"/>
  <c r="K61" i="11"/>
  <c r="K62" i="11"/>
  <c r="K63" i="11"/>
  <c r="L70" i="11"/>
  <c r="G70" i="11"/>
  <c r="L74" i="11"/>
  <c r="K74" i="11"/>
  <c r="D55" i="11"/>
  <c r="L76" i="11"/>
  <c r="K76" i="11"/>
  <c r="G69" i="11"/>
  <c r="G71" i="11"/>
  <c r="O25" i="10"/>
  <c r="P25" i="10"/>
  <c r="K25" i="10"/>
  <c r="L28" i="10"/>
  <c r="P28" i="10" s="1"/>
  <c r="G73" i="10"/>
  <c r="K72" i="10"/>
  <c r="G72" i="10"/>
  <c r="G71" i="10"/>
  <c r="G70" i="10"/>
  <c r="K78" i="10"/>
  <c r="K80" i="10"/>
  <c r="K76" i="10"/>
  <c r="H67" i="10"/>
  <c r="K60" i="10"/>
  <c r="T22" i="10"/>
  <c r="X22" i="10" s="1"/>
  <c r="K22" i="10"/>
  <c r="D55" i="10"/>
  <c r="O21" i="10"/>
  <c r="D11" i="10"/>
  <c r="G9" i="10"/>
  <c r="K9" i="10"/>
  <c r="H11" i="10"/>
  <c r="X11" i="10"/>
  <c r="AA9" i="10"/>
  <c r="T23" i="10"/>
  <c r="S23" i="10" s="1"/>
  <c r="L11" i="10"/>
  <c r="T11" i="10"/>
  <c r="W9" i="10"/>
  <c r="T21" i="10"/>
  <c r="S21" i="10" s="1"/>
  <c r="O23" i="10"/>
  <c r="L24" i="10"/>
  <c r="S38" i="10"/>
  <c r="T38" i="10"/>
  <c r="K48" i="10"/>
  <c r="K33" i="10"/>
  <c r="H41" i="10"/>
  <c r="L33" i="10"/>
  <c r="L26" i="10"/>
  <c r="H30" i="10"/>
  <c r="P34" i="10"/>
  <c r="L35" i="10"/>
  <c r="O36" i="10"/>
  <c r="L37" i="10"/>
  <c r="O38" i="10"/>
  <c r="L39" i="10"/>
  <c r="K59" i="10"/>
  <c r="L66" i="10"/>
  <c r="K66" i="10"/>
  <c r="O77" i="10"/>
  <c r="L65" i="10"/>
  <c r="K65" i="10" s="1"/>
  <c r="K61" i="10"/>
  <c r="K64" i="10"/>
  <c r="G41" i="10"/>
  <c r="K62" i="10"/>
  <c r="K70" i="10"/>
  <c r="K73" i="10"/>
  <c r="K75" i="10"/>
  <c r="K77" i="10"/>
  <c r="K79" i="10"/>
  <c r="K81" i="10"/>
  <c r="L63" i="9"/>
  <c r="P63" i="9" s="1"/>
  <c r="K63" i="9"/>
  <c r="L61" i="9"/>
  <c r="O61" i="9" s="1"/>
  <c r="K61" i="9"/>
  <c r="L48" i="9"/>
  <c r="O48" i="9" s="1"/>
  <c r="K65" i="9"/>
  <c r="P39" i="9"/>
  <c r="T39" i="9" s="1"/>
  <c r="O39" i="9"/>
  <c r="P35" i="9"/>
  <c r="O35" i="9"/>
  <c r="L33" i="9"/>
  <c r="P33" i="9" s="1"/>
  <c r="S33" i="9" s="1"/>
  <c r="L37" i="9"/>
  <c r="L38" i="9"/>
  <c r="O38" i="9" s="1"/>
  <c r="P22" i="9"/>
  <c r="T22" i="9" s="1"/>
  <c r="W22" i="9" s="1"/>
  <c r="K22" i="9"/>
  <c r="K24" i="9"/>
  <c r="L25" i="9"/>
  <c r="O25" i="9" s="1"/>
  <c r="T24" i="9"/>
  <c r="S24" i="9"/>
  <c r="D11" i="9"/>
  <c r="D13" i="9" s="1"/>
  <c r="T26" i="9"/>
  <c r="S26" i="9"/>
  <c r="O27" i="9"/>
  <c r="P27" i="9"/>
  <c r="G12" i="36"/>
  <c r="O26" i="9"/>
  <c r="P28" i="9"/>
  <c r="H41" i="9"/>
  <c r="K34" i="9"/>
  <c r="O24" i="9"/>
  <c r="K27" i="9"/>
  <c r="K28" i="9"/>
  <c r="H30" i="9"/>
  <c r="P23" i="9"/>
  <c r="K26" i="9"/>
  <c r="L34" i="9"/>
  <c r="O51" i="9"/>
  <c r="P51" i="9"/>
  <c r="K51" i="9"/>
  <c r="L52" i="9"/>
  <c r="D55" i="9"/>
  <c r="G55" i="9" s="1"/>
  <c r="H66" i="9"/>
  <c r="L59" i="9"/>
  <c r="K62" i="9"/>
  <c r="L71" i="9"/>
  <c r="K71" i="9"/>
  <c r="L75" i="9"/>
  <c r="K75" i="9"/>
  <c r="L79" i="9"/>
  <c r="K79" i="9"/>
  <c r="L70" i="9"/>
  <c r="K70" i="9"/>
  <c r="L74" i="9"/>
  <c r="K74" i="9"/>
  <c r="K78" i="9"/>
  <c r="L69" i="9"/>
  <c r="K69" i="9"/>
  <c r="L73" i="9"/>
  <c r="K73" i="9"/>
  <c r="L77" i="9"/>
  <c r="K77" i="9"/>
  <c r="K60" i="9"/>
  <c r="L72" i="9"/>
  <c r="K72" i="9"/>
  <c r="L76" i="9"/>
  <c r="K76" i="9"/>
  <c r="L80" i="9"/>
  <c r="K80" i="9"/>
  <c r="L64" i="9"/>
  <c r="G1" i="6"/>
  <c r="O76" i="10" l="1"/>
  <c r="K66" i="12"/>
  <c r="X26" i="12"/>
  <c r="AA26" i="12" s="1"/>
  <c r="Q24" i="33"/>
  <c r="P40" i="33"/>
  <c r="P34" i="33"/>
  <c r="P39" i="33"/>
  <c r="P37" i="33"/>
  <c r="I30" i="14"/>
  <c r="O80" i="13"/>
  <c r="P80" i="13"/>
  <c r="O79" i="13"/>
  <c r="P79" i="13"/>
  <c r="O84" i="13"/>
  <c r="P84" i="13"/>
  <c r="O81" i="13"/>
  <c r="P81" i="13"/>
  <c r="S81" i="13" s="1"/>
  <c r="O82" i="13"/>
  <c r="P82" i="13"/>
  <c r="O83" i="13"/>
  <c r="P83" i="13"/>
  <c r="S83" i="13" s="1"/>
  <c r="O27" i="10"/>
  <c r="L30" i="10"/>
  <c r="T27" i="10"/>
  <c r="W27" i="10" s="1"/>
  <c r="G30" i="10"/>
  <c r="P53" i="32"/>
  <c r="P51" i="32"/>
  <c r="P54" i="32"/>
  <c r="O110" i="13"/>
  <c r="Q110" i="13"/>
  <c r="M11" i="10"/>
  <c r="P77" i="11"/>
  <c r="G6" i="28"/>
  <c r="P81" i="10"/>
  <c r="T81" i="10" s="1"/>
  <c r="P79" i="10"/>
  <c r="T79" i="10" s="1"/>
  <c r="I11" i="10"/>
  <c r="T85" i="12"/>
  <c r="T89" i="12" s="1"/>
  <c r="M11" i="14"/>
  <c r="T36" i="10"/>
  <c r="I11" i="11"/>
  <c r="O59" i="11"/>
  <c r="M49" i="27"/>
  <c r="M110" i="13"/>
  <c r="H47" i="14"/>
  <c r="G38" i="27" s="1"/>
  <c r="O28" i="10"/>
  <c r="O64" i="11"/>
  <c r="P79" i="11"/>
  <c r="T79" i="11" s="1"/>
  <c r="I11" i="14"/>
  <c r="H13" i="14"/>
  <c r="M11" i="12"/>
  <c r="L103" i="12"/>
  <c r="H49" i="14"/>
  <c r="G40" i="27" s="1"/>
  <c r="I41" i="11"/>
  <c r="I30" i="10"/>
  <c r="I11" i="12"/>
  <c r="D96" i="9"/>
  <c r="P80" i="10"/>
  <c r="T80" i="10" s="1"/>
  <c r="P75" i="11"/>
  <c r="S75" i="11" s="1"/>
  <c r="P60" i="14"/>
  <c r="S60" i="14" s="1"/>
  <c r="P73" i="11"/>
  <c r="S73" i="11" s="1"/>
  <c r="G66" i="9"/>
  <c r="I66" i="9"/>
  <c r="O61" i="11"/>
  <c r="I85" i="13"/>
  <c r="P60" i="9"/>
  <c r="T60" i="9" s="1"/>
  <c r="G67" i="10"/>
  <c r="I67" i="10"/>
  <c r="S70" i="14"/>
  <c r="G49" i="28"/>
  <c r="O24" i="33"/>
  <c r="O70" i="14"/>
  <c r="S80" i="14"/>
  <c r="S62" i="14"/>
  <c r="O80" i="14"/>
  <c r="S39" i="9"/>
  <c r="P36" i="9"/>
  <c r="T33" i="9"/>
  <c r="X33" i="9" s="1"/>
  <c r="P25" i="9"/>
  <c r="S25" i="9" s="1"/>
  <c r="O10" i="9"/>
  <c r="G13" i="36"/>
  <c r="O26" i="12"/>
  <c r="K9" i="12"/>
  <c r="H103" i="12"/>
  <c r="G44" i="14"/>
  <c r="O43" i="13"/>
  <c r="K67" i="13"/>
  <c r="G60" i="13"/>
  <c r="X55" i="13"/>
  <c r="W55" i="13" s="1"/>
  <c r="X25" i="13"/>
  <c r="G16" i="36"/>
  <c r="L30" i="9"/>
  <c r="P21" i="9"/>
  <c r="P30" i="9" s="1"/>
  <c r="G11" i="14"/>
  <c r="O65" i="9"/>
  <c r="P78" i="10"/>
  <c r="T78" i="10" s="1"/>
  <c r="P62" i="11"/>
  <c r="S62" i="11" s="1"/>
  <c r="P63" i="11"/>
  <c r="T63" i="11" s="1"/>
  <c r="X63" i="11" s="1"/>
  <c r="O76" i="14"/>
  <c r="S76" i="14"/>
  <c r="T78" i="14"/>
  <c r="X78" i="14" s="1"/>
  <c r="O78" i="14"/>
  <c r="P75" i="10"/>
  <c r="T75" i="10" s="1"/>
  <c r="O74" i="10"/>
  <c r="S74" i="14"/>
  <c r="O65" i="14"/>
  <c r="O72" i="14"/>
  <c r="O72" i="12"/>
  <c r="T72" i="14"/>
  <c r="X72" i="14" s="1"/>
  <c r="O64" i="14"/>
  <c r="O74" i="14"/>
  <c r="S78" i="12"/>
  <c r="O62" i="14"/>
  <c r="G7" i="36"/>
  <c r="P9" i="12"/>
  <c r="O9" i="12" s="1"/>
  <c r="S22" i="9"/>
  <c r="X22" i="9"/>
  <c r="L30" i="11"/>
  <c r="P48" i="32"/>
  <c r="S32" i="32"/>
  <c r="S24" i="33"/>
  <c r="L66" i="11"/>
  <c r="O61" i="12"/>
  <c r="P60" i="11"/>
  <c r="T60" i="11" s="1"/>
  <c r="X60" i="11" s="1"/>
  <c r="AB60" i="11" s="1"/>
  <c r="AA60" i="11" s="1"/>
  <c r="O63" i="9"/>
  <c r="K110" i="13"/>
  <c r="P76" i="12"/>
  <c r="S76" i="12" s="1"/>
  <c r="P74" i="12"/>
  <c r="T74" i="12" s="1"/>
  <c r="K89" i="13"/>
  <c r="K93" i="13"/>
  <c r="K99" i="13"/>
  <c r="K97" i="13"/>
  <c r="K95" i="13"/>
  <c r="K91" i="13"/>
  <c r="G85" i="13"/>
  <c r="S79" i="13"/>
  <c r="H103" i="13"/>
  <c r="I103" i="13" s="1"/>
  <c r="T83" i="13"/>
  <c r="W83" i="13" s="1"/>
  <c r="K38" i="14"/>
  <c r="P38" i="14"/>
  <c r="O33" i="14"/>
  <c r="P33" i="14"/>
  <c r="S33" i="14" s="1"/>
  <c r="G50" i="14"/>
  <c r="H46" i="14"/>
  <c r="G37" i="27" s="1"/>
  <c r="O26" i="14"/>
  <c r="P26" i="14"/>
  <c r="G30" i="14"/>
  <c r="T28" i="14"/>
  <c r="X28" i="14" s="1"/>
  <c r="AB36" i="14"/>
  <c r="O34" i="14"/>
  <c r="O37" i="14"/>
  <c r="T37" i="14"/>
  <c r="S37" i="14" s="1"/>
  <c r="P79" i="14"/>
  <c r="O79" i="14"/>
  <c r="X74" i="14"/>
  <c r="W74" i="14"/>
  <c r="P75" i="14"/>
  <c r="O75" i="14"/>
  <c r="T65" i="14"/>
  <c r="S65" i="14"/>
  <c r="X70" i="14"/>
  <c r="W70" i="14"/>
  <c r="X22" i="14"/>
  <c r="W22" i="14"/>
  <c r="P23" i="14"/>
  <c r="O23" i="14"/>
  <c r="X76" i="14"/>
  <c r="W76" i="14"/>
  <c r="O38" i="14"/>
  <c r="T35" i="14"/>
  <c r="S35" i="14"/>
  <c r="L30" i="14"/>
  <c r="O21" i="14"/>
  <c r="O63" i="14"/>
  <c r="P63" i="14"/>
  <c r="P77" i="14"/>
  <c r="O77" i="14"/>
  <c r="P69" i="14"/>
  <c r="O69" i="14"/>
  <c r="X80" i="14"/>
  <c r="W80" i="14"/>
  <c r="P73" i="14"/>
  <c r="O73" i="14"/>
  <c r="P27" i="14"/>
  <c r="O27" i="14"/>
  <c r="W62" i="14"/>
  <c r="X62" i="14"/>
  <c r="O35" i="14"/>
  <c r="G46" i="14"/>
  <c r="L41" i="14"/>
  <c r="P11" i="14"/>
  <c r="T9" i="14"/>
  <c r="P71" i="14"/>
  <c r="O71" i="14"/>
  <c r="T89" i="14"/>
  <c r="X85" i="14"/>
  <c r="T64" i="14"/>
  <c r="S64" i="14"/>
  <c r="O61" i="14"/>
  <c r="P61" i="14"/>
  <c r="L66" i="14"/>
  <c r="O66" i="14" s="1"/>
  <c r="P59" i="14"/>
  <c r="O59" i="14"/>
  <c r="K11" i="14"/>
  <c r="P48" i="14"/>
  <c r="O48" i="14" s="1"/>
  <c r="X24" i="14"/>
  <c r="W24" i="14"/>
  <c r="P25" i="14"/>
  <c r="O25" i="14"/>
  <c r="L15" i="14"/>
  <c r="L103" i="13"/>
  <c r="L85" i="13"/>
  <c r="X97" i="13"/>
  <c r="W97" i="13" s="1"/>
  <c r="X89" i="13"/>
  <c r="W89" i="13" s="1"/>
  <c r="X93" i="13"/>
  <c r="W93" i="13" s="1"/>
  <c r="X43" i="13"/>
  <c r="W43" i="13" s="1"/>
  <c r="T110" i="13"/>
  <c r="J49" i="27" s="1"/>
  <c r="X106" i="13"/>
  <c r="X99" i="13"/>
  <c r="W99" i="13" s="1"/>
  <c r="AB58" i="13"/>
  <c r="AA58" i="13" s="1"/>
  <c r="X54" i="13"/>
  <c r="W54" i="13" s="1"/>
  <c r="O70" i="12"/>
  <c r="T61" i="12"/>
  <c r="X61" i="12" s="1"/>
  <c r="S61" i="12"/>
  <c r="P25" i="12"/>
  <c r="O25" i="12"/>
  <c r="G41" i="12"/>
  <c r="X28" i="12"/>
  <c r="AA28" i="12" s="1"/>
  <c r="T64" i="12"/>
  <c r="X64" i="12" s="1"/>
  <c r="T80" i="12"/>
  <c r="W80" i="12" s="1"/>
  <c r="O80" i="12"/>
  <c r="O78" i="12"/>
  <c r="O64" i="12"/>
  <c r="T38" i="12"/>
  <c r="S38" i="12" s="1"/>
  <c r="S28" i="12"/>
  <c r="S26" i="12"/>
  <c r="S23" i="12"/>
  <c r="T23" i="12"/>
  <c r="P62" i="12"/>
  <c r="O62" i="12"/>
  <c r="O69" i="12"/>
  <c r="P69" i="12"/>
  <c r="L66" i="12"/>
  <c r="P59" i="12"/>
  <c r="O59" i="12"/>
  <c r="P63" i="12"/>
  <c r="O63" i="12"/>
  <c r="O48" i="12"/>
  <c r="G11" i="12"/>
  <c r="T34" i="12"/>
  <c r="S34" i="12" s="1"/>
  <c r="O73" i="12"/>
  <c r="P73" i="12"/>
  <c r="P60" i="12"/>
  <c r="O60" i="12"/>
  <c r="W78" i="12"/>
  <c r="X78" i="12"/>
  <c r="O79" i="12"/>
  <c r="P79" i="12"/>
  <c r="T70" i="12"/>
  <c r="S70" i="12"/>
  <c r="O39" i="12"/>
  <c r="L41" i="12"/>
  <c r="P22" i="12"/>
  <c r="O22" i="12"/>
  <c r="P65" i="12"/>
  <c r="O65" i="12"/>
  <c r="X27" i="12"/>
  <c r="W27" i="12"/>
  <c r="O37" i="12"/>
  <c r="G49" i="12"/>
  <c r="G46" i="12"/>
  <c r="G50" i="12"/>
  <c r="G47" i="12"/>
  <c r="S21" i="12"/>
  <c r="T21" i="12"/>
  <c r="L30" i="12"/>
  <c r="K11" i="12"/>
  <c r="T72" i="12"/>
  <c r="S72" i="12"/>
  <c r="O75" i="12"/>
  <c r="P75" i="12"/>
  <c r="O77" i="12"/>
  <c r="P77" i="12"/>
  <c r="O71" i="12"/>
  <c r="P71" i="12"/>
  <c r="O35" i="12"/>
  <c r="P24" i="12"/>
  <c r="O24" i="12"/>
  <c r="K30" i="12"/>
  <c r="L15" i="12"/>
  <c r="S36" i="12"/>
  <c r="T37" i="11"/>
  <c r="W37" i="11" s="1"/>
  <c r="P33" i="11"/>
  <c r="O33" i="11" s="1"/>
  <c r="T73" i="11"/>
  <c r="T34" i="11"/>
  <c r="S34" i="11" s="1"/>
  <c r="O35" i="11"/>
  <c r="P35" i="11"/>
  <c r="L11" i="11"/>
  <c r="P9" i="11"/>
  <c r="K9" i="11"/>
  <c r="P76" i="11"/>
  <c r="O76" i="11"/>
  <c r="P25" i="11"/>
  <c r="O25" i="11"/>
  <c r="X37" i="11"/>
  <c r="G11" i="11"/>
  <c r="S24" i="11"/>
  <c r="T24" i="11"/>
  <c r="X21" i="11"/>
  <c r="W21" i="11" s="1"/>
  <c r="S39" i="11"/>
  <c r="T39" i="11"/>
  <c r="K69" i="11"/>
  <c r="O69" i="11"/>
  <c r="T64" i="11"/>
  <c r="S64" i="11"/>
  <c r="P70" i="11"/>
  <c r="O70" i="11"/>
  <c r="K66" i="11"/>
  <c r="P36" i="11"/>
  <c r="O36" i="11"/>
  <c r="T71" i="11"/>
  <c r="S71" i="11"/>
  <c r="X61" i="11"/>
  <c r="W61" i="11" s="1"/>
  <c r="P74" i="11"/>
  <c r="O74" i="11"/>
  <c r="P78" i="11"/>
  <c r="O78" i="11"/>
  <c r="P80" i="11"/>
  <c r="O80" i="11"/>
  <c r="P72" i="11"/>
  <c r="O72" i="11" s="1"/>
  <c r="L41" i="11"/>
  <c r="G30" i="11"/>
  <c r="T23" i="11"/>
  <c r="S23" i="11"/>
  <c r="T59" i="11"/>
  <c r="S59" i="11" s="1"/>
  <c r="O71" i="11"/>
  <c r="S61" i="11"/>
  <c r="K70" i="11"/>
  <c r="T75" i="11"/>
  <c r="P65" i="11"/>
  <c r="O65" i="11"/>
  <c r="X28" i="11"/>
  <c r="W28" i="11"/>
  <c r="T77" i="11"/>
  <c r="S77" i="11"/>
  <c r="P38" i="11"/>
  <c r="O38" i="11"/>
  <c r="G45" i="11"/>
  <c r="G46" i="11"/>
  <c r="P27" i="11"/>
  <c r="O27" i="11"/>
  <c r="P22" i="11"/>
  <c r="O22" i="11" s="1"/>
  <c r="O48" i="11"/>
  <c r="X26" i="11"/>
  <c r="W26" i="11"/>
  <c r="S21" i="11"/>
  <c r="S25" i="10"/>
  <c r="T25" i="10"/>
  <c r="S28" i="10"/>
  <c r="T28" i="10"/>
  <c r="W22" i="10"/>
  <c r="S22" i="10"/>
  <c r="O22" i="10"/>
  <c r="T76" i="10"/>
  <c r="S76" i="10"/>
  <c r="T74" i="10"/>
  <c r="S74" i="10"/>
  <c r="P65" i="10"/>
  <c r="O65" i="10"/>
  <c r="O70" i="10"/>
  <c r="P66" i="10"/>
  <c r="O66" i="10"/>
  <c r="O48" i="10"/>
  <c r="P24" i="10"/>
  <c r="O24" i="10"/>
  <c r="S73" i="10"/>
  <c r="S71" i="10"/>
  <c r="T77" i="10"/>
  <c r="S77" i="10"/>
  <c r="L67" i="10"/>
  <c r="M67" i="10" s="1"/>
  <c r="O59" i="10"/>
  <c r="S34" i="10"/>
  <c r="T34" i="10"/>
  <c r="X36" i="10"/>
  <c r="W36" i="10"/>
  <c r="X38" i="10"/>
  <c r="W38" i="10"/>
  <c r="T13" i="10"/>
  <c r="T15" i="10" s="1"/>
  <c r="W15" i="10" s="1"/>
  <c r="W11" i="10"/>
  <c r="X23" i="10"/>
  <c r="W23" i="10" s="1"/>
  <c r="H13" i="10"/>
  <c r="K11" i="10"/>
  <c r="S72" i="10"/>
  <c r="P37" i="10"/>
  <c r="O37" i="10"/>
  <c r="G44" i="10"/>
  <c r="K30" i="10"/>
  <c r="P26" i="10"/>
  <c r="O26" i="10"/>
  <c r="P33" i="10"/>
  <c r="L41" i="10"/>
  <c r="O33" i="10"/>
  <c r="X21" i="10"/>
  <c r="W21" i="10" s="1"/>
  <c r="AB22" i="10"/>
  <c r="AA22" i="10" s="1"/>
  <c r="P39" i="10"/>
  <c r="O39" i="10"/>
  <c r="P35" i="10"/>
  <c r="O35" i="10"/>
  <c r="G49" i="10"/>
  <c r="K46" i="10"/>
  <c r="G50" i="10"/>
  <c r="G47" i="10"/>
  <c r="K41" i="10"/>
  <c r="K45" i="10"/>
  <c r="L13" i="10"/>
  <c r="X13" i="10"/>
  <c r="X15" i="10" s="1"/>
  <c r="AA15" i="10" s="1"/>
  <c r="AA11" i="10"/>
  <c r="D13" i="10"/>
  <c r="D15" i="10" s="1"/>
  <c r="G11" i="10"/>
  <c r="P61" i="9"/>
  <c r="T61" i="9" s="1"/>
  <c r="P48" i="9"/>
  <c r="S48" i="9" s="1"/>
  <c r="S35" i="9"/>
  <c r="T35" i="9"/>
  <c r="P38" i="9"/>
  <c r="T38" i="9" s="1"/>
  <c r="L41" i="9"/>
  <c r="L50" i="9" s="1"/>
  <c r="O50" i="9" s="1"/>
  <c r="P37" i="9"/>
  <c r="O37" i="9"/>
  <c r="O33" i="9"/>
  <c r="P80" i="9"/>
  <c r="O80" i="9"/>
  <c r="P70" i="9"/>
  <c r="O70" i="9"/>
  <c r="O71" i="9"/>
  <c r="P71" i="9"/>
  <c r="H44" i="9"/>
  <c r="K30" i="9"/>
  <c r="W26" i="9"/>
  <c r="X26" i="9"/>
  <c r="O69" i="9"/>
  <c r="P69" i="9"/>
  <c r="O62" i="9"/>
  <c r="P64" i="9"/>
  <c r="O64" i="9"/>
  <c r="P76" i="9"/>
  <c r="O76" i="9"/>
  <c r="S65" i="9"/>
  <c r="T65" i="9"/>
  <c r="P74" i="9"/>
  <c r="O74" i="9"/>
  <c r="O75" i="9"/>
  <c r="P75" i="9"/>
  <c r="O52" i="9"/>
  <c r="P52" i="9"/>
  <c r="T36" i="9"/>
  <c r="S36" i="9"/>
  <c r="W39" i="9"/>
  <c r="X39" i="9"/>
  <c r="H50" i="9"/>
  <c r="K50" i="9" s="1"/>
  <c r="H46" i="9"/>
  <c r="K46" i="9" s="1"/>
  <c r="H49" i="9"/>
  <c r="K49" i="9" s="1"/>
  <c r="H47" i="9"/>
  <c r="K47" i="9" s="1"/>
  <c r="H45" i="9"/>
  <c r="K45" i="9" s="1"/>
  <c r="K41" i="9"/>
  <c r="W33" i="9"/>
  <c r="O73" i="9"/>
  <c r="P73" i="9"/>
  <c r="L66" i="9"/>
  <c r="M66" i="9" s="1"/>
  <c r="O59" i="9"/>
  <c r="P59" i="9"/>
  <c r="S51" i="9"/>
  <c r="T51" i="9"/>
  <c r="L44" i="9"/>
  <c r="O30" i="9"/>
  <c r="T23" i="9"/>
  <c r="S23" i="9"/>
  <c r="T28" i="9"/>
  <c r="S28" i="9"/>
  <c r="P72" i="9"/>
  <c r="O72" i="9"/>
  <c r="O78" i="9"/>
  <c r="L49" i="9"/>
  <c r="O49" i="9" s="1"/>
  <c r="O34" i="9"/>
  <c r="P34" i="9"/>
  <c r="T25" i="9"/>
  <c r="L11" i="9"/>
  <c r="T27" i="9"/>
  <c r="S27" i="9"/>
  <c r="AB22" i="9"/>
  <c r="AA22" i="9"/>
  <c r="S63" i="9"/>
  <c r="T63" i="9"/>
  <c r="O79" i="9"/>
  <c r="P79" i="9"/>
  <c r="W24" i="9"/>
  <c r="X24" i="9"/>
  <c r="O77" i="9"/>
  <c r="P77" i="9"/>
  <c r="L65" i="3"/>
  <c r="Q50" i="5"/>
  <c r="Q47" i="5"/>
  <c r="O47" i="5"/>
  <c r="O46" i="5"/>
  <c r="C50" i="5"/>
  <c r="C49" i="5"/>
  <c r="C48" i="5"/>
  <c r="G50" i="5"/>
  <c r="G47" i="5"/>
  <c r="J49" i="28" l="1"/>
  <c r="Q49" i="27"/>
  <c r="R49" i="27" s="1"/>
  <c r="O66" i="12"/>
  <c r="T81" i="13"/>
  <c r="S79" i="11"/>
  <c r="Q103" i="13"/>
  <c r="O103" i="13"/>
  <c r="AB26" i="12"/>
  <c r="K45" i="12"/>
  <c r="M30" i="10"/>
  <c r="X85" i="12"/>
  <c r="M85" i="13"/>
  <c r="G49" i="14"/>
  <c r="P85" i="13"/>
  <c r="Q85" i="13" s="1"/>
  <c r="X27" i="10"/>
  <c r="L45" i="10"/>
  <c r="O45" i="10" s="1"/>
  <c r="L46" i="10"/>
  <c r="O49" i="27"/>
  <c r="P49" i="27" s="1"/>
  <c r="Q60" i="13"/>
  <c r="O60" i="13"/>
  <c r="I49" i="28"/>
  <c r="X49" i="28" s="1"/>
  <c r="M60" i="13"/>
  <c r="O65" i="13"/>
  <c r="S79" i="10"/>
  <c r="S60" i="9"/>
  <c r="S81" i="10"/>
  <c r="S78" i="10"/>
  <c r="S80" i="10"/>
  <c r="V49" i="28"/>
  <c r="V6" i="28"/>
  <c r="M6" i="28"/>
  <c r="N6" i="28" s="1"/>
  <c r="H49" i="28"/>
  <c r="N49" i="27"/>
  <c r="S74" i="12"/>
  <c r="L15" i="10"/>
  <c r="S75" i="10"/>
  <c r="M103" i="13"/>
  <c r="Q11" i="14"/>
  <c r="O33" i="12"/>
  <c r="X38" i="12"/>
  <c r="W38" i="12" s="1"/>
  <c r="S38" i="9"/>
  <c r="L44" i="14"/>
  <c r="P44" i="14" s="1"/>
  <c r="O44" i="14" s="1"/>
  <c r="M30" i="14"/>
  <c r="M11" i="11"/>
  <c r="M30" i="11"/>
  <c r="AB55" i="13"/>
  <c r="AA55" i="13" s="1"/>
  <c r="K41" i="11"/>
  <c r="M41" i="11"/>
  <c r="M41" i="12"/>
  <c r="L96" i="9"/>
  <c r="T60" i="14"/>
  <c r="W60" i="14" s="1"/>
  <c r="T62" i="11"/>
  <c r="X62" i="11" s="1"/>
  <c r="W62" i="11" s="1"/>
  <c r="T76" i="12"/>
  <c r="X76" i="12" s="1"/>
  <c r="S61" i="9"/>
  <c r="X95" i="13"/>
  <c r="W95" i="13" s="1"/>
  <c r="S39" i="33"/>
  <c r="O39" i="33"/>
  <c r="O9" i="9"/>
  <c r="H12" i="36"/>
  <c r="G9" i="9"/>
  <c r="F12" i="36"/>
  <c r="K30" i="11"/>
  <c r="H15" i="12"/>
  <c r="M15" i="12" s="1"/>
  <c r="W78" i="14"/>
  <c r="K60" i="13"/>
  <c r="L40" i="13"/>
  <c r="W25" i="13"/>
  <c r="T33" i="11"/>
  <c r="S33" i="11" s="1"/>
  <c r="H16" i="36"/>
  <c r="S9" i="10"/>
  <c r="O9" i="10"/>
  <c r="P11" i="10"/>
  <c r="Q11" i="10" s="1"/>
  <c r="S21" i="9"/>
  <c r="T21" i="9"/>
  <c r="W72" i="14"/>
  <c r="W63" i="11"/>
  <c r="S63" i="11"/>
  <c r="S60" i="11"/>
  <c r="P66" i="11"/>
  <c r="W60" i="11"/>
  <c r="S9" i="12"/>
  <c r="H7" i="36"/>
  <c r="P11" i="12"/>
  <c r="O9" i="11"/>
  <c r="T9" i="11"/>
  <c r="T33" i="14"/>
  <c r="X33" i="14" s="1"/>
  <c r="W33" i="14" s="1"/>
  <c r="O40" i="33"/>
  <c r="S40" i="33"/>
  <c r="O51" i="32"/>
  <c r="S51" i="32"/>
  <c r="O41" i="9"/>
  <c r="AB28" i="12"/>
  <c r="X89" i="12"/>
  <c r="AB85" i="12"/>
  <c r="AB89" i="12" s="1"/>
  <c r="P57" i="32"/>
  <c r="S48" i="32"/>
  <c r="L45" i="9"/>
  <c r="O45" i="9" s="1"/>
  <c r="L46" i="9"/>
  <c r="O46" i="9" s="1"/>
  <c r="T48" i="9"/>
  <c r="X48" i="9" s="1"/>
  <c r="O11" i="14"/>
  <c r="P15" i="14"/>
  <c r="Q15" i="14" s="1"/>
  <c r="O37" i="33"/>
  <c r="S37" i="33"/>
  <c r="O54" i="32"/>
  <c r="S54" i="32"/>
  <c r="L47" i="9"/>
  <c r="O47" i="9" s="1"/>
  <c r="O34" i="33"/>
  <c r="P43" i="33"/>
  <c r="S34" i="33"/>
  <c r="O53" i="32"/>
  <c r="S53" i="32"/>
  <c r="K49" i="27"/>
  <c r="W64" i="12"/>
  <c r="W61" i="12"/>
  <c r="G103" i="13"/>
  <c r="X83" i="13"/>
  <c r="AB83" i="13" s="1"/>
  <c r="K103" i="13"/>
  <c r="K85" i="13"/>
  <c r="T79" i="13"/>
  <c r="X79" i="13" s="1"/>
  <c r="X91" i="13"/>
  <c r="AB91" i="13" s="1"/>
  <c r="L47" i="14"/>
  <c r="K47" i="14" s="1"/>
  <c r="L50" i="14"/>
  <c r="L46" i="14"/>
  <c r="L49" i="14"/>
  <c r="L45" i="14"/>
  <c r="P41" i="14"/>
  <c r="P45" i="14" s="1"/>
  <c r="T26" i="14"/>
  <c r="S26" i="14"/>
  <c r="K30" i="14"/>
  <c r="W28" i="14"/>
  <c r="H53" i="14"/>
  <c r="W37" i="14"/>
  <c r="S34" i="14"/>
  <c r="T34" i="14"/>
  <c r="X34" i="14" s="1"/>
  <c r="X37" i="14"/>
  <c r="AA37" i="14" s="1"/>
  <c r="AB24" i="14"/>
  <c r="AA24" i="14"/>
  <c r="T25" i="14"/>
  <c r="S25" i="14"/>
  <c r="P66" i="14"/>
  <c r="S66" i="14" s="1"/>
  <c r="T59" i="14"/>
  <c r="S59" i="14"/>
  <c r="W64" i="14"/>
  <c r="X64" i="14"/>
  <c r="T71" i="14"/>
  <c r="S71" i="14"/>
  <c r="O41" i="14"/>
  <c r="K41" i="14"/>
  <c r="T77" i="14"/>
  <c r="S77" i="14"/>
  <c r="X35" i="14"/>
  <c r="W35" i="14" s="1"/>
  <c r="T23" i="14"/>
  <c r="S23" i="14"/>
  <c r="X60" i="14"/>
  <c r="H102" i="14"/>
  <c r="K13" i="14"/>
  <c r="G13" i="14"/>
  <c r="T61" i="14"/>
  <c r="S61" i="14"/>
  <c r="X89" i="14"/>
  <c r="AB85" i="14"/>
  <c r="AB89" i="14" s="1"/>
  <c r="X9" i="14"/>
  <c r="W9" i="14" s="1"/>
  <c r="T11" i="14"/>
  <c r="S11" i="14" s="1"/>
  <c r="T27" i="14"/>
  <c r="S27" i="14"/>
  <c r="AB72" i="14"/>
  <c r="AA72" i="14"/>
  <c r="T69" i="14"/>
  <c r="S69" i="14"/>
  <c r="T63" i="14"/>
  <c r="S63" i="14"/>
  <c r="P30" i="14"/>
  <c r="Q30" i="14" s="1"/>
  <c r="S21" i="14"/>
  <c r="G47" i="14"/>
  <c r="AB78" i="14"/>
  <c r="AA78" i="14"/>
  <c r="T75" i="14"/>
  <c r="S75" i="14"/>
  <c r="AB74" i="14"/>
  <c r="AA74" i="14"/>
  <c r="T48" i="14"/>
  <c r="S48" i="14" s="1"/>
  <c r="AB37" i="14"/>
  <c r="S9" i="14"/>
  <c r="AB62" i="14"/>
  <c r="AA62" i="14"/>
  <c r="AB28" i="14"/>
  <c r="AA28" i="14"/>
  <c r="T38" i="14"/>
  <c r="S38" i="14" s="1"/>
  <c r="AB76" i="14"/>
  <c r="AA76" i="14"/>
  <c r="L102" i="14"/>
  <c r="O13" i="14"/>
  <c r="H15" i="14"/>
  <c r="I15" i="14" s="1"/>
  <c r="T73" i="14"/>
  <c r="S73" i="14"/>
  <c r="AB80" i="14"/>
  <c r="AA80" i="14"/>
  <c r="AB22" i="14"/>
  <c r="AA22" i="14"/>
  <c r="AB70" i="14"/>
  <c r="AA70" i="14"/>
  <c r="X65" i="14"/>
  <c r="W65" i="14"/>
  <c r="T79" i="14"/>
  <c r="S79" i="14"/>
  <c r="AB99" i="13"/>
  <c r="AA99" i="13" s="1"/>
  <c r="T80" i="13"/>
  <c r="S80" i="13"/>
  <c r="AB97" i="13"/>
  <c r="AA97" i="13" s="1"/>
  <c r="X27" i="13"/>
  <c r="W27" i="13" s="1"/>
  <c r="X29" i="13"/>
  <c r="W29" i="13" s="1"/>
  <c r="X26" i="13"/>
  <c r="W26" i="13" s="1"/>
  <c r="AB25" i="13"/>
  <c r="X57" i="13"/>
  <c r="W57" i="13" s="1"/>
  <c r="AB54" i="13"/>
  <c r="AA54" i="13" s="1"/>
  <c r="X53" i="13"/>
  <c r="W53" i="13" s="1"/>
  <c r="X110" i="13"/>
  <c r="AB106" i="13"/>
  <c r="AB110" i="13" s="1"/>
  <c r="X81" i="13"/>
  <c r="W81" i="13"/>
  <c r="S78" i="13"/>
  <c r="T84" i="13"/>
  <c r="S84" i="13"/>
  <c r="T82" i="13"/>
  <c r="S82" i="13"/>
  <c r="T67" i="13"/>
  <c r="S67" i="13" s="1"/>
  <c r="AB93" i="13"/>
  <c r="AA93" i="13" s="1"/>
  <c r="AB89" i="13"/>
  <c r="AA89" i="13" s="1"/>
  <c r="X28" i="13"/>
  <c r="W28" i="13" s="1"/>
  <c r="AB43" i="13"/>
  <c r="K15" i="12"/>
  <c r="X80" i="12"/>
  <c r="AB80" i="12" s="1"/>
  <c r="S25" i="12"/>
  <c r="T25" i="12"/>
  <c r="K41" i="12"/>
  <c r="X23" i="12"/>
  <c r="W23" i="12"/>
  <c r="P30" i="12"/>
  <c r="X36" i="12"/>
  <c r="W36" i="12" s="1"/>
  <c r="T77" i="12"/>
  <c r="S77" i="12"/>
  <c r="S24" i="12"/>
  <c r="T24" i="12"/>
  <c r="W72" i="12"/>
  <c r="X72" i="12"/>
  <c r="K13" i="12"/>
  <c r="AA27" i="12"/>
  <c r="AB27" i="12"/>
  <c r="AB38" i="12"/>
  <c r="AA38" i="12" s="1"/>
  <c r="S39" i="12"/>
  <c r="W74" i="12"/>
  <c r="X74" i="12"/>
  <c r="T60" i="12"/>
  <c r="S60" i="12"/>
  <c r="X34" i="12"/>
  <c r="W34" i="12" s="1"/>
  <c r="K44" i="12"/>
  <c r="H53" i="12"/>
  <c r="I53" i="12" s="1"/>
  <c r="T71" i="12"/>
  <c r="S71" i="12"/>
  <c r="T75" i="12"/>
  <c r="S75" i="12"/>
  <c r="X21" i="12"/>
  <c r="W21" i="12"/>
  <c r="T33" i="12"/>
  <c r="S33" i="12" s="1"/>
  <c r="T79" i="12"/>
  <c r="S79" i="12"/>
  <c r="AB78" i="12"/>
  <c r="AA78" i="12"/>
  <c r="T73" i="12"/>
  <c r="S73" i="12"/>
  <c r="D103" i="12"/>
  <c r="G13" i="12"/>
  <c r="T69" i="12"/>
  <c r="S69" i="12"/>
  <c r="T35" i="12"/>
  <c r="S35" i="12" s="1"/>
  <c r="S37" i="12"/>
  <c r="S65" i="12"/>
  <c r="T65" i="12"/>
  <c r="AB61" i="12"/>
  <c r="AA61" i="12"/>
  <c r="W70" i="12"/>
  <c r="X70" i="12"/>
  <c r="T48" i="12"/>
  <c r="S48" i="12" s="1"/>
  <c r="S63" i="12"/>
  <c r="T63" i="12"/>
  <c r="O30" i="12"/>
  <c r="T22" i="12"/>
  <c r="S22" i="12"/>
  <c r="D15" i="12"/>
  <c r="I15" i="12" s="1"/>
  <c r="P66" i="12"/>
  <c r="S66" i="12" s="1"/>
  <c r="T59" i="12"/>
  <c r="S59" i="12"/>
  <c r="AA64" i="12"/>
  <c r="AB64" i="12"/>
  <c r="T62" i="12"/>
  <c r="S62" i="12"/>
  <c r="H15" i="11"/>
  <c r="G13" i="11"/>
  <c r="O66" i="11"/>
  <c r="S38" i="11"/>
  <c r="T38" i="11"/>
  <c r="AA28" i="11"/>
  <c r="AB28" i="11"/>
  <c r="K50" i="11"/>
  <c r="K47" i="11"/>
  <c r="K49" i="11"/>
  <c r="K46" i="11"/>
  <c r="X64" i="11"/>
  <c r="W64" i="11"/>
  <c r="G50" i="11"/>
  <c r="T74" i="11"/>
  <c r="S74" i="11"/>
  <c r="X71" i="11"/>
  <c r="W71" i="11"/>
  <c r="X39" i="11"/>
  <c r="W39" i="11"/>
  <c r="AB21" i="11"/>
  <c r="AA21" i="11" s="1"/>
  <c r="P41" i="11"/>
  <c r="AB37" i="11"/>
  <c r="AA37" i="11"/>
  <c r="L15" i="11"/>
  <c r="AB26" i="11"/>
  <c r="AA26" i="11"/>
  <c r="G49" i="11"/>
  <c r="X77" i="11"/>
  <c r="W77" i="11"/>
  <c r="X75" i="11"/>
  <c r="W75" i="11"/>
  <c r="T70" i="11"/>
  <c r="S70" i="11"/>
  <c r="S69" i="11"/>
  <c r="X24" i="11"/>
  <c r="W24" i="11"/>
  <c r="X79" i="11"/>
  <c r="W79" i="11"/>
  <c r="T76" i="11"/>
  <c r="S76" i="11"/>
  <c r="AB63" i="11"/>
  <c r="AA63" i="11" s="1"/>
  <c r="X34" i="11"/>
  <c r="W34" i="11" s="1"/>
  <c r="G47" i="11"/>
  <c r="S65" i="11"/>
  <c r="T65" i="11"/>
  <c r="W23" i="11"/>
  <c r="X23" i="11"/>
  <c r="P30" i="11"/>
  <c r="T80" i="11"/>
  <c r="S80" i="11"/>
  <c r="T48" i="11"/>
  <c r="S48" i="11" s="1"/>
  <c r="H53" i="11"/>
  <c r="I53" i="11" s="1"/>
  <c r="G44" i="11"/>
  <c r="K44" i="11"/>
  <c r="T72" i="11"/>
  <c r="S72" i="11"/>
  <c r="T78" i="11"/>
  <c r="S78" i="11"/>
  <c r="AB61" i="11"/>
  <c r="AA61" i="11" s="1"/>
  <c r="T36" i="11"/>
  <c r="S36" i="11"/>
  <c r="K11" i="11"/>
  <c r="S25" i="11"/>
  <c r="T25" i="11"/>
  <c r="T35" i="11"/>
  <c r="S35" i="11"/>
  <c r="X73" i="11"/>
  <c r="W73" i="11"/>
  <c r="T27" i="11"/>
  <c r="S27" i="11"/>
  <c r="X59" i="11"/>
  <c r="W59" i="11"/>
  <c r="H96" i="11"/>
  <c r="S9" i="11"/>
  <c r="P11" i="11"/>
  <c r="X28" i="10"/>
  <c r="W28" i="10"/>
  <c r="X25" i="10"/>
  <c r="W25" i="10"/>
  <c r="S60" i="10"/>
  <c r="K67" i="10"/>
  <c r="O41" i="10"/>
  <c r="K50" i="10"/>
  <c r="X72" i="10"/>
  <c r="W72" i="10" s="1"/>
  <c r="AB36" i="10"/>
  <c r="AA36" i="10"/>
  <c r="T48" i="10"/>
  <c r="T39" i="10"/>
  <c r="S39" i="10"/>
  <c r="S64" i="10"/>
  <c r="T37" i="10"/>
  <c r="S37" i="10"/>
  <c r="W77" i="10"/>
  <c r="X77" i="10"/>
  <c r="H99" i="10"/>
  <c r="K13" i="10"/>
  <c r="AB23" i="10"/>
  <c r="AA23" i="10" s="1"/>
  <c r="P67" i="10"/>
  <c r="S59" i="10"/>
  <c r="X99" i="10"/>
  <c r="AA13" i="10"/>
  <c r="L99" i="10"/>
  <c r="O13" i="10"/>
  <c r="AB27" i="10"/>
  <c r="AA27" i="10"/>
  <c r="T35" i="10"/>
  <c r="S35" i="10"/>
  <c r="AB21" i="10"/>
  <c r="AA21" i="10" s="1"/>
  <c r="P41" i="10"/>
  <c r="S33" i="10"/>
  <c r="T33" i="10"/>
  <c r="H53" i="10"/>
  <c r="K44" i="10"/>
  <c r="H15" i="10"/>
  <c r="X34" i="10"/>
  <c r="W34" i="10"/>
  <c r="W79" i="10"/>
  <c r="X79" i="10"/>
  <c r="X73" i="10"/>
  <c r="W73" i="10" s="1"/>
  <c r="W75" i="10"/>
  <c r="X75" i="10"/>
  <c r="X80" i="10"/>
  <c r="W80" i="10"/>
  <c r="X76" i="10"/>
  <c r="W76" i="10"/>
  <c r="D99" i="10"/>
  <c r="G13" i="10"/>
  <c r="AB13" i="10" s="1"/>
  <c r="X78" i="10"/>
  <c r="W78" i="10"/>
  <c r="S62" i="10"/>
  <c r="T99" i="10"/>
  <c r="W13" i="10"/>
  <c r="AB38" i="10"/>
  <c r="AA38" i="10"/>
  <c r="T24" i="10"/>
  <c r="S24" i="10"/>
  <c r="P30" i="10"/>
  <c r="S66" i="10"/>
  <c r="T66" i="10"/>
  <c r="T26" i="10"/>
  <c r="S26" i="10"/>
  <c r="X71" i="10"/>
  <c r="W71" i="10" s="1"/>
  <c r="S61" i="10"/>
  <c r="W81" i="10"/>
  <c r="X81" i="10"/>
  <c r="S70" i="10"/>
  <c r="T65" i="10"/>
  <c r="S65" i="10"/>
  <c r="X74" i="10"/>
  <c r="W74" i="10"/>
  <c r="K66" i="9"/>
  <c r="W35" i="9"/>
  <c r="X35" i="9"/>
  <c r="S37" i="9"/>
  <c r="T37" i="9"/>
  <c r="W23" i="9"/>
  <c r="X23" i="9"/>
  <c r="T73" i="9"/>
  <c r="S73" i="9"/>
  <c r="T69" i="9"/>
  <c r="S69" i="9"/>
  <c r="T70" i="9"/>
  <c r="S70" i="9"/>
  <c r="T79" i="9"/>
  <c r="S79" i="9"/>
  <c r="W48" i="9"/>
  <c r="P66" i="9"/>
  <c r="T59" i="9"/>
  <c r="S59" i="9"/>
  <c r="X36" i="9"/>
  <c r="W36" i="9"/>
  <c r="AB26" i="9"/>
  <c r="AA26" i="9"/>
  <c r="W60" i="9"/>
  <c r="X60" i="9"/>
  <c r="T34" i="9"/>
  <c r="S34" i="9"/>
  <c r="P41" i="9"/>
  <c r="X61" i="9"/>
  <c r="W61" i="9"/>
  <c r="P44" i="9"/>
  <c r="S30" i="9"/>
  <c r="AB39" i="9"/>
  <c r="AA39" i="9"/>
  <c r="H53" i="9"/>
  <c r="K44" i="9"/>
  <c r="T77" i="9"/>
  <c r="S77" i="9"/>
  <c r="X63" i="9"/>
  <c r="W63" i="9"/>
  <c r="D15" i="9"/>
  <c r="H11" i="9"/>
  <c r="I11" i="9" s="1"/>
  <c r="K9" i="9"/>
  <c r="S78" i="9"/>
  <c r="W51" i="9"/>
  <c r="X51" i="9"/>
  <c r="AB33" i="9"/>
  <c r="AA33" i="9"/>
  <c r="T30" i="9"/>
  <c r="T74" i="9"/>
  <c r="S74" i="9"/>
  <c r="T76" i="9"/>
  <c r="S76" i="9"/>
  <c r="S62" i="9"/>
  <c r="T4" i="9"/>
  <c r="S9" i="9" s="1"/>
  <c r="X1" i="9"/>
  <c r="X27" i="9"/>
  <c r="W27" i="9"/>
  <c r="X65" i="9"/>
  <c r="W65" i="9"/>
  <c r="P11" i="9"/>
  <c r="AB24" i="9"/>
  <c r="AA24" i="9"/>
  <c r="T64" i="9"/>
  <c r="S64" i="9"/>
  <c r="T71" i="9"/>
  <c r="S71" i="9"/>
  <c r="W28" i="9"/>
  <c r="X28" i="9"/>
  <c r="T75" i="9"/>
  <c r="S75" i="9"/>
  <c r="X38" i="9"/>
  <c r="W38" i="9"/>
  <c r="X25" i="9"/>
  <c r="W25" i="9"/>
  <c r="T72" i="9"/>
  <c r="S72" i="9"/>
  <c r="O44" i="9"/>
  <c r="S52" i="9"/>
  <c r="T52" i="9"/>
  <c r="T80" i="9"/>
  <c r="S80" i="9"/>
  <c r="Q43" i="33" l="1"/>
  <c r="U43" i="33"/>
  <c r="Q57" i="32"/>
  <c r="U57" i="32"/>
  <c r="Q30" i="11"/>
  <c r="P44" i="11"/>
  <c r="S48" i="10"/>
  <c r="I29" i="27"/>
  <c r="P45" i="11"/>
  <c r="P50" i="11"/>
  <c r="P47" i="11"/>
  <c r="O47" i="11" s="1"/>
  <c r="P46" i="11"/>
  <c r="P49" i="11"/>
  <c r="O85" i="13"/>
  <c r="P50" i="10"/>
  <c r="O50" i="10" s="1"/>
  <c r="P49" i="10"/>
  <c r="P45" i="10"/>
  <c r="P47" i="10"/>
  <c r="P46" i="10"/>
  <c r="K49" i="10"/>
  <c r="P44" i="10"/>
  <c r="O46" i="10"/>
  <c r="Q49" i="28"/>
  <c r="R49" i="28" s="1"/>
  <c r="K64" i="13"/>
  <c r="O64" i="13"/>
  <c r="K15" i="10"/>
  <c r="AB62" i="11"/>
  <c r="AA62" i="11" s="1"/>
  <c r="K44" i="14"/>
  <c r="W49" i="28"/>
  <c r="O49" i="28"/>
  <c r="P49" i="28" s="1"/>
  <c r="O11" i="9"/>
  <c r="Q11" i="12"/>
  <c r="P13" i="11"/>
  <c r="P15" i="11" s="1"/>
  <c r="Q15" i="11" s="1"/>
  <c r="Q11" i="11"/>
  <c r="I15" i="10"/>
  <c r="M15" i="10"/>
  <c r="G15" i="11"/>
  <c r="I15" i="11"/>
  <c r="M15" i="11"/>
  <c r="M11" i="9"/>
  <c r="M15" i="14"/>
  <c r="K63" i="13"/>
  <c r="M40" i="13"/>
  <c r="O41" i="11"/>
  <c r="Q41" i="11"/>
  <c r="G53" i="10"/>
  <c r="I53" i="10"/>
  <c r="O30" i="10"/>
  <c r="Q30" i="10"/>
  <c r="Q41" i="12"/>
  <c r="O45" i="12"/>
  <c r="Q11" i="9"/>
  <c r="W76" i="12"/>
  <c r="AB95" i="13"/>
  <c r="AA95" i="13" s="1"/>
  <c r="O67" i="10"/>
  <c r="Q67" i="10"/>
  <c r="O66" i="9"/>
  <c r="Q66" i="9"/>
  <c r="G53" i="14"/>
  <c r="I53" i="14"/>
  <c r="L53" i="9"/>
  <c r="O53" i="9" s="1"/>
  <c r="G11" i="9"/>
  <c r="X33" i="11"/>
  <c r="W33" i="11" s="1"/>
  <c r="G15" i="12"/>
  <c r="K65" i="13"/>
  <c r="K40" i="13"/>
  <c r="T40" i="13"/>
  <c r="P40" i="13"/>
  <c r="AA25" i="13"/>
  <c r="S11" i="10"/>
  <c r="P13" i="10"/>
  <c r="O11" i="10"/>
  <c r="W21" i="9"/>
  <c r="X21" i="9"/>
  <c r="AA83" i="13"/>
  <c r="X9" i="12"/>
  <c r="W9" i="12" s="1"/>
  <c r="T11" i="12"/>
  <c r="O11" i="12"/>
  <c r="O57" i="32"/>
  <c r="P59" i="32"/>
  <c r="U59" i="32" s="1"/>
  <c r="S57" i="32"/>
  <c r="L49" i="27"/>
  <c r="L49" i="28" s="1"/>
  <c r="K49" i="28"/>
  <c r="O43" i="33"/>
  <c r="P45" i="33"/>
  <c r="U45" i="33" s="1"/>
  <c r="P95" i="33"/>
  <c r="S43" i="33"/>
  <c r="X9" i="11"/>
  <c r="W9" i="11" s="1"/>
  <c r="T11" i="11"/>
  <c r="S11" i="11" s="1"/>
  <c r="G53" i="12"/>
  <c r="X101" i="13"/>
  <c r="W101" i="13" s="1"/>
  <c r="X100" i="13"/>
  <c r="W100" i="13" s="1"/>
  <c r="W91" i="13"/>
  <c r="AA91" i="13"/>
  <c r="W79" i="13"/>
  <c r="H72" i="13"/>
  <c r="I72" i="13" s="1"/>
  <c r="P46" i="14"/>
  <c r="H55" i="14"/>
  <c r="X26" i="14"/>
  <c r="W26" i="14"/>
  <c r="O30" i="14"/>
  <c r="W34" i="14"/>
  <c r="AB34" i="14"/>
  <c r="AA34" i="14"/>
  <c r="O15" i="14"/>
  <c r="X79" i="14"/>
  <c r="W79" i="14"/>
  <c r="K15" i="14"/>
  <c r="G15" i="14"/>
  <c r="X75" i="14"/>
  <c r="W75" i="14"/>
  <c r="X69" i="14"/>
  <c r="W69" i="14"/>
  <c r="T30" i="14"/>
  <c r="S30" i="14" s="1"/>
  <c r="X21" i="14"/>
  <c r="W21" i="14" s="1"/>
  <c r="W63" i="14"/>
  <c r="X63" i="14"/>
  <c r="AB60" i="14"/>
  <c r="AA60" i="14"/>
  <c r="X77" i="14"/>
  <c r="W77" i="14"/>
  <c r="K50" i="14"/>
  <c r="T66" i="14"/>
  <c r="W66" i="14" s="1"/>
  <c r="X59" i="14"/>
  <c r="W59" i="14"/>
  <c r="P47" i="14"/>
  <c r="P102" i="14"/>
  <c r="X38" i="14"/>
  <c r="W38" i="14" s="1"/>
  <c r="W48" i="14"/>
  <c r="X48" i="14"/>
  <c r="X27" i="14"/>
  <c r="W27" i="14"/>
  <c r="T13" i="14"/>
  <c r="T15" i="14" s="1"/>
  <c r="O46" i="14"/>
  <c r="K46" i="14"/>
  <c r="X71" i="14"/>
  <c r="W71" i="14"/>
  <c r="AB33" i="14"/>
  <c r="AA33" i="14"/>
  <c r="P50" i="14"/>
  <c r="O50" i="14" s="1"/>
  <c r="AB65" i="14"/>
  <c r="AA65" i="14"/>
  <c r="X73" i="14"/>
  <c r="W73" i="14"/>
  <c r="X11" i="14"/>
  <c r="W11" i="14" s="1"/>
  <c r="AB9" i="14"/>
  <c r="AB11" i="14" s="1"/>
  <c r="X61" i="14"/>
  <c r="W61" i="14"/>
  <c r="W23" i="14"/>
  <c r="X23" i="14"/>
  <c r="AB35" i="14"/>
  <c r="AA35" i="14" s="1"/>
  <c r="K49" i="14"/>
  <c r="AB64" i="14"/>
  <c r="AA64" i="14"/>
  <c r="T41" i="14"/>
  <c r="K45" i="14"/>
  <c r="O45" i="14"/>
  <c r="L53" i="14"/>
  <c r="M53" i="14" s="1"/>
  <c r="W25" i="14"/>
  <c r="X25" i="14"/>
  <c r="P49" i="14"/>
  <c r="X56" i="13"/>
  <c r="W56" i="13" s="1"/>
  <c r="S60" i="13"/>
  <c r="X24" i="13"/>
  <c r="W24" i="13" s="1"/>
  <c r="AB53" i="13"/>
  <c r="AA53" i="13" s="1"/>
  <c r="AB29" i="13"/>
  <c r="AA29" i="13" s="1"/>
  <c r="T103" i="13"/>
  <c r="X88" i="13"/>
  <c r="W88" i="13" s="1"/>
  <c r="X98" i="13"/>
  <c r="W98" i="13" s="1"/>
  <c r="W82" i="13"/>
  <c r="X82" i="13"/>
  <c r="T85" i="13"/>
  <c r="X78" i="13"/>
  <c r="W78" i="13" s="1"/>
  <c r="AB57" i="13"/>
  <c r="AA57" i="13" s="1"/>
  <c r="X80" i="13"/>
  <c r="W80" i="13"/>
  <c r="AA43" i="13"/>
  <c r="AB79" i="13"/>
  <c r="AA79" i="13"/>
  <c r="AB28" i="13"/>
  <c r="AA28" i="13" s="1"/>
  <c r="AB81" i="13"/>
  <c r="AA81" i="13"/>
  <c r="X90" i="13"/>
  <c r="W90" i="13" s="1"/>
  <c r="AB27" i="13"/>
  <c r="AA27" i="13" s="1"/>
  <c r="X96" i="13"/>
  <c r="W96" i="13" s="1"/>
  <c r="X67" i="13"/>
  <c r="W84" i="13"/>
  <c r="X84" i="13"/>
  <c r="AB26" i="13"/>
  <c r="AA26" i="13" s="1"/>
  <c r="X94" i="13"/>
  <c r="W94" i="13" s="1"/>
  <c r="X92" i="13"/>
  <c r="W92" i="13" s="1"/>
  <c r="AA80" i="12"/>
  <c r="X25" i="12"/>
  <c r="W25" i="12"/>
  <c r="K50" i="12"/>
  <c r="K47" i="12"/>
  <c r="K49" i="12"/>
  <c r="K46" i="12"/>
  <c r="S30" i="12"/>
  <c r="AB23" i="12"/>
  <c r="AA23" i="12"/>
  <c r="X63" i="12"/>
  <c r="W63" i="12"/>
  <c r="X65" i="12"/>
  <c r="W65" i="12"/>
  <c r="X73" i="12"/>
  <c r="W73" i="12"/>
  <c r="AB21" i="12"/>
  <c r="AA21" i="12"/>
  <c r="AB34" i="12"/>
  <c r="AA34" i="12" s="1"/>
  <c r="X39" i="12"/>
  <c r="W39" i="12" s="1"/>
  <c r="X62" i="12"/>
  <c r="W62" i="12"/>
  <c r="W59" i="12"/>
  <c r="T66" i="12"/>
  <c r="W66" i="12" s="1"/>
  <c r="X59" i="12"/>
  <c r="X35" i="12"/>
  <c r="W35" i="12" s="1"/>
  <c r="T41" i="12"/>
  <c r="X33" i="12"/>
  <c r="W33" i="12" s="1"/>
  <c r="H55" i="12"/>
  <c r="I55" i="12" s="1"/>
  <c r="AB76" i="12"/>
  <c r="AA76" i="12"/>
  <c r="AB70" i="12"/>
  <c r="AA70" i="12"/>
  <c r="X75" i="12"/>
  <c r="W75" i="12"/>
  <c r="X60" i="12"/>
  <c r="W60" i="12"/>
  <c r="X77" i="12"/>
  <c r="W77" i="12"/>
  <c r="X22" i="12"/>
  <c r="W22" i="12"/>
  <c r="X48" i="12"/>
  <c r="W48" i="12" s="1"/>
  <c r="X37" i="12"/>
  <c r="W37" i="12" s="1"/>
  <c r="P49" i="12"/>
  <c r="O49" i="12" s="1"/>
  <c r="P50" i="12"/>
  <c r="T30" i="12"/>
  <c r="S44" i="12" s="1"/>
  <c r="AB74" i="12"/>
  <c r="AA74" i="12"/>
  <c r="AB72" i="12"/>
  <c r="AA72" i="12"/>
  <c r="X24" i="12"/>
  <c r="W24" i="12"/>
  <c r="L53" i="12"/>
  <c r="M53" i="12" s="1"/>
  <c r="O44" i="12"/>
  <c r="X69" i="12"/>
  <c r="W69" i="12"/>
  <c r="X79" i="12"/>
  <c r="W79" i="12"/>
  <c r="X71" i="12"/>
  <c r="W71" i="12"/>
  <c r="AB36" i="12"/>
  <c r="AA36" i="12" s="1"/>
  <c r="T41" i="11"/>
  <c r="T45" i="11" s="1"/>
  <c r="K45" i="11"/>
  <c r="K13" i="11"/>
  <c r="K15" i="11"/>
  <c r="X65" i="11"/>
  <c r="X66" i="11" s="1"/>
  <c r="W65" i="11"/>
  <c r="AB24" i="11"/>
  <c r="AA24" i="11"/>
  <c r="T66" i="11"/>
  <c r="W80" i="11"/>
  <c r="X80" i="11"/>
  <c r="AA23" i="11"/>
  <c r="AB23" i="11"/>
  <c r="L53" i="11"/>
  <c r="M53" i="11" s="1"/>
  <c r="AB59" i="11"/>
  <c r="AA59" i="11" s="1"/>
  <c r="AB73" i="11"/>
  <c r="AA73" i="11"/>
  <c r="X25" i="11"/>
  <c r="W25" i="11"/>
  <c r="W36" i="11"/>
  <c r="X36" i="11"/>
  <c r="W78" i="11"/>
  <c r="X78" i="11"/>
  <c r="X48" i="11"/>
  <c r="W48" i="11" s="1"/>
  <c r="O30" i="11"/>
  <c r="AB79" i="11"/>
  <c r="AA79" i="11"/>
  <c r="X69" i="11"/>
  <c r="W69" i="11" s="1"/>
  <c r="O11" i="11"/>
  <c r="O49" i="11"/>
  <c r="O50" i="11"/>
  <c r="W74" i="11"/>
  <c r="X74" i="11"/>
  <c r="AA64" i="11"/>
  <c r="AB64" i="11"/>
  <c r="AB39" i="11"/>
  <c r="AA39" i="11"/>
  <c r="W38" i="11"/>
  <c r="X38" i="11"/>
  <c r="X22" i="11"/>
  <c r="W22" i="11" s="1"/>
  <c r="T30" i="11"/>
  <c r="AB34" i="11"/>
  <c r="AA34" i="11" s="1"/>
  <c r="L96" i="11"/>
  <c r="X27" i="11"/>
  <c r="W27" i="11"/>
  <c r="W35" i="11"/>
  <c r="X35" i="11"/>
  <c r="X72" i="11"/>
  <c r="H55" i="11"/>
  <c r="I55" i="11" s="1"/>
  <c r="G53" i="11"/>
  <c r="S22" i="11"/>
  <c r="W76" i="11"/>
  <c r="X76" i="11"/>
  <c r="W70" i="11"/>
  <c r="X70" i="11"/>
  <c r="AB75" i="11"/>
  <c r="AA75" i="11"/>
  <c r="AB77" i="11"/>
  <c r="AA77" i="11"/>
  <c r="AB71" i="11"/>
  <c r="AA71" i="11" s="1"/>
  <c r="X60" i="10"/>
  <c r="W60" i="10" s="1"/>
  <c r="AB28" i="10"/>
  <c r="AA28" i="10"/>
  <c r="AB25" i="10"/>
  <c r="AA25" i="10"/>
  <c r="L53" i="10"/>
  <c r="K47" i="10"/>
  <c r="G15" i="10"/>
  <c r="X66" i="10"/>
  <c r="W66" i="10"/>
  <c r="AB75" i="10"/>
  <c r="AA75" i="10"/>
  <c r="AB76" i="10"/>
  <c r="AA76" i="10"/>
  <c r="AA34" i="10"/>
  <c r="AB34" i="10"/>
  <c r="T41" i="10"/>
  <c r="W33" i="10"/>
  <c r="X33" i="10"/>
  <c r="X64" i="10"/>
  <c r="W64" i="10" s="1"/>
  <c r="AB74" i="10"/>
  <c r="AA74" i="10"/>
  <c r="X61" i="10"/>
  <c r="W61" i="10" s="1"/>
  <c r="AB99" i="10"/>
  <c r="AB15" i="10"/>
  <c r="AB73" i="10"/>
  <c r="AA73" i="10" s="1"/>
  <c r="H55" i="10"/>
  <c r="X35" i="10"/>
  <c r="W35" i="10"/>
  <c r="X59" i="10"/>
  <c r="W59" i="10" s="1"/>
  <c r="T67" i="10"/>
  <c r="S67" i="10" s="1"/>
  <c r="AB71" i="10"/>
  <c r="AA71" i="10" s="1"/>
  <c r="W24" i="10"/>
  <c r="X24" i="10"/>
  <c r="T30" i="10"/>
  <c r="S30" i="10" s="1"/>
  <c r="X70" i="10"/>
  <c r="W70" i="10" s="1"/>
  <c r="X26" i="10"/>
  <c r="W26" i="10"/>
  <c r="X62" i="10"/>
  <c r="W62" i="10" s="1"/>
  <c r="AB80" i="10"/>
  <c r="AA80" i="10"/>
  <c r="S45" i="10"/>
  <c r="S41" i="10"/>
  <c r="AB81" i="10"/>
  <c r="AA81" i="10"/>
  <c r="X37" i="10"/>
  <c r="W37" i="10"/>
  <c r="X39" i="10"/>
  <c r="W39" i="10"/>
  <c r="X65" i="10"/>
  <c r="W65" i="10"/>
  <c r="AB79" i="10"/>
  <c r="AA79" i="10"/>
  <c r="AB78" i="10"/>
  <c r="AA78" i="10"/>
  <c r="AB77" i="10"/>
  <c r="AA77" i="10"/>
  <c r="X48" i="10"/>
  <c r="W48" i="10" s="1"/>
  <c r="AB72" i="10"/>
  <c r="AA72" i="10" s="1"/>
  <c r="L15" i="9"/>
  <c r="AB35" i="9"/>
  <c r="AA35" i="9"/>
  <c r="W37" i="9"/>
  <c r="X37" i="9"/>
  <c r="W80" i="9"/>
  <c r="X80" i="9"/>
  <c r="X77" i="9"/>
  <c r="W77" i="9"/>
  <c r="AB61" i="9"/>
  <c r="AA61" i="9"/>
  <c r="AB36" i="9"/>
  <c r="AA36" i="9"/>
  <c r="X69" i="9"/>
  <c r="W69" i="9"/>
  <c r="AA25" i="9"/>
  <c r="AB25" i="9"/>
  <c r="X75" i="9"/>
  <c r="W75" i="9"/>
  <c r="X71" i="9"/>
  <c r="W71" i="9"/>
  <c r="X64" i="9"/>
  <c r="W64" i="9"/>
  <c r="P96" i="9"/>
  <c r="AA27" i="9"/>
  <c r="AB27" i="9"/>
  <c r="X62" i="9"/>
  <c r="W62" i="9" s="1"/>
  <c r="W74" i="9"/>
  <c r="X74" i="9"/>
  <c r="X78" i="9"/>
  <c r="W78" i="9" s="1"/>
  <c r="P49" i="9"/>
  <c r="S49" i="9" s="1"/>
  <c r="P47" i="9"/>
  <c r="S47" i="9" s="1"/>
  <c r="P45" i="9"/>
  <c r="S45" i="9" s="1"/>
  <c r="P46" i="9"/>
  <c r="S46" i="9" s="1"/>
  <c r="P50" i="9"/>
  <c r="S50" i="9" s="1"/>
  <c r="S41" i="9"/>
  <c r="AA60" i="9"/>
  <c r="AB60" i="9"/>
  <c r="AB48" i="9"/>
  <c r="AA48" i="9"/>
  <c r="W70" i="9"/>
  <c r="X70" i="9"/>
  <c r="AB28" i="9"/>
  <c r="AA28" i="9"/>
  <c r="AB1" i="9"/>
  <c r="AB3" i="9" s="1"/>
  <c r="AB9" i="9" s="1"/>
  <c r="AB11" i="9" s="1"/>
  <c r="X3" i="9"/>
  <c r="X9" i="9" s="1"/>
  <c r="T44" i="9"/>
  <c r="W30" i="9"/>
  <c r="AA51" i="9"/>
  <c r="AB51" i="9"/>
  <c r="AB63" i="9"/>
  <c r="AA63" i="9"/>
  <c r="K53" i="9"/>
  <c r="H55" i="9"/>
  <c r="S44" i="9"/>
  <c r="W59" i="9"/>
  <c r="T66" i="9"/>
  <c r="X59" i="9"/>
  <c r="X73" i="9"/>
  <c r="W73" i="9"/>
  <c r="W52" i="9"/>
  <c r="X52" i="9"/>
  <c r="X30" i="9"/>
  <c r="W72" i="9"/>
  <c r="X72" i="9"/>
  <c r="AB38" i="9"/>
  <c r="AA38" i="9"/>
  <c r="AB65" i="9"/>
  <c r="AA65" i="9"/>
  <c r="W9" i="9"/>
  <c r="T11" i="9"/>
  <c r="S11" i="9" s="1"/>
  <c r="W76" i="9"/>
  <c r="X76" i="9"/>
  <c r="H96" i="9"/>
  <c r="K11" i="9"/>
  <c r="X34" i="9"/>
  <c r="W34" i="9"/>
  <c r="T41" i="9"/>
  <c r="X79" i="9"/>
  <c r="W79" i="9"/>
  <c r="AB23" i="9"/>
  <c r="AA23" i="9"/>
  <c r="I57" i="2"/>
  <c r="G49" i="2"/>
  <c r="F49" i="2"/>
  <c r="E49" i="2"/>
  <c r="S41" i="12" l="1"/>
  <c r="T45" i="12"/>
  <c r="S45" i="12" s="1"/>
  <c r="U41" i="12"/>
  <c r="Y45" i="46"/>
  <c r="X45" i="46" s="1"/>
  <c r="Y45" i="44"/>
  <c r="X45" i="44" s="1"/>
  <c r="Y45" i="45"/>
  <c r="X45" i="45" s="1"/>
  <c r="Y45" i="43"/>
  <c r="X45" i="43" s="1"/>
  <c r="W45" i="43" s="1"/>
  <c r="S46" i="10"/>
  <c r="P63" i="13"/>
  <c r="P68" i="13"/>
  <c r="O68" i="13" s="1"/>
  <c r="P69" i="13"/>
  <c r="O69" i="13" s="1"/>
  <c r="P66" i="13"/>
  <c r="O66" i="13" s="1"/>
  <c r="K68" i="13"/>
  <c r="K66" i="13"/>
  <c r="Q40" i="13"/>
  <c r="Q9" i="20"/>
  <c r="Q9" i="33"/>
  <c r="Q10" i="13"/>
  <c r="Q9" i="13"/>
  <c r="G55" i="10"/>
  <c r="I55" i="10"/>
  <c r="I55" i="14"/>
  <c r="K53" i="10"/>
  <c r="M53" i="10"/>
  <c r="Q45" i="33"/>
  <c r="Q59" i="32"/>
  <c r="Y44" i="39"/>
  <c r="X44" i="39" s="1"/>
  <c r="Y44" i="40"/>
  <c r="X44" i="40" s="1"/>
  <c r="O44" i="10"/>
  <c r="P53" i="10"/>
  <c r="F52" i="37"/>
  <c r="L55" i="9"/>
  <c r="AB33" i="11"/>
  <c r="AA33" i="11" s="1"/>
  <c r="H123" i="13"/>
  <c r="G72" i="13"/>
  <c r="O40" i="13"/>
  <c r="X40" i="13"/>
  <c r="W40" i="13" s="1"/>
  <c r="O13" i="11"/>
  <c r="P15" i="10"/>
  <c r="Q15" i="10" s="1"/>
  <c r="P99" i="10"/>
  <c r="S13" i="10"/>
  <c r="AB21" i="9"/>
  <c r="AA21" i="9"/>
  <c r="L72" i="13"/>
  <c r="K69" i="13"/>
  <c r="Y46" i="34"/>
  <c r="X46" i="34" s="1"/>
  <c r="Y34" i="33"/>
  <c r="X34" i="33" s="1"/>
  <c r="Y48" i="32"/>
  <c r="X48" i="32" s="1"/>
  <c r="Y115" i="31"/>
  <c r="X115" i="31" s="1"/>
  <c r="Y54" i="30"/>
  <c r="X54" i="30" s="1"/>
  <c r="P103" i="12"/>
  <c r="O13" i="12"/>
  <c r="P15" i="12"/>
  <c r="Q15" i="12" s="1"/>
  <c r="S13" i="12"/>
  <c r="S11" i="12"/>
  <c r="AB9" i="12"/>
  <c r="AB11" i="12" s="1"/>
  <c r="X11" i="12"/>
  <c r="T15" i="11"/>
  <c r="S13" i="14"/>
  <c r="O45" i="33"/>
  <c r="S45" i="33"/>
  <c r="AB9" i="11"/>
  <c r="AB11" i="11" s="1"/>
  <c r="X11" i="11"/>
  <c r="W11" i="11" s="1"/>
  <c r="O59" i="32"/>
  <c r="S59" i="32"/>
  <c r="U9" i="15"/>
  <c r="U11" i="13"/>
  <c r="U10" i="13"/>
  <c r="Y44" i="25"/>
  <c r="X44" i="25" s="1"/>
  <c r="Y44" i="24"/>
  <c r="X44" i="24" s="1"/>
  <c r="W44" i="24" s="1"/>
  <c r="Y44" i="23"/>
  <c r="X44" i="23" s="1"/>
  <c r="Y44" i="21"/>
  <c r="X44" i="21" s="1"/>
  <c r="W44" i="21" s="1"/>
  <c r="Y44" i="15"/>
  <c r="X44" i="15" s="1"/>
  <c r="Y44" i="20"/>
  <c r="X44" i="20" s="1"/>
  <c r="Y44" i="19"/>
  <c r="X44" i="19" s="1"/>
  <c r="Y44" i="17"/>
  <c r="X44" i="17" s="1"/>
  <c r="Y44" i="18"/>
  <c r="X44" i="18" s="1"/>
  <c r="Y44" i="14"/>
  <c r="Y63" i="13"/>
  <c r="Y44" i="9"/>
  <c r="X44" i="9" s="1"/>
  <c r="Y44" i="12"/>
  <c r="Y44" i="11"/>
  <c r="Y44" i="10"/>
  <c r="F36" i="36"/>
  <c r="Q11" i="13"/>
  <c r="AB60" i="10"/>
  <c r="AA60" i="10" s="1"/>
  <c r="S103" i="13"/>
  <c r="K53" i="12"/>
  <c r="AB100" i="13"/>
  <c r="AA100" i="13" s="1"/>
  <c r="AB101" i="13"/>
  <c r="AA101" i="13" s="1"/>
  <c r="S85" i="13"/>
  <c r="H74" i="13"/>
  <c r="G55" i="14"/>
  <c r="AB26" i="14"/>
  <c r="AA26" i="14"/>
  <c r="AA25" i="14"/>
  <c r="AB25" i="14"/>
  <c r="T50" i="14"/>
  <c r="S50" i="14" s="1"/>
  <c r="T47" i="14"/>
  <c r="S47" i="14" s="1"/>
  <c r="T45" i="14"/>
  <c r="T49" i="14"/>
  <c r="S49" i="14" s="1"/>
  <c r="T46" i="14"/>
  <c r="S41" i="14"/>
  <c r="X13" i="14"/>
  <c r="X15" i="14" s="1"/>
  <c r="W15" i="14" s="1"/>
  <c r="AA11" i="14"/>
  <c r="T102" i="14"/>
  <c r="W13" i="14"/>
  <c r="AA77" i="14"/>
  <c r="AB77" i="14"/>
  <c r="L55" i="14"/>
  <c r="M55" i="14" s="1"/>
  <c r="K53" i="14"/>
  <c r="AA61" i="14"/>
  <c r="AB61" i="14"/>
  <c r="AA71" i="14"/>
  <c r="AB71" i="14"/>
  <c r="AA27" i="14"/>
  <c r="AB27" i="14"/>
  <c r="AA38" i="14"/>
  <c r="AB38" i="14"/>
  <c r="AB41" i="14" s="1"/>
  <c r="X30" i="14"/>
  <c r="AB21" i="14"/>
  <c r="AA21" i="14" s="1"/>
  <c r="AA75" i="14"/>
  <c r="AB75" i="14"/>
  <c r="AA79" i="14"/>
  <c r="AB79" i="14"/>
  <c r="AA23" i="14"/>
  <c r="AB23" i="14"/>
  <c r="AB13" i="14"/>
  <c r="AB102" i="14" s="1"/>
  <c r="P53" i="14"/>
  <c r="Q53" i="14" s="1"/>
  <c r="AB48" i="14"/>
  <c r="AA48" i="14" s="1"/>
  <c r="O47" i="14"/>
  <c r="AA69" i="14"/>
  <c r="AB69" i="14"/>
  <c r="O49" i="14"/>
  <c r="AA9" i="14"/>
  <c r="AA73" i="14"/>
  <c r="AB73" i="14"/>
  <c r="X41" i="14"/>
  <c r="W41" i="14" s="1"/>
  <c r="X66" i="14"/>
  <c r="AA66" i="14" s="1"/>
  <c r="AA59" i="14"/>
  <c r="AB59" i="14"/>
  <c r="AB63" i="14"/>
  <c r="AA63" i="14"/>
  <c r="T44" i="14"/>
  <c r="W30" i="14"/>
  <c r="S15" i="14"/>
  <c r="AB67" i="13"/>
  <c r="AA67" i="13" s="1"/>
  <c r="AA82" i="13"/>
  <c r="AB82" i="13"/>
  <c r="AB24" i="13"/>
  <c r="AB40" i="13" s="1"/>
  <c r="AB96" i="13"/>
  <c r="AA96" i="13" s="1"/>
  <c r="AB90" i="13"/>
  <c r="AA90" i="13" s="1"/>
  <c r="T63" i="13"/>
  <c r="AB94" i="13"/>
  <c r="AA94" i="13" s="1"/>
  <c r="W67" i="13"/>
  <c r="AA80" i="13"/>
  <c r="AB80" i="13"/>
  <c r="X85" i="13"/>
  <c r="W85" i="13" s="1"/>
  <c r="AB78" i="13"/>
  <c r="AA78" i="13" s="1"/>
  <c r="AB98" i="13"/>
  <c r="AA98" i="13" s="1"/>
  <c r="X103" i="13"/>
  <c r="AB88" i="13"/>
  <c r="AA88" i="13" s="1"/>
  <c r="T64" i="13"/>
  <c r="S64" i="13" s="1"/>
  <c r="T68" i="13"/>
  <c r="T65" i="13"/>
  <c r="S65" i="13" s="1"/>
  <c r="T69" i="13"/>
  <c r="T66" i="13"/>
  <c r="AB92" i="13"/>
  <c r="AA92" i="13" s="1"/>
  <c r="AB84" i="13"/>
  <c r="AA84" i="13"/>
  <c r="AB56" i="13"/>
  <c r="AB60" i="13" s="1"/>
  <c r="X60" i="13"/>
  <c r="G55" i="12"/>
  <c r="AB25" i="12"/>
  <c r="AA25" i="12"/>
  <c r="O50" i="12"/>
  <c r="O46" i="12"/>
  <c r="O47" i="12"/>
  <c r="P53" i="12"/>
  <c r="AB71" i="12"/>
  <c r="AA71" i="12"/>
  <c r="AB37" i="12"/>
  <c r="AA37" i="12" s="1"/>
  <c r="X66" i="12"/>
  <c r="AA66" i="12" s="1"/>
  <c r="AB59" i="12"/>
  <c r="AA59" i="12"/>
  <c r="AA62" i="12"/>
  <c r="AB62" i="12"/>
  <c r="L55" i="12"/>
  <c r="M55" i="12" s="1"/>
  <c r="AB69" i="12"/>
  <c r="AA69" i="12"/>
  <c r="AA24" i="12"/>
  <c r="AB24" i="12"/>
  <c r="AA22" i="12"/>
  <c r="AB22" i="12"/>
  <c r="AB77" i="12"/>
  <c r="AA77" i="12"/>
  <c r="AB75" i="12"/>
  <c r="AA75" i="12"/>
  <c r="X41" i="12"/>
  <c r="W41" i="12" s="1"/>
  <c r="AB33" i="12"/>
  <c r="AB39" i="12"/>
  <c r="AA39" i="12" s="1"/>
  <c r="AB65" i="12"/>
  <c r="AA65" i="12"/>
  <c r="AB79" i="12"/>
  <c r="AA79" i="12"/>
  <c r="W30" i="12"/>
  <c r="AB48" i="12"/>
  <c r="AA48" i="12" s="1"/>
  <c r="AB35" i="12"/>
  <c r="AA35" i="12" s="1"/>
  <c r="AA60" i="12"/>
  <c r="AB60" i="12"/>
  <c r="T50" i="12"/>
  <c r="S50" i="12" s="1"/>
  <c r="T47" i="12"/>
  <c r="T49" i="12"/>
  <c r="T46" i="12"/>
  <c r="S46" i="12" s="1"/>
  <c r="X30" i="12"/>
  <c r="AB73" i="12"/>
  <c r="AA73" i="12"/>
  <c r="AB63" i="12"/>
  <c r="AA63" i="12"/>
  <c r="S41" i="11"/>
  <c r="T46" i="11"/>
  <c r="S46" i="11" s="1"/>
  <c r="S45" i="11"/>
  <c r="X41" i="11"/>
  <c r="W41" i="11" s="1"/>
  <c r="O46" i="11"/>
  <c r="O45" i="11"/>
  <c r="AB72" i="11"/>
  <c r="AA72" i="11" s="1"/>
  <c r="T44" i="11"/>
  <c r="P53" i="11"/>
  <c r="Q53" i="11" s="1"/>
  <c r="O44" i="11"/>
  <c r="W72" i="11"/>
  <c r="AA27" i="11"/>
  <c r="AB27" i="11"/>
  <c r="AB74" i="11"/>
  <c r="AA74" i="11"/>
  <c r="S30" i="11"/>
  <c r="AA25" i="11"/>
  <c r="AB25" i="11"/>
  <c r="L55" i="11"/>
  <c r="M55" i="11" s="1"/>
  <c r="W66" i="11"/>
  <c r="S66" i="11"/>
  <c r="AB65" i="11"/>
  <c r="AB66" i="11" s="1"/>
  <c r="AA66" i="11" s="1"/>
  <c r="AA65" i="11"/>
  <c r="K53" i="11"/>
  <c r="AB35" i="11"/>
  <c r="AA35" i="11"/>
  <c r="AB22" i="11"/>
  <c r="AA22" i="11" s="1"/>
  <c r="X30" i="11"/>
  <c r="W30" i="11" s="1"/>
  <c r="AB48" i="11"/>
  <c r="AA48" i="11" s="1"/>
  <c r="AA36" i="11"/>
  <c r="AB36" i="11"/>
  <c r="T47" i="11"/>
  <c r="S47" i="11" s="1"/>
  <c r="AB70" i="11"/>
  <c r="AA70" i="11"/>
  <c r="G55" i="11"/>
  <c r="AA38" i="11"/>
  <c r="AB38" i="11"/>
  <c r="P96" i="11"/>
  <c r="AB80" i="11"/>
  <c r="AA80" i="11"/>
  <c r="O15" i="11"/>
  <c r="T49" i="11"/>
  <c r="AB69" i="11"/>
  <c r="AA69" i="11" s="1"/>
  <c r="AB78" i="11"/>
  <c r="AA78" i="11"/>
  <c r="T50" i="11"/>
  <c r="AB76" i="11"/>
  <c r="AA76" i="11"/>
  <c r="L55" i="10"/>
  <c r="O47" i="10"/>
  <c r="O49" i="10"/>
  <c r="AB48" i="10"/>
  <c r="AA48" i="10" s="1"/>
  <c r="AB65" i="10"/>
  <c r="AA65" i="10" s="1"/>
  <c r="AA37" i="10"/>
  <c r="AB37" i="10"/>
  <c r="X67" i="10"/>
  <c r="W67" i="10" s="1"/>
  <c r="AB59" i="10"/>
  <c r="AA59" i="10" s="1"/>
  <c r="AB64" i="10"/>
  <c r="AA64" i="10" s="1"/>
  <c r="AB62" i="10"/>
  <c r="AA62" i="10" s="1"/>
  <c r="T44" i="10"/>
  <c r="S44" i="10" s="1"/>
  <c r="AB61" i="10"/>
  <c r="AA61" i="10" s="1"/>
  <c r="AA33" i="10"/>
  <c r="X41" i="10"/>
  <c r="AB33" i="10"/>
  <c r="AB70" i="10"/>
  <c r="AA70" i="10" s="1"/>
  <c r="AA24" i="10"/>
  <c r="AB24" i="10"/>
  <c r="X30" i="10"/>
  <c r="W30" i="10" s="1"/>
  <c r="AA35" i="10"/>
  <c r="AB35" i="10"/>
  <c r="AA39" i="10"/>
  <c r="AB39" i="10"/>
  <c r="AA26" i="10"/>
  <c r="AB26" i="10"/>
  <c r="T50" i="10"/>
  <c r="T47" i="10"/>
  <c r="W41" i="10"/>
  <c r="T45" i="10"/>
  <c r="W45" i="10" s="1"/>
  <c r="T49" i="10"/>
  <c r="S49" i="10" s="1"/>
  <c r="T46" i="10"/>
  <c r="W46" i="10" s="1"/>
  <c r="AB66" i="10"/>
  <c r="AA66" i="10"/>
  <c r="S66" i="9"/>
  <c r="AB37" i="9"/>
  <c r="AA37" i="9"/>
  <c r="AB30" i="9"/>
  <c r="O13" i="9"/>
  <c r="K13" i="9"/>
  <c r="G13" i="9"/>
  <c r="AB13" i="9" s="1"/>
  <c r="H15" i="9"/>
  <c r="M15" i="9" s="1"/>
  <c r="AB79" i="9"/>
  <c r="AA79" i="9"/>
  <c r="AB76" i="9"/>
  <c r="AA76" i="9"/>
  <c r="K55" i="9"/>
  <c r="X11" i="9"/>
  <c r="W11" i="9" s="1"/>
  <c r="AA9" i="9"/>
  <c r="AB71" i="9"/>
  <c r="AA71" i="9"/>
  <c r="AA34" i="9"/>
  <c r="AB34" i="9"/>
  <c r="AB41" i="9" s="1"/>
  <c r="X41" i="9"/>
  <c r="AA52" i="9"/>
  <c r="AB52" i="9"/>
  <c r="X66" i="9"/>
  <c r="AB59" i="9"/>
  <c r="AA59" i="9"/>
  <c r="P53" i="9"/>
  <c r="W44" i="9"/>
  <c r="AA64" i="9"/>
  <c r="AB64" i="9"/>
  <c r="AB75" i="9"/>
  <c r="AA75" i="9"/>
  <c r="AB69" i="9"/>
  <c r="AA69" i="9"/>
  <c r="AB77" i="9"/>
  <c r="AA77" i="9"/>
  <c r="AB72" i="9"/>
  <c r="AA72" i="9"/>
  <c r="AB70" i="9"/>
  <c r="AA70" i="9"/>
  <c r="AB74" i="9"/>
  <c r="AA74" i="9"/>
  <c r="T50" i="9"/>
  <c r="W50" i="9" s="1"/>
  <c r="T49" i="9"/>
  <c r="W49" i="9" s="1"/>
  <c r="T47" i="9"/>
  <c r="W47" i="9" s="1"/>
  <c r="T45" i="9"/>
  <c r="W45" i="9" s="1"/>
  <c r="W41" i="9"/>
  <c r="T46" i="9"/>
  <c r="W46" i="9" s="1"/>
  <c r="AB80" i="9"/>
  <c r="AA80" i="9"/>
  <c r="T96" i="9"/>
  <c r="AA30" i="9"/>
  <c r="AB73" i="9"/>
  <c r="AA73" i="9"/>
  <c r="AB78" i="9"/>
  <c r="AA78" i="9" s="1"/>
  <c r="AB62" i="9"/>
  <c r="AA62" i="9" s="1"/>
  <c r="P15" i="9"/>
  <c r="Q15" i="9" s="1"/>
  <c r="F46" i="37" l="1"/>
  <c r="F47" i="37" s="1"/>
  <c r="G52" i="37"/>
  <c r="H52" i="37" s="1"/>
  <c r="H54" i="37" s="1"/>
  <c r="Q53" i="12"/>
  <c r="AA45" i="45"/>
  <c r="X54" i="45"/>
  <c r="X54" i="44"/>
  <c r="AA45" i="44"/>
  <c r="X54" i="46"/>
  <c r="AA45" i="46"/>
  <c r="X54" i="43"/>
  <c r="W54" i="43" s="1"/>
  <c r="AA45" i="43"/>
  <c r="H9" i="42"/>
  <c r="O9" i="42" s="1"/>
  <c r="P9" i="42" s="1"/>
  <c r="P72" i="13"/>
  <c r="P74" i="13" s="1"/>
  <c r="O63" i="13"/>
  <c r="S13" i="11"/>
  <c r="L4" i="3"/>
  <c r="P9" i="13"/>
  <c r="I6" i="27" s="1"/>
  <c r="O6" i="27" s="1"/>
  <c r="K9" i="13"/>
  <c r="H6" i="27"/>
  <c r="M6" i="27" s="1"/>
  <c r="AA9" i="12"/>
  <c r="AA9" i="11"/>
  <c r="P9" i="20"/>
  <c r="G25" i="36"/>
  <c r="G71" i="36" s="1"/>
  <c r="L11" i="20"/>
  <c r="K9" i="20"/>
  <c r="F29" i="36"/>
  <c r="F71" i="36" s="1"/>
  <c r="F78" i="36" s="1"/>
  <c r="F13" i="22"/>
  <c r="H10" i="27"/>
  <c r="I74" i="13"/>
  <c r="H113" i="13"/>
  <c r="G10" i="28"/>
  <c r="U12" i="27"/>
  <c r="L74" i="13"/>
  <c r="M72" i="13"/>
  <c r="P55" i="10"/>
  <c r="O55" i="10" s="1"/>
  <c r="Q53" i="10"/>
  <c r="M55" i="10"/>
  <c r="AC44" i="39"/>
  <c r="AB44" i="39" s="1"/>
  <c r="AB53" i="39" s="1"/>
  <c r="AC44" i="40"/>
  <c r="AB44" i="40" s="1"/>
  <c r="AB53" i="40" s="1"/>
  <c r="O55" i="9"/>
  <c r="O53" i="10"/>
  <c r="AA44" i="40"/>
  <c r="X53" i="40"/>
  <c r="AA44" i="39"/>
  <c r="X53" i="39"/>
  <c r="F54" i="37"/>
  <c r="F55" i="37" s="1"/>
  <c r="G51" i="37" s="1"/>
  <c r="G43" i="37" s="1"/>
  <c r="G38" i="37"/>
  <c r="F38" i="37"/>
  <c r="F39" i="37" s="1"/>
  <c r="G35" i="37" s="1"/>
  <c r="F71" i="37"/>
  <c r="G67" i="37" s="1"/>
  <c r="G14" i="37"/>
  <c r="F14" i="37"/>
  <c r="F15" i="37" s="1"/>
  <c r="G11" i="37" s="1"/>
  <c r="G78" i="37"/>
  <c r="F78" i="37"/>
  <c r="F79" i="37" s="1"/>
  <c r="G75" i="37" s="1"/>
  <c r="G30" i="37"/>
  <c r="F30" i="37"/>
  <c r="F31" i="37" s="1"/>
  <c r="G27" i="37" s="1"/>
  <c r="K72" i="13"/>
  <c r="S69" i="13"/>
  <c r="AA40" i="13"/>
  <c r="S15" i="10"/>
  <c r="O15" i="10"/>
  <c r="L123" i="13"/>
  <c r="T15" i="12"/>
  <c r="AC46" i="34"/>
  <c r="AB46" i="34" s="1"/>
  <c r="AB55" i="34" s="1"/>
  <c r="AC34" i="33"/>
  <c r="AB34" i="33" s="1"/>
  <c r="AB43" i="33" s="1"/>
  <c r="AC48" i="32"/>
  <c r="AB48" i="32" s="1"/>
  <c r="AB57" i="32" s="1"/>
  <c r="AC115" i="31"/>
  <c r="AB115" i="31" s="1"/>
  <c r="AB124" i="31" s="1"/>
  <c r="AC54" i="30"/>
  <c r="AB54" i="30" s="1"/>
  <c r="AB63" i="30" s="1"/>
  <c r="W115" i="31"/>
  <c r="X124" i="31"/>
  <c r="AA48" i="32"/>
  <c r="X57" i="32"/>
  <c r="W34" i="33"/>
  <c r="X43" i="33"/>
  <c r="W54" i="30"/>
  <c r="X63" i="30"/>
  <c r="W46" i="34"/>
  <c r="X55" i="34"/>
  <c r="F35" i="36"/>
  <c r="F72" i="36" s="1"/>
  <c r="G12" i="28"/>
  <c r="S15" i="12"/>
  <c r="O15" i="12"/>
  <c r="AA11" i="12"/>
  <c r="X13" i="12"/>
  <c r="X15" i="12" s="1"/>
  <c r="T103" i="12"/>
  <c r="AB13" i="12"/>
  <c r="AB103" i="12" s="1"/>
  <c r="W11" i="12"/>
  <c r="S15" i="11"/>
  <c r="AB13" i="11"/>
  <c r="AB96" i="11" s="1"/>
  <c r="T15" i="9"/>
  <c r="S15" i="9" s="1"/>
  <c r="AB30" i="12"/>
  <c r="X13" i="11"/>
  <c r="X15" i="11" s="1"/>
  <c r="W15" i="11" s="1"/>
  <c r="AA11" i="11"/>
  <c r="T96" i="11"/>
  <c r="AC44" i="23"/>
  <c r="AB44" i="23" s="1"/>
  <c r="AB53" i="23" s="1"/>
  <c r="AC44" i="24"/>
  <c r="AB44" i="24" s="1"/>
  <c r="AB53" i="24" s="1"/>
  <c r="AC44" i="25"/>
  <c r="AB44" i="25" s="1"/>
  <c r="AB53" i="25" s="1"/>
  <c r="AC44" i="20"/>
  <c r="AB44" i="20" s="1"/>
  <c r="AB53" i="20" s="1"/>
  <c r="AC44" i="19"/>
  <c r="AB44" i="19" s="1"/>
  <c r="AB53" i="19" s="1"/>
  <c r="AC44" i="17"/>
  <c r="AB44" i="17" s="1"/>
  <c r="AB53" i="17" s="1"/>
  <c r="AC44" i="18"/>
  <c r="AB44" i="18" s="1"/>
  <c r="AB53" i="18" s="1"/>
  <c r="AC44" i="21"/>
  <c r="AB44" i="21" s="1"/>
  <c r="AB53" i="21" s="1"/>
  <c r="AC44" i="15"/>
  <c r="AB44" i="15" s="1"/>
  <c r="AB53" i="15" s="1"/>
  <c r="AC44" i="14"/>
  <c r="AC63" i="13"/>
  <c r="AB63" i="13" s="1"/>
  <c r="AC44" i="9"/>
  <c r="AB44" i="9" s="1"/>
  <c r="AC44" i="12"/>
  <c r="AC44" i="11"/>
  <c r="AC44" i="10"/>
  <c r="G36" i="36"/>
  <c r="G11" i="13"/>
  <c r="AA44" i="17"/>
  <c r="X53" i="17"/>
  <c r="X53" i="21"/>
  <c r="W53" i="21" s="1"/>
  <c r="W44" i="19"/>
  <c r="X53" i="19"/>
  <c r="W53" i="19" s="1"/>
  <c r="AA44" i="23"/>
  <c r="X53" i="23"/>
  <c r="K9" i="15"/>
  <c r="G9" i="15"/>
  <c r="H11" i="15"/>
  <c r="AA44" i="20"/>
  <c r="X53" i="20"/>
  <c r="X53" i="24"/>
  <c r="W53" i="24" s="1"/>
  <c r="G10" i="13"/>
  <c r="H14" i="13"/>
  <c r="I14" i="13" s="1"/>
  <c r="AA44" i="18"/>
  <c r="X53" i="18"/>
  <c r="AA44" i="15"/>
  <c r="X53" i="15"/>
  <c r="AA44" i="25"/>
  <c r="X53" i="25"/>
  <c r="W9" i="15"/>
  <c r="T11" i="15"/>
  <c r="AB66" i="14"/>
  <c r="W103" i="13"/>
  <c r="O53" i="12"/>
  <c r="AA24" i="13"/>
  <c r="G74" i="13"/>
  <c r="AA56" i="13"/>
  <c r="T53" i="14"/>
  <c r="S53" i="14" s="1"/>
  <c r="S44" i="14"/>
  <c r="AB15" i="14"/>
  <c r="AA15" i="14" s="1"/>
  <c r="K55" i="14"/>
  <c r="X102" i="14"/>
  <c r="AA13" i="14"/>
  <c r="X49" i="14"/>
  <c r="W49" i="14" s="1"/>
  <c r="X46" i="14"/>
  <c r="X50" i="14"/>
  <c r="W50" i="14" s="1"/>
  <c r="X47" i="14"/>
  <c r="AA41" i="14"/>
  <c r="X45" i="14"/>
  <c r="W45" i="14" s="1"/>
  <c r="AB45" i="14"/>
  <c r="AB46" i="14"/>
  <c r="AB30" i="14"/>
  <c r="W46" i="14"/>
  <c r="S46" i="14"/>
  <c r="P55" i="14"/>
  <c r="Q55" i="14" s="1"/>
  <c r="X44" i="14"/>
  <c r="W44" i="14" s="1"/>
  <c r="O53" i="14"/>
  <c r="S45" i="14"/>
  <c r="X64" i="13"/>
  <c r="X68" i="13"/>
  <c r="W68" i="13" s="1"/>
  <c r="X65" i="13"/>
  <c r="W65" i="13" s="1"/>
  <c r="X69" i="13"/>
  <c r="X66" i="13"/>
  <c r="AA60" i="13"/>
  <c r="AB103" i="13"/>
  <c r="AB69" i="13"/>
  <c r="AB66" i="13"/>
  <c r="AB64" i="13"/>
  <c r="AB68" i="13"/>
  <c r="AB65" i="13"/>
  <c r="AB85" i="13"/>
  <c r="AA85" i="13" s="1"/>
  <c r="S66" i="13"/>
  <c r="X63" i="13"/>
  <c r="W63" i="13" s="1"/>
  <c r="S68" i="13"/>
  <c r="W60" i="13"/>
  <c r="T72" i="13"/>
  <c r="S63" i="13"/>
  <c r="K55" i="12"/>
  <c r="AB41" i="12"/>
  <c r="AB50" i="12" s="1"/>
  <c r="S49" i="12"/>
  <c r="AA33" i="12"/>
  <c r="S47" i="12"/>
  <c r="X49" i="12"/>
  <c r="X46" i="12"/>
  <c r="W46" i="12" s="1"/>
  <c r="X50" i="12"/>
  <c r="X47" i="12"/>
  <c r="X45" i="12"/>
  <c r="P55" i="12"/>
  <c r="X44" i="12"/>
  <c r="W44" i="12" s="1"/>
  <c r="AA30" i="12"/>
  <c r="T53" i="12"/>
  <c r="AB66" i="12"/>
  <c r="X50" i="11"/>
  <c r="W50" i="11" s="1"/>
  <c r="K55" i="10"/>
  <c r="X46" i="11"/>
  <c r="W46" i="11" s="1"/>
  <c r="X45" i="11"/>
  <c r="W45" i="11" s="1"/>
  <c r="AB41" i="11"/>
  <c r="S50" i="11"/>
  <c r="AB30" i="11"/>
  <c r="X47" i="11"/>
  <c r="W47" i="11" s="1"/>
  <c r="P55" i="11"/>
  <c r="T53" i="11"/>
  <c r="S49" i="11"/>
  <c r="K55" i="11"/>
  <c r="X44" i="11"/>
  <c r="W44" i="11" s="1"/>
  <c r="O53" i="11"/>
  <c r="X49" i="11"/>
  <c r="W49" i="11" s="1"/>
  <c r="S44" i="11"/>
  <c r="S50" i="10"/>
  <c r="S47" i="10"/>
  <c r="X49" i="10"/>
  <c r="X46" i="10"/>
  <c r="AA46" i="10" s="1"/>
  <c r="X50" i="10"/>
  <c r="W50" i="10" s="1"/>
  <c r="X47" i="10"/>
  <c r="AA41" i="10"/>
  <c r="X45" i="10"/>
  <c r="AA45" i="10" s="1"/>
  <c r="X44" i="10"/>
  <c r="W44" i="10" s="1"/>
  <c r="AB30" i="10"/>
  <c r="AB41" i="10"/>
  <c r="T53" i="10"/>
  <c r="S53" i="10" s="1"/>
  <c r="AB67" i="10"/>
  <c r="AA67" i="10" s="1"/>
  <c r="AB15" i="9"/>
  <c r="AB96" i="9"/>
  <c r="W66" i="9"/>
  <c r="K15" i="9"/>
  <c r="G15" i="9"/>
  <c r="S13" i="9"/>
  <c r="O15" i="9"/>
  <c r="T53" i="9"/>
  <c r="AB46" i="9"/>
  <c r="AB50" i="9"/>
  <c r="AB49" i="9"/>
  <c r="AB47" i="9"/>
  <c r="AB45" i="9"/>
  <c r="X13" i="9"/>
  <c r="AA11" i="9"/>
  <c r="P55" i="9"/>
  <c r="S53" i="9"/>
  <c r="AA44" i="9"/>
  <c r="AB66" i="9"/>
  <c r="AA66" i="9" s="1"/>
  <c r="X46" i="9"/>
  <c r="AA46" i="9" s="1"/>
  <c r="X50" i="9"/>
  <c r="AA50" i="9" s="1"/>
  <c r="X49" i="9"/>
  <c r="AA49" i="9" s="1"/>
  <c r="X47" i="9"/>
  <c r="AA47" i="9" s="1"/>
  <c r="X45" i="9"/>
  <c r="AA45" i="9" s="1"/>
  <c r="AA41" i="9"/>
  <c r="G70" i="37" l="1"/>
  <c r="G71" i="37" s="1"/>
  <c r="H67" i="37" s="1"/>
  <c r="H70" i="37"/>
  <c r="O9" i="20"/>
  <c r="T9" i="20"/>
  <c r="J10" i="27" s="1"/>
  <c r="I10" i="27"/>
  <c r="Q55" i="12"/>
  <c r="X56" i="43"/>
  <c r="W56" i="43" s="1"/>
  <c r="AA54" i="43"/>
  <c r="X108" i="43"/>
  <c r="X56" i="44"/>
  <c r="AA54" i="44"/>
  <c r="X108" i="44"/>
  <c r="X56" i="45"/>
  <c r="AA54" i="45"/>
  <c r="X108" i="45"/>
  <c r="AA54" i="46"/>
  <c r="X56" i="46"/>
  <c r="X108" i="46"/>
  <c r="AB44" i="12"/>
  <c r="L11" i="33"/>
  <c r="H10" i="26" s="1"/>
  <c r="G23" i="36"/>
  <c r="G64" i="36" s="1"/>
  <c r="G66" i="36" s="1"/>
  <c r="K9" i="33"/>
  <c r="P9" i="33"/>
  <c r="AA44" i="21"/>
  <c r="W13" i="12"/>
  <c r="M10" i="27"/>
  <c r="N10" i="27" s="1"/>
  <c r="N6" i="27"/>
  <c r="O72" i="13"/>
  <c r="Q72" i="13"/>
  <c r="AA44" i="24"/>
  <c r="K74" i="13"/>
  <c r="O74" i="13"/>
  <c r="Q74" i="13"/>
  <c r="AA44" i="19"/>
  <c r="V12" i="28"/>
  <c r="M12" i="28"/>
  <c r="N12" i="28" s="1"/>
  <c r="V10" i="28"/>
  <c r="M10" i="28"/>
  <c r="N10" i="28" s="1"/>
  <c r="K11" i="20"/>
  <c r="M11" i="20"/>
  <c r="L13" i="20"/>
  <c r="M11" i="33"/>
  <c r="K11" i="33"/>
  <c r="L13" i="33"/>
  <c r="W15" i="12"/>
  <c r="F14" i="22"/>
  <c r="F8" i="22" s="1"/>
  <c r="F35" i="22" s="1"/>
  <c r="F36" i="22" s="1"/>
  <c r="G78" i="36"/>
  <c r="O9" i="13"/>
  <c r="G13" i="22"/>
  <c r="P11" i="20"/>
  <c r="H25" i="36"/>
  <c r="H71" i="36" s="1"/>
  <c r="H10" i="28"/>
  <c r="I11" i="15"/>
  <c r="H13" i="15"/>
  <c r="M11" i="15"/>
  <c r="W13" i="11"/>
  <c r="Q55" i="10"/>
  <c r="G54" i="37"/>
  <c r="G55" i="37" s="1"/>
  <c r="H51" i="37" s="1"/>
  <c r="G46" i="37"/>
  <c r="G47" i="37" s="1"/>
  <c r="AB44" i="10"/>
  <c r="AA44" i="10" s="1"/>
  <c r="O55" i="11"/>
  <c r="Q55" i="11"/>
  <c r="L113" i="13"/>
  <c r="M113" i="13" s="1"/>
  <c r="M74" i="13"/>
  <c r="H12" i="27"/>
  <c r="X55" i="39"/>
  <c r="AA53" i="39"/>
  <c r="X55" i="40"/>
  <c r="AA53" i="40"/>
  <c r="AB55" i="40"/>
  <c r="AB55" i="39"/>
  <c r="G79" i="37"/>
  <c r="H75" i="37" s="1"/>
  <c r="H79" i="37" s="1"/>
  <c r="G31" i="37"/>
  <c r="H27" i="37" s="1"/>
  <c r="H31" i="37" s="1"/>
  <c r="G15" i="37"/>
  <c r="H11" i="37" s="1"/>
  <c r="G39" i="37"/>
  <c r="H35" i="37" s="1"/>
  <c r="H39" i="37" s="1"/>
  <c r="AA34" i="33"/>
  <c r="P123" i="13"/>
  <c r="AB44" i="14"/>
  <c r="AA44" i="14" s="1"/>
  <c r="AB44" i="11"/>
  <c r="AA44" i="11" s="1"/>
  <c r="W63" i="30"/>
  <c r="X65" i="30"/>
  <c r="X108" i="30"/>
  <c r="X110" i="30" s="1"/>
  <c r="W43" i="33"/>
  <c r="X45" i="33"/>
  <c r="W45" i="33" s="1"/>
  <c r="X95" i="33"/>
  <c r="X97" i="33" s="1"/>
  <c r="AA43" i="33"/>
  <c r="W124" i="31"/>
  <c r="X126" i="31"/>
  <c r="AA124" i="31"/>
  <c r="AB126" i="31"/>
  <c r="W55" i="34"/>
  <c r="X57" i="34"/>
  <c r="AA54" i="30"/>
  <c r="AA57" i="32"/>
  <c r="AB59" i="32"/>
  <c r="AA46" i="34"/>
  <c r="W57" i="32"/>
  <c r="X59" i="32"/>
  <c r="AA115" i="31"/>
  <c r="AB45" i="33"/>
  <c r="AB85" i="33" s="1"/>
  <c r="AB87" i="33" s="1"/>
  <c r="AB95" i="33"/>
  <c r="AB97" i="33" s="1"/>
  <c r="AA63" i="30"/>
  <c r="AB65" i="30"/>
  <c r="AB98" i="30" s="1"/>
  <c r="AB108" i="30"/>
  <c r="AB110" i="30" s="1"/>
  <c r="AA55" i="34"/>
  <c r="AB57" i="34"/>
  <c r="G35" i="36"/>
  <c r="G72" i="36" s="1"/>
  <c r="G79" i="36" s="1"/>
  <c r="G9" i="36"/>
  <c r="F79" i="36"/>
  <c r="AB15" i="12"/>
  <c r="AA15" i="12" s="1"/>
  <c r="X103" i="12"/>
  <c r="AA13" i="12"/>
  <c r="AB15" i="11"/>
  <c r="AA15" i="11" s="1"/>
  <c r="AA13" i="11"/>
  <c r="X96" i="11"/>
  <c r="P10" i="13"/>
  <c r="L14" i="13"/>
  <c r="AA53" i="24"/>
  <c r="X55" i="24"/>
  <c r="W55" i="24" s="1"/>
  <c r="X55" i="17"/>
  <c r="AA53" i="17"/>
  <c r="P11" i="13"/>
  <c r="AB55" i="21"/>
  <c r="AB55" i="20"/>
  <c r="S11" i="15"/>
  <c r="T15" i="15"/>
  <c r="W11" i="15"/>
  <c r="W53" i="15"/>
  <c r="X55" i="15"/>
  <c r="G14" i="13"/>
  <c r="X55" i="20"/>
  <c r="AA55" i="20" s="1"/>
  <c r="AA53" i="20"/>
  <c r="AA53" i="19"/>
  <c r="X55" i="19"/>
  <c r="AB55" i="18"/>
  <c r="AB55" i="25"/>
  <c r="K10" i="13"/>
  <c r="K11" i="13"/>
  <c r="AB55" i="17"/>
  <c r="AB55" i="24"/>
  <c r="X55" i="25"/>
  <c r="AA53" i="25"/>
  <c r="X55" i="18"/>
  <c r="AA53" i="18"/>
  <c r="G11" i="15"/>
  <c r="K11" i="15"/>
  <c r="X108" i="23"/>
  <c r="X55" i="23"/>
  <c r="W53" i="23"/>
  <c r="AA53" i="23"/>
  <c r="X55" i="21"/>
  <c r="W55" i="21" s="1"/>
  <c r="AA53" i="21"/>
  <c r="AA53" i="15"/>
  <c r="AB55" i="15"/>
  <c r="AB55" i="19"/>
  <c r="AB55" i="23"/>
  <c r="AB13" i="23" s="1"/>
  <c r="AB108" i="23"/>
  <c r="H18" i="13"/>
  <c r="H124" i="13"/>
  <c r="H125" i="13" s="1"/>
  <c r="H126" i="13" s="1"/>
  <c r="S72" i="13"/>
  <c r="T123" i="13"/>
  <c r="AA103" i="13"/>
  <c r="S53" i="12"/>
  <c r="H115" i="13"/>
  <c r="AA66" i="13"/>
  <c r="AB72" i="13"/>
  <c r="AB74" i="13" s="1"/>
  <c r="AA64" i="13"/>
  <c r="AA30" i="14"/>
  <c r="AB50" i="14"/>
  <c r="AA50" i="14" s="1"/>
  <c r="AA45" i="14"/>
  <c r="AA46" i="14"/>
  <c r="X53" i="14"/>
  <c r="W53" i="14" s="1"/>
  <c r="AB49" i="14"/>
  <c r="AA49" i="14" s="1"/>
  <c r="W47" i="14"/>
  <c r="AB47" i="14"/>
  <c r="AA47" i="14" s="1"/>
  <c r="O55" i="14"/>
  <c r="T55" i="14"/>
  <c r="W64" i="13"/>
  <c r="AA63" i="13"/>
  <c r="X72" i="13"/>
  <c r="AA65" i="13"/>
  <c r="W66" i="13"/>
  <c r="T74" i="13"/>
  <c r="AA68" i="13"/>
  <c r="AA69" i="13"/>
  <c r="W69" i="13"/>
  <c r="AB46" i="12"/>
  <c r="AA46" i="12" s="1"/>
  <c r="O55" i="12"/>
  <c r="AB49" i="12"/>
  <c r="AA49" i="12" s="1"/>
  <c r="AA50" i="12"/>
  <c r="AB47" i="12"/>
  <c r="AA47" i="12" s="1"/>
  <c r="AB45" i="12"/>
  <c r="AA45" i="12" s="1"/>
  <c r="AA41" i="12"/>
  <c r="W50" i="12"/>
  <c r="W47" i="12"/>
  <c r="W45" i="12"/>
  <c r="W49" i="12"/>
  <c r="X53" i="12"/>
  <c r="AA44" i="12"/>
  <c r="T55" i="12"/>
  <c r="U55" i="12" s="1"/>
  <c r="AB47" i="11"/>
  <c r="AA47" i="11" s="1"/>
  <c r="AA41" i="11"/>
  <c r="AB45" i="11"/>
  <c r="AA45" i="11" s="1"/>
  <c r="AB46" i="11"/>
  <c r="AA46" i="11" s="1"/>
  <c r="AB50" i="11"/>
  <c r="AA50" i="11" s="1"/>
  <c r="AA30" i="11"/>
  <c r="X53" i="11"/>
  <c r="T55" i="11"/>
  <c r="S55" i="11" s="1"/>
  <c r="S53" i="11"/>
  <c r="AB49" i="11"/>
  <c r="W49" i="10"/>
  <c r="AA30" i="10"/>
  <c r="W47" i="10"/>
  <c r="T55" i="10"/>
  <c r="S55" i="10" s="1"/>
  <c r="X53" i="10"/>
  <c r="W53" i="10" s="1"/>
  <c r="AB45" i="10"/>
  <c r="AB49" i="10"/>
  <c r="AA49" i="10" s="1"/>
  <c r="AB46" i="10"/>
  <c r="AB50" i="10"/>
  <c r="AA50" i="10" s="1"/>
  <c r="AB47" i="10"/>
  <c r="AA47" i="10" s="1"/>
  <c r="AA13" i="9"/>
  <c r="X96" i="9"/>
  <c r="X15" i="9"/>
  <c r="AA15" i="9" s="1"/>
  <c r="W13" i="9"/>
  <c r="X53" i="9"/>
  <c r="AB53" i="9"/>
  <c r="AB55" i="9" s="1"/>
  <c r="S55" i="9"/>
  <c r="W53" i="9"/>
  <c r="T55" i="9"/>
  <c r="C28" i="5"/>
  <c r="AF70" i="5"/>
  <c r="P70" i="3" s="1"/>
  <c r="AF71" i="5"/>
  <c r="H71" i="3" s="1"/>
  <c r="P71" i="3" s="1"/>
  <c r="AF73" i="5"/>
  <c r="P73" i="3" s="1"/>
  <c r="AF74" i="5"/>
  <c r="H74" i="3" s="1"/>
  <c r="AF75" i="5"/>
  <c r="AF76" i="5"/>
  <c r="AF77" i="5"/>
  <c r="AF78" i="5"/>
  <c r="AF79" i="5"/>
  <c r="AF80" i="5"/>
  <c r="L80" i="3" s="1"/>
  <c r="P80" i="3" s="1"/>
  <c r="AF81" i="5"/>
  <c r="AF69" i="5"/>
  <c r="AF60" i="5"/>
  <c r="AF61" i="5"/>
  <c r="L61" i="3" s="1"/>
  <c r="AF63" i="5"/>
  <c r="AF65" i="5"/>
  <c r="D65" i="3" s="1"/>
  <c r="AF59" i="5"/>
  <c r="AF48" i="5"/>
  <c r="F42" i="28"/>
  <c r="U42" i="28" s="1"/>
  <c r="AF34" i="5"/>
  <c r="AF35" i="5"/>
  <c r="AF36" i="5"/>
  <c r="P36" i="3" s="1"/>
  <c r="AF37" i="5"/>
  <c r="P37" i="3" s="1"/>
  <c r="AF38" i="5"/>
  <c r="AF39" i="5"/>
  <c r="AF27" i="5"/>
  <c r="AF22" i="5"/>
  <c r="P23" i="3" s="1"/>
  <c r="AF23" i="5"/>
  <c r="P24" i="3" s="1"/>
  <c r="AF24" i="5"/>
  <c r="AF25" i="5"/>
  <c r="P26" i="3" s="1"/>
  <c r="AF26" i="5"/>
  <c r="AF28" i="5"/>
  <c r="O30" i="5"/>
  <c r="O64" i="5"/>
  <c r="K21" i="5"/>
  <c r="K30" i="5" s="1"/>
  <c r="K64" i="5"/>
  <c r="K62" i="5"/>
  <c r="G72" i="5"/>
  <c r="AF72" i="5" s="1"/>
  <c r="G33" i="5"/>
  <c r="AF33" i="5" s="1"/>
  <c r="G64" i="5"/>
  <c r="G62" i="5"/>
  <c r="AF62" i="5" s="1"/>
  <c r="Q64" i="5"/>
  <c r="Q62" i="5"/>
  <c r="Q21" i="5"/>
  <c r="Q30" i="5" s="1"/>
  <c r="AC28" i="4"/>
  <c r="Y28" i="4"/>
  <c r="U28" i="4"/>
  <c r="Q28" i="4"/>
  <c r="M28" i="4"/>
  <c r="I28" i="4"/>
  <c r="H28" i="4"/>
  <c r="L28" i="4" s="1"/>
  <c r="O28" i="4" s="1"/>
  <c r="G28" i="4"/>
  <c r="D29" i="6"/>
  <c r="AD26" i="5"/>
  <c r="AE26" i="5"/>
  <c r="AD27" i="5"/>
  <c r="AE27" i="5"/>
  <c r="AD28" i="5"/>
  <c r="AE28" i="5"/>
  <c r="AA30" i="5"/>
  <c r="Y30" i="5"/>
  <c r="W30" i="5"/>
  <c r="U30" i="5"/>
  <c r="S30" i="5"/>
  <c r="M30" i="5"/>
  <c r="I30" i="5"/>
  <c r="G30" i="5"/>
  <c r="E30" i="5"/>
  <c r="C30" i="5"/>
  <c r="C136" i="5"/>
  <c r="C135" i="5"/>
  <c r="C134" i="5"/>
  <c r="C133" i="5"/>
  <c r="C44" i="5" s="1"/>
  <c r="C131" i="5"/>
  <c r="H43" i="37" l="1"/>
  <c r="H47" i="37" s="1"/>
  <c r="H55" i="37"/>
  <c r="H71" i="37"/>
  <c r="H14" i="37"/>
  <c r="H15" i="37" s="1"/>
  <c r="Q10" i="27"/>
  <c r="R10" i="27" s="1"/>
  <c r="M10" i="26"/>
  <c r="N10" i="26" s="1"/>
  <c r="I12" i="27"/>
  <c r="I14" i="27" s="1"/>
  <c r="I9" i="42"/>
  <c r="Q9" i="42" s="1"/>
  <c r="R9" i="42" s="1"/>
  <c r="T9" i="33"/>
  <c r="S9" i="33" s="1"/>
  <c r="O11" i="13"/>
  <c r="S9" i="13"/>
  <c r="J6" i="27"/>
  <c r="AA56" i="45"/>
  <c r="X98" i="45"/>
  <c r="AA56" i="43"/>
  <c r="X98" i="43"/>
  <c r="W98" i="43" s="1"/>
  <c r="AA56" i="46"/>
  <c r="X98" i="46"/>
  <c r="W98" i="46" s="1"/>
  <c r="AA56" i="44"/>
  <c r="X98" i="44"/>
  <c r="W98" i="44" s="1"/>
  <c r="P6" i="27"/>
  <c r="O10" i="27"/>
  <c r="P10" i="27" s="1"/>
  <c r="K10" i="27"/>
  <c r="L10" i="27" s="1"/>
  <c r="P11" i="33"/>
  <c r="O9" i="33"/>
  <c r="H23" i="36"/>
  <c r="H64" i="36" s="1"/>
  <c r="H66" i="36" s="1"/>
  <c r="M12" i="27"/>
  <c r="N12" i="27" s="1"/>
  <c r="F15" i="22"/>
  <c r="G12" i="22" s="1"/>
  <c r="G15" i="22" s="1"/>
  <c r="H12" i="22" s="1"/>
  <c r="J9" i="42"/>
  <c r="I13" i="42"/>
  <c r="W10" i="28"/>
  <c r="O10" i="28"/>
  <c r="P10" i="28" s="1"/>
  <c r="I6" i="28"/>
  <c r="O13" i="20"/>
  <c r="L92" i="20"/>
  <c r="P13" i="33"/>
  <c r="Q11" i="33"/>
  <c r="Q11" i="20"/>
  <c r="P13" i="20"/>
  <c r="O11" i="20"/>
  <c r="K28" i="4"/>
  <c r="S9" i="20"/>
  <c r="X9" i="20"/>
  <c r="T11" i="20"/>
  <c r="H13" i="22"/>
  <c r="I13" i="22" s="1"/>
  <c r="J13" i="22" s="1"/>
  <c r="X9" i="13"/>
  <c r="W9" i="13" s="1"/>
  <c r="L96" i="33"/>
  <c r="L97" i="33" s="1"/>
  <c r="O13" i="33"/>
  <c r="L85" i="33"/>
  <c r="L124" i="13"/>
  <c r="L125" i="13" s="1"/>
  <c r="L126" i="13" s="1"/>
  <c r="K16" i="13"/>
  <c r="K113" i="13"/>
  <c r="K14" i="13"/>
  <c r="M14" i="13"/>
  <c r="P16" i="13"/>
  <c r="AA55" i="40"/>
  <c r="AA55" i="39"/>
  <c r="H35" i="36"/>
  <c r="AF21" i="5"/>
  <c r="AF64" i="5"/>
  <c r="L18" i="13"/>
  <c r="L115" i="13"/>
  <c r="K115" i="13" s="1"/>
  <c r="AB98" i="33"/>
  <c r="W59" i="32"/>
  <c r="AA59" i="32"/>
  <c r="W57" i="34"/>
  <c r="AA57" i="34"/>
  <c r="W65" i="30"/>
  <c r="X98" i="30"/>
  <c r="AA65" i="30"/>
  <c r="AB111" i="30"/>
  <c r="AB100" i="30"/>
  <c r="W126" i="31"/>
  <c r="AA126" i="31"/>
  <c r="AA45" i="33"/>
  <c r="X85" i="33"/>
  <c r="T11" i="13"/>
  <c r="S11" i="13" s="1"/>
  <c r="H36" i="36"/>
  <c r="O10" i="13"/>
  <c r="P28" i="4"/>
  <c r="T28" i="4" s="1"/>
  <c r="F39" i="27"/>
  <c r="F39" i="28" s="1"/>
  <c r="U39" i="28" s="1"/>
  <c r="G13" i="15"/>
  <c r="AB13" i="15" s="1"/>
  <c r="H96" i="15"/>
  <c r="K13" i="15"/>
  <c r="AA55" i="25"/>
  <c r="W55" i="19"/>
  <c r="AA55" i="19"/>
  <c r="S15" i="15"/>
  <c r="W15" i="15"/>
  <c r="AA55" i="17"/>
  <c r="X13" i="23"/>
  <c r="W55" i="23"/>
  <c r="AA55" i="23"/>
  <c r="AA55" i="18"/>
  <c r="W55" i="15"/>
  <c r="AA55" i="15"/>
  <c r="AA55" i="24"/>
  <c r="AB98" i="23"/>
  <c r="AB10" i="23" s="1"/>
  <c r="AB11" i="23" s="1"/>
  <c r="AB109" i="23"/>
  <c r="AB110" i="23" s="1"/>
  <c r="AA55" i="21"/>
  <c r="H15" i="15"/>
  <c r="S13" i="15"/>
  <c r="W13" i="15"/>
  <c r="T96" i="15"/>
  <c r="T10" i="13"/>
  <c r="J12" i="27" s="1"/>
  <c r="Q12" i="27" s="1"/>
  <c r="R12" i="27" s="1"/>
  <c r="P14" i="13"/>
  <c r="Q14" i="13" s="1"/>
  <c r="AB123" i="13"/>
  <c r="S74" i="13"/>
  <c r="T16" i="13"/>
  <c r="W72" i="13"/>
  <c r="X123" i="13"/>
  <c r="AB16" i="13"/>
  <c r="W53" i="12"/>
  <c r="AB53" i="14"/>
  <c r="AB55" i="14" s="1"/>
  <c r="X55" i="14"/>
  <c r="W55" i="14" s="1"/>
  <c r="S55" i="14"/>
  <c r="X74" i="13"/>
  <c r="X16" i="13" s="1"/>
  <c r="AA72" i="13"/>
  <c r="S55" i="12"/>
  <c r="AB53" i="12"/>
  <c r="X55" i="12"/>
  <c r="AB53" i="11"/>
  <c r="AB55" i="11" s="1"/>
  <c r="AA49" i="11"/>
  <c r="X55" i="11"/>
  <c r="W55" i="11" s="1"/>
  <c r="W53" i="11"/>
  <c r="AB53" i="10"/>
  <c r="X55" i="10"/>
  <c r="W55" i="10" s="1"/>
  <c r="W15" i="9"/>
  <c r="AA53" i="9"/>
  <c r="X55" i="9"/>
  <c r="W55" i="9"/>
  <c r="AF41" i="5"/>
  <c r="AF82" i="5"/>
  <c r="W28" i="4"/>
  <c r="X28" i="4"/>
  <c r="C137" i="5"/>
  <c r="Q149" i="5"/>
  <c r="Q148" i="5"/>
  <c r="Q147" i="5"/>
  <c r="Q146" i="5"/>
  <c r="Q145" i="5"/>
  <c r="Q142" i="5"/>
  <c r="Q141" i="5"/>
  <c r="Q49" i="5" s="1"/>
  <c r="Q140" i="5"/>
  <c r="Q139" i="5"/>
  <c r="Q44" i="5" s="1"/>
  <c r="J6" i="28" l="1"/>
  <c r="Q6" i="27"/>
  <c r="R6" i="27" s="1"/>
  <c r="I10" i="26"/>
  <c r="W9" i="33"/>
  <c r="T11" i="33"/>
  <c r="S11" i="33" s="1"/>
  <c r="S10" i="13"/>
  <c r="X100" i="43"/>
  <c r="W100" i="43" s="1"/>
  <c r="AA98" i="43"/>
  <c r="AA98" i="46"/>
  <c r="X100" i="46"/>
  <c r="AA98" i="45"/>
  <c r="X100" i="45"/>
  <c r="AA100" i="45" s="1"/>
  <c r="X100" i="44"/>
  <c r="AA98" i="44"/>
  <c r="O11" i="33"/>
  <c r="O12" i="27"/>
  <c r="P12" i="27" s="1"/>
  <c r="H78" i="36"/>
  <c r="O16" i="13"/>
  <c r="P113" i="13"/>
  <c r="J13" i="42"/>
  <c r="K9" i="42"/>
  <c r="X6" i="28"/>
  <c r="W9" i="20"/>
  <c r="AB9" i="20"/>
  <c r="AB11" i="20" s="1"/>
  <c r="X11" i="20"/>
  <c r="W11" i="20" s="1"/>
  <c r="S13" i="33"/>
  <c r="P96" i="33"/>
  <c r="P97" i="33" s="1"/>
  <c r="P85" i="33"/>
  <c r="O85" i="33" s="1"/>
  <c r="M85" i="33"/>
  <c r="L98" i="33"/>
  <c r="K85" i="33"/>
  <c r="L87" i="33"/>
  <c r="AB9" i="13"/>
  <c r="AA9" i="13" s="1"/>
  <c r="K6" i="27"/>
  <c r="S28" i="4"/>
  <c r="S13" i="20"/>
  <c r="P92" i="20"/>
  <c r="I15" i="15"/>
  <c r="M15" i="15"/>
  <c r="S11" i="20"/>
  <c r="T13" i="20"/>
  <c r="K18" i="13"/>
  <c r="M18" i="13"/>
  <c r="H72" i="36"/>
  <c r="H79" i="36" s="1"/>
  <c r="P124" i="13"/>
  <c r="P125" i="13" s="1"/>
  <c r="AF30" i="5"/>
  <c r="AF66" i="5"/>
  <c r="X98" i="33"/>
  <c r="AA85" i="33"/>
  <c r="X87" i="33"/>
  <c r="W98" i="30"/>
  <c r="AA98" i="30"/>
  <c r="X100" i="30"/>
  <c r="X111" i="30"/>
  <c r="AB111" i="23"/>
  <c r="X109" i="23"/>
  <c r="X110" i="23" s="1"/>
  <c r="X98" i="23"/>
  <c r="AA13" i="23"/>
  <c r="O14" i="13"/>
  <c r="P18" i="13"/>
  <c r="AB100" i="23"/>
  <c r="AB15" i="23"/>
  <c r="T14" i="13"/>
  <c r="T18" i="13" s="1"/>
  <c r="AB96" i="15"/>
  <c r="AB15" i="15"/>
  <c r="G15" i="15"/>
  <c r="K15" i="15"/>
  <c r="X124" i="13"/>
  <c r="X125" i="13" s="1"/>
  <c r="AA16" i="13"/>
  <c r="AB124" i="13"/>
  <c r="AB125" i="13" s="1"/>
  <c r="T124" i="13"/>
  <c r="T125" i="13" s="1"/>
  <c r="W16" i="13"/>
  <c r="S16" i="13"/>
  <c r="T113" i="13"/>
  <c r="AB113" i="13"/>
  <c r="AA53" i="14"/>
  <c r="AA55" i="14"/>
  <c r="AA74" i="13"/>
  <c r="X113" i="13"/>
  <c r="W74" i="13"/>
  <c r="W55" i="12"/>
  <c r="AB55" i="12"/>
  <c r="AA53" i="12"/>
  <c r="AA53" i="11"/>
  <c r="AA55" i="11"/>
  <c r="AB55" i="10"/>
  <c r="AA53" i="10"/>
  <c r="AA55" i="9"/>
  <c r="AB28" i="4"/>
  <c r="AA28" i="4"/>
  <c r="Q153" i="5"/>
  <c r="O142" i="5"/>
  <c r="O50" i="5" s="1"/>
  <c r="O141" i="5"/>
  <c r="O49" i="5" s="1"/>
  <c r="O140" i="5"/>
  <c r="O139" i="5"/>
  <c r="O44" i="5" s="1"/>
  <c r="K142" i="5"/>
  <c r="K50" i="5" s="1"/>
  <c r="K141" i="5"/>
  <c r="K49" i="5" s="1"/>
  <c r="K140" i="5"/>
  <c r="K47" i="5" s="1"/>
  <c r="K139" i="5"/>
  <c r="K44" i="5" s="1"/>
  <c r="G142" i="5"/>
  <c r="G141" i="5"/>
  <c r="G140" i="5"/>
  <c r="O149" i="5"/>
  <c r="O148" i="5"/>
  <c r="O147" i="5"/>
  <c r="O146" i="5"/>
  <c r="O145" i="5"/>
  <c r="K149" i="5"/>
  <c r="K148" i="5"/>
  <c r="K147" i="5"/>
  <c r="K146" i="5"/>
  <c r="K145" i="5"/>
  <c r="G149" i="5"/>
  <c r="G148" i="5"/>
  <c r="G147" i="5"/>
  <c r="G146" i="5"/>
  <c r="G46" i="5" s="1"/>
  <c r="G145" i="5"/>
  <c r="G45" i="5" s="1"/>
  <c r="G139" i="5"/>
  <c r="G44" i="5" s="1"/>
  <c r="X68" i="6"/>
  <c r="O10" i="26" l="1"/>
  <c r="P10" i="26" s="1"/>
  <c r="J10" i="26"/>
  <c r="W11" i="33"/>
  <c r="T13" i="33"/>
  <c r="I10" i="28"/>
  <c r="AA100" i="46"/>
  <c r="W100" i="46"/>
  <c r="X102" i="46"/>
  <c r="AA100" i="44"/>
  <c r="X102" i="44"/>
  <c r="W102" i="44" s="1"/>
  <c r="AA100" i="43"/>
  <c r="X102" i="43"/>
  <c r="O113" i="13"/>
  <c r="Q113" i="13"/>
  <c r="P115" i="13"/>
  <c r="L9" i="42"/>
  <c r="L13" i="42" s="1"/>
  <c r="K13" i="42"/>
  <c r="AB13" i="20"/>
  <c r="AB92" i="20" s="1"/>
  <c r="T92" i="20"/>
  <c r="W13" i="20"/>
  <c r="L6" i="27"/>
  <c r="L6" i="28" s="1"/>
  <c r="K6" i="28"/>
  <c r="K87" i="33"/>
  <c r="AA9" i="20"/>
  <c r="T15" i="20"/>
  <c r="Q85" i="33"/>
  <c r="P98" i="33"/>
  <c r="P87" i="33"/>
  <c r="AA11" i="20"/>
  <c r="X13" i="20"/>
  <c r="X15" i="20" s="1"/>
  <c r="O18" i="13"/>
  <c r="Q18" i="13"/>
  <c r="S113" i="13"/>
  <c r="P126" i="13"/>
  <c r="AA87" i="33"/>
  <c r="W100" i="30"/>
  <c r="AA100" i="30"/>
  <c r="K12" i="27"/>
  <c r="AA98" i="23"/>
  <c r="W98" i="23"/>
  <c r="X10" i="23"/>
  <c r="S14" i="13"/>
  <c r="X111" i="23"/>
  <c r="T115" i="13"/>
  <c r="W113" i="13"/>
  <c r="T126" i="13"/>
  <c r="AB126" i="13"/>
  <c r="S18" i="13"/>
  <c r="X126" i="13"/>
  <c r="AA113" i="13"/>
  <c r="AA55" i="12"/>
  <c r="AA55" i="10"/>
  <c r="G49" i="5"/>
  <c r="O152" i="5"/>
  <c r="O151" i="5"/>
  <c r="O131" i="5"/>
  <c r="K131" i="5"/>
  <c r="G131" i="5"/>
  <c r="Q10" i="26" l="1"/>
  <c r="R10" i="26" s="1"/>
  <c r="T15" i="33"/>
  <c r="W15" i="33" s="1"/>
  <c r="T96" i="33"/>
  <c r="T97" i="33" s="1"/>
  <c r="W13" i="33"/>
  <c r="T85" i="33"/>
  <c r="X10" i="28"/>
  <c r="Q10" i="28"/>
  <c r="R10" i="28" s="1"/>
  <c r="J10" i="28"/>
  <c r="K10" i="26"/>
  <c r="AB7" i="43"/>
  <c r="AB102" i="43" s="1"/>
  <c r="AA102" i="43" s="1"/>
  <c r="W102" i="43"/>
  <c r="AB7" i="44"/>
  <c r="AB102" i="44" s="1"/>
  <c r="AA102" i="44"/>
  <c r="W102" i="46"/>
  <c r="AB7" i="46"/>
  <c r="AB102" i="46" s="1"/>
  <c r="AA102" i="46"/>
  <c r="O115" i="13"/>
  <c r="S115" i="13"/>
  <c r="W15" i="20"/>
  <c r="X92" i="20"/>
  <c r="AA13" i="20"/>
  <c r="O87" i="33"/>
  <c r="AB15" i="20"/>
  <c r="AA15" i="20" s="1"/>
  <c r="L12" i="27"/>
  <c r="AA10" i="23"/>
  <c r="X11" i="23"/>
  <c r="W10" i="23"/>
  <c r="O153" i="5"/>
  <c r="O155" i="5" s="1"/>
  <c r="G153" i="5"/>
  <c r="G155" i="5" s="1"/>
  <c r="K153" i="5"/>
  <c r="K155" i="5" s="1"/>
  <c r="K14" i="26" l="1"/>
  <c r="K25" i="26" s="1"/>
  <c r="K10" i="28"/>
  <c r="L10" i="26"/>
  <c r="T98" i="33"/>
  <c r="W85" i="33"/>
  <c r="S85" i="33"/>
  <c r="T87" i="33"/>
  <c r="X100" i="23"/>
  <c r="AA100" i="23" s="1"/>
  <c r="AA11" i="23"/>
  <c r="X15" i="23"/>
  <c r="Q131" i="5"/>
  <c r="L10" i="28" l="1"/>
  <c r="L14" i="26"/>
  <c r="L25" i="26" s="1"/>
  <c r="W87" i="33"/>
  <c r="S87" i="33"/>
  <c r="AA15" i="23"/>
  <c r="Q155" i="5"/>
  <c r="G62" i="7" l="1"/>
  <c r="AC81" i="7"/>
  <c r="Y81" i="7"/>
  <c r="U81" i="7"/>
  <c r="Q81" i="7"/>
  <c r="AC80" i="7"/>
  <c r="Y80" i="7"/>
  <c r="U80" i="7"/>
  <c r="Q80" i="7"/>
  <c r="G80" i="7"/>
  <c r="AC79" i="7"/>
  <c r="Y79" i="7"/>
  <c r="U79" i="7"/>
  <c r="Q79" i="7"/>
  <c r="G79" i="7"/>
  <c r="AC78" i="7"/>
  <c r="Y78" i="7"/>
  <c r="I78" i="7"/>
  <c r="G78" i="7"/>
  <c r="AC77" i="7"/>
  <c r="Y77" i="7"/>
  <c r="G77" i="7"/>
  <c r="AC76" i="7"/>
  <c r="Y76" i="7"/>
  <c r="G76" i="7"/>
  <c r="AC75" i="7"/>
  <c r="Y75" i="7"/>
  <c r="G75" i="7"/>
  <c r="AC74" i="7"/>
  <c r="Y74" i="7"/>
  <c r="G74" i="7"/>
  <c r="AC73" i="7"/>
  <c r="Y73" i="7"/>
  <c r="G73" i="7"/>
  <c r="AC72" i="7"/>
  <c r="Y72" i="7"/>
  <c r="G72" i="7"/>
  <c r="AC71" i="7"/>
  <c r="Y71" i="7"/>
  <c r="G71" i="7"/>
  <c r="AC70" i="7"/>
  <c r="Y70" i="7"/>
  <c r="G70" i="7"/>
  <c r="AC69" i="7"/>
  <c r="Y69" i="7"/>
  <c r="D66" i="7"/>
  <c r="AC65" i="7"/>
  <c r="Y65" i="7"/>
  <c r="U65" i="7"/>
  <c r="Q65" i="7"/>
  <c r="M65" i="7"/>
  <c r="I65" i="7"/>
  <c r="H65" i="7" s="1"/>
  <c r="G65" i="7"/>
  <c r="AC64" i="7"/>
  <c r="Y64" i="7"/>
  <c r="U64" i="7"/>
  <c r="Q64" i="7"/>
  <c r="M64" i="7"/>
  <c r="I64" i="7"/>
  <c r="H64" i="7" s="1"/>
  <c r="K64" i="7" s="1"/>
  <c r="G64" i="7"/>
  <c r="AC63" i="7"/>
  <c r="Y63" i="7"/>
  <c r="U63" i="7"/>
  <c r="Q63" i="7"/>
  <c r="M63" i="7"/>
  <c r="I63" i="7"/>
  <c r="H63" i="7" s="1"/>
  <c r="G63" i="7"/>
  <c r="AC62" i="7"/>
  <c r="Y62" i="7"/>
  <c r="U62" i="7"/>
  <c r="Q62" i="7"/>
  <c r="M62" i="7"/>
  <c r="AC61" i="7"/>
  <c r="Y61" i="7"/>
  <c r="U61" i="7"/>
  <c r="Q61" i="7"/>
  <c r="M61" i="7"/>
  <c r="I61" i="7"/>
  <c r="H61" i="7" s="1"/>
  <c r="G61" i="7"/>
  <c r="AC60" i="7"/>
  <c r="Y60" i="7"/>
  <c r="U60" i="7"/>
  <c r="Q60" i="7"/>
  <c r="M60" i="7"/>
  <c r="I60" i="7"/>
  <c r="H60" i="7" s="1"/>
  <c r="K60" i="7" s="1"/>
  <c r="G60" i="7"/>
  <c r="AC59" i="7"/>
  <c r="Y59" i="7"/>
  <c r="U59" i="7"/>
  <c r="Q59" i="7"/>
  <c r="M59" i="7"/>
  <c r="I59" i="7"/>
  <c r="H59" i="7" s="1"/>
  <c r="K59" i="7" s="1"/>
  <c r="G59" i="7"/>
  <c r="D53" i="7"/>
  <c r="AC50" i="7"/>
  <c r="Y50" i="7"/>
  <c r="U50" i="7"/>
  <c r="Q50" i="7"/>
  <c r="M50" i="7"/>
  <c r="I50" i="7"/>
  <c r="AC49" i="7"/>
  <c r="Y49" i="7"/>
  <c r="U49" i="7"/>
  <c r="Q49" i="7"/>
  <c r="P49" i="7" s="1"/>
  <c r="M49" i="7"/>
  <c r="I49" i="7"/>
  <c r="AC48" i="7"/>
  <c r="Y48" i="7"/>
  <c r="U48" i="7"/>
  <c r="Q48" i="7"/>
  <c r="P48" i="7" s="1"/>
  <c r="M48" i="7"/>
  <c r="G48" i="7"/>
  <c r="AC47" i="7"/>
  <c r="Y47" i="7"/>
  <c r="U47" i="7"/>
  <c r="Q47" i="7"/>
  <c r="P47" i="7" s="1"/>
  <c r="M47" i="7"/>
  <c r="I47" i="7"/>
  <c r="AC46" i="7"/>
  <c r="Y46" i="7"/>
  <c r="U46" i="7"/>
  <c r="Q46" i="7"/>
  <c r="M46" i="7"/>
  <c r="I46" i="7"/>
  <c r="G46" i="7"/>
  <c r="AC45" i="7"/>
  <c r="Y45" i="7"/>
  <c r="U45" i="7"/>
  <c r="Q45" i="7"/>
  <c r="P45" i="7" s="1"/>
  <c r="M45" i="7"/>
  <c r="G45" i="7"/>
  <c r="Y44" i="7"/>
  <c r="U44" i="7"/>
  <c r="Q44" i="7"/>
  <c r="P44" i="7" s="1"/>
  <c r="M44" i="7"/>
  <c r="I44" i="7"/>
  <c r="D41" i="7"/>
  <c r="G41" i="7" s="1"/>
  <c r="AC39" i="7"/>
  <c r="Y39" i="7"/>
  <c r="U39" i="7"/>
  <c r="Q39" i="7"/>
  <c r="M39" i="7"/>
  <c r="I39" i="7"/>
  <c r="H39" i="7"/>
  <c r="L39" i="7" s="1"/>
  <c r="P39" i="7" s="1"/>
  <c r="T39" i="7" s="1"/>
  <c r="G39" i="7"/>
  <c r="AC38" i="7"/>
  <c r="Y38" i="7"/>
  <c r="U38" i="7"/>
  <c r="Q38" i="7"/>
  <c r="M38" i="7"/>
  <c r="I38" i="7"/>
  <c r="H38" i="7"/>
  <c r="L38" i="7" s="1"/>
  <c r="G38" i="7"/>
  <c r="AC37" i="7"/>
  <c r="Y37" i="7"/>
  <c r="U37" i="7"/>
  <c r="Q37" i="7"/>
  <c r="M37" i="7"/>
  <c r="I37" i="7"/>
  <c r="H37" i="7"/>
  <c r="K37" i="7" s="1"/>
  <c r="G37" i="7"/>
  <c r="AC36" i="7"/>
  <c r="Y36" i="7"/>
  <c r="U36" i="7"/>
  <c r="Q36" i="7"/>
  <c r="M36" i="7"/>
  <c r="I36" i="7"/>
  <c r="H36" i="7"/>
  <c r="L36" i="7" s="1"/>
  <c r="G36" i="7"/>
  <c r="AC35" i="7"/>
  <c r="Y35" i="7"/>
  <c r="U35" i="7"/>
  <c r="Q35" i="7"/>
  <c r="M35" i="7"/>
  <c r="L35" i="7"/>
  <c r="O35" i="7" s="1"/>
  <c r="I35" i="7"/>
  <c r="H35" i="7"/>
  <c r="K35" i="7" s="1"/>
  <c r="G35" i="7"/>
  <c r="AC34" i="7"/>
  <c r="Y34" i="7"/>
  <c r="U34" i="7"/>
  <c r="Q34" i="7"/>
  <c r="M34" i="7"/>
  <c r="I34" i="7"/>
  <c r="H34" i="7"/>
  <c r="L34" i="7" s="1"/>
  <c r="G34" i="7"/>
  <c r="AC33" i="7"/>
  <c r="Y33" i="7"/>
  <c r="U33" i="7"/>
  <c r="Q33" i="7"/>
  <c r="M33" i="7"/>
  <c r="I33" i="7"/>
  <c r="H33" i="7"/>
  <c r="L33" i="7" s="1"/>
  <c r="P33" i="7" s="1"/>
  <c r="G33" i="7"/>
  <c r="D30" i="7"/>
  <c r="AC28" i="7"/>
  <c r="Y28" i="7"/>
  <c r="U28" i="7"/>
  <c r="Q28" i="7"/>
  <c r="M28" i="7"/>
  <c r="I28" i="7"/>
  <c r="H28" i="7"/>
  <c r="K28" i="7" s="1"/>
  <c r="G28" i="7"/>
  <c r="AC27" i="7"/>
  <c r="Y27" i="7"/>
  <c r="U27" i="7"/>
  <c r="Q27" i="7"/>
  <c r="M27" i="7"/>
  <c r="I27" i="7"/>
  <c r="H27" i="7"/>
  <c r="L27" i="7" s="1"/>
  <c r="G27" i="7"/>
  <c r="AC26" i="7"/>
  <c r="Y26" i="7"/>
  <c r="U26" i="7"/>
  <c r="Q26" i="7"/>
  <c r="M26" i="7"/>
  <c r="I26" i="7"/>
  <c r="H26" i="7"/>
  <c r="G26" i="7"/>
  <c r="AC25" i="7"/>
  <c r="Y25" i="7"/>
  <c r="U25" i="7"/>
  <c r="Q25" i="7"/>
  <c r="M25" i="7"/>
  <c r="I25" i="7"/>
  <c r="H25" i="7"/>
  <c r="H30" i="7" s="1"/>
  <c r="G25" i="7"/>
  <c r="AC24" i="7"/>
  <c r="Y24" i="7"/>
  <c r="U24" i="7"/>
  <c r="Q24" i="7"/>
  <c r="M24" i="7"/>
  <c r="L24" i="7"/>
  <c r="P24" i="7" s="1"/>
  <c r="T24" i="7" s="1"/>
  <c r="K24" i="7"/>
  <c r="I24" i="7"/>
  <c r="G24" i="7"/>
  <c r="AC23" i="7"/>
  <c r="Y23" i="7"/>
  <c r="K23" i="7"/>
  <c r="AC21" i="7"/>
  <c r="Y21" i="7"/>
  <c r="U21" i="7"/>
  <c r="Q21" i="7"/>
  <c r="D11" i="7"/>
  <c r="AB10" i="7"/>
  <c r="X10" i="7"/>
  <c r="AA10" i="7" s="1"/>
  <c r="W10" i="7"/>
  <c r="K10" i="7"/>
  <c r="G10" i="7"/>
  <c r="G9" i="7"/>
  <c r="L6" i="7"/>
  <c r="P6" i="7" s="1"/>
  <c r="T6" i="7" s="1"/>
  <c r="X6" i="7" s="1"/>
  <c r="AB6" i="7" s="1"/>
  <c r="H6" i="7"/>
  <c r="D13" i="7" l="1"/>
  <c r="L25" i="7"/>
  <c r="O25" i="7" s="1"/>
  <c r="K33" i="7"/>
  <c r="K27" i="7"/>
  <c r="I30" i="7"/>
  <c r="S10" i="7"/>
  <c r="H15" i="36"/>
  <c r="O10" i="7"/>
  <c r="G15" i="36"/>
  <c r="H9" i="27"/>
  <c r="E38" i="2" s="1"/>
  <c r="E43" i="2" s="1"/>
  <c r="H41" i="7"/>
  <c r="K25" i="7"/>
  <c r="L37" i="7"/>
  <c r="L41" i="7" s="1"/>
  <c r="K39" i="7"/>
  <c r="P35" i="7"/>
  <c r="T35" i="7" s="1"/>
  <c r="G14" i="36"/>
  <c r="O24" i="7"/>
  <c r="O33" i="7"/>
  <c r="O39" i="7"/>
  <c r="O23" i="7"/>
  <c r="L65" i="7"/>
  <c r="P65" i="7" s="1"/>
  <c r="O48" i="7"/>
  <c r="L63" i="7"/>
  <c r="O63" i="7" s="1"/>
  <c r="L61" i="7"/>
  <c r="P61" i="7" s="1"/>
  <c r="X23" i="7"/>
  <c r="W23" i="7" s="1"/>
  <c r="W24" i="7"/>
  <c r="X24" i="7"/>
  <c r="L11" i="7"/>
  <c r="S24" i="7"/>
  <c r="P25" i="7"/>
  <c r="P27" i="7"/>
  <c r="O27" i="7"/>
  <c r="O34" i="7"/>
  <c r="P34" i="7"/>
  <c r="O36" i="7"/>
  <c r="P36" i="7"/>
  <c r="O38" i="7"/>
  <c r="P38" i="7"/>
  <c r="K9" i="7"/>
  <c r="H11" i="7"/>
  <c r="D96" i="7"/>
  <c r="G21" i="7"/>
  <c r="K26" i="7"/>
  <c r="L26" i="7"/>
  <c r="T33" i="7"/>
  <c r="S33" i="7"/>
  <c r="W35" i="7"/>
  <c r="X35" i="7"/>
  <c r="W39" i="7"/>
  <c r="X39" i="7"/>
  <c r="S23" i="7"/>
  <c r="K46" i="7"/>
  <c r="K45" i="7"/>
  <c r="K41" i="7"/>
  <c r="D55" i="7"/>
  <c r="L28" i="7"/>
  <c r="K34" i="7"/>
  <c r="S35" i="7"/>
  <c r="K36" i="7"/>
  <c r="K38" i="7"/>
  <c r="S39" i="7"/>
  <c r="K70" i="7"/>
  <c r="K74" i="7"/>
  <c r="K78" i="7"/>
  <c r="K48" i="7"/>
  <c r="K69" i="7"/>
  <c r="G69" i="7"/>
  <c r="K73" i="7"/>
  <c r="K77" i="7"/>
  <c r="H66" i="7"/>
  <c r="I66" i="7" s="1"/>
  <c r="L59" i="7"/>
  <c r="K72" i="7"/>
  <c r="K76" i="7"/>
  <c r="K80" i="7"/>
  <c r="K71" i="7"/>
  <c r="K75" i="7"/>
  <c r="K79" i="7"/>
  <c r="L60" i="7"/>
  <c r="L62" i="7"/>
  <c r="K62" i="7" s="1"/>
  <c r="L64" i="7"/>
  <c r="K61" i="7"/>
  <c r="K63" i="7"/>
  <c r="K65" i="7"/>
  <c r="AF10" i="5"/>
  <c r="M9" i="27" l="1"/>
  <c r="M11" i="7"/>
  <c r="H9" i="28"/>
  <c r="H96" i="7"/>
  <c r="I11" i="7"/>
  <c r="O46" i="7"/>
  <c r="O41" i="7"/>
  <c r="O45" i="7"/>
  <c r="O37" i="7"/>
  <c r="P37" i="7"/>
  <c r="P41" i="7" s="1"/>
  <c r="O9" i="7"/>
  <c r="H14" i="36"/>
  <c r="P21" i="7"/>
  <c r="O21" i="7" s="1"/>
  <c r="G49" i="7"/>
  <c r="T48" i="7"/>
  <c r="S48" i="7" s="1"/>
  <c r="O65" i="7"/>
  <c r="O61" i="7"/>
  <c r="P63" i="7"/>
  <c r="S63" i="7" s="1"/>
  <c r="G66" i="7"/>
  <c r="P64" i="7"/>
  <c r="O64" i="7"/>
  <c r="O71" i="7"/>
  <c r="S61" i="7"/>
  <c r="T61" i="7"/>
  <c r="P26" i="7"/>
  <c r="O26" i="7"/>
  <c r="P62" i="7"/>
  <c r="O62" i="7" s="1"/>
  <c r="O76" i="7"/>
  <c r="O77" i="7"/>
  <c r="AB35" i="7"/>
  <c r="AA35" i="7"/>
  <c r="P60" i="7"/>
  <c r="O60" i="7"/>
  <c r="O75" i="7"/>
  <c r="O69" i="7"/>
  <c r="O78" i="7"/>
  <c r="O70" i="7"/>
  <c r="P28" i="7"/>
  <c r="O28" i="7"/>
  <c r="G30" i="7"/>
  <c r="W33" i="7"/>
  <c r="X33" i="7"/>
  <c r="K11" i="7"/>
  <c r="T36" i="7"/>
  <c r="S36" i="7"/>
  <c r="G11" i="7"/>
  <c r="O79" i="7"/>
  <c r="P79" i="7"/>
  <c r="L66" i="7"/>
  <c r="O59" i="7"/>
  <c r="P59" i="7"/>
  <c r="O74" i="7"/>
  <c r="P80" i="7"/>
  <c r="O80" i="7"/>
  <c r="O72" i="7"/>
  <c r="O73" i="7"/>
  <c r="D15" i="7"/>
  <c r="K21" i="7"/>
  <c r="S27" i="7"/>
  <c r="T27" i="7"/>
  <c r="T9" i="7"/>
  <c r="S9" i="7" s="1"/>
  <c r="P11" i="7"/>
  <c r="Q11" i="7" s="1"/>
  <c r="AB23" i="7"/>
  <c r="AA23" i="7" s="1"/>
  <c r="S65" i="7"/>
  <c r="T65" i="7"/>
  <c r="AB39" i="7"/>
  <c r="AA39" i="7"/>
  <c r="T38" i="7"/>
  <c r="S38" i="7"/>
  <c r="T34" i="7"/>
  <c r="S34" i="7"/>
  <c r="S25" i="7"/>
  <c r="T25" i="7"/>
  <c r="AA24" i="7"/>
  <c r="AB24" i="7"/>
  <c r="W9" i="28" l="1"/>
  <c r="K44" i="7"/>
  <c r="K47" i="7"/>
  <c r="K50" i="7"/>
  <c r="S41" i="7"/>
  <c r="S45" i="7"/>
  <c r="P46" i="7"/>
  <c r="S46" i="7" s="1"/>
  <c r="M30" i="7"/>
  <c r="K66" i="7"/>
  <c r="M66" i="7"/>
  <c r="O11" i="7"/>
  <c r="P13" i="7"/>
  <c r="K30" i="7"/>
  <c r="T37" i="7"/>
  <c r="S37" i="7"/>
  <c r="L15" i="7"/>
  <c r="L96" i="7"/>
  <c r="X48" i="7"/>
  <c r="W48" i="7" s="1"/>
  <c r="T63" i="7"/>
  <c r="X63" i="7" s="1"/>
  <c r="X25" i="7"/>
  <c r="W25" i="7"/>
  <c r="X65" i="7"/>
  <c r="W65" i="7"/>
  <c r="T79" i="7"/>
  <c r="S79" i="7"/>
  <c r="X38" i="7"/>
  <c r="W38" i="7"/>
  <c r="S73" i="7"/>
  <c r="K13" i="7"/>
  <c r="S28" i="7"/>
  <c r="T28" i="7"/>
  <c r="S78" i="7"/>
  <c r="S75" i="7"/>
  <c r="G13" i="7"/>
  <c r="S77" i="7"/>
  <c r="T1" i="7"/>
  <c r="X36" i="7"/>
  <c r="W36" i="7"/>
  <c r="T62" i="7"/>
  <c r="S62" i="7" s="1"/>
  <c r="T64" i="7"/>
  <c r="S64" i="7"/>
  <c r="X34" i="7"/>
  <c r="W34" i="7"/>
  <c r="H53" i="7"/>
  <c r="G44" i="7"/>
  <c r="X9" i="7"/>
  <c r="T11" i="7"/>
  <c r="S11" i="7" s="1"/>
  <c r="P30" i="7"/>
  <c r="Q30" i="7" s="1"/>
  <c r="T21" i="7"/>
  <c r="S21" i="7" s="1"/>
  <c r="H15" i="7"/>
  <c r="AB33" i="7"/>
  <c r="AA33" i="7"/>
  <c r="G47" i="7"/>
  <c r="S70" i="7"/>
  <c r="S71" i="7"/>
  <c r="T80" i="7"/>
  <c r="S80" i="7"/>
  <c r="T60" i="7"/>
  <c r="S60" i="7"/>
  <c r="G50" i="7"/>
  <c r="S76" i="7"/>
  <c r="T26" i="7"/>
  <c r="S26" i="7"/>
  <c r="X61" i="7"/>
  <c r="W61" i="7"/>
  <c r="S74" i="7"/>
  <c r="X27" i="7"/>
  <c r="W27" i="7"/>
  <c r="S59" i="7"/>
  <c r="P66" i="7"/>
  <c r="Q66" i="7" s="1"/>
  <c r="T59" i="7"/>
  <c r="S72" i="7"/>
  <c r="AC80" i="6"/>
  <c r="Y80" i="6"/>
  <c r="AC79" i="6"/>
  <c r="Y79" i="6"/>
  <c r="U79" i="6"/>
  <c r="Q79" i="6"/>
  <c r="G79" i="6"/>
  <c r="AC78" i="6"/>
  <c r="Y78" i="6"/>
  <c r="U78" i="6"/>
  <c r="Q78" i="6"/>
  <c r="G78" i="6"/>
  <c r="AC77" i="6"/>
  <c r="Y77" i="6"/>
  <c r="U77" i="6"/>
  <c r="Q77" i="6"/>
  <c r="G77" i="6"/>
  <c r="AC76" i="6"/>
  <c r="Y76" i="6"/>
  <c r="G76" i="6"/>
  <c r="AC75" i="6"/>
  <c r="Y75" i="6"/>
  <c r="Q75" i="6"/>
  <c r="G75" i="6"/>
  <c r="AC74" i="6"/>
  <c r="Y74" i="6"/>
  <c r="Q74" i="6"/>
  <c r="G74" i="6"/>
  <c r="AC73" i="6"/>
  <c r="Y73" i="6"/>
  <c r="Q73" i="6"/>
  <c r="G73" i="6"/>
  <c r="AC72" i="6"/>
  <c r="Y72" i="6"/>
  <c r="Q72" i="6"/>
  <c r="G72" i="6"/>
  <c r="AC71" i="6"/>
  <c r="Y71" i="6"/>
  <c r="Q71" i="6"/>
  <c r="G71" i="6"/>
  <c r="AC70" i="6"/>
  <c r="Y70" i="6"/>
  <c r="Q70" i="6"/>
  <c r="G70" i="6"/>
  <c r="AC69" i="6"/>
  <c r="Y69" i="6"/>
  <c r="Q69" i="6"/>
  <c r="G69" i="6"/>
  <c r="AC68" i="6"/>
  <c r="G68" i="6"/>
  <c r="D65" i="6"/>
  <c r="G65" i="6" s="1"/>
  <c r="AC64" i="6"/>
  <c r="Y64" i="6"/>
  <c r="U64" i="6"/>
  <c r="Q64" i="6"/>
  <c r="M64" i="6"/>
  <c r="I64" i="6"/>
  <c r="H64" i="6" s="1"/>
  <c r="G64" i="6"/>
  <c r="AC63" i="6"/>
  <c r="Y63" i="6"/>
  <c r="U63" i="6"/>
  <c r="Q63" i="6"/>
  <c r="M63" i="6"/>
  <c r="I63" i="6"/>
  <c r="H63" i="6" s="1"/>
  <c r="K63" i="6" s="1"/>
  <c r="G63" i="6"/>
  <c r="AC62" i="6"/>
  <c r="Y62" i="6"/>
  <c r="U62" i="6"/>
  <c r="Q62" i="6"/>
  <c r="M62" i="6"/>
  <c r="I62" i="6"/>
  <c r="H62" i="6" s="1"/>
  <c r="G62" i="6"/>
  <c r="AC61" i="6"/>
  <c r="Y61" i="6"/>
  <c r="U61" i="6"/>
  <c r="Q61" i="6"/>
  <c r="M61" i="6"/>
  <c r="I61" i="6"/>
  <c r="H61" i="6" s="1"/>
  <c r="G61" i="6"/>
  <c r="AC60" i="6"/>
  <c r="Y60" i="6"/>
  <c r="U60" i="6"/>
  <c r="Q60" i="6"/>
  <c r="M60" i="6"/>
  <c r="I60" i="6"/>
  <c r="H60" i="6" s="1"/>
  <c r="G60" i="6"/>
  <c r="AC59" i="6"/>
  <c r="Y59" i="6"/>
  <c r="U59" i="6"/>
  <c r="Q59" i="6"/>
  <c r="M59" i="6"/>
  <c r="I59" i="6"/>
  <c r="H59" i="6" s="1"/>
  <c r="K59" i="6" s="1"/>
  <c r="G59" i="6"/>
  <c r="AC58" i="6"/>
  <c r="Y58" i="6"/>
  <c r="U58" i="6"/>
  <c r="Q58" i="6"/>
  <c r="M58" i="6"/>
  <c r="I58" i="6"/>
  <c r="H58" i="6" s="1"/>
  <c r="G58" i="6"/>
  <c r="D52" i="6"/>
  <c r="AC49" i="6"/>
  <c r="Y49" i="6"/>
  <c r="U49" i="6"/>
  <c r="Q49" i="6"/>
  <c r="M49" i="6"/>
  <c r="I49" i="6"/>
  <c r="AC48" i="6"/>
  <c r="Y48" i="6"/>
  <c r="U48" i="6"/>
  <c r="Q48" i="6"/>
  <c r="M48" i="6"/>
  <c r="I48" i="6"/>
  <c r="AC47" i="6"/>
  <c r="Y47" i="6"/>
  <c r="U47" i="6"/>
  <c r="Q47" i="6"/>
  <c r="M47" i="6"/>
  <c r="G47" i="6"/>
  <c r="AC46" i="6"/>
  <c r="Y46" i="6"/>
  <c r="U46" i="6"/>
  <c r="Q46" i="6"/>
  <c r="M46" i="6"/>
  <c r="I46" i="6"/>
  <c r="AC45" i="6"/>
  <c r="Y45" i="6"/>
  <c r="U45" i="6"/>
  <c r="Q45" i="6"/>
  <c r="M45" i="6"/>
  <c r="I45" i="6"/>
  <c r="G45" i="6"/>
  <c r="AC44" i="6"/>
  <c r="Y44" i="6"/>
  <c r="U44" i="6"/>
  <c r="Q44" i="6"/>
  <c r="M44" i="6"/>
  <c r="I44" i="6"/>
  <c r="G44" i="6"/>
  <c r="U43" i="6"/>
  <c r="Q43" i="6"/>
  <c r="M43" i="6"/>
  <c r="I43" i="6"/>
  <c r="D40" i="6"/>
  <c r="G40" i="6" s="1"/>
  <c r="AC38" i="6"/>
  <c r="Y38" i="6"/>
  <c r="U38" i="6"/>
  <c r="Q38" i="6"/>
  <c r="M38" i="6"/>
  <c r="I38" i="6"/>
  <c r="H38" i="6"/>
  <c r="G38" i="6"/>
  <c r="AC37" i="6"/>
  <c r="Y37" i="6"/>
  <c r="U37" i="6"/>
  <c r="Q37" i="6"/>
  <c r="M37" i="6"/>
  <c r="I37" i="6"/>
  <c r="H37" i="6"/>
  <c r="L37" i="6" s="1"/>
  <c r="G37" i="6"/>
  <c r="AC36" i="6"/>
  <c r="Y36" i="6"/>
  <c r="U36" i="6"/>
  <c r="Q36" i="6"/>
  <c r="M36" i="6"/>
  <c r="I36" i="6"/>
  <c r="H36" i="6"/>
  <c r="G36" i="6"/>
  <c r="AC35" i="6"/>
  <c r="Y35" i="6"/>
  <c r="U35" i="6"/>
  <c r="Q35" i="6"/>
  <c r="M35" i="6"/>
  <c r="I35" i="6"/>
  <c r="H35" i="6"/>
  <c r="K35" i="6" s="1"/>
  <c r="G35" i="6"/>
  <c r="AC34" i="6"/>
  <c r="Y34" i="6"/>
  <c r="U34" i="6"/>
  <c r="Q34" i="6"/>
  <c r="M34" i="6"/>
  <c r="I34" i="6"/>
  <c r="H34" i="6"/>
  <c r="G34" i="6"/>
  <c r="AC33" i="6"/>
  <c r="Y33" i="6"/>
  <c r="U33" i="6"/>
  <c r="Q33" i="6"/>
  <c r="M33" i="6"/>
  <c r="I33" i="6"/>
  <c r="H33" i="6"/>
  <c r="K33" i="6" s="1"/>
  <c r="G33" i="6"/>
  <c r="AC32" i="6"/>
  <c r="Y32" i="6"/>
  <c r="U32" i="6"/>
  <c r="Q32" i="6"/>
  <c r="M32" i="6"/>
  <c r="I32" i="6"/>
  <c r="H32" i="6"/>
  <c r="G32" i="6"/>
  <c r="AC26" i="6"/>
  <c r="Y26" i="6"/>
  <c r="U26" i="6"/>
  <c r="Q26" i="6"/>
  <c r="M26" i="6"/>
  <c r="I26" i="6"/>
  <c r="H26" i="6"/>
  <c r="K26" i="6" s="1"/>
  <c r="G26" i="6"/>
  <c r="AC25" i="6"/>
  <c r="Y25" i="6"/>
  <c r="U25" i="6"/>
  <c r="Q25" i="6"/>
  <c r="M25" i="6"/>
  <c r="I25" i="6"/>
  <c r="H25" i="6"/>
  <c r="L25" i="6" s="1"/>
  <c r="O25" i="6" s="1"/>
  <c r="G25" i="6"/>
  <c r="AC24" i="6"/>
  <c r="Y24" i="6"/>
  <c r="U24" i="6"/>
  <c r="Q24" i="6"/>
  <c r="M24" i="6"/>
  <c r="I24" i="6"/>
  <c r="H24" i="6"/>
  <c r="K24" i="6" s="1"/>
  <c r="G24" i="6"/>
  <c r="AC23" i="6"/>
  <c r="Y23" i="6"/>
  <c r="U23" i="6"/>
  <c r="Q23" i="6"/>
  <c r="M23" i="6"/>
  <c r="I23" i="6"/>
  <c r="H23" i="6"/>
  <c r="H29" i="6" s="1"/>
  <c r="I29" i="6" s="1"/>
  <c r="G23" i="6"/>
  <c r="AC22" i="6"/>
  <c r="Y22" i="6"/>
  <c r="U22" i="6"/>
  <c r="AC21" i="6"/>
  <c r="Y21" i="6"/>
  <c r="U21" i="6"/>
  <c r="Q21" i="6"/>
  <c r="AB10" i="6"/>
  <c r="X10" i="6"/>
  <c r="AA10" i="6" s="1"/>
  <c r="K10" i="6"/>
  <c r="G10" i="6"/>
  <c r="H6" i="6"/>
  <c r="L6" i="6" s="1"/>
  <c r="P6" i="6" s="1"/>
  <c r="T6" i="6" s="1"/>
  <c r="X6" i="6" s="1"/>
  <c r="AB6" i="6" s="1"/>
  <c r="D3" i="6"/>
  <c r="B87" i="3"/>
  <c r="B89" i="3"/>
  <c r="G10" i="4"/>
  <c r="AF104" i="5"/>
  <c r="AF103" i="5"/>
  <c r="AE97" i="5"/>
  <c r="AE95" i="5"/>
  <c r="AD25" i="5"/>
  <c r="B26" i="3" s="1"/>
  <c r="B27" i="3"/>
  <c r="AE82" i="5"/>
  <c r="AE81" i="5"/>
  <c r="AD81" i="5"/>
  <c r="AE80" i="5"/>
  <c r="AD80" i="5"/>
  <c r="AE79" i="5"/>
  <c r="AD79" i="5"/>
  <c r="AE78" i="5"/>
  <c r="AD78" i="5"/>
  <c r="AE77" i="5"/>
  <c r="AD77" i="5"/>
  <c r="AE76" i="5"/>
  <c r="AD76" i="5"/>
  <c r="AE75" i="5"/>
  <c r="AD75" i="5"/>
  <c r="AE74" i="5"/>
  <c r="AD74" i="5"/>
  <c r="AE73" i="5"/>
  <c r="AD73" i="5"/>
  <c r="AE72" i="5"/>
  <c r="AD72" i="5"/>
  <c r="AE71" i="5"/>
  <c r="AD71" i="5"/>
  <c r="AE70" i="5"/>
  <c r="AD70" i="5"/>
  <c r="AE69" i="5"/>
  <c r="AD69" i="5"/>
  <c r="AE65" i="5"/>
  <c r="AD65" i="5"/>
  <c r="AE64" i="5"/>
  <c r="AD64" i="5"/>
  <c r="AE63" i="5"/>
  <c r="AD63" i="5"/>
  <c r="AE62" i="5"/>
  <c r="AD62" i="5"/>
  <c r="AE61" i="5"/>
  <c r="AD61" i="5"/>
  <c r="AE60" i="5"/>
  <c r="AD60" i="5"/>
  <c r="AE59" i="5"/>
  <c r="AD59" i="5"/>
  <c r="AE50" i="5"/>
  <c r="C50" i="3" s="1"/>
  <c r="AD50" i="5"/>
  <c r="B50" i="3" s="1"/>
  <c r="AE49" i="5"/>
  <c r="C49" i="3" s="1"/>
  <c r="AD49" i="5"/>
  <c r="B49" i="3" s="1"/>
  <c r="AE48" i="5"/>
  <c r="C48" i="3" s="1"/>
  <c r="AD48" i="5"/>
  <c r="B48" i="3" s="1"/>
  <c r="AE47" i="5"/>
  <c r="C47" i="3" s="1"/>
  <c r="AD47" i="5"/>
  <c r="B47" i="3" s="1"/>
  <c r="AE46" i="5"/>
  <c r="C46" i="3" s="1"/>
  <c r="AD46" i="5"/>
  <c r="B46" i="3" s="1"/>
  <c r="AE45" i="5"/>
  <c r="C45" i="3" s="1"/>
  <c r="AD45" i="5"/>
  <c r="B45" i="3" s="1"/>
  <c r="AE44" i="5"/>
  <c r="C44" i="3" s="1"/>
  <c r="AD44" i="5"/>
  <c r="B44" i="3" s="1"/>
  <c r="AE39" i="5"/>
  <c r="C39" i="3" s="1"/>
  <c r="AD39" i="5"/>
  <c r="B39" i="3" s="1"/>
  <c r="AE38" i="5"/>
  <c r="C38" i="3" s="1"/>
  <c r="AD38" i="5"/>
  <c r="B38" i="3" s="1"/>
  <c r="AE37" i="5"/>
  <c r="C37" i="3" s="1"/>
  <c r="AD37" i="5"/>
  <c r="B37" i="3" s="1"/>
  <c r="AE36" i="5"/>
  <c r="C36" i="3" s="1"/>
  <c r="AD36" i="5"/>
  <c r="B36" i="3" s="1"/>
  <c r="AE35" i="5"/>
  <c r="C35" i="3" s="1"/>
  <c r="AD35" i="5"/>
  <c r="B35" i="3" s="1"/>
  <c r="AE34" i="5"/>
  <c r="AD34" i="5"/>
  <c r="AE33" i="5"/>
  <c r="C33" i="3" s="1"/>
  <c r="AD33" i="5"/>
  <c r="B33" i="3" s="1"/>
  <c r="C28" i="3"/>
  <c r="B28" i="3"/>
  <c r="C27" i="3"/>
  <c r="AE25" i="5"/>
  <c r="C26" i="3" s="1"/>
  <c r="AE24" i="5"/>
  <c r="C25" i="3" s="1"/>
  <c r="AD24" i="5"/>
  <c r="B25" i="3" s="1"/>
  <c r="AE23" i="5"/>
  <c r="C24" i="3" s="1"/>
  <c r="AD23" i="5"/>
  <c r="B24" i="3" s="1"/>
  <c r="AE22" i="5"/>
  <c r="C23" i="3" s="1"/>
  <c r="AD22" i="5"/>
  <c r="B23" i="3" s="1"/>
  <c r="AE21" i="5"/>
  <c r="C22" i="3" s="1"/>
  <c r="AD21" i="5"/>
  <c r="B22" i="3" s="1"/>
  <c r="AE13" i="5"/>
  <c r="C14" i="3" s="1"/>
  <c r="AE10" i="5"/>
  <c r="C11" i="3" s="1"/>
  <c r="AE9" i="5"/>
  <c r="C10" i="3" s="1"/>
  <c r="AD13" i="5"/>
  <c r="AD20" i="5"/>
  <c r="B21" i="3" s="1"/>
  <c r="AD15" i="5"/>
  <c r="B16" i="3" s="1"/>
  <c r="AD11" i="5"/>
  <c r="B12" i="3" s="1"/>
  <c r="AD9" i="5"/>
  <c r="B10" i="3" s="1"/>
  <c r="AD7" i="5"/>
  <c r="B8" i="3" s="1"/>
  <c r="AA105" i="5"/>
  <c r="Y105" i="5"/>
  <c r="W105" i="5"/>
  <c r="U105" i="5"/>
  <c r="S105" i="5"/>
  <c r="Q105" i="5"/>
  <c r="M105" i="5"/>
  <c r="K105" i="5"/>
  <c r="I105" i="5"/>
  <c r="G105" i="5"/>
  <c r="AA95" i="5"/>
  <c r="Y95" i="5"/>
  <c r="W95" i="5"/>
  <c r="U95" i="5"/>
  <c r="S95" i="5"/>
  <c r="Q95" i="5"/>
  <c r="O95" i="5"/>
  <c r="M95" i="5"/>
  <c r="K95" i="5"/>
  <c r="I95" i="5"/>
  <c r="E95" i="5"/>
  <c r="C95" i="5"/>
  <c r="C102" i="5" s="1"/>
  <c r="B94" i="5"/>
  <c r="AE94" i="5" s="1"/>
  <c r="AD85" i="5"/>
  <c r="B85" i="3" s="1"/>
  <c r="AA82" i="5"/>
  <c r="Y82" i="5"/>
  <c r="W82" i="5"/>
  <c r="U82" i="5"/>
  <c r="S82" i="5"/>
  <c r="Q82" i="5"/>
  <c r="O82" i="5"/>
  <c r="M82" i="5"/>
  <c r="K82" i="5"/>
  <c r="I82" i="5"/>
  <c r="G82" i="5"/>
  <c r="E82" i="5"/>
  <c r="C82" i="5"/>
  <c r="AD68" i="5"/>
  <c r="B68" i="3" s="1"/>
  <c r="AA66" i="5"/>
  <c r="Y66" i="5"/>
  <c r="W66" i="5"/>
  <c r="U66" i="5"/>
  <c r="S66" i="5"/>
  <c r="Q66" i="5"/>
  <c r="O66" i="5"/>
  <c r="M66" i="5"/>
  <c r="K66" i="5"/>
  <c r="I66" i="5"/>
  <c r="G66" i="5"/>
  <c r="E66" i="5"/>
  <c r="C66" i="5"/>
  <c r="AD58" i="5"/>
  <c r="B58" i="3" s="1"/>
  <c r="AD55" i="5"/>
  <c r="B55" i="3" s="1"/>
  <c r="AA50" i="5"/>
  <c r="W50" i="5"/>
  <c r="U50" i="5"/>
  <c r="S50" i="5"/>
  <c r="M50" i="5"/>
  <c r="I50" i="5"/>
  <c r="E50" i="5"/>
  <c r="AA49" i="5"/>
  <c r="S49" i="5"/>
  <c r="M49" i="5"/>
  <c r="I49" i="5"/>
  <c r="E49" i="5"/>
  <c r="AA47" i="5"/>
  <c r="W47" i="5"/>
  <c r="U47" i="5"/>
  <c r="S47" i="5"/>
  <c r="I47" i="5"/>
  <c r="AA46" i="5"/>
  <c r="Y46" i="5"/>
  <c r="W46" i="5"/>
  <c r="U46" i="5"/>
  <c r="S46" i="5"/>
  <c r="Q46" i="5"/>
  <c r="O53" i="5"/>
  <c r="K46" i="5"/>
  <c r="U45" i="5"/>
  <c r="AF45" i="5" s="1"/>
  <c r="F36" i="27" s="1"/>
  <c r="U44" i="5"/>
  <c r="AF44" i="5" s="1"/>
  <c r="AD43" i="5"/>
  <c r="B43" i="3" s="1"/>
  <c r="AD42" i="5"/>
  <c r="AA41" i="5"/>
  <c r="Y41" i="5"/>
  <c r="W41" i="5"/>
  <c r="U41" i="5"/>
  <c r="S41" i="5"/>
  <c r="Q41" i="5"/>
  <c r="O41" i="5"/>
  <c r="M41" i="5"/>
  <c r="K41" i="5"/>
  <c r="I41" i="5"/>
  <c r="G41" i="5"/>
  <c r="E41" i="5"/>
  <c r="C41" i="5"/>
  <c r="AD32" i="5"/>
  <c r="B32" i="3" s="1"/>
  <c r="G12" i="5"/>
  <c r="E9" i="5"/>
  <c r="AF7" i="5"/>
  <c r="AC81" i="4"/>
  <c r="Y81" i="4"/>
  <c r="U81" i="4"/>
  <c r="Q81" i="4"/>
  <c r="M81" i="4"/>
  <c r="I81" i="4"/>
  <c r="AC80" i="4"/>
  <c r="Y80" i="4"/>
  <c r="U80" i="4"/>
  <c r="Q80" i="4"/>
  <c r="M80" i="4"/>
  <c r="I80" i="4"/>
  <c r="H80" i="4" s="1"/>
  <c r="AC79" i="4"/>
  <c r="Y79" i="4"/>
  <c r="U79" i="4"/>
  <c r="Q79" i="4"/>
  <c r="M79" i="4"/>
  <c r="I79" i="4"/>
  <c r="H79" i="4" s="1"/>
  <c r="K79" i="4" s="1"/>
  <c r="G79" i="4"/>
  <c r="AC78" i="4"/>
  <c r="Y78" i="4"/>
  <c r="U78" i="4"/>
  <c r="Q78" i="4"/>
  <c r="M78" i="4"/>
  <c r="I78" i="4"/>
  <c r="H78" i="4" s="1"/>
  <c r="AC77" i="4"/>
  <c r="Y77" i="4"/>
  <c r="U77" i="4"/>
  <c r="Q77" i="4"/>
  <c r="M77" i="4"/>
  <c r="I77" i="4"/>
  <c r="AC76" i="4"/>
  <c r="Y76" i="4"/>
  <c r="U76" i="4"/>
  <c r="Q76" i="4"/>
  <c r="M76" i="4"/>
  <c r="I76" i="4"/>
  <c r="H76" i="4" s="1"/>
  <c r="AC75" i="4"/>
  <c r="Y75" i="4"/>
  <c r="U75" i="4"/>
  <c r="Q75" i="4"/>
  <c r="M75" i="4"/>
  <c r="I75" i="4"/>
  <c r="H75" i="4" s="1"/>
  <c r="K75" i="4" s="1"/>
  <c r="G75" i="4"/>
  <c r="AC74" i="4"/>
  <c r="Y74" i="4"/>
  <c r="U74" i="4"/>
  <c r="Q74" i="4"/>
  <c r="M74" i="4"/>
  <c r="I74" i="4"/>
  <c r="H74" i="4" s="1"/>
  <c r="AC73" i="4"/>
  <c r="Y73" i="4"/>
  <c r="U73" i="4"/>
  <c r="Q73" i="4"/>
  <c r="M73" i="4"/>
  <c r="I73" i="4"/>
  <c r="AC72" i="4"/>
  <c r="Y72" i="4"/>
  <c r="U72" i="4"/>
  <c r="Q72" i="4"/>
  <c r="M72" i="4"/>
  <c r="I72" i="4"/>
  <c r="H72" i="4" s="1"/>
  <c r="AC71" i="4"/>
  <c r="Y71" i="4"/>
  <c r="U71" i="4"/>
  <c r="Q71" i="4"/>
  <c r="M71" i="4"/>
  <c r="I71" i="4"/>
  <c r="H71" i="4" s="1"/>
  <c r="K71" i="4" s="1"/>
  <c r="G71" i="4"/>
  <c r="AC70" i="4"/>
  <c r="Y70" i="4"/>
  <c r="U70" i="4"/>
  <c r="Q70" i="4"/>
  <c r="M70" i="4"/>
  <c r="I70" i="4"/>
  <c r="H70" i="4" s="1"/>
  <c r="AC69" i="4"/>
  <c r="Y69" i="4"/>
  <c r="U69" i="4"/>
  <c r="Q69" i="4"/>
  <c r="M69" i="4"/>
  <c r="I69" i="4"/>
  <c r="AC65" i="4"/>
  <c r="Y65" i="4"/>
  <c r="U65" i="4"/>
  <c r="Q65" i="4"/>
  <c r="M65" i="4"/>
  <c r="I65" i="4"/>
  <c r="G65" i="4"/>
  <c r="AC64" i="4"/>
  <c r="Y64" i="4"/>
  <c r="U64" i="4"/>
  <c r="Q64" i="4"/>
  <c r="M64" i="4"/>
  <c r="I64" i="4"/>
  <c r="H64" i="4" s="1"/>
  <c r="AC63" i="4"/>
  <c r="Y63" i="4"/>
  <c r="U63" i="4"/>
  <c r="Q63" i="4"/>
  <c r="M63" i="4"/>
  <c r="I63" i="4"/>
  <c r="H63" i="4" s="1"/>
  <c r="G63" i="4"/>
  <c r="AC62" i="4"/>
  <c r="Y62" i="4"/>
  <c r="U62" i="4"/>
  <c r="Q62" i="4"/>
  <c r="M62" i="4"/>
  <c r="I62" i="4"/>
  <c r="AC61" i="4"/>
  <c r="Y61" i="4"/>
  <c r="U61" i="4"/>
  <c r="Q61" i="4"/>
  <c r="M61" i="4"/>
  <c r="I61" i="4"/>
  <c r="AC60" i="4"/>
  <c r="Y60" i="4"/>
  <c r="U60" i="4"/>
  <c r="Q60" i="4"/>
  <c r="M60" i="4"/>
  <c r="I60" i="4"/>
  <c r="H60" i="4" s="1"/>
  <c r="AC59" i="4"/>
  <c r="Y59" i="4"/>
  <c r="U59" i="4"/>
  <c r="Q59" i="4"/>
  <c r="M59" i="4"/>
  <c r="I59" i="4"/>
  <c r="H59" i="4" s="1"/>
  <c r="H52" i="4"/>
  <c r="H51" i="4"/>
  <c r="G51" i="4"/>
  <c r="AC50" i="4"/>
  <c r="Y50" i="4"/>
  <c r="U50" i="4"/>
  <c r="Q50" i="4"/>
  <c r="M50" i="4"/>
  <c r="I50" i="4"/>
  <c r="AC49" i="4"/>
  <c r="Y49" i="4"/>
  <c r="U49" i="4"/>
  <c r="Q49" i="4"/>
  <c r="M49" i="4"/>
  <c r="I49" i="4"/>
  <c r="AC48" i="4"/>
  <c r="Y48" i="4"/>
  <c r="U48" i="4"/>
  <c r="Q48" i="4"/>
  <c r="M48" i="4"/>
  <c r="I48" i="4"/>
  <c r="H48" i="4" s="1"/>
  <c r="G48" i="4"/>
  <c r="AC47" i="4"/>
  <c r="Y47" i="4"/>
  <c r="U47" i="4"/>
  <c r="Q47" i="4"/>
  <c r="M47" i="4"/>
  <c r="I47" i="4"/>
  <c r="AC46" i="4"/>
  <c r="Y46" i="4"/>
  <c r="U46" i="4"/>
  <c r="Q46" i="4"/>
  <c r="M46" i="4"/>
  <c r="I46" i="4"/>
  <c r="AC45" i="4"/>
  <c r="Y45" i="4"/>
  <c r="U45" i="4"/>
  <c r="Q45" i="4"/>
  <c r="M45" i="4"/>
  <c r="I45" i="4"/>
  <c r="U44" i="4"/>
  <c r="Q44" i="4"/>
  <c r="M44" i="4"/>
  <c r="I44" i="4"/>
  <c r="AC39" i="4"/>
  <c r="Y39" i="4"/>
  <c r="U39" i="4"/>
  <c r="Q39" i="4"/>
  <c r="M39" i="4"/>
  <c r="I39" i="4"/>
  <c r="H39" i="4"/>
  <c r="AC38" i="4"/>
  <c r="Y38" i="4"/>
  <c r="U38" i="4"/>
  <c r="Q38" i="4"/>
  <c r="M38" i="4"/>
  <c r="I38" i="4"/>
  <c r="H38" i="4"/>
  <c r="L38" i="4" s="1"/>
  <c r="G38" i="4"/>
  <c r="AC37" i="4"/>
  <c r="Y37" i="4"/>
  <c r="U37" i="4"/>
  <c r="Q37" i="4"/>
  <c r="M37" i="4"/>
  <c r="I37" i="4"/>
  <c r="H37" i="4"/>
  <c r="K37" i="4" s="1"/>
  <c r="G37" i="4"/>
  <c r="AC36" i="4"/>
  <c r="Y36" i="4"/>
  <c r="U36" i="4"/>
  <c r="Q36" i="4"/>
  <c r="M36" i="4"/>
  <c r="I36" i="4"/>
  <c r="G36" i="4"/>
  <c r="H36" i="4"/>
  <c r="AC35" i="4"/>
  <c r="Y35" i="4"/>
  <c r="U35" i="4"/>
  <c r="Q35" i="4"/>
  <c r="M35" i="4"/>
  <c r="I35" i="4"/>
  <c r="AC34" i="4"/>
  <c r="Y34" i="4"/>
  <c r="U34" i="4"/>
  <c r="Q34" i="4"/>
  <c r="M34" i="4"/>
  <c r="I34" i="4"/>
  <c r="H34" i="4"/>
  <c r="K34" i="4" s="1"/>
  <c r="G34" i="4"/>
  <c r="AC33" i="4"/>
  <c r="Y33" i="4"/>
  <c r="U33" i="4"/>
  <c r="Q33" i="4"/>
  <c r="M33" i="4"/>
  <c r="I33" i="4"/>
  <c r="H33" i="4"/>
  <c r="D41" i="4"/>
  <c r="AC27" i="4"/>
  <c r="Y27" i="4"/>
  <c r="U27" i="4"/>
  <c r="Q27" i="4"/>
  <c r="M27" i="4"/>
  <c r="I27" i="4"/>
  <c r="AC26" i="4"/>
  <c r="Y26" i="4"/>
  <c r="U26" i="4"/>
  <c r="Q26" i="4"/>
  <c r="M26" i="4"/>
  <c r="I26" i="4"/>
  <c r="H26" i="4"/>
  <c r="L26" i="4" s="1"/>
  <c r="AC25" i="4"/>
  <c r="Y25" i="4"/>
  <c r="U25" i="4"/>
  <c r="Q25" i="4"/>
  <c r="M25" i="4"/>
  <c r="I25" i="4"/>
  <c r="H25" i="4"/>
  <c r="L25" i="4" s="1"/>
  <c r="O25" i="4" s="1"/>
  <c r="AC24" i="4"/>
  <c r="Y24" i="4"/>
  <c r="U24" i="4"/>
  <c r="Q24" i="4"/>
  <c r="M24" i="4"/>
  <c r="I24" i="4"/>
  <c r="H24" i="4"/>
  <c r="G24" i="4" s="1"/>
  <c r="AC23" i="4"/>
  <c r="Y23" i="4"/>
  <c r="U23" i="4"/>
  <c r="Q23" i="4"/>
  <c r="M23" i="4"/>
  <c r="I23" i="4"/>
  <c r="AC22" i="4"/>
  <c r="Y22" i="4"/>
  <c r="U22" i="4"/>
  <c r="Q22" i="4"/>
  <c r="M22" i="4"/>
  <c r="I22" i="4"/>
  <c r="H22" i="4"/>
  <c r="L22" i="4" s="1"/>
  <c r="AC21" i="4"/>
  <c r="Y21" i="4"/>
  <c r="U21" i="4"/>
  <c r="Q21" i="4"/>
  <c r="M21" i="4"/>
  <c r="I21" i="4"/>
  <c r="H21" i="4"/>
  <c r="L21" i="4" s="1"/>
  <c r="P21" i="4" s="1"/>
  <c r="G21" i="4"/>
  <c r="AB10" i="4"/>
  <c r="X10" i="4"/>
  <c r="AA10" i="4" s="1"/>
  <c r="T10" i="4"/>
  <c r="W10" i="4" s="1"/>
  <c r="P10" i="4"/>
  <c r="S10" i="4" s="1"/>
  <c r="H6" i="4"/>
  <c r="L6" i="4" s="1"/>
  <c r="P6" i="4" s="1"/>
  <c r="T6" i="4" s="1"/>
  <c r="X6" i="4" s="1"/>
  <c r="AB6" i="4" s="1"/>
  <c r="D3" i="4"/>
  <c r="D9" i="4" s="1"/>
  <c r="G9" i="4" s="1"/>
  <c r="L3" i="4"/>
  <c r="L9" i="4" s="1"/>
  <c r="P38" i="3"/>
  <c r="AB11" i="3"/>
  <c r="X11" i="3"/>
  <c r="AA11" i="3" s="1"/>
  <c r="T11" i="3"/>
  <c r="W11" i="3" s="1"/>
  <c r="H5" i="36"/>
  <c r="AC80" i="3"/>
  <c r="Y80" i="3"/>
  <c r="AC79" i="3"/>
  <c r="Y79" i="3"/>
  <c r="AC78" i="3"/>
  <c r="Y78" i="3"/>
  <c r="AC77" i="3"/>
  <c r="Y77" i="3"/>
  <c r="AC76" i="3"/>
  <c r="Y76" i="3"/>
  <c r="AC75" i="3"/>
  <c r="Y75" i="3"/>
  <c r="AC74" i="3"/>
  <c r="Y74" i="3"/>
  <c r="AC73" i="3"/>
  <c r="Y73" i="3"/>
  <c r="AC72" i="3"/>
  <c r="Y72" i="3"/>
  <c r="AC71" i="3"/>
  <c r="Y71" i="3"/>
  <c r="AC70" i="3"/>
  <c r="Y70" i="3"/>
  <c r="AC69" i="3"/>
  <c r="Y69" i="3"/>
  <c r="AC65" i="3"/>
  <c r="Y65" i="3"/>
  <c r="G65" i="3"/>
  <c r="AC64" i="3"/>
  <c r="Y64" i="3"/>
  <c r="AC63" i="3"/>
  <c r="Y63" i="3"/>
  <c r="AC62" i="3"/>
  <c r="Y62" i="3"/>
  <c r="AC61" i="3"/>
  <c r="Y61" i="3"/>
  <c r="AC60" i="3"/>
  <c r="Y60" i="3"/>
  <c r="G60" i="3"/>
  <c r="AC59" i="3"/>
  <c r="Y59" i="3"/>
  <c r="AC50" i="3"/>
  <c r="Y50" i="3"/>
  <c r="U50" i="3"/>
  <c r="Q50" i="3"/>
  <c r="M50" i="3"/>
  <c r="I50" i="3"/>
  <c r="AC49" i="3"/>
  <c r="Y49" i="3"/>
  <c r="U49" i="3"/>
  <c r="Q49" i="3"/>
  <c r="M49" i="3"/>
  <c r="I49" i="3"/>
  <c r="AC48" i="3"/>
  <c r="Y48" i="3"/>
  <c r="U48" i="3"/>
  <c r="Q48" i="3"/>
  <c r="M48" i="3"/>
  <c r="H39" i="27" s="1"/>
  <c r="M39" i="27" s="1"/>
  <c r="AC47" i="3"/>
  <c r="Y47" i="3"/>
  <c r="U47" i="3"/>
  <c r="Q47" i="3"/>
  <c r="M47" i="3"/>
  <c r="I47" i="3"/>
  <c r="AC46" i="3"/>
  <c r="Y46" i="3"/>
  <c r="U46" i="3"/>
  <c r="Q46" i="3"/>
  <c r="M46" i="3"/>
  <c r="I46" i="3"/>
  <c r="AC45" i="3"/>
  <c r="Y45" i="3"/>
  <c r="U45" i="3"/>
  <c r="Q45" i="3"/>
  <c r="M45" i="3"/>
  <c r="U44" i="3"/>
  <c r="Q44" i="3"/>
  <c r="M44" i="3"/>
  <c r="AC39" i="3"/>
  <c r="Y39" i="3"/>
  <c r="AC38" i="3"/>
  <c r="Y38" i="3"/>
  <c r="AC37" i="3"/>
  <c r="Y37" i="3"/>
  <c r="AC36" i="3"/>
  <c r="Y36" i="3"/>
  <c r="AC35" i="3"/>
  <c r="Y35" i="3"/>
  <c r="U35" i="3"/>
  <c r="Q35" i="3"/>
  <c r="AC34" i="3"/>
  <c r="Y34" i="3"/>
  <c r="AC33" i="3"/>
  <c r="Y33" i="3"/>
  <c r="U33" i="3"/>
  <c r="Q33" i="3"/>
  <c r="AC28" i="3"/>
  <c r="Y28" i="3"/>
  <c r="U28" i="3"/>
  <c r="Q28" i="3"/>
  <c r="AC27" i="3"/>
  <c r="Y27" i="3"/>
  <c r="U27" i="3"/>
  <c r="Q27" i="3"/>
  <c r="AC26" i="3"/>
  <c r="Y26" i="3"/>
  <c r="AC25" i="3"/>
  <c r="Y25" i="3"/>
  <c r="U25" i="3"/>
  <c r="Q25" i="3"/>
  <c r="AC24" i="3"/>
  <c r="Y24" i="3"/>
  <c r="AC23" i="3"/>
  <c r="Y23" i="3"/>
  <c r="G23" i="3"/>
  <c r="AC22" i="3"/>
  <c r="Y22" i="3"/>
  <c r="H7" i="3"/>
  <c r="L7" i="3" s="1"/>
  <c r="P7" i="3" s="1"/>
  <c r="T7" i="3" s="1"/>
  <c r="X7" i="3" s="1"/>
  <c r="AB7" i="3" s="1"/>
  <c r="BD80" i="1"/>
  <c r="BD79" i="1"/>
  <c r="BD78" i="1"/>
  <c r="BD77" i="1"/>
  <c r="BD76" i="1"/>
  <c r="BD75" i="1"/>
  <c r="BD74" i="1"/>
  <c r="BD73" i="1"/>
  <c r="BD72" i="1"/>
  <c r="BD71" i="1"/>
  <c r="BD70" i="1"/>
  <c r="BD69" i="1"/>
  <c r="BD68" i="1"/>
  <c r="BD64" i="1"/>
  <c r="BD63" i="1"/>
  <c r="BD62" i="1"/>
  <c r="BD61" i="1"/>
  <c r="BD60" i="1"/>
  <c r="BD59" i="1"/>
  <c r="BD58" i="1"/>
  <c r="BD49" i="1"/>
  <c r="BD48" i="1"/>
  <c r="BD46" i="1"/>
  <c r="BD45" i="1"/>
  <c r="BD44" i="1"/>
  <c r="BD36" i="1"/>
  <c r="BD35" i="1"/>
  <c r="BD34" i="1"/>
  <c r="BD33" i="1"/>
  <c r="BD27" i="1"/>
  <c r="BD26" i="1"/>
  <c r="BD25" i="1"/>
  <c r="BD24" i="1"/>
  <c r="BD23" i="1"/>
  <c r="BD22" i="1"/>
  <c r="BD47" i="1"/>
  <c r="BD38" i="1"/>
  <c r="BD37" i="1"/>
  <c r="BD32" i="1"/>
  <c r="BD21" i="1"/>
  <c r="BC10" i="1"/>
  <c r="K77" i="2"/>
  <c r="AZ80" i="1"/>
  <c r="AZ79" i="1"/>
  <c r="AZ78" i="1"/>
  <c r="AZ77" i="1"/>
  <c r="AZ76" i="1"/>
  <c r="AZ75" i="1"/>
  <c r="AZ74" i="1"/>
  <c r="AZ73" i="1"/>
  <c r="AZ72" i="1"/>
  <c r="AZ71" i="1"/>
  <c r="AZ70" i="1"/>
  <c r="AZ69" i="1"/>
  <c r="AZ68" i="1"/>
  <c r="AZ64" i="1"/>
  <c r="AZ63" i="1"/>
  <c r="AZ62" i="1"/>
  <c r="AZ61" i="1"/>
  <c r="AZ60" i="1"/>
  <c r="AZ59" i="1"/>
  <c r="AZ58" i="1"/>
  <c r="AZ49" i="1"/>
  <c r="AZ48" i="1"/>
  <c r="AZ46" i="1"/>
  <c r="AZ45" i="1"/>
  <c r="AZ44" i="1"/>
  <c r="AZ37" i="1"/>
  <c r="AZ35" i="1"/>
  <c r="AZ25" i="1"/>
  <c r="AZ24" i="1"/>
  <c r="AZ23" i="1"/>
  <c r="AZ22" i="1"/>
  <c r="AZ21" i="1"/>
  <c r="AZ47" i="1"/>
  <c r="AZ38" i="1"/>
  <c r="AZ36" i="1"/>
  <c r="AZ34" i="1"/>
  <c r="AZ33" i="1"/>
  <c r="AZ32" i="1"/>
  <c r="AZ27" i="1"/>
  <c r="AZ26" i="1"/>
  <c r="AY10" i="1"/>
  <c r="BB10" i="1" s="1"/>
  <c r="AV80" i="1"/>
  <c r="AV79" i="1"/>
  <c r="AV78" i="1"/>
  <c r="AV77" i="1"/>
  <c r="AV76" i="1"/>
  <c r="AV75" i="1"/>
  <c r="AV74" i="1"/>
  <c r="AV73" i="1"/>
  <c r="AV72" i="1"/>
  <c r="AV71" i="1"/>
  <c r="AV70" i="1"/>
  <c r="AV69" i="1"/>
  <c r="AV68" i="1"/>
  <c r="AV64" i="1"/>
  <c r="AV63" i="1"/>
  <c r="AV62" i="1"/>
  <c r="AV61" i="1"/>
  <c r="AV60" i="1"/>
  <c r="AV59" i="1"/>
  <c r="AV58" i="1"/>
  <c r="AR80" i="1"/>
  <c r="AR79" i="1"/>
  <c r="AR78" i="1"/>
  <c r="AR77" i="1"/>
  <c r="AR76" i="1"/>
  <c r="AR75" i="1"/>
  <c r="AR74" i="1"/>
  <c r="AR73" i="1"/>
  <c r="AR72" i="1"/>
  <c r="AR71" i="1"/>
  <c r="AR70" i="1"/>
  <c r="AR69" i="1"/>
  <c r="AR68" i="1"/>
  <c r="AR64" i="1"/>
  <c r="AR63" i="1"/>
  <c r="AR62" i="1"/>
  <c r="AR61" i="1"/>
  <c r="AR60" i="1"/>
  <c r="AR59" i="1"/>
  <c r="AR58" i="1"/>
  <c r="AJ62" i="1"/>
  <c r="AV49" i="1"/>
  <c r="AV48" i="1"/>
  <c r="AV46" i="1"/>
  <c r="AV45" i="1"/>
  <c r="AV44" i="1"/>
  <c r="AV43" i="1"/>
  <c r="AV47" i="1"/>
  <c r="AV27" i="1"/>
  <c r="AV26" i="1"/>
  <c r="AV25" i="1"/>
  <c r="AV24" i="1"/>
  <c r="AV23" i="1"/>
  <c r="AV22" i="1"/>
  <c r="AV21" i="1"/>
  <c r="AR47" i="1"/>
  <c r="AR49" i="1"/>
  <c r="AR48" i="1"/>
  <c r="AR46" i="1"/>
  <c r="AR45" i="1"/>
  <c r="AR44" i="1"/>
  <c r="AR43" i="1"/>
  <c r="AN47" i="1"/>
  <c r="AJ47" i="1"/>
  <c r="AN49" i="1"/>
  <c r="AN48" i="1"/>
  <c r="AN46" i="1"/>
  <c r="AN45" i="1"/>
  <c r="AN44" i="1"/>
  <c r="AN43" i="1"/>
  <c r="AV38" i="1"/>
  <c r="AV37" i="1"/>
  <c r="AV36" i="1"/>
  <c r="AV35" i="1"/>
  <c r="AV34" i="1"/>
  <c r="AV33" i="1"/>
  <c r="AV32" i="1"/>
  <c r="AU10" i="1"/>
  <c r="AX10" i="1" s="1"/>
  <c r="AJ33" i="1"/>
  <c r="AR38" i="1"/>
  <c r="AR37" i="1"/>
  <c r="AR36" i="1"/>
  <c r="AR35" i="1"/>
  <c r="AR34" i="1"/>
  <c r="AR33" i="1"/>
  <c r="AR32" i="1"/>
  <c r="AR27" i="1"/>
  <c r="AR26" i="1"/>
  <c r="AR25" i="1"/>
  <c r="AR24" i="1"/>
  <c r="AR23" i="1"/>
  <c r="AR22" i="1"/>
  <c r="AR21" i="1"/>
  <c r="AQ10" i="1"/>
  <c r="AT10" i="1" s="1"/>
  <c r="AN80" i="1"/>
  <c r="AN79" i="1"/>
  <c r="AN78" i="1"/>
  <c r="AN77" i="1"/>
  <c r="AN76" i="1"/>
  <c r="AN75" i="1"/>
  <c r="AN74" i="1"/>
  <c r="AN73" i="1"/>
  <c r="AN72" i="1"/>
  <c r="AN71" i="1"/>
  <c r="AN70" i="1"/>
  <c r="AN69" i="1"/>
  <c r="AN68" i="1"/>
  <c r="AN64" i="1"/>
  <c r="AN63" i="1"/>
  <c r="AN62" i="1"/>
  <c r="AN61" i="1"/>
  <c r="AN60" i="1"/>
  <c r="AN59" i="1"/>
  <c r="AN58" i="1"/>
  <c r="AN38" i="1"/>
  <c r="AN37" i="1"/>
  <c r="AN36" i="1"/>
  <c r="AN35" i="1"/>
  <c r="AN34" i="1"/>
  <c r="AN33" i="1"/>
  <c r="AN32" i="1"/>
  <c r="AN27" i="1"/>
  <c r="AN26" i="1"/>
  <c r="AN25" i="1"/>
  <c r="AN24" i="1"/>
  <c r="AN23" i="1"/>
  <c r="AN22" i="1"/>
  <c r="AN21" i="1"/>
  <c r="AJ80" i="1"/>
  <c r="AJ79" i="1"/>
  <c r="AJ78" i="1"/>
  <c r="AJ77" i="1"/>
  <c r="AJ76" i="1"/>
  <c r="AJ75" i="1"/>
  <c r="AJ74" i="1"/>
  <c r="AJ73" i="1"/>
  <c r="AJ72" i="1"/>
  <c r="AJ71" i="1"/>
  <c r="AJ70" i="1"/>
  <c r="AJ69" i="1"/>
  <c r="AJ68" i="1"/>
  <c r="AJ64" i="1"/>
  <c r="AJ63" i="1"/>
  <c r="AJ61" i="1"/>
  <c r="AJ60" i="1"/>
  <c r="AJ59" i="1"/>
  <c r="AJ58" i="1"/>
  <c r="AM1" i="1"/>
  <c r="AQ1" i="1" s="1"/>
  <c r="AI2" i="1"/>
  <c r="AI3" i="1" s="1"/>
  <c r="AI9" i="1" s="1"/>
  <c r="AI1" i="1"/>
  <c r="AJ36" i="1"/>
  <c r="AJ44" i="1"/>
  <c r="AJ43" i="1"/>
  <c r="AJ48" i="1"/>
  <c r="AJ49" i="1"/>
  <c r="AJ46" i="1"/>
  <c r="AJ45" i="1"/>
  <c r="AJ38" i="1"/>
  <c r="AJ37" i="1"/>
  <c r="AJ35" i="1"/>
  <c r="AJ34" i="1"/>
  <c r="AJ32" i="1"/>
  <c r="AJ26" i="1"/>
  <c r="AJ25" i="1"/>
  <c r="AJ24" i="1"/>
  <c r="AJ23" i="1"/>
  <c r="AJ22" i="1"/>
  <c r="AJ21" i="1"/>
  <c r="AJ27" i="1"/>
  <c r="P48" i="3" l="1"/>
  <c r="P47" i="6"/>
  <c r="K15" i="7"/>
  <c r="AQ3" i="1"/>
  <c r="AQ9" i="1" s="1"/>
  <c r="AU1" i="1"/>
  <c r="AM3" i="1"/>
  <c r="AM9" i="1" s="1"/>
  <c r="I15" i="7"/>
  <c r="O30" i="7"/>
  <c r="O44" i="7"/>
  <c r="M15" i="7"/>
  <c r="I53" i="7"/>
  <c r="F36" i="28"/>
  <c r="F9" i="27"/>
  <c r="F9" i="28" s="1"/>
  <c r="U9" i="28" s="1"/>
  <c r="E5" i="36"/>
  <c r="X37" i="7"/>
  <c r="W37" i="7"/>
  <c r="T41" i="7"/>
  <c r="AF46" i="5"/>
  <c r="F37" i="27" s="1"/>
  <c r="AF47" i="5"/>
  <c r="F38" i="27" s="1"/>
  <c r="AF49" i="5"/>
  <c r="F40" i="27" s="1"/>
  <c r="F40" i="28" s="1"/>
  <c r="U40" i="28" s="1"/>
  <c r="F35" i="27"/>
  <c r="AF50" i="5"/>
  <c r="F41" i="27" s="1"/>
  <c r="F41" i="28" s="1"/>
  <c r="U41" i="28" s="1"/>
  <c r="E14" i="3"/>
  <c r="E13" i="6"/>
  <c r="W63" i="7"/>
  <c r="P15" i="7"/>
  <c r="O15" i="7" s="1"/>
  <c r="P96" i="7"/>
  <c r="L35" i="6"/>
  <c r="O35" i="6" s="1"/>
  <c r="S11" i="3"/>
  <c r="P28" i="3"/>
  <c r="K23" i="6"/>
  <c r="L24" i="6"/>
  <c r="O24" i="6" s="1"/>
  <c r="AB48" i="7"/>
  <c r="AA48" i="7" s="1"/>
  <c r="AC44" i="7"/>
  <c r="K53" i="5"/>
  <c r="K55" i="5" s="1"/>
  <c r="K85" i="5" s="1"/>
  <c r="L23" i="6"/>
  <c r="P23" i="6" s="1"/>
  <c r="T23" i="6" s="1"/>
  <c r="P71" i="6"/>
  <c r="L33" i="6"/>
  <c r="O33" i="6" s="1"/>
  <c r="O66" i="7"/>
  <c r="O13" i="7"/>
  <c r="G15" i="7"/>
  <c r="T13" i="7"/>
  <c r="H55" i="7"/>
  <c r="G53" i="7"/>
  <c r="X64" i="7"/>
  <c r="W64" i="7"/>
  <c r="T4" i="7"/>
  <c r="X1" i="7"/>
  <c r="X28" i="7"/>
  <c r="W28" i="7"/>
  <c r="X73" i="7"/>
  <c r="W73" i="7"/>
  <c r="AB38" i="7"/>
  <c r="AA38" i="7"/>
  <c r="AB65" i="7"/>
  <c r="AA65" i="7"/>
  <c r="AB63" i="7"/>
  <c r="AA63" i="7"/>
  <c r="W76" i="7"/>
  <c r="X76" i="7"/>
  <c r="X60" i="7"/>
  <c r="W60" i="7"/>
  <c r="W80" i="7"/>
  <c r="X80" i="7"/>
  <c r="X21" i="7"/>
  <c r="T30" i="7"/>
  <c r="S30" i="7" s="1"/>
  <c r="AB9" i="7"/>
  <c r="AB11" i="7" s="1"/>
  <c r="X11" i="7"/>
  <c r="X69" i="7"/>
  <c r="W69" i="7" s="1"/>
  <c r="X75" i="7"/>
  <c r="W75" i="7" s="1"/>
  <c r="W72" i="7"/>
  <c r="X72" i="7"/>
  <c r="P50" i="7"/>
  <c r="O50" i="7" s="1"/>
  <c r="O49" i="7"/>
  <c r="AB34" i="7"/>
  <c r="AA34" i="7"/>
  <c r="X62" i="7"/>
  <c r="W62" i="7" s="1"/>
  <c r="K49" i="7"/>
  <c r="X77" i="7"/>
  <c r="W77" i="7" s="1"/>
  <c r="X79" i="7"/>
  <c r="W79" i="7"/>
  <c r="AA25" i="7"/>
  <c r="AB25" i="7"/>
  <c r="X59" i="7"/>
  <c r="W59" i="7"/>
  <c r="T66" i="7"/>
  <c r="S66" i="7" s="1"/>
  <c r="AA27" i="7"/>
  <c r="AB27" i="7"/>
  <c r="W74" i="7"/>
  <c r="X74" i="7"/>
  <c r="AB61" i="7"/>
  <c r="AA61" i="7"/>
  <c r="W26" i="7"/>
  <c r="X26" i="7"/>
  <c r="X71" i="7"/>
  <c r="W71" i="7"/>
  <c r="W70" i="7"/>
  <c r="X70" i="7"/>
  <c r="W9" i="7"/>
  <c r="S69" i="7"/>
  <c r="AB36" i="7"/>
  <c r="AA36" i="7"/>
  <c r="L53" i="7"/>
  <c r="M53" i="7" s="1"/>
  <c r="W78" i="7"/>
  <c r="X78" i="7"/>
  <c r="BD43" i="1"/>
  <c r="Y44" i="3"/>
  <c r="AZ43" i="1"/>
  <c r="AC44" i="3"/>
  <c r="Y44" i="4"/>
  <c r="P75" i="6"/>
  <c r="AC44" i="4"/>
  <c r="Y43" i="6"/>
  <c r="O79" i="6"/>
  <c r="AC43" i="6"/>
  <c r="O73" i="6"/>
  <c r="P25" i="6"/>
  <c r="S25" i="6" s="1"/>
  <c r="K25" i="6"/>
  <c r="O37" i="6"/>
  <c r="P37" i="6"/>
  <c r="T37" i="6" s="1"/>
  <c r="P35" i="6"/>
  <c r="T35" i="6" s="1"/>
  <c r="K37" i="6"/>
  <c r="L63" i="6"/>
  <c r="P63" i="6" s="1"/>
  <c r="T63" i="6" s="1"/>
  <c r="O22" i="6"/>
  <c r="G21" i="6"/>
  <c r="K61" i="6"/>
  <c r="L61" i="6"/>
  <c r="O61" i="6" s="1"/>
  <c r="P77" i="6"/>
  <c r="K63" i="4"/>
  <c r="L63" i="4"/>
  <c r="P63" i="4" s="1"/>
  <c r="D11" i="6"/>
  <c r="D13" i="6" s="1"/>
  <c r="T1" i="6"/>
  <c r="K34" i="6"/>
  <c r="L34" i="6"/>
  <c r="K32" i="6"/>
  <c r="H40" i="6"/>
  <c r="L32" i="6"/>
  <c r="K36" i="6"/>
  <c r="L36" i="6"/>
  <c r="K38" i="6"/>
  <c r="L38" i="6"/>
  <c r="K47" i="6"/>
  <c r="L26" i="6"/>
  <c r="P33" i="6"/>
  <c r="L62" i="6"/>
  <c r="K62" i="6"/>
  <c r="L64" i="6"/>
  <c r="K64" i="6"/>
  <c r="K68" i="6"/>
  <c r="K76" i="6"/>
  <c r="D54" i="6"/>
  <c r="H65" i="6"/>
  <c r="G44" i="27" s="1"/>
  <c r="L58" i="6"/>
  <c r="K74" i="6"/>
  <c r="K58" i="6"/>
  <c r="L60" i="6"/>
  <c r="K60" i="6"/>
  <c r="K72" i="6"/>
  <c r="L59" i="6"/>
  <c r="K70" i="6"/>
  <c r="K78" i="6"/>
  <c r="K69" i="6"/>
  <c r="K71" i="6"/>
  <c r="K73" i="6"/>
  <c r="K75" i="6"/>
  <c r="K77" i="6"/>
  <c r="K79" i="6"/>
  <c r="L34" i="4"/>
  <c r="P34" i="4" s="1"/>
  <c r="T34" i="4" s="1"/>
  <c r="X34" i="4" s="1"/>
  <c r="L79" i="4"/>
  <c r="O79" i="4" s="1"/>
  <c r="L75" i="4"/>
  <c r="O75" i="4" s="1"/>
  <c r="L71" i="4"/>
  <c r="P71" i="4" s="1"/>
  <c r="L37" i="4"/>
  <c r="O37" i="4" s="1"/>
  <c r="K25" i="4"/>
  <c r="P25" i="4"/>
  <c r="T25" i="4" s="1"/>
  <c r="Y53" i="5"/>
  <c r="Y55" i="5" s="1"/>
  <c r="Y85" i="5" s="1"/>
  <c r="Y97" i="5" s="1"/>
  <c r="Y108" i="5" s="1"/>
  <c r="Y113" i="5" s="1"/>
  <c r="G53" i="5"/>
  <c r="G55" i="5" s="1"/>
  <c r="G85" i="5" s="1"/>
  <c r="G97" i="5" s="1"/>
  <c r="G108" i="5" s="1"/>
  <c r="W53" i="5"/>
  <c r="W55" i="5" s="1"/>
  <c r="W85" i="5" s="1"/>
  <c r="W97" i="5" s="1"/>
  <c r="W108" i="5" s="1"/>
  <c r="W113" i="5" s="1"/>
  <c r="E53" i="5"/>
  <c r="E55" i="5" s="1"/>
  <c r="E85" i="5" s="1"/>
  <c r="E97" i="5" s="1"/>
  <c r="E108" i="5" s="1"/>
  <c r="S53" i="5"/>
  <c r="S55" i="5" s="1"/>
  <c r="S85" i="5" s="1"/>
  <c r="S97" i="5" s="1"/>
  <c r="S108" i="5" s="1"/>
  <c r="S113" i="5" s="1"/>
  <c r="AA53" i="5"/>
  <c r="AA55" i="5" s="1"/>
  <c r="AA85" i="5" s="1"/>
  <c r="AA97" i="5" s="1"/>
  <c r="AA108" i="5" s="1"/>
  <c r="AA113" i="5" s="1"/>
  <c r="I53" i="5"/>
  <c r="I55" i="5" s="1"/>
  <c r="I85" i="5" s="1"/>
  <c r="I97" i="5" s="1"/>
  <c r="I108" i="5" s="1"/>
  <c r="E10" i="5"/>
  <c r="C9" i="5" s="1"/>
  <c r="AF9" i="5" s="1"/>
  <c r="AF11" i="5" s="1"/>
  <c r="O55" i="5"/>
  <c r="O85" i="5" s="1"/>
  <c r="O97" i="5" s="1"/>
  <c r="O108" i="5" s="1"/>
  <c r="C53" i="5"/>
  <c r="C55" i="5" s="1"/>
  <c r="M53" i="5"/>
  <c r="M55" i="5" s="1"/>
  <c r="M85" i="5" s="1"/>
  <c r="M97" i="5" s="1"/>
  <c r="M108" i="5" s="1"/>
  <c r="U53" i="5"/>
  <c r="U55" i="5" s="1"/>
  <c r="U85" i="5" s="1"/>
  <c r="U97" i="5" s="1"/>
  <c r="U108" i="5" s="1"/>
  <c r="U113" i="5" s="1"/>
  <c r="Q53" i="5"/>
  <c r="Q55" i="5" s="1"/>
  <c r="Q85" i="5" s="1"/>
  <c r="Q88" i="5" s="1"/>
  <c r="T21" i="4"/>
  <c r="S21" i="4"/>
  <c r="D11" i="4"/>
  <c r="G11" i="4" s="1"/>
  <c r="H3" i="4"/>
  <c r="H9" i="4" s="1"/>
  <c r="L10" i="4"/>
  <c r="O10" i="4" s="1"/>
  <c r="P22" i="4"/>
  <c r="K22" i="4"/>
  <c r="P26" i="4"/>
  <c r="O26" i="4"/>
  <c r="D30" i="4"/>
  <c r="K21" i="4"/>
  <c r="H23" i="4"/>
  <c r="H27" i="4"/>
  <c r="K33" i="4"/>
  <c r="L36" i="4"/>
  <c r="K39" i="4"/>
  <c r="L39" i="4"/>
  <c r="L59" i="4"/>
  <c r="K24" i="4"/>
  <c r="K26" i="4"/>
  <c r="G33" i="4"/>
  <c r="L33" i="4"/>
  <c r="G35" i="4"/>
  <c r="P38" i="4"/>
  <c r="H35" i="4"/>
  <c r="H41" i="4" s="1"/>
  <c r="D53" i="4"/>
  <c r="K51" i="4"/>
  <c r="O21" i="4"/>
  <c r="G22" i="4"/>
  <c r="L24" i="4"/>
  <c r="G25" i="4"/>
  <c r="G26" i="4"/>
  <c r="O34" i="4"/>
  <c r="K38" i="4"/>
  <c r="G39" i="4"/>
  <c r="K48" i="4"/>
  <c r="L48" i="4"/>
  <c r="L52" i="4"/>
  <c r="K52" i="4"/>
  <c r="L51" i="4"/>
  <c r="L64" i="4"/>
  <c r="G64" i="4"/>
  <c r="H62" i="4"/>
  <c r="L70" i="4"/>
  <c r="K70" i="4"/>
  <c r="L74" i="4"/>
  <c r="L78" i="4"/>
  <c r="K78" i="4"/>
  <c r="G52" i="4"/>
  <c r="D66" i="4"/>
  <c r="G66" i="4" s="1"/>
  <c r="H61" i="4"/>
  <c r="G59" i="4"/>
  <c r="K60" i="4"/>
  <c r="L60" i="4"/>
  <c r="G60" i="4"/>
  <c r="K80" i="4"/>
  <c r="H65" i="4"/>
  <c r="H69" i="4"/>
  <c r="G69" i="4" s="1"/>
  <c r="G72" i="4"/>
  <c r="L72" i="4"/>
  <c r="H73" i="4"/>
  <c r="G76" i="4"/>
  <c r="L76" i="4"/>
  <c r="H77" i="4"/>
  <c r="G80" i="4"/>
  <c r="L80" i="4"/>
  <c r="G70" i="4"/>
  <c r="G74" i="4"/>
  <c r="G78" i="4"/>
  <c r="D30" i="3"/>
  <c r="F28" i="27" s="1"/>
  <c r="D41" i="3"/>
  <c r="P33" i="3"/>
  <c r="K36" i="3"/>
  <c r="G22" i="3"/>
  <c r="K34" i="3"/>
  <c r="G28" i="3"/>
  <c r="G34" i="3"/>
  <c r="D66" i="3"/>
  <c r="K64" i="3"/>
  <c r="G71" i="3"/>
  <c r="G75" i="3"/>
  <c r="G77" i="3"/>
  <c r="K23" i="3"/>
  <c r="G69" i="3"/>
  <c r="G73" i="3"/>
  <c r="K24" i="3"/>
  <c r="H30" i="3"/>
  <c r="G28" i="27" s="1"/>
  <c r="K26" i="3"/>
  <c r="G38" i="3"/>
  <c r="G24" i="3"/>
  <c r="G26" i="3"/>
  <c r="G27" i="3"/>
  <c r="K37" i="3"/>
  <c r="P39" i="3"/>
  <c r="G59" i="3"/>
  <c r="K60" i="3"/>
  <c r="G61" i="3"/>
  <c r="G37" i="3"/>
  <c r="G62" i="3"/>
  <c r="G78" i="3"/>
  <c r="G72" i="3"/>
  <c r="D82" i="3"/>
  <c r="AQ11" i="1"/>
  <c r="AQ13" i="1" s="1"/>
  <c r="AP9" i="1"/>
  <c r="AL9" i="1"/>
  <c r="D48" i="2"/>
  <c r="D56" i="2" s="1"/>
  <c r="I39" i="27" l="1"/>
  <c r="O39" i="27" s="1"/>
  <c r="P39" i="27" s="1"/>
  <c r="O69" i="6"/>
  <c r="I27" i="42"/>
  <c r="J27" i="42" s="1"/>
  <c r="U36" i="28"/>
  <c r="D40" i="35"/>
  <c r="D48" i="35" s="1"/>
  <c r="G42" i="28"/>
  <c r="AU3" i="1"/>
  <c r="AU9" i="1" s="1"/>
  <c r="AY1" i="1"/>
  <c r="I38" i="26"/>
  <c r="Q38" i="26" s="1"/>
  <c r="R38" i="26" s="1"/>
  <c r="I35" i="26"/>
  <c r="Q35" i="26" s="1"/>
  <c r="R35" i="26" s="1"/>
  <c r="Q33" i="30"/>
  <c r="O33" i="30"/>
  <c r="P60" i="30"/>
  <c r="I41" i="26" s="1"/>
  <c r="Q41" i="26" s="1"/>
  <c r="R41" i="26" s="1"/>
  <c r="P59" i="30"/>
  <c r="I40" i="26" s="1"/>
  <c r="Q40" i="26" s="1"/>
  <c r="R40" i="26" s="1"/>
  <c r="Q15" i="7"/>
  <c r="D95" i="6"/>
  <c r="F44" i="27"/>
  <c r="F29" i="27"/>
  <c r="F29" i="28" s="1"/>
  <c r="U29" i="28" s="1"/>
  <c r="T1" i="3"/>
  <c r="I55" i="7"/>
  <c r="F38" i="28"/>
  <c r="U38" i="28" s="1"/>
  <c r="F37" i="28"/>
  <c r="U37" i="28" s="1"/>
  <c r="F35" i="28"/>
  <c r="U35" i="28" s="1"/>
  <c r="I30" i="3"/>
  <c r="H2" i="3"/>
  <c r="H4" i="3" s="1"/>
  <c r="F4" i="36"/>
  <c r="D12" i="3"/>
  <c r="K28" i="3"/>
  <c r="S37" i="6"/>
  <c r="S23" i="6"/>
  <c r="S35" i="6"/>
  <c r="O34" i="3"/>
  <c r="G4" i="36"/>
  <c r="G70" i="36" s="1"/>
  <c r="H8" i="27"/>
  <c r="W41" i="7"/>
  <c r="T46" i="7"/>
  <c r="W46" i="7" s="1"/>
  <c r="T45" i="7"/>
  <c r="W45" i="7" s="1"/>
  <c r="AB37" i="7"/>
  <c r="AB41" i="7" s="1"/>
  <c r="AA37" i="7"/>
  <c r="X41" i="7"/>
  <c r="AF53" i="5"/>
  <c r="AF55" i="5" s="1"/>
  <c r="C89" i="5"/>
  <c r="P79" i="6"/>
  <c r="T79" i="6" s="1"/>
  <c r="T15" i="7"/>
  <c r="S15" i="7" s="1"/>
  <c r="T96" i="7"/>
  <c r="O23" i="6"/>
  <c r="F28" i="28"/>
  <c r="U28" i="28" s="1"/>
  <c r="AC10" i="13"/>
  <c r="AC11" i="13"/>
  <c r="Y10" i="13"/>
  <c r="X10" i="13" s="1"/>
  <c r="Y11" i="13"/>
  <c r="X11" i="13" s="1"/>
  <c r="L11" i="4"/>
  <c r="K53" i="7"/>
  <c r="L29" i="6"/>
  <c r="K29" i="6" s="1"/>
  <c r="G46" i="6"/>
  <c r="P24" i="6"/>
  <c r="P21" i="6"/>
  <c r="O21" i="6" s="1"/>
  <c r="K33" i="3"/>
  <c r="O63" i="4"/>
  <c r="O63" i="6"/>
  <c r="O71" i="6"/>
  <c r="S63" i="6"/>
  <c r="P61" i="6"/>
  <c r="T61" i="6" s="1"/>
  <c r="P73" i="6"/>
  <c r="S73" i="6" s="1"/>
  <c r="O75" i="6"/>
  <c r="K72" i="3"/>
  <c r="G63" i="3"/>
  <c r="P69" i="6"/>
  <c r="O88" i="5"/>
  <c r="K97" i="5"/>
  <c r="K108" i="5" s="1"/>
  <c r="K88" i="5"/>
  <c r="G88" i="5"/>
  <c r="Q97" i="5"/>
  <c r="Q108" i="5" s="1"/>
  <c r="Q113" i="5" s="1"/>
  <c r="AA9" i="7"/>
  <c r="P53" i="7"/>
  <c r="Q53" i="7" s="1"/>
  <c r="X13" i="7"/>
  <c r="AA11" i="7"/>
  <c r="X30" i="7"/>
  <c r="W30" i="7" s="1"/>
  <c r="AB21" i="7"/>
  <c r="AA21" i="7" s="1"/>
  <c r="AA64" i="7"/>
  <c r="AB64" i="7"/>
  <c r="S13" i="7"/>
  <c r="X66" i="7"/>
  <c r="W66" i="7" s="1"/>
  <c r="AB59" i="7"/>
  <c r="AA59" i="7"/>
  <c r="AB79" i="7"/>
  <c r="AA79" i="7"/>
  <c r="AB62" i="7"/>
  <c r="AA62" i="7" s="1"/>
  <c r="AB72" i="7"/>
  <c r="AA72" i="7"/>
  <c r="AB13" i="7"/>
  <c r="W21" i="7"/>
  <c r="AA60" i="7"/>
  <c r="AB60" i="7"/>
  <c r="AA28" i="7"/>
  <c r="AB28" i="7"/>
  <c r="AB46" i="7"/>
  <c r="AB45" i="7"/>
  <c r="AB71" i="7"/>
  <c r="AA71" i="7"/>
  <c r="AB75" i="7"/>
  <c r="AA75" i="7" s="1"/>
  <c r="AB80" i="7"/>
  <c r="AA80" i="7"/>
  <c r="AB76" i="7"/>
  <c r="AA76" i="7"/>
  <c r="O47" i="7"/>
  <c r="W11" i="7"/>
  <c r="AB78" i="7"/>
  <c r="AA78" i="7"/>
  <c r="L55" i="7"/>
  <c r="AB70" i="7"/>
  <c r="AA70" i="7"/>
  <c r="AA26" i="7"/>
  <c r="AB26" i="7"/>
  <c r="AB74" i="7"/>
  <c r="AA74" i="7"/>
  <c r="AB77" i="7"/>
  <c r="AA77" i="7" s="1"/>
  <c r="AB69" i="7"/>
  <c r="T44" i="7"/>
  <c r="T49" i="7"/>
  <c r="S49" i="7" s="1"/>
  <c r="T50" i="7"/>
  <c r="T47" i="7"/>
  <c r="AB73" i="7"/>
  <c r="AA73" i="7"/>
  <c r="X3" i="7"/>
  <c r="AB1" i="7"/>
  <c r="AB3" i="7" s="1"/>
  <c r="G55" i="7"/>
  <c r="G76" i="3"/>
  <c r="D73" i="2"/>
  <c r="O77" i="6"/>
  <c r="T25" i="6"/>
  <c r="W25" i="6" s="1"/>
  <c r="T22" i="6"/>
  <c r="X22" i="6" s="1"/>
  <c r="W22" i="6" s="1"/>
  <c r="G29" i="6"/>
  <c r="G48" i="6"/>
  <c r="K21" i="6"/>
  <c r="P75" i="4"/>
  <c r="T75" i="4" s="1"/>
  <c r="K65" i="3"/>
  <c r="K71" i="3"/>
  <c r="T75" i="6"/>
  <c r="S75" i="6"/>
  <c r="X35" i="6"/>
  <c r="W35" i="6"/>
  <c r="P64" i="6"/>
  <c r="O64" i="6"/>
  <c r="O26" i="6"/>
  <c r="P26" i="6"/>
  <c r="P36" i="6"/>
  <c r="O36" i="6"/>
  <c r="T4" i="6"/>
  <c r="X1" i="6"/>
  <c r="O72" i="6"/>
  <c r="P72" i="6"/>
  <c r="P60" i="6"/>
  <c r="O60" i="6"/>
  <c r="O74" i="6"/>
  <c r="P74" i="6"/>
  <c r="X63" i="6"/>
  <c r="W63" i="6"/>
  <c r="K65" i="6"/>
  <c r="P62" i="6"/>
  <c r="O62" i="6"/>
  <c r="S33" i="6"/>
  <c r="T33" i="6"/>
  <c r="P38" i="6"/>
  <c r="O38" i="6"/>
  <c r="P32" i="6"/>
  <c r="L40" i="6"/>
  <c r="O32" i="6"/>
  <c r="P34" i="6"/>
  <c r="O34" i="6"/>
  <c r="W23" i="6"/>
  <c r="X23" i="6"/>
  <c r="T77" i="6"/>
  <c r="S77" i="6"/>
  <c r="K44" i="6"/>
  <c r="G49" i="6"/>
  <c r="K45" i="6"/>
  <c r="K40" i="6"/>
  <c r="P59" i="6"/>
  <c r="O59" i="6"/>
  <c r="T71" i="6"/>
  <c r="S71" i="6"/>
  <c r="X37" i="6"/>
  <c r="W37" i="6"/>
  <c r="O78" i="6"/>
  <c r="P78" i="6"/>
  <c r="O70" i="6"/>
  <c r="P70" i="6"/>
  <c r="L65" i="6"/>
  <c r="H44" i="27" s="1"/>
  <c r="V45" i="27" s="1"/>
  <c r="P58" i="6"/>
  <c r="O58" i="6"/>
  <c r="O76" i="6"/>
  <c r="O68" i="6"/>
  <c r="O47" i="6"/>
  <c r="T24" i="6"/>
  <c r="S24" i="6"/>
  <c r="S34" i="4"/>
  <c r="W34" i="4"/>
  <c r="P79" i="4"/>
  <c r="T79" i="4" s="1"/>
  <c r="S79" i="4" s="1"/>
  <c r="P37" i="4"/>
  <c r="C11" i="5"/>
  <c r="H46" i="4"/>
  <c r="H45" i="4"/>
  <c r="G41" i="4"/>
  <c r="L77" i="4"/>
  <c r="L61" i="4"/>
  <c r="K61" i="4" s="1"/>
  <c r="P59" i="4"/>
  <c r="O59" i="4" s="1"/>
  <c r="S22" i="4"/>
  <c r="T22" i="4"/>
  <c r="P76" i="4"/>
  <c r="O76" i="4"/>
  <c r="T71" i="4"/>
  <c r="S71" i="4" s="1"/>
  <c r="T63" i="4"/>
  <c r="S63" i="4" s="1"/>
  <c r="P74" i="4"/>
  <c r="O74" i="4"/>
  <c r="L62" i="4"/>
  <c r="K62" i="4" s="1"/>
  <c r="K59" i="4"/>
  <c r="X25" i="4"/>
  <c r="S25" i="4"/>
  <c r="D13" i="4"/>
  <c r="AA34" i="4"/>
  <c r="AB34" i="4"/>
  <c r="L73" i="4"/>
  <c r="L23" i="4"/>
  <c r="K23" i="4"/>
  <c r="G61" i="4"/>
  <c r="L35" i="4"/>
  <c r="L41" i="4" s="1"/>
  <c r="K35" i="4"/>
  <c r="L69" i="4"/>
  <c r="P64" i="4"/>
  <c r="O64" i="4"/>
  <c r="D55" i="4"/>
  <c r="P36" i="4"/>
  <c r="O36" i="4"/>
  <c r="H11" i="4"/>
  <c r="K9" i="4"/>
  <c r="G23" i="4"/>
  <c r="P80" i="4"/>
  <c r="P72" i="4"/>
  <c r="O72" i="4"/>
  <c r="L65" i="4"/>
  <c r="K65" i="4"/>
  <c r="K76" i="4"/>
  <c r="G77" i="4"/>
  <c r="P78" i="4"/>
  <c r="O78" i="4" s="1"/>
  <c r="P70" i="4"/>
  <c r="O70" i="4"/>
  <c r="K64" i="4"/>
  <c r="P52" i="4"/>
  <c r="T38" i="4"/>
  <c r="S38" i="4"/>
  <c r="H66" i="4"/>
  <c r="T26" i="4"/>
  <c r="H30" i="4"/>
  <c r="H49" i="4" s="1"/>
  <c r="K36" i="4"/>
  <c r="L13" i="4"/>
  <c r="L96" i="4" s="1"/>
  <c r="X21" i="4"/>
  <c r="W21" i="4"/>
  <c r="K72" i="4"/>
  <c r="P60" i="4"/>
  <c r="O60" i="4"/>
  <c r="G73" i="4"/>
  <c r="K74" i="4"/>
  <c r="G62" i="4"/>
  <c r="O71" i="4"/>
  <c r="P51" i="4"/>
  <c r="O51" i="4" s="1"/>
  <c r="P48" i="4"/>
  <c r="O48" i="4"/>
  <c r="T37" i="4"/>
  <c r="S37" i="4" s="1"/>
  <c r="P24" i="4"/>
  <c r="O24" i="4"/>
  <c r="P3" i="4"/>
  <c r="P9" i="4" s="1"/>
  <c r="O38" i="4"/>
  <c r="P33" i="4"/>
  <c r="P39" i="4"/>
  <c r="O39" i="4"/>
  <c r="L27" i="4"/>
  <c r="K27" i="4" s="1"/>
  <c r="O22" i="4"/>
  <c r="K10" i="4"/>
  <c r="G27" i="4"/>
  <c r="K80" i="3"/>
  <c r="K73" i="3"/>
  <c r="G80" i="3"/>
  <c r="K77" i="3"/>
  <c r="G64" i="3"/>
  <c r="G79" i="3"/>
  <c r="K75" i="3"/>
  <c r="G36" i="3"/>
  <c r="G33" i="3"/>
  <c r="O23" i="3"/>
  <c r="K76" i="3"/>
  <c r="K74" i="3"/>
  <c r="S72" i="3"/>
  <c r="K62" i="3"/>
  <c r="O79" i="3"/>
  <c r="O60" i="3"/>
  <c r="K39" i="3"/>
  <c r="O22" i="3"/>
  <c r="T33" i="3"/>
  <c r="S33" i="3" s="1"/>
  <c r="P27" i="3"/>
  <c r="O27" i="3" s="1"/>
  <c r="S26" i="3"/>
  <c r="G25" i="3"/>
  <c r="O72" i="3"/>
  <c r="H82" i="3"/>
  <c r="I82" i="3" s="1"/>
  <c r="K79" i="3"/>
  <c r="H66" i="3"/>
  <c r="K59" i="3"/>
  <c r="G30" i="3"/>
  <c r="O38" i="3"/>
  <c r="O26" i="3"/>
  <c r="K78" i="3"/>
  <c r="S80" i="3"/>
  <c r="S76" i="3"/>
  <c r="O36" i="3"/>
  <c r="S37" i="3"/>
  <c r="G51" i="3"/>
  <c r="H41" i="3"/>
  <c r="K25" i="3"/>
  <c r="K22" i="3"/>
  <c r="O33" i="3"/>
  <c r="T28" i="3"/>
  <c r="S28" i="3" s="1"/>
  <c r="O24" i="3"/>
  <c r="K70" i="3"/>
  <c r="O63" i="3"/>
  <c r="O65" i="3"/>
  <c r="K63" i="3"/>
  <c r="O80" i="3"/>
  <c r="G74" i="3"/>
  <c r="O76" i="3"/>
  <c r="G70" i="3"/>
  <c r="K61" i="3"/>
  <c r="D53" i="3"/>
  <c r="O37" i="3"/>
  <c r="G39" i="3"/>
  <c r="K38" i="3"/>
  <c r="G35" i="3"/>
  <c r="K27" i="3"/>
  <c r="O28" i="3"/>
  <c r="S34" i="3"/>
  <c r="AQ15" i="1"/>
  <c r="E48" i="2"/>
  <c r="E56" i="2" s="1"/>
  <c r="D37" i="2"/>
  <c r="E37" i="2"/>
  <c r="M8" i="27" l="1"/>
  <c r="V8" i="27"/>
  <c r="S69" i="6"/>
  <c r="M29" i="6"/>
  <c r="K43" i="6"/>
  <c r="I41" i="3"/>
  <c r="I30" i="42"/>
  <c r="Q30" i="42" s="1"/>
  <c r="R30" i="42" s="1"/>
  <c r="H14" i="27"/>
  <c r="I31" i="42"/>
  <c r="Q31" i="42" s="1"/>
  <c r="R31" i="42" s="1"/>
  <c r="Q27" i="42"/>
  <c r="R27" i="42" s="1"/>
  <c r="I39" i="42"/>
  <c r="Q39" i="42" s="1"/>
  <c r="R39" i="42" s="1"/>
  <c r="O40" i="26"/>
  <c r="P40" i="26" s="1"/>
  <c r="I34" i="42"/>
  <c r="Q34" i="42" s="1"/>
  <c r="R34" i="42" s="1"/>
  <c r="I40" i="42"/>
  <c r="Q40" i="42" s="1"/>
  <c r="R40" i="42" s="1"/>
  <c r="O41" i="26"/>
  <c r="P41" i="26" s="1"/>
  <c r="I37" i="42"/>
  <c r="Q37" i="42" s="1"/>
  <c r="R37" i="42" s="1"/>
  <c r="O38" i="26"/>
  <c r="P38" i="26" s="1"/>
  <c r="J50" i="42"/>
  <c r="K27" i="42"/>
  <c r="O28" i="26"/>
  <c r="P28" i="26" s="1"/>
  <c r="V42" i="28"/>
  <c r="M42" i="28"/>
  <c r="N42" i="28" s="1"/>
  <c r="G28" i="28"/>
  <c r="U45" i="27"/>
  <c r="P4" i="3"/>
  <c r="BC1" i="1"/>
  <c r="BC3" i="1" s="1"/>
  <c r="BC9" i="1" s="1"/>
  <c r="BC11" i="1" s="1"/>
  <c r="AY3" i="1"/>
  <c r="AY9" i="1" s="1"/>
  <c r="AU11" i="1"/>
  <c r="AT9" i="1"/>
  <c r="AX9" i="1"/>
  <c r="O59" i="30"/>
  <c r="S59" i="30"/>
  <c r="S54" i="30"/>
  <c r="O54" i="30"/>
  <c r="P63" i="30"/>
  <c r="O60" i="30"/>
  <c r="S60" i="30"/>
  <c r="S57" i="30"/>
  <c r="O57" i="30"/>
  <c r="L30" i="3"/>
  <c r="H28" i="27" s="1"/>
  <c r="K35" i="3"/>
  <c r="L41" i="3"/>
  <c r="F44" i="28"/>
  <c r="U44" i="28" s="1"/>
  <c r="I66" i="3"/>
  <c r="D95" i="3"/>
  <c r="F5" i="36"/>
  <c r="F70" i="36" s="1"/>
  <c r="M55" i="7"/>
  <c r="D33" i="35"/>
  <c r="AG40" i="35" s="1"/>
  <c r="D14" i="35"/>
  <c r="D22" i="35" s="1"/>
  <c r="H8" i="28"/>
  <c r="L96" i="3"/>
  <c r="H4" i="36"/>
  <c r="H12" i="3"/>
  <c r="O65" i="6"/>
  <c r="T21" i="6"/>
  <c r="S21" i="6" s="1"/>
  <c r="K10" i="3"/>
  <c r="G73" i="36"/>
  <c r="G77" i="36"/>
  <c r="G80" i="36" s="1"/>
  <c r="G84" i="36" s="1"/>
  <c r="G87" i="36" s="1"/>
  <c r="F8" i="27"/>
  <c r="E4" i="36"/>
  <c r="E70" i="36" s="1"/>
  <c r="X46" i="7"/>
  <c r="AA46" i="7" s="1"/>
  <c r="X45" i="7"/>
  <c r="AA45" i="7" s="1"/>
  <c r="AA41" i="7"/>
  <c r="AF110" i="5"/>
  <c r="D7" i="35"/>
  <c r="AG14" i="35" s="1"/>
  <c r="S79" i="6"/>
  <c r="S61" i="6"/>
  <c r="AB11" i="13"/>
  <c r="W13" i="7"/>
  <c r="X96" i="7"/>
  <c r="AB15" i="7"/>
  <c r="AB96" i="7"/>
  <c r="T73" i="6"/>
  <c r="X73" i="6" s="1"/>
  <c r="O10" i="3"/>
  <c r="G66" i="3"/>
  <c r="G44" i="28"/>
  <c r="G44" i="3"/>
  <c r="G11" i="3"/>
  <c r="G48" i="3"/>
  <c r="K51" i="3"/>
  <c r="AB10" i="13"/>
  <c r="X14" i="13"/>
  <c r="D15" i="4"/>
  <c r="G15" i="4" s="1"/>
  <c r="D96" i="4"/>
  <c r="G13" i="4"/>
  <c r="O53" i="7"/>
  <c r="G82" i="3"/>
  <c r="P29" i="6"/>
  <c r="T69" i="6"/>
  <c r="W69" i="6" s="1"/>
  <c r="O71" i="3"/>
  <c r="K69" i="3"/>
  <c r="G43" i="6"/>
  <c r="H52" i="6"/>
  <c r="AA69" i="7"/>
  <c r="T53" i="7"/>
  <c r="P55" i="7"/>
  <c r="Q55" i="7" s="1"/>
  <c r="AB30" i="7"/>
  <c r="AA30" i="7" s="1"/>
  <c r="AA13" i="7"/>
  <c r="S47" i="7"/>
  <c r="S50" i="7"/>
  <c r="X44" i="7"/>
  <c r="X50" i="7"/>
  <c r="X49" i="7"/>
  <c r="W49" i="7" s="1"/>
  <c r="X47" i="7"/>
  <c r="K55" i="7"/>
  <c r="AB66" i="7"/>
  <c r="AA66" i="7" s="1"/>
  <c r="X15" i="7"/>
  <c r="S44" i="7"/>
  <c r="E73" i="2"/>
  <c r="E77" i="2"/>
  <c r="S75" i="4"/>
  <c r="X25" i="6"/>
  <c r="AB25" i="6" s="1"/>
  <c r="S22" i="6"/>
  <c r="D15" i="6"/>
  <c r="O77" i="3"/>
  <c r="O75" i="3"/>
  <c r="G10" i="3"/>
  <c r="S68" i="6"/>
  <c r="S36" i="6"/>
  <c r="T36" i="6"/>
  <c r="W79" i="6"/>
  <c r="X79" i="6"/>
  <c r="T47" i="6"/>
  <c r="S47" i="6" s="1"/>
  <c r="W71" i="6"/>
  <c r="X71" i="6"/>
  <c r="P40" i="6"/>
  <c r="S32" i="6"/>
  <c r="T32" i="6"/>
  <c r="S62" i="6"/>
  <c r="T62" i="6"/>
  <c r="T74" i="6"/>
  <c r="S74" i="6"/>
  <c r="X3" i="6"/>
  <c r="AB1" i="6"/>
  <c r="AB3" i="6" s="1"/>
  <c r="S76" i="6"/>
  <c r="T59" i="6"/>
  <c r="S59" i="6"/>
  <c r="AB23" i="6"/>
  <c r="AA23" i="6"/>
  <c r="T38" i="6"/>
  <c r="S38" i="6"/>
  <c r="AB22" i="6"/>
  <c r="AA22" i="6" s="1"/>
  <c r="AA63" i="6"/>
  <c r="AB63" i="6"/>
  <c r="T70" i="6"/>
  <c r="S70" i="6"/>
  <c r="AB37" i="6"/>
  <c r="AA37" i="6"/>
  <c r="W77" i="6"/>
  <c r="X77" i="6"/>
  <c r="O45" i="6"/>
  <c r="O40" i="6"/>
  <c r="O44" i="6"/>
  <c r="S60" i="6"/>
  <c r="T60" i="6"/>
  <c r="S64" i="6"/>
  <c r="T64" i="6"/>
  <c r="W75" i="6"/>
  <c r="X75" i="6"/>
  <c r="X24" i="6"/>
  <c r="W24" i="6"/>
  <c r="T72" i="6"/>
  <c r="S72" i="6"/>
  <c r="T26" i="6"/>
  <c r="S26" i="6"/>
  <c r="S58" i="6"/>
  <c r="P65" i="6"/>
  <c r="T58" i="6"/>
  <c r="T78" i="6"/>
  <c r="S78" i="6"/>
  <c r="T34" i="6"/>
  <c r="S34" i="6"/>
  <c r="X33" i="6"/>
  <c r="W33" i="6"/>
  <c r="X61" i="6"/>
  <c r="W61" i="6"/>
  <c r="AB35" i="6"/>
  <c r="AA35" i="6"/>
  <c r="C13" i="5"/>
  <c r="G49" i="4"/>
  <c r="T33" i="4"/>
  <c r="T80" i="4"/>
  <c r="S80" i="4" s="1"/>
  <c r="L45" i="4"/>
  <c r="K45" i="4" s="1"/>
  <c r="L46" i="4"/>
  <c r="K46" i="4" s="1"/>
  <c r="T3" i="4"/>
  <c r="T9" i="4" s="1"/>
  <c r="T52" i="4"/>
  <c r="S52" i="4" s="1"/>
  <c r="O80" i="4"/>
  <c r="H13" i="4"/>
  <c r="K11" i="4"/>
  <c r="P69" i="4"/>
  <c r="P73" i="4"/>
  <c r="O73" i="4"/>
  <c r="X22" i="4"/>
  <c r="W22" i="4"/>
  <c r="P77" i="4"/>
  <c r="O77" i="4" s="1"/>
  <c r="P11" i="4"/>
  <c r="S9" i="4"/>
  <c r="O9" i="4"/>
  <c r="H44" i="4"/>
  <c r="P65" i="4"/>
  <c r="O65" i="4"/>
  <c r="AB25" i="4"/>
  <c r="AA25" i="4" s="1"/>
  <c r="P62" i="4"/>
  <c r="X63" i="4"/>
  <c r="X71" i="4"/>
  <c r="W71" i="4"/>
  <c r="X79" i="4"/>
  <c r="W79" i="4" s="1"/>
  <c r="H47" i="4"/>
  <c r="P27" i="4"/>
  <c r="S51" i="4"/>
  <c r="T51" i="4"/>
  <c r="T78" i="4"/>
  <c r="O33" i="4"/>
  <c r="L15" i="4"/>
  <c r="T59" i="4"/>
  <c r="S59" i="4" s="1"/>
  <c r="K41" i="4"/>
  <c r="X37" i="4"/>
  <c r="AB21" i="4"/>
  <c r="AA21" i="4"/>
  <c r="X26" i="4"/>
  <c r="W26" i="4" s="1"/>
  <c r="X38" i="4"/>
  <c r="W38" i="4"/>
  <c r="S36" i="4"/>
  <c r="T36" i="4"/>
  <c r="T64" i="4"/>
  <c r="S64" i="4"/>
  <c r="O23" i="4"/>
  <c r="P23" i="4"/>
  <c r="L30" i="4"/>
  <c r="L50" i="4" s="1"/>
  <c r="W25" i="4"/>
  <c r="P61" i="4"/>
  <c r="G46" i="4"/>
  <c r="G30" i="4"/>
  <c r="T39" i="4"/>
  <c r="S39" i="4"/>
  <c r="S24" i="4"/>
  <c r="T24" i="4"/>
  <c r="T48" i="4"/>
  <c r="S48" i="4"/>
  <c r="T60" i="4"/>
  <c r="S26" i="4"/>
  <c r="O52" i="4"/>
  <c r="S70" i="4"/>
  <c r="T70" i="4"/>
  <c r="T72" i="4"/>
  <c r="S72" i="4"/>
  <c r="K69" i="4"/>
  <c r="P35" i="4"/>
  <c r="K73" i="4"/>
  <c r="S74" i="4"/>
  <c r="T74" i="4"/>
  <c r="X75" i="4"/>
  <c r="T76" i="4"/>
  <c r="S76" i="4"/>
  <c r="L66" i="4"/>
  <c r="K77" i="4"/>
  <c r="G45" i="4"/>
  <c r="H50" i="4"/>
  <c r="O73" i="3"/>
  <c r="S23" i="3"/>
  <c r="O11" i="3"/>
  <c r="K11" i="3"/>
  <c r="D55" i="3"/>
  <c r="P35" i="3"/>
  <c r="O35" i="3" s="1"/>
  <c r="X37" i="3"/>
  <c r="W37" i="3" s="1"/>
  <c r="O39" i="3"/>
  <c r="S79" i="3"/>
  <c r="S69" i="3"/>
  <c r="X1" i="3"/>
  <c r="T4" i="3"/>
  <c r="G41" i="3"/>
  <c r="S64" i="3"/>
  <c r="O78" i="3"/>
  <c r="L66" i="3"/>
  <c r="M66" i="3" s="1"/>
  <c r="O59" i="3"/>
  <c r="X33" i="3"/>
  <c r="L82" i="3"/>
  <c r="M82" i="3" s="1"/>
  <c r="P12" i="3"/>
  <c r="S65" i="3"/>
  <c r="X28" i="3"/>
  <c r="W28" i="3" s="1"/>
  <c r="P25" i="3"/>
  <c r="P30" i="3" s="1"/>
  <c r="I28" i="27" s="1"/>
  <c r="S36" i="3"/>
  <c r="O64" i="3"/>
  <c r="X76" i="3"/>
  <c r="W76" i="3" s="1"/>
  <c r="T27" i="3"/>
  <c r="S60" i="3"/>
  <c r="O62" i="3"/>
  <c r="X34" i="3"/>
  <c r="W34" i="3" s="1"/>
  <c r="O70" i="3"/>
  <c r="X80" i="3"/>
  <c r="W80" i="3" s="1"/>
  <c r="X26" i="3"/>
  <c r="W26" i="3" s="1"/>
  <c r="S22" i="3"/>
  <c r="X72" i="3"/>
  <c r="F48" i="2"/>
  <c r="F56" i="2" s="1"/>
  <c r="W9" i="27" l="1"/>
  <c r="W10" i="27" s="1"/>
  <c r="S10" i="3"/>
  <c r="X21" i="6"/>
  <c r="W21" i="6" s="1"/>
  <c r="P45" i="6"/>
  <c r="P44" i="6"/>
  <c r="S44" i="6" s="1"/>
  <c r="Q29" i="6"/>
  <c r="P43" i="6"/>
  <c r="O43" i="6" s="1"/>
  <c r="P46" i="6"/>
  <c r="P49" i="6"/>
  <c r="O49" i="6" s="1"/>
  <c r="P48" i="6"/>
  <c r="M41" i="3"/>
  <c r="H37" i="27"/>
  <c r="M37" i="27" s="1"/>
  <c r="N37" i="27" s="1"/>
  <c r="H36" i="27"/>
  <c r="M36" i="27" s="1"/>
  <c r="O28" i="27"/>
  <c r="P28" i="27" s="1"/>
  <c r="H38" i="27"/>
  <c r="M38" i="27" s="1"/>
  <c r="I32" i="42"/>
  <c r="Q32" i="42" s="1"/>
  <c r="R32" i="42" s="1"/>
  <c r="X42" i="42"/>
  <c r="L27" i="42"/>
  <c r="L50" i="42" s="1"/>
  <c r="K50" i="42"/>
  <c r="O31" i="26"/>
  <c r="P31" i="26" s="1"/>
  <c r="O35" i="26"/>
  <c r="P35" i="26" s="1"/>
  <c r="O32" i="26"/>
  <c r="P32" i="26" s="1"/>
  <c r="I32" i="28"/>
  <c r="W8" i="28"/>
  <c r="V28" i="28"/>
  <c r="M28" i="28"/>
  <c r="N28" i="28" s="1"/>
  <c r="V44" i="28"/>
  <c r="M44" i="28"/>
  <c r="N44" i="28" s="1"/>
  <c r="I42" i="28"/>
  <c r="G39" i="28"/>
  <c r="N9" i="27"/>
  <c r="N8" i="27"/>
  <c r="G41" i="28"/>
  <c r="G40" i="28"/>
  <c r="H42" i="28"/>
  <c r="N42" i="27"/>
  <c r="E7" i="35"/>
  <c r="P44" i="3"/>
  <c r="I35" i="27" s="1"/>
  <c r="M30" i="3"/>
  <c r="H40" i="27"/>
  <c r="M40" i="27" s="1"/>
  <c r="H41" i="27"/>
  <c r="M41" i="27" s="1"/>
  <c r="AU13" i="1"/>
  <c r="AX11" i="1"/>
  <c r="AT11" i="1"/>
  <c r="Q30" i="3"/>
  <c r="K30" i="3"/>
  <c r="BB9" i="1"/>
  <c r="AY11" i="1"/>
  <c r="K28" i="26"/>
  <c r="Q63" i="30"/>
  <c r="S63" i="30"/>
  <c r="O63" i="30"/>
  <c r="P108" i="30"/>
  <c r="P110" i="30" s="1"/>
  <c r="P65" i="30"/>
  <c r="M12" i="3"/>
  <c r="U8" i="27"/>
  <c r="V9" i="27" s="1"/>
  <c r="V10" i="27" s="1"/>
  <c r="U43" i="27"/>
  <c r="L16" i="3"/>
  <c r="I12" i="3"/>
  <c r="G52" i="6"/>
  <c r="I52" i="6"/>
  <c r="P33" i="35"/>
  <c r="P40" i="35" s="1"/>
  <c r="G38" i="28"/>
  <c r="G35" i="28"/>
  <c r="G37" i="28"/>
  <c r="G36" i="28"/>
  <c r="F14" i="27"/>
  <c r="Q12" i="3"/>
  <c r="O29" i="6"/>
  <c r="S65" i="6"/>
  <c r="F8" i="28"/>
  <c r="U8" i="28" s="1"/>
  <c r="F77" i="36"/>
  <c r="F80" i="36" s="1"/>
  <c r="F84" i="36" s="1"/>
  <c r="F87" i="36" s="1"/>
  <c r="F73" i="36"/>
  <c r="E77" i="36"/>
  <c r="E80" i="36" s="1"/>
  <c r="E84" i="36" s="1"/>
  <c r="E87" i="36" s="1"/>
  <c r="E73" i="36"/>
  <c r="P7" i="35"/>
  <c r="X69" i="6"/>
  <c r="AB69" i="6" s="1"/>
  <c r="W73" i="6"/>
  <c r="AB14" i="13"/>
  <c r="AA14" i="13" s="1"/>
  <c r="G29" i="28"/>
  <c r="K66" i="3"/>
  <c r="K41" i="3"/>
  <c r="H29" i="27"/>
  <c r="D96" i="3"/>
  <c r="D97" i="3" s="1"/>
  <c r="F50" i="27"/>
  <c r="K48" i="3"/>
  <c r="D85" i="3"/>
  <c r="D87" i="3" s="1"/>
  <c r="G9" i="28"/>
  <c r="X18" i="13"/>
  <c r="X115" i="13"/>
  <c r="W14" i="13"/>
  <c r="K13" i="4"/>
  <c r="H96" i="4"/>
  <c r="O55" i="7"/>
  <c r="S53" i="7"/>
  <c r="AA25" i="6"/>
  <c r="T29" i="6"/>
  <c r="S29" i="6" s="1"/>
  <c r="G12" i="3"/>
  <c r="P66" i="4"/>
  <c r="S77" i="3"/>
  <c r="S71" i="3"/>
  <c r="S75" i="3"/>
  <c r="K12" i="3"/>
  <c r="AF13" i="5"/>
  <c r="AF85" i="5" s="1"/>
  <c r="AF97" i="5" s="1"/>
  <c r="C85" i="5"/>
  <c r="C88" i="5" s="1"/>
  <c r="X53" i="7"/>
  <c r="AB44" i="7"/>
  <c r="AB49" i="7"/>
  <c r="AA49" i="7" s="1"/>
  <c r="AB47" i="7"/>
  <c r="AA47" i="7" s="1"/>
  <c r="AB50" i="7"/>
  <c r="AA50" i="7" s="1"/>
  <c r="W47" i="7"/>
  <c r="W50" i="7"/>
  <c r="W44" i="7"/>
  <c r="T55" i="7"/>
  <c r="AA15" i="7"/>
  <c r="W15" i="7"/>
  <c r="F73" i="2"/>
  <c r="F77" i="2"/>
  <c r="K46" i="6"/>
  <c r="K49" i="6"/>
  <c r="K48" i="6"/>
  <c r="AB77" i="6"/>
  <c r="AA77" i="6"/>
  <c r="AA61" i="6"/>
  <c r="AB61" i="6"/>
  <c r="AB33" i="6"/>
  <c r="AA33" i="6"/>
  <c r="X26" i="6"/>
  <c r="W26" i="6"/>
  <c r="X59" i="6"/>
  <c r="W59" i="6"/>
  <c r="W34" i="6"/>
  <c r="X34" i="6"/>
  <c r="AB21" i="6"/>
  <c r="X58" i="6"/>
  <c r="W58" i="6"/>
  <c r="T65" i="6"/>
  <c r="W65" i="6" s="1"/>
  <c r="X72" i="6"/>
  <c r="W72" i="6"/>
  <c r="AA24" i="6"/>
  <c r="AB24" i="6"/>
  <c r="X70" i="6"/>
  <c r="W70" i="6"/>
  <c r="X62" i="6"/>
  <c r="W62" i="6"/>
  <c r="S45" i="6"/>
  <c r="O46" i="6"/>
  <c r="S40" i="6"/>
  <c r="X60" i="6"/>
  <c r="W60" i="6"/>
  <c r="AB71" i="6"/>
  <c r="AA71" i="6"/>
  <c r="AB79" i="6"/>
  <c r="AA79" i="6"/>
  <c r="W68" i="6"/>
  <c r="AB75" i="6"/>
  <c r="AA75" i="6"/>
  <c r="T40" i="6"/>
  <c r="W32" i="6"/>
  <c r="X32" i="6"/>
  <c r="H54" i="6"/>
  <c r="I54" i="6" s="1"/>
  <c r="X29" i="6"/>
  <c r="W38" i="6"/>
  <c r="X38" i="6"/>
  <c r="X78" i="6"/>
  <c r="W78" i="6"/>
  <c r="X64" i="6"/>
  <c r="W64" i="6"/>
  <c r="AB73" i="6"/>
  <c r="AA73" i="6"/>
  <c r="X76" i="6"/>
  <c r="W76" i="6" s="1"/>
  <c r="L52" i="6"/>
  <c r="M52" i="6" s="1"/>
  <c r="X74" i="6"/>
  <c r="W74" i="6"/>
  <c r="X47" i="6"/>
  <c r="W47" i="6" s="1"/>
  <c r="W36" i="6"/>
  <c r="X36" i="6"/>
  <c r="L47" i="4"/>
  <c r="K47" i="4" s="1"/>
  <c r="H15" i="4"/>
  <c r="C15" i="5"/>
  <c r="W60" i="4"/>
  <c r="X60" i="4"/>
  <c r="X78" i="4"/>
  <c r="AA63" i="4"/>
  <c r="AB63" i="4"/>
  <c r="K50" i="4"/>
  <c r="G50" i="4"/>
  <c r="O66" i="4"/>
  <c r="AB75" i="4"/>
  <c r="AA75" i="4"/>
  <c r="T35" i="4"/>
  <c r="T41" i="4" s="1"/>
  <c r="S35" i="4"/>
  <c r="X70" i="4"/>
  <c r="W70" i="4"/>
  <c r="S60" i="4"/>
  <c r="X24" i="4"/>
  <c r="S61" i="4"/>
  <c r="T61" i="4"/>
  <c r="T23" i="4"/>
  <c r="P30" i="4"/>
  <c r="O30" i="4" s="1"/>
  <c r="X36" i="4"/>
  <c r="W36" i="4"/>
  <c r="W63" i="4"/>
  <c r="H53" i="4"/>
  <c r="G44" i="4"/>
  <c r="AB3" i="4"/>
  <c r="AB9" i="4" s="1"/>
  <c r="AB11" i="4" s="1"/>
  <c r="X3" i="4"/>
  <c r="X9" i="4" s="1"/>
  <c r="X33" i="4"/>
  <c r="AB37" i="4"/>
  <c r="AA37" i="4"/>
  <c r="AB79" i="4"/>
  <c r="AA79" i="4"/>
  <c r="T77" i="4"/>
  <c r="S77" i="4"/>
  <c r="T69" i="4"/>
  <c r="X52" i="4"/>
  <c r="W52" i="4" s="1"/>
  <c r="T11" i="4"/>
  <c r="W9" i="4"/>
  <c r="X80" i="4"/>
  <c r="W80" i="4" s="1"/>
  <c r="P41" i="4"/>
  <c r="AB26" i="4"/>
  <c r="AA26" i="4" s="1"/>
  <c r="X76" i="4"/>
  <c r="W76" i="4"/>
  <c r="W37" i="4"/>
  <c r="S78" i="4"/>
  <c r="X59" i="4"/>
  <c r="W59" i="4" s="1"/>
  <c r="T27" i="4"/>
  <c r="O27" i="4"/>
  <c r="S62" i="4"/>
  <c r="T62" i="4"/>
  <c r="T65" i="4"/>
  <c r="S65" i="4"/>
  <c r="T73" i="4"/>
  <c r="K66" i="4"/>
  <c r="W75" i="4"/>
  <c r="X74" i="4"/>
  <c r="W74" i="4"/>
  <c r="O35" i="4"/>
  <c r="X72" i="4"/>
  <c r="X48" i="4"/>
  <c r="W48" i="4" s="1"/>
  <c r="W39" i="4"/>
  <c r="X39" i="4"/>
  <c r="O61" i="4"/>
  <c r="L44" i="4"/>
  <c r="X64" i="4"/>
  <c r="W64" i="4"/>
  <c r="AB38" i="4"/>
  <c r="AA38" i="4" s="1"/>
  <c r="X51" i="4"/>
  <c r="W51" i="4" s="1"/>
  <c r="G47" i="4"/>
  <c r="AB71" i="4"/>
  <c r="AA71" i="4" s="1"/>
  <c r="O62" i="4"/>
  <c r="K30" i="4"/>
  <c r="P13" i="4"/>
  <c r="P96" i="4" s="1"/>
  <c r="O11" i="4"/>
  <c r="AB22" i="4"/>
  <c r="O69" i="4"/>
  <c r="L49" i="4"/>
  <c r="S33" i="4"/>
  <c r="S73" i="3"/>
  <c r="X23" i="3"/>
  <c r="W23" i="3" s="1"/>
  <c r="S74" i="3"/>
  <c r="X38" i="3"/>
  <c r="W38" i="3" s="1"/>
  <c r="AB72" i="3"/>
  <c r="AA72" i="3" s="1"/>
  <c r="X65" i="3"/>
  <c r="W65" i="3"/>
  <c r="O74" i="3"/>
  <c r="AB33" i="3"/>
  <c r="AA33" i="3" s="1"/>
  <c r="G45" i="3"/>
  <c r="G46" i="3"/>
  <c r="X69" i="3"/>
  <c r="W69" i="3" s="1"/>
  <c r="X79" i="3"/>
  <c r="W79" i="3" s="1"/>
  <c r="AB28" i="3"/>
  <c r="AA28" i="3" s="1"/>
  <c r="G47" i="3"/>
  <c r="AB37" i="3"/>
  <c r="AA37" i="3" s="1"/>
  <c r="AB26" i="3"/>
  <c r="AA26" i="3" s="1"/>
  <c r="AB34" i="3"/>
  <c r="AA34" i="3" s="1"/>
  <c r="X27" i="3"/>
  <c r="W27" i="3" s="1"/>
  <c r="X24" i="3"/>
  <c r="W24" i="3" s="1"/>
  <c r="S78" i="3"/>
  <c r="G49" i="3"/>
  <c r="X63" i="3"/>
  <c r="W63" i="3" s="1"/>
  <c r="T12" i="3"/>
  <c r="P82" i="3"/>
  <c r="T51" i="3"/>
  <c r="S51" i="3" s="1"/>
  <c r="O30" i="3"/>
  <c r="AB80" i="3"/>
  <c r="AA80" i="3" s="1"/>
  <c r="X36" i="3"/>
  <c r="W36" i="3" s="1"/>
  <c r="AB76" i="3"/>
  <c r="AA76" i="3" s="1"/>
  <c r="T25" i="3"/>
  <c r="T30" i="3" s="1"/>
  <c r="U30" i="3" s="1"/>
  <c r="S61" i="3"/>
  <c r="X64" i="3"/>
  <c r="W64" i="3" s="1"/>
  <c r="W72" i="3"/>
  <c r="X22" i="3"/>
  <c r="W22" i="3" s="1"/>
  <c r="H53" i="3"/>
  <c r="X60" i="3"/>
  <c r="S27" i="3"/>
  <c r="S38" i="3"/>
  <c r="O25" i="3"/>
  <c r="S24" i="3"/>
  <c r="D16" i="3"/>
  <c r="O61" i="3"/>
  <c r="W33" i="3"/>
  <c r="P66" i="3"/>
  <c r="S59" i="3"/>
  <c r="G50" i="3"/>
  <c r="S63" i="3"/>
  <c r="AB1" i="3"/>
  <c r="AB3" i="3" s="1"/>
  <c r="AB10" i="3" s="1"/>
  <c r="AB12" i="3" s="1"/>
  <c r="X3" i="3"/>
  <c r="X10" i="3" s="1"/>
  <c r="K82" i="3"/>
  <c r="O51" i="3"/>
  <c r="T35" i="3"/>
  <c r="S35" i="3" s="1"/>
  <c r="P41" i="3"/>
  <c r="P50" i="3" s="1"/>
  <c r="I41" i="27" s="1"/>
  <c r="O12" i="3"/>
  <c r="G48" i="2"/>
  <c r="G56" i="2" s="1"/>
  <c r="Q66" i="3" l="1"/>
  <c r="Q82" i="3"/>
  <c r="S30" i="3"/>
  <c r="J28" i="27"/>
  <c r="O41" i="27"/>
  <c r="P41" i="27" s="1"/>
  <c r="H28" i="28"/>
  <c r="F7" i="35" s="1"/>
  <c r="F22" i="35" s="1"/>
  <c r="M28" i="27"/>
  <c r="N28" i="27" s="1"/>
  <c r="P47" i="3"/>
  <c r="Q41" i="3"/>
  <c r="P46" i="3"/>
  <c r="P45" i="3"/>
  <c r="P49" i="3"/>
  <c r="H16" i="3"/>
  <c r="H35" i="27"/>
  <c r="O35" i="27" s="1"/>
  <c r="P35" i="27" s="1"/>
  <c r="M29" i="27"/>
  <c r="N29" i="27" s="1"/>
  <c r="M44" i="27"/>
  <c r="N44" i="27" s="1"/>
  <c r="E8" i="35"/>
  <c r="E9" i="35" s="1"/>
  <c r="E22" i="35"/>
  <c r="E23" i="35" s="1"/>
  <c r="E24" i="35" s="1"/>
  <c r="P12" i="35"/>
  <c r="Q9" i="35"/>
  <c r="R7" i="35"/>
  <c r="S9" i="35" s="1"/>
  <c r="X32" i="28"/>
  <c r="Q32" i="28"/>
  <c r="R32" i="28" s="1"/>
  <c r="X31" i="28"/>
  <c r="Q31" i="28"/>
  <c r="R31" i="28" s="1"/>
  <c r="O33" i="26"/>
  <c r="P33" i="26" s="1"/>
  <c r="I33" i="28"/>
  <c r="V36" i="28"/>
  <c r="M36" i="28"/>
  <c r="N36" i="28" s="1"/>
  <c r="V40" i="28"/>
  <c r="M40" i="28"/>
  <c r="N40" i="28" s="1"/>
  <c r="V9" i="28"/>
  <c r="M9" i="28"/>
  <c r="N9" i="28" s="1"/>
  <c r="O9" i="28"/>
  <c r="P9" i="28" s="1"/>
  <c r="AH14" i="35"/>
  <c r="V37" i="28"/>
  <c r="M37" i="28"/>
  <c r="N37" i="28" s="1"/>
  <c r="X42" i="28"/>
  <c r="Q42" i="28"/>
  <c r="R42" i="28" s="1"/>
  <c r="V29" i="28"/>
  <c r="M29" i="28"/>
  <c r="N29" i="28" s="1"/>
  <c r="V35" i="28"/>
  <c r="M35" i="28"/>
  <c r="N35" i="28" s="1"/>
  <c r="W42" i="28"/>
  <c r="O42" i="28"/>
  <c r="P42" i="28" s="1"/>
  <c r="V41" i="28"/>
  <c r="M41" i="28"/>
  <c r="N41" i="28" s="1"/>
  <c r="V38" i="28"/>
  <c r="M38" i="28"/>
  <c r="N38" i="28" s="1"/>
  <c r="V39" i="28"/>
  <c r="M39" i="28"/>
  <c r="N39" i="28" s="1"/>
  <c r="H40" i="28"/>
  <c r="N40" i="27"/>
  <c r="H39" i="28"/>
  <c r="N39" i="27"/>
  <c r="I28" i="28"/>
  <c r="I39" i="28"/>
  <c r="AA69" i="6"/>
  <c r="K44" i="3"/>
  <c r="H96" i="3"/>
  <c r="AT13" i="1"/>
  <c r="AX13" i="1"/>
  <c r="AU15" i="1"/>
  <c r="AY13" i="1"/>
  <c r="BB11" i="1"/>
  <c r="AY15" i="1"/>
  <c r="O65" i="30"/>
  <c r="S65" i="30"/>
  <c r="P98" i="30"/>
  <c r="Q65" i="30"/>
  <c r="L28" i="26"/>
  <c r="L51" i="26" s="1"/>
  <c r="K51" i="26"/>
  <c r="H95" i="3"/>
  <c r="H97" i="3" s="1"/>
  <c r="I53" i="3"/>
  <c r="H44" i="28"/>
  <c r="M16" i="3"/>
  <c r="G14" i="3"/>
  <c r="AB14" i="3" s="1"/>
  <c r="K14" i="3"/>
  <c r="I16" i="3"/>
  <c r="P36" i="35"/>
  <c r="P37" i="35"/>
  <c r="E14" i="35"/>
  <c r="E40" i="35"/>
  <c r="H29" i="28"/>
  <c r="F25" i="27"/>
  <c r="H37" i="28"/>
  <c r="F14" i="28"/>
  <c r="U14" i="28" s="1"/>
  <c r="E33" i="35"/>
  <c r="AB115" i="13"/>
  <c r="AA115" i="13" s="1"/>
  <c r="P14" i="35"/>
  <c r="AB18" i="13"/>
  <c r="AA18" i="13" s="1"/>
  <c r="AF87" i="5"/>
  <c r="AF89" i="5" s="1"/>
  <c r="AF15" i="5"/>
  <c r="P11" i="35"/>
  <c r="P10" i="35"/>
  <c r="K47" i="3"/>
  <c r="N38" i="27"/>
  <c r="O66" i="3"/>
  <c r="K50" i="3"/>
  <c r="O44" i="3"/>
  <c r="K45" i="3"/>
  <c r="N36" i="27"/>
  <c r="D98" i="3"/>
  <c r="F50" i="28"/>
  <c r="U50" i="28" s="1"/>
  <c r="W115" i="13"/>
  <c r="W18" i="13"/>
  <c r="W53" i="7"/>
  <c r="S55" i="7"/>
  <c r="P16" i="3"/>
  <c r="P96" i="3"/>
  <c r="K52" i="6"/>
  <c r="AA21" i="6"/>
  <c r="X75" i="3"/>
  <c r="W75" i="3" s="1"/>
  <c r="S12" i="3"/>
  <c r="X71" i="3"/>
  <c r="W71" i="3" s="1"/>
  <c r="X77" i="3"/>
  <c r="AB77" i="3" s="1"/>
  <c r="AA77" i="3" s="1"/>
  <c r="X73" i="3"/>
  <c r="W73" i="3" s="1"/>
  <c r="C90" i="5"/>
  <c r="C91" i="5" s="1"/>
  <c r="C97" i="5"/>
  <c r="AG85" i="5"/>
  <c r="G54" i="6"/>
  <c r="AB53" i="7"/>
  <c r="AA44" i="7"/>
  <c r="X55" i="7"/>
  <c r="G73" i="2"/>
  <c r="G77" i="2"/>
  <c r="W29" i="6"/>
  <c r="T43" i="6"/>
  <c r="S43" i="6" s="1"/>
  <c r="O48" i="6"/>
  <c r="AB47" i="6"/>
  <c r="AA47" i="6" s="1"/>
  <c r="P52" i="6"/>
  <c r="Q52" i="6" s="1"/>
  <c r="AB78" i="6"/>
  <c r="AA78" i="6"/>
  <c r="AB74" i="6"/>
  <c r="AA74" i="6"/>
  <c r="AB76" i="6"/>
  <c r="AA76" i="6" s="1"/>
  <c r="AB64" i="6"/>
  <c r="AA64" i="6"/>
  <c r="AA32" i="6"/>
  <c r="X40" i="6"/>
  <c r="AB32" i="6"/>
  <c r="AA59" i="6"/>
  <c r="AB59" i="6"/>
  <c r="AB60" i="6"/>
  <c r="AA60" i="6"/>
  <c r="L54" i="6"/>
  <c r="M54" i="6" s="1"/>
  <c r="AA38" i="6"/>
  <c r="AB38" i="6"/>
  <c r="T48" i="6"/>
  <c r="S48" i="6" s="1"/>
  <c r="T46" i="6"/>
  <c r="T44" i="6"/>
  <c r="W44" i="6" s="1"/>
  <c r="W40" i="6"/>
  <c r="T49" i="6"/>
  <c r="T45" i="6"/>
  <c r="W45" i="6" s="1"/>
  <c r="AB62" i="6"/>
  <c r="AA62" i="6"/>
  <c r="X65" i="6"/>
  <c r="AA65" i="6" s="1"/>
  <c r="AB58" i="6"/>
  <c r="AA58" i="6"/>
  <c r="AA34" i="6"/>
  <c r="AB34" i="6"/>
  <c r="AA36" i="6"/>
  <c r="AB36" i="6"/>
  <c r="AB68" i="6"/>
  <c r="AA68" i="6" s="1"/>
  <c r="AB70" i="6"/>
  <c r="AA70" i="6"/>
  <c r="AB72" i="6"/>
  <c r="AA72" i="6"/>
  <c r="AA26" i="6"/>
  <c r="AB26" i="6"/>
  <c r="AB23" i="3"/>
  <c r="AA23" i="3" s="1"/>
  <c r="K15" i="4"/>
  <c r="AA72" i="4"/>
  <c r="AB72" i="4"/>
  <c r="X27" i="4"/>
  <c r="P49" i="4"/>
  <c r="O49" i="4" s="1"/>
  <c r="P50" i="4"/>
  <c r="P47" i="4"/>
  <c r="P45" i="4"/>
  <c r="S41" i="4"/>
  <c r="P46" i="4"/>
  <c r="O41" i="4"/>
  <c r="X69" i="4"/>
  <c r="AB33" i="4"/>
  <c r="AA33" i="4"/>
  <c r="AB13" i="4"/>
  <c r="H55" i="4"/>
  <c r="G53" i="4"/>
  <c r="X23" i="4"/>
  <c r="W23" i="4"/>
  <c r="T30" i="4"/>
  <c r="T49" i="4" s="1"/>
  <c r="AA24" i="4"/>
  <c r="AB24" i="4"/>
  <c r="AB78" i="4"/>
  <c r="AA78" i="4" s="1"/>
  <c r="O13" i="4"/>
  <c r="W73" i="4"/>
  <c r="X73" i="4"/>
  <c r="T13" i="4"/>
  <c r="K49" i="4"/>
  <c r="AA22" i="4"/>
  <c r="P15" i="4"/>
  <c r="L53" i="4"/>
  <c r="AA76" i="4"/>
  <c r="AB76" i="4"/>
  <c r="W33" i="4"/>
  <c r="K44" i="4"/>
  <c r="AB36" i="4"/>
  <c r="AA36" i="4"/>
  <c r="X61" i="4"/>
  <c r="X35" i="4"/>
  <c r="X41" i="4" s="1"/>
  <c r="AB60" i="4"/>
  <c r="AA60" i="4" s="1"/>
  <c r="AB80" i="4"/>
  <c r="AA80" i="4" s="1"/>
  <c r="AB51" i="4"/>
  <c r="AA51" i="4" s="1"/>
  <c r="AB48" i="4"/>
  <c r="AA48" i="4" s="1"/>
  <c r="W65" i="4"/>
  <c r="X65" i="4"/>
  <c r="AA59" i="4"/>
  <c r="AB59" i="4"/>
  <c r="AB52" i="4"/>
  <c r="AA52" i="4" s="1"/>
  <c r="T46" i="4"/>
  <c r="T45" i="4"/>
  <c r="P44" i="4"/>
  <c r="S30" i="4"/>
  <c r="S11" i="4"/>
  <c r="AB64" i="4"/>
  <c r="AA64" i="4" s="1"/>
  <c r="AB39" i="4"/>
  <c r="AA39" i="4" s="1"/>
  <c r="W72" i="4"/>
  <c r="AB74" i="4"/>
  <c r="AA74" i="4" s="1"/>
  <c r="S73" i="4"/>
  <c r="X62" i="4"/>
  <c r="W62" i="4"/>
  <c r="S27" i="4"/>
  <c r="T66" i="4"/>
  <c r="S69" i="4"/>
  <c r="W77" i="4"/>
  <c r="X77" i="4"/>
  <c r="X11" i="4"/>
  <c r="AA9" i="4"/>
  <c r="S23" i="4"/>
  <c r="W24" i="4"/>
  <c r="AB70" i="4"/>
  <c r="AA70" i="4" s="1"/>
  <c r="W78" i="4"/>
  <c r="S25" i="3"/>
  <c r="D89" i="3"/>
  <c r="H8" i="3" s="1"/>
  <c r="L53" i="3"/>
  <c r="M53" i="3" s="1"/>
  <c r="O14" i="3"/>
  <c r="X70" i="3"/>
  <c r="W70" i="3" s="1"/>
  <c r="T48" i="3"/>
  <c r="S70" i="3"/>
  <c r="AB22" i="3"/>
  <c r="AA22" i="3" s="1"/>
  <c r="AB64" i="3"/>
  <c r="AA64" i="3" s="1"/>
  <c r="X61" i="3"/>
  <c r="W61" i="3" s="1"/>
  <c r="X39" i="3"/>
  <c r="W39" i="3" s="1"/>
  <c r="AB63" i="3"/>
  <c r="AA63" i="3" s="1"/>
  <c r="AB27" i="3"/>
  <c r="AA27" i="3" s="1"/>
  <c r="T82" i="3"/>
  <c r="AB65" i="3"/>
  <c r="AA65" i="3"/>
  <c r="X74" i="3"/>
  <c r="W74" i="3" s="1"/>
  <c r="X35" i="3"/>
  <c r="T41" i="3"/>
  <c r="X62" i="3"/>
  <c r="W62" i="3" s="1"/>
  <c r="X51" i="3"/>
  <c r="AB69" i="3"/>
  <c r="AA69" i="3" s="1"/>
  <c r="S62" i="3"/>
  <c r="AB38" i="3"/>
  <c r="AA38" i="3" s="1"/>
  <c r="T66" i="3"/>
  <c r="U66" i="3" s="1"/>
  <c r="X59" i="3"/>
  <c r="W59" i="3" s="1"/>
  <c r="AB60" i="3"/>
  <c r="AA60" i="3" s="1"/>
  <c r="X78" i="3"/>
  <c r="AA10" i="3"/>
  <c r="X12" i="3"/>
  <c r="W60" i="3"/>
  <c r="T44" i="3"/>
  <c r="J35" i="27" s="1"/>
  <c r="O48" i="3"/>
  <c r="H55" i="3"/>
  <c r="G53" i="3"/>
  <c r="O82" i="3"/>
  <c r="X25" i="3"/>
  <c r="X30" i="3" s="1"/>
  <c r="AB36" i="3"/>
  <c r="AA36" i="3" s="1"/>
  <c r="O41" i="3"/>
  <c r="S39" i="3"/>
  <c r="W10" i="3"/>
  <c r="K49" i="3"/>
  <c r="AB24" i="3"/>
  <c r="AA24" i="3" s="1"/>
  <c r="AB79" i="3"/>
  <c r="AA79" i="3" s="1"/>
  <c r="K46" i="3"/>
  <c r="H48" i="2"/>
  <c r="H56" i="2" s="1"/>
  <c r="I56" i="2" s="1"/>
  <c r="I48" i="2" s="1"/>
  <c r="O44" i="27" l="1"/>
  <c r="P44" i="27" s="1"/>
  <c r="W45" i="27"/>
  <c r="J35" i="28"/>
  <c r="Q35" i="27"/>
  <c r="R35" i="27" s="1"/>
  <c r="J28" i="28"/>
  <c r="Q28" i="27"/>
  <c r="R28" i="27" s="1"/>
  <c r="I36" i="27"/>
  <c r="O36" i="27" s="1"/>
  <c r="P36" i="27" s="1"/>
  <c r="I37" i="27"/>
  <c r="O37" i="27" s="1"/>
  <c r="P37" i="27" s="1"/>
  <c r="S48" i="3"/>
  <c r="J39" i="27"/>
  <c r="G7" i="35"/>
  <c r="G22" i="35" s="1"/>
  <c r="G23" i="35" s="1"/>
  <c r="G24" i="35" s="1"/>
  <c r="U82" i="3"/>
  <c r="S66" i="3"/>
  <c r="J44" i="27"/>
  <c r="X45" i="27" s="1"/>
  <c r="S41" i="3"/>
  <c r="J29" i="27"/>
  <c r="I40" i="27"/>
  <c r="O40" i="27" s="1"/>
  <c r="P40" i="27" s="1"/>
  <c r="I38" i="27"/>
  <c r="O28" i="28"/>
  <c r="P28" i="28" s="1"/>
  <c r="W28" i="28"/>
  <c r="F23" i="35"/>
  <c r="F24" i="35" s="1"/>
  <c r="M35" i="27"/>
  <c r="N35" i="27" s="1"/>
  <c r="V43" i="27"/>
  <c r="H35" i="28"/>
  <c r="W35" i="28" s="1"/>
  <c r="O29" i="27"/>
  <c r="P29" i="27" s="1"/>
  <c r="E34" i="35"/>
  <c r="E35" i="35" s="1"/>
  <c r="E48" i="35"/>
  <c r="E49" i="35" s="1"/>
  <c r="E50" i="35" s="1"/>
  <c r="E41" i="35"/>
  <c r="E42" i="35" s="1"/>
  <c r="E27" i="35"/>
  <c r="E15" i="35"/>
  <c r="E16" i="35" s="1"/>
  <c r="R10" i="35"/>
  <c r="R11" i="35"/>
  <c r="R12" i="35"/>
  <c r="R14" i="35"/>
  <c r="H7" i="35"/>
  <c r="H14" i="35" s="1"/>
  <c r="T7" i="35"/>
  <c r="T14" i="35" s="1"/>
  <c r="F8" i="35"/>
  <c r="F9" i="35" s="1"/>
  <c r="X33" i="28"/>
  <c r="Q33" i="28"/>
  <c r="R33" i="28" s="1"/>
  <c r="X39" i="28"/>
  <c r="Q39" i="28"/>
  <c r="R39" i="28" s="1"/>
  <c r="W29" i="28"/>
  <c r="O29" i="28"/>
  <c r="P29" i="28" s="1"/>
  <c r="W40" i="28"/>
  <c r="O40" i="28"/>
  <c r="P40" i="28" s="1"/>
  <c r="W44" i="28"/>
  <c r="O44" i="28"/>
  <c r="P44" i="28" s="1"/>
  <c r="W37" i="28"/>
  <c r="O37" i="28"/>
  <c r="P37" i="28" s="1"/>
  <c r="X28" i="28"/>
  <c r="Q28" i="28"/>
  <c r="R28" i="28" s="1"/>
  <c r="W39" i="28"/>
  <c r="O39" i="28"/>
  <c r="P39" i="28" s="1"/>
  <c r="H41" i="28"/>
  <c r="N41" i="27"/>
  <c r="I41" i="28"/>
  <c r="AI14" i="35"/>
  <c r="AT15" i="1"/>
  <c r="AX15" i="1"/>
  <c r="T47" i="4"/>
  <c r="O98" i="30"/>
  <c r="P100" i="30"/>
  <c r="P111" i="30"/>
  <c r="S98" i="30"/>
  <c r="K16" i="3"/>
  <c r="G16" i="3"/>
  <c r="P44" i="35"/>
  <c r="H38" i="28"/>
  <c r="F33" i="35"/>
  <c r="F48" i="35" s="1"/>
  <c r="R33" i="35"/>
  <c r="AH40" i="35"/>
  <c r="H36" i="28"/>
  <c r="I35" i="28"/>
  <c r="F25" i="28"/>
  <c r="U25" i="28" s="1"/>
  <c r="H85" i="3"/>
  <c r="H98" i="3" s="1"/>
  <c r="I55" i="3"/>
  <c r="O16" i="3"/>
  <c r="Q16" i="3"/>
  <c r="I29" i="28"/>
  <c r="K28" i="27"/>
  <c r="K50" i="27" s="1"/>
  <c r="K50" i="28" s="1"/>
  <c r="P15" i="35"/>
  <c r="P18" i="35" s="1"/>
  <c r="O49" i="3"/>
  <c r="O46" i="3"/>
  <c r="I44" i="28"/>
  <c r="O45" i="3"/>
  <c r="S13" i="4"/>
  <c r="T96" i="4"/>
  <c r="AB15" i="4"/>
  <c r="AB96" i="4"/>
  <c r="AB16" i="3"/>
  <c r="AB96" i="3"/>
  <c r="K53" i="3"/>
  <c r="L95" i="3"/>
  <c r="L97" i="3" s="1"/>
  <c r="O52" i="6"/>
  <c r="S14" i="3"/>
  <c r="T96" i="3"/>
  <c r="AB55" i="7"/>
  <c r="W77" i="3"/>
  <c r="S82" i="3"/>
  <c r="AB29" i="6"/>
  <c r="AB43" i="6" s="1"/>
  <c r="K54" i="6"/>
  <c r="AB75" i="3"/>
  <c r="AA75" i="3" s="1"/>
  <c r="AB71" i="3"/>
  <c r="AA71" i="3" s="1"/>
  <c r="T50" i="4"/>
  <c r="AB73" i="3"/>
  <c r="AA73" i="3" s="1"/>
  <c r="AA53" i="7"/>
  <c r="W55" i="7"/>
  <c r="H73" i="2"/>
  <c r="H77" i="2"/>
  <c r="X43" i="6"/>
  <c r="W43" i="6" s="1"/>
  <c r="S46" i="6"/>
  <c r="S49" i="6"/>
  <c r="T52" i="6"/>
  <c r="AB65" i="6"/>
  <c r="AB40" i="6"/>
  <c r="P54" i="6"/>
  <c r="Q54" i="6" s="1"/>
  <c r="X48" i="6"/>
  <c r="X46" i="6"/>
  <c r="X44" i="6"/>
  <c r="AA44" i="6" s="1"/>
  <c r="X49" i="6"/>
  <c r="W49" i="6" s="1"/>
  <c r="X45" i="6"/>
  <c r="AA45" i="6" s="1"/>
  <c r="AA40" i="6"/>
  <c r="X46" i="4"/>
  <c r="W46" i="4" s="1"/>
  <c r="X45" i="4"/>
  <c r="W45" i="4" s="1"/>
  <c r="W41" i="4"/>
  <c r="X13" i="4"/>
  <c r="AA11" i="4"/>
  <c r="AB65" i="4"/>
  <c r="AA65" i="4"/>
  <c r="AB61" i="4"/>
  <c r="AA61" i="4" s="1"/>
  <c r="L55" i="4"/>
  <c r="S47" i="4"/>
  <c r="O47" i="4"/>
  <c r="AB27" i="4"/>
  <c r="AA27" i="4"/>
  <c r="P53" i="4"/>
  <c r="AB62" i="4"/>
  <c r="W61" i="4"/>
  <c r="O15" i="4"/>
  <c r="W11" i="4"/>
  <c r="AB73" i="4"/>
  <c r="AA73" i="4" s="1"/>
  <c r="T44" i="4"/>
  <c r="K53" i="4"/>
  <c r="AB69" i="4"/>
  <c r="S46" i="4"/>
  <c r="O46" i="4"/>
  <c r="S50" i="4"/>
  <c r="O50" i="4"/>
  <c r="AB35" i="4"/>
  <c r="AB41" i="4" s="1"/>
  <c r="AA41" i="4" s="1"/>
  <c r="AA35" i="4"/>
  <c r="S66" i="4"/>
  <c r="G55" i="4"/>
  <c r="S49" i="4"/>
  <c r="AB77" i="4"/>
  <c r="AA77" i="4" s="1"/>
  <c r="X66" i="4"/>
  <c r="W35" i="4"/>
  <c r="O44" i="4"/>
  <c r="T15" i="4"/>
  <c r="S15" i="4" s="1"/>
  <c r="AB23" i="4"/>
  <c r="X30" i="4"/>
  <c r="W69" i="4"/>
  <c r="S45" i="4"/>
  <c r="O45" i="4"/>
  <c r="W27" i="4"/>
  <c r="W25" i="3"/>
  <c r="L55" i="3"/>
  <c r="L85" i="3" s="1"/>
  <c r="T16" i="3"/>
  <c r="S16" i="3" s="1"/>
  <c r="X82" i="3"/>
  <c r="X44" i="3"/>
  <c r="W30" i="3"/>
  <c r="AB51" i="3"/>
  <c r="AA51" i="3" s="1"/>
  <c r="AA12" i="3"/>
  <c r="X14" i="3"/>
  <c r="X66" i="3"/>
  <c r="W66" i="3" s="1"/>
  <c r="AB59" i="3"/>
  <c r="AA59" i="3" s="1"/>
  <c r="AB62" i="3"/>
  <c r="AA62" i="3" s="1"/>
  <c r="AB74" i="3"/>
  <c r="AB61" i="3"/>
  <c r="AA61" i="3" s="1"/>
  <c r="AB70" i="3"/>
  <c r="AA70" i="3" s="1"/>
  <c r="T50" i="3"/>
  <c r="T49" i="3"/>
  <c r="J40" i="27" s="1"/>
  <c r="T45" i="3"/>
  <c r="J36" i="27" s="1"/>
  <c r="T47" i="3"/>
  <c r="T46" i="3"/>
  <c r="AB78" i="3"/>
  <c r="AA78" i="3" s="1"/>
  <c r="W51" i="3"/>
  <c r="P53" i="3"/>
  <c r="AB35" i="3"/>
  <c r="AA35" i="3" s="1"/>
  <c r="X41" i="3"/>
  <c r="O50" i="3"/>
  <c r="AB25" i="3"/>
  <c r="AB30" i="3" s="1"/>
  <c r="G55" i="3"/>
  <c r="W78" i="3"/>
  <c r="W12" i="3"/>
  <c r="O47" i="3"/>
  <c r="S44" i="3"/>
  <c r="W35" i="3"/>
  <c r="AB39" i="3"/>
  <c r="AA39" i="3" s="1"/>
  <c r="X48" i="3"/>
  <c r="V7" i="35" l="1"/>
  <c r="AJ14" i="35"/>
  <c r="G8" i="35"/>
  <c r="G9" i="35" s="1"/>
  <c r="J36" i="28"/>
  <c r="Q36" i="27"/>
  <c r="R36" i="27" s="1"/>
  <c r="J44" i="28"/>
  <c r="Q44" i="27"/>
  <c r="R44" i="27" s="1"/>
  <c r="J39" i="28"/>
  <c r="Q39" i="27"/>
  <c r="R39" i="27" s="1"/>
  <c r="J40" i="28"/>
  <c r="Q40" i="27"/>
  <c r="R40" i="27" s="1"/>
  <c r="J29" i="28"/>
  <c r="Q29" i="27"/>
  <c r="R29" i="27" s="1"/>
  <c r="K29" i="27"/>
  <c r="L29" i="27" s="1"/>
  <c r="L29" i="28" s="1"/>
  <c r="S46" i="3"/>
  <c r="J37" i="27"/>
  <c r="S50" i="3"/>
  <c r="J41" i="27"/>
  <c r="I38" i="28"/>
  <c r="Q38" i="28" s="1"/>
  <c r="R38" i="28" s="1"/>
  <c r="O38" i="27"/>
  <c r="P38" i="27" s="1"/>
  <c r="S47" i="3"/>
  <c r="J38" i="27"/>
  <c r="Q38" i="27" s="1"/>
  <c r="R38" i="27" s="1"/>
  <c r="F14" i="35"/>
  <c r="F15" i="35" s="1"/>
  <c r="F16" i="35" s="1"/>
  <c r="O35" i="28"/>
  <c r="P35" i="28" s="1"/>
  <c r="T10" i="35"/>
  <c r="H8" i="35"/>
  <c r="H9" i="35" s="1"/>
  <c r="F49" i="35"/>
  <c r="F50" i="35" s="1"/>
  <c r="E53" i="35"/>
  <c r="F34" i="35"/>
  <c r="F35" i="35" s="1"/>
  <c r="R15" i="35"/>
  <c r="R18" i="35" s="1"/>
  <c r="T11" i="35"/>
  <c r="I7" i="35"/>
  <c r="Z7" i="35" s="1"/>
  <c r="AA9" i="35" s="1"/>
  <c r="X7" i="35"/>
  <c r="Y9" i="35" s="1"/>
  <c r="V12" i="35"/>
  <c r="W9" i="35"/>
  <c r="T12" i="35"/>
  <c r="U9" i="35"/>
  <c r="X29" i="28"/>
  <c r="Q29" i="28"/>
  <c r="R29" i="28" s="1"/>
  <c r="X44" i="28"/>
  <c r="Q44" i="28"/>
  <c r="R44" i="28" s="1"/>
  <c r="W36" i="28"/>
  <c r="O36" i="28"/>
  <c r="P36" i="28" s="1"/>
  <c r="X35" i="28"/>
  <c r="Q35" i="28"/>
  <c r="R35" i="28" s="1"/>
  <c r="W38" i="28"/>
  <c r="O38" i="28"/>
  <c r="P38" i="28" s="1"/>
  <c r="X41" i="28"/>
  <c r="Q41" i="28"/>
  <c r="R41" i="28" s="1"/>
  <c r="W41" i="28"/>
  <c r="O41" i="28"/>
  <c r="P41" i="28" s="1"/>
  <c r="I40" i="28"/>
  <c r="P102" i="30"/>
  <c r="S100" i="30"/>
  <c r="O100" i="30"/>
  <c r="W43" i="27"/>
  <c r="H33" i="35"/>
  <c r="I33" i="35" s="1"/>
  <c r="R40" i="35"/>
  <c r="P95" i="3"/>
  <c r="P97" i="3" s="1"/>
  <c r="Q53" i="3"/>
  <c r="M55" i="3"/>
  <c r="R36" i="35"/>
  <c r="R37" i="35"/>
  <c r="G14" i="35"/>
  <c r="AI40" i="35"/>
  <c r="T33" i="35"/>
  <c r="F40" i="35"/>
  <c r="F53" i="35" s="1"/>
  <c r="I36" i="28"/>
  <c r="I37" i="28"/>
  <c r="G33" i="35"/>
  <c r="G48" i="35" s="1"/>
  <c r="G49" i="35" s="1"/>
  <c r="G50" i="35" s="1"/>
  <c r="H87" i="3"/>
  <c r="H89" i="3" s="1"/>
  <c r="M85" i="3"/>
  <c r="I85" i="3"/>
  <c r="K51" i="27"/>
  <c r="K28" i="28"/>
  <c r="K51" i="28" s="1"/>
  <c r="L28" i="27"/>
  <c r="L28" i="28" s="1"/>
  <c r="L51" i="28" s="1"/>
  <c r="V11" i="35"/>
  <c r="V10" i="35"/>
  <c r="V14" i="35"/>
  <c r="K19" i="26"/>
  <c r="AA13" i="4"/>
  <c r="X96" i="4"/>
  <c r="K55" i="4"/>
  <c r="O54" i="6"/>
  <c r="S52" i="6"/>
  <c r="L98" i="3"/>
  <c r="AA14" i="3"/>
  <c r="X96" i="3"/>
  <c r="O53" i="4"/>
  <c r="AA55" i="7"/>
  <c r="K55" i="3"/>
  <c r="L87" i="3"/>
  <c r="W82" i="3"/>
  <c r="G85" i="3"/>
  <c r="T54" i="6"/>
  <c r="I73" i="2"/>
  <c r="I77" i="2"/>
  <c r="Y139" i="31" s="1"/>
  <c r="X139" i="31" s="1"/>
  <c r="J73" i="2"/>
  <c r="J77" i="2"/>
  <c r="AC139" i="31" s="1"/>
  <c r="AA29" i="6"/>
  <c r="AA43" i="6"/>
  <c r="W48" i="6"/>
  <c r="W46" i="6"/>
  <c r="X52" i="6"/>
  <c r="AB49" i="6"/>
  <c r="AA49" i="6" s="1"/>
  <c r="AB45" i="6"/>
  <c r="AB48" i="6"/>
  <c r="AA48" i="6" s="1"/>
  <c r="AB46" i="6"/>
  <c r="AA46" i="6" s="1"/>
  <c r="AB44" i="6"/>
  <c r="AB66" i="4"/>
  <c r="AB30" i="4"/>
  <c r="AB44" i="4" s="1"/>
  <c r="X44" i="4"/>
  <c r="AA30" i="4"/>
  <c r="T53" i="4"/>
  <c r="W44" i="4"/>
  <c r="P55" i="4"/>
  <c r="X49" i="4"/>
  <c r="AA23" i="4"/>
  <c r="W13" i="4"/>
  <c r="AA62" i="4"/>
  <c r="X47" i="4"/>
  <c r="AB45" i="4"/>
  <c r="AA45" i="4" s="1"/>
  <c r="AB46" i="4"/>
  <c r="AA46" i="4" s="1"/>
  <c r="W15" i="4"/>
  <c r="AA66" i="4"/>
  <c r="W66" i="4"/>
  <c r="AA69" i="4"/>
  <c r="W30" i="4"/>
  <c r="S44" i="4"/>
  <c r="X15" i="4"/>
  <c r="AA15" i="4" s="1"/>
  <c r="X50" i="4"/>
  <c r="AA25" i="3"/>
  <c r="T53" i="3"/>
  <c r="U53" i="3" s="1"/>
  <c r="AB82" i="3"/>
  <c r="W14" i="3"/>
  <c r="AB44" i="3"/>
  <c r="AA44" i="3" s="1"/>
  <c r="AA30" i="3"/>
  <c r="AB48" i="3"/>
  <c r="AA48" i="3" s="1"/>
  <c r="X47" i="3"/>
  <c r="X46" i="3"/>
  <c r="W46" i="3" s="1"/>
  <c r="X50" i="3"/>
  <c r="W50" i="3" s="1"/>
  <c r="X49" i="3"/>
  <c r="W49" i="3" s="1"/>
  <c r="X45" i="3"/>
  <c r="W45" i="3" s="1"/>
  <c r="W41" i="3"/>
  <c r="AA74" i="3"/>
  <c r="X16" i="3"/>
  <c r="AB66" i="3"/>
  <c r="AA66" i="3" s="1"/>
  <c r="S49" i="3"/>
  <c r="AB41" i="3"/>
  <c r="AA41" i="3" s="1"/>
  <c r="W48" i="3"/>
  <c r="W44" i="3"/>
  <c r="P55" i="3"/>
  <c r="O53" i="3"/>
  <c r="S45" i="3"/>
  <c r="X43" i="27" l="1"/>
  <c r="J41" i="28"/>
  <c r="Q41" i="27"/>
  <c r="R41" i="27" s="1"/>
  <c r="J37" i="28"/>
  <c r="Q37" i="27"/>
  <c r="R37" i="27" s="1"/>
  <c r="X38" i="28"/>
  <c r="K29" i="28"/>
  <c r="J38" i="28"/>
  <c r="AB139" i="31"/>
  <c r="AB141" i="31" s="1"/>
  <c r="AA139" i="31"/>
  <c r="X141" i="31"/>
  <c r="F27" i="35"/>
  <c r="G87" i="3"/>
  <c r="X10" i="35"/>
  <c r="AJ40" i="35"/>
  <c r="F41" i="35"/>
  <c r="F42" i="35" s="1"/>
  <c r="G27" i="35"/>
  <c r="G15" i="35"/>
  <c r="G18" i="35" s="1"/>
  <c r="T15" i="35"/>
  <c r="T18" i="35" s="1"/>
  <c r="I8" i="35"/>
  <c r="I9" i="35" s="1"/>
  <c r="J7" i="35"/>
  <c r="K7" i="35" s="1"/>
  <c r="L9" i="35" s="1"/>
  <c r="I14" i="35"/>
  <c r="I15" i="35" s="1"/>
  <c r="X12" i="35"/>
  <c r="X11" i="35"/>
  <c r="X14" i="35"/>
  <c r="L58" i="28"/>
  <c r="X37" i="28"/>
  <c r="Q37" i="28"/>
  <c r="R37" i="28" s="1"/>
  <c r="X36" i="28"/>
  <c r="Q36" i="28"/>
  <c r="R36" i="28" s="1"/>
  <c r="X40" i="28"/>
  <c r="Q40" i="28"/>
  <c r="R40" i="28" s="1"/>
  <c r="O102" i="30"/>
  <c r="T7" i="30"/>
  <c r="T102" i="30" s="1"/>
  <c r="X7" i="30" s="1"/>
  <c r="X102" i="30" s="1"/>
  <c r="X33" i="35"/>
  <c r="H40" i="35"/>
  <c r="K58" i="28"/>
  <c r="G40" i="35"/>
  <c r="G53" i="35" s="1"/>
  <c r="P85" i="3"/>
  <c r="Q85" i="3" s="1"/>
  <c r="Q55" i="3"/>
  <c r="R44" i="35"/>
  <c r="R57" i="35" s="1"/>
  <c r="R56" i="35" s="1"/>
  <c r="V33" i="35"/>
  <c r="V36" i="35" s="1"/>
  <c r="H34" i="35"/>
  <c r="H15" i="35"/>
  <c r="T40" i="35"/>
  <c r="T37" i="35"/>
  <c r="T36" i="35"/>
  <c r="G34" i="35"/>
  <c r="G35" i="35" s="1"/>
  <c r="L51" i="27"/>
  <c r="L50" i="27"/>
  <c r="L50" i="28" s="1"/>
  <c r="V15" i="35"/>
  <c r="V18" i="35" s="1"/>
  <c r="I40" i="35"/>
  <c r="I34" i="35"/>
  <c r="J33" i="35"/>
  <c r="Z33" i="35"/>
  <c r="Z12" i="35"/>
  <c r="Z14" i="35"/>
  <c r="Z11" i="35"/>
  <c r="Z10" i="35"/>
  <c r="L44" i="28"/>
  <c r="K44" i="28"/>
  <c r="L19" i="26"/>
  <c r="K56" i="26"/>
  <c r="K61" i="26" s="1"/>
  <c r="K19" i="28"/>
  <c r="T55" i="3"/>
  <c r="T95" i="3"/>
  <c r="T97" i="3" s="1"/>
  <c r="W52" i="6"/>
  <c r="S53" i="4"/>
  <c r="S54" i="6"/>
  <c r="O55" i="4"/>
  <c r="AA82" i="3"/>
  <c r="K85" i="3"/>
  <c r="K87" i="3"/>
  <c r="AB52" i="6"/>
  <c r="X54" i="6"/>
  <c r="AB49" i="4"/>
  <c r="AB47" i="4"/>
  <c r="AB50" i="4"/>
  <c r="AA49" i="4"/>
  <c r="W49" i="4"/>
  <c r="T55" i="4"/>
  <c r="W50" i="4"/>
  <c r="AA47" i="4"/>
  <c r="W47" i="4"/>
  <c r="AA44" i="4"/>
  <c r="X53" i="4"/>
  <c r="S53" i="3"/>
  <c r="W47" i="3"/>
  <c r="X53" i="3"/>
  <c r="X95" i="3" s="1"/>
  <c r="X97" i="3" s="1"/>
  <c r="O55" i="3"/>
  <c r="AA16" i="3"/>
  <c r="W16" i="3"/>
  <c r="AB45" i="3"/>
  <c r="AA45" i="3" s="1"/>
  <c r="AB47" i="3"/>
  <c r="AA47" i="3" s="1"/>
  <c r="AB46" i="3"/>
  <c r="AA46" i="3" s="1"/>
  <c r="AB50" i="3"/>
  <c r="AA50" i="3" s="1"/>
  <c r="AB49" i="3"/>
  <c r="AA49" i="3" s="1"/>
  <c r="G89" i="3"/>
  <c r="T85" i="3" l="1"/>
  <c r="T87" i="3" s="1"/>
  <c r="U55" i="3"/>
  <c r="AA141" i="31"/>
  <c r="AB217" i="31"/>
  <c r="AB207" i="31"/>
  <c r="AB209" i="31" s="1"/>
  <c r="W141" i="31"/>
  <c r="X217" i="31"/>
  <c r="X207" i="31"/>
  <c r="J14" i="35"/>
  <c r="J15" i="35" s="1"/>
  <c r="G41" i="35"/>
  <c r="G42" i="35" s="1"/>
  <c r="AB7" i="35"/>
  <c r="AC9" i="35" s="1"/>
  <c r="G16" i="35"/>
  <c r="J8" i="35"/>
  <c r="J9" i="35" s="1"/>
  <c r="X15" i="35"/>
  <c r="X18" i="35" s="1"/>
  <c r="X40" i="35"/>
  <c r="X36" i="35"/>
  <c r="X44" i="35" s="1"/>
  <c r="X37" i="35"/>
  <c r="S102" i="30"/>
  <c r="W102" i="30"/>
  <c r="AB7" i="30"/>
  <c r="AB102" i="30" s="1"/>
  <c r="AA102" i="30" s="1"/>
  <c r="K23" i="28"/>
  <c r="P98" i="3"/>
  <c r="P87" i="3"/>
  <c r="R69" i="35"/>
  <c r="R70" i="35" s="1"/>
  <c r="V40" i="35"/>
  <c r="V37" i="35"/>
  <c r="T44" i="35"/>
  <c r="T57" i="35" s="1"/>
  <c r="T56" i="35" s="1"/>
  <c r="Z40" i="35"/>
  <c r="Z36" i="35"/>
  <c r="Z44" i="35" s="1"/>
  <c r="Z37" i="35"/>
  <c r="K33" i="35"/>
  <c r="J40" i="35"/>
  <c r="J34" i="35"/>
  <c r="AB33" i="35"/>
  <c r="K8" i="35"/>
  <c r="K9" i="35" s="1"/>
  <c r="K14" i="35"/>
  <c r="AD7" i="35"/>
  <c r="AE9" i="35" s="1"/>
  <c r="Z15" i="35"/>
  <c r="Z18" i="35" s="1"/>
  <c r="L56" i="26"/>
  <c r="L61" i="26" s="1"/>
  <c r="L19" i="28"/>
  <c r="S55" i="3"/>
  <c r="AB54" i="6"/>
  <c r="AA54" i="6" s="1"/>
  <c r="W54" i="6"/>
  <c r="S55" i="4"/>
  <c r="AA52" i="6"/>
  <c r="AB53" i="4"/>
  <c r="AA50" i="4"/>
  <c r="AA53" i="4"/>
  <c r="X55" i="4"/>
  <c r="W53" i="4"/>
  <c r="AB53" i="3"/>
  <c r="L8" i="3"/>
  <c r="L89" i="3" s="1"/>
  <c r="O85" i="3"/>
  <c r="X55" i="3"/>
  <c r="X85" i="3" s="1"/>
  <c r="W53" i="3"/>
  <c r="S85" i="3" l="1"/>
  <c r="T98" i="3"/>
  <c r="U85" i="3"/>
  <c r="AA207" i="31"/>
  <c r="X209" i="31"/>
  <c r="K15" i="35"/>
  <c r="K18" i="35" s="1"/>
  <c r="AB11" i="35"/>
  <c r="AB14" i="35"/>
  <c r="G44" i="35"/>
  <c r="AB10" i="35"/>
  <c r="AB12" i="35"/>
  <c r="Z57" i="35"/>
  <c r="Z56" i="35" s="1"/>
  <c r="L23" i="28"/>
  <c r="K44" i="35"/>
  <c r="V44" i="35"/>
  <c r="V57" i="35" s="1"/>
  <c r="V56" i="35" s="1"/>
  <c r="T69" i="35"/>
  <c r="T70" i="35" s="1"/>
  <c r="T59" i="35"/>
  <c r="K40" i="35"/>
  <c r="K34" i="35"/>
  <c r="AD33" i="35"/>
  <c r="AB40" i="35"/>
  <c r="AB37" i="35"/>
  <c r="AB36" i="35"/>
  <c r="AB44" i="35" s="1"/>
  <c r="AB57" i="35" s="1"/>
  <c r="AD10" i="35"/>
  <c r="AD11" i="35"/>
  <c r="AD14" i="35"/>
  <c r="AD12" i="35"/>
  <c r="AB55" i="3"/>
  <c r="AB85" i="3" s="1"/>
  <c r="AB95" i="3"/>
  <c r="AB97" i="3" s="1"/>
  <c r="X87" i="3"/>
  <c r="X98" i="3"/>
  <c r="AB55" i="4"/>
  <c r="K89" i="3"/>
  <c r="AA55" i="4"/>
  <c r="W55" i="4"/>
  <c r="AA53" i="3"/>
  <c r="W55" i="3"/>
  <c r="S87" i="3"/>
  <c r="O87" i="3"/>
  <c r="AA209" i="31" l="1"/>
  <c r="K56" i="35"/>
  <c r="AB15" i="35"/>
  <c r="AB18" i="35" s="1"/>
  <c r="Z69" i="35"/>
  <c r="Z70" i="35" s="1"/>
  <c r="X57" i="35"/>
  <c r="X56" i="35" s="1"/>
  <c r="V59" i="35"/>
  <c r="V69" i="35"/>
  <c r="V70" i="35" s="1"/>
  <c r="AB56" i="35"/>
  <c r="AD40" i="35"/>
  <c r="AD37" i="35"/>
  <c r="AD36" i="35"/>
  <c r="AD44" i="35" s="1"/>
  <c r="AD57" i="35" s="1"/>
  <c r="AB69" i="35"/>
  <c r="AB70" i="35" s="1"/>
  <c r="AD15" i="35"/>
  <c r="AD18" i="35" s="1"/>
  <c r="AA55" i="3"/>
  <c r="AB87" i="3"/>
  <c r="AB98" i="3"/>
  <c r="P8" i="3"/>
  <c r="AA85" i="3"/>
  <c r="W85" i="3"/>
  <c r="E30" i="2"/>
  <c r="X69" i="35" l="1"/>
  <c r="X70" i="35" s="1"/>
  <c r="X59" i="35"/>
  <c r="Z59" i="35" s="1"/>
  <c r="AB59" i="35" s="1"/>
  <c r="AD59" i="35" s="1"/>
  <c r="AD56" i="35"/>
  <c r="AD69" i="35"/>
  <c r="AD70" i="35" s="1"/>
  <c r="P89" i="3"/>
  <c r="O89" i="3" s="1"/>
  <c r="AA87" i="3"/>
  <c r="W87" i="3"/>
  <c r="F30" i="2"/>
  <c r="T8" i="3" l="1"/>
  <c r="T89" i="3" s="1"/>
  <c r="T6" i="3" s="1"/>
  <c r="G30" i="2"/>
  <c r="H30" i="2"/>
  <c r="S89" i="3" l="1"/>
  <c r="X8" i="3"/>
  <c r="X89" i="3" s="1"/>
  <c r="AB8" i="3" s="1"/>
  <c r="AB89" i="3" s="1"/>
  <c r="J30" i="2"/>
  <c r="AA89" i="3" l="1"/>
  <c r="W89" i="3"/>
  <c r="K30" i="2"/>
  <c r="AM10" i="1" l="1"/>
  <c r="AF21" i="1"/>
  <c r="AF10" i="1"/>
  <c r="AF7" i="1"/>
  <c r="C29" i="1"/>
  <c r="AD88" i="1"/>
  <c r="AD86" i="1"/>
  <c r="AI6" i="1"/>
  <c r="AM6" i="1" s="1"/>
  <c r="AQ6" i="1" s="1"/>
  <c r="AU6" i="1" s="1"/>
  <c r="AY6" i="1" s="1"/>
  <c r="BC6" i="1" s="1"/>
  <c r="AE80" i="1"/>
  <c r="AD84" i="1"/>
  <c r="AD80" i="1"/>
  <c r="AE79" i="1"/>
  <c r="AD79" i="1"/>
  <c r="AE78" i="1"/>
  <c r="AD78" i="1"/>
  <c r="AE77" i="1"/>
  <c r="AD77" i="1"/>
  <c r="AE76" i="1"/>
  <c r="AD76" i="1"/>
  <c r="AE75" i="1"/>
  <c r="AD75" i="1"/>
  <c r="AE74" i="1"/>
  <c r="AD74" i="1"/>
  <c r="AE73" i="1"/>
  <c r="AD73" i="1"/>
  <c r="AE72" i="1"/>
  <c r="AD72" i="1"/>
  <c r="AE71" i="1"/>
  <c r="AD71" i="1"/>
  <c r="AE70" i="1"/>
  <c r="AD70" i="1"/>
  <c r="AE69" i="1"/>
  <c r="AD69" i="1"/>
  <c r="AE68" i="1"/>
  <c r="AD68" i="1"/>
  <c r="AD67" i="1"/>
  <c r="AE64" i="1"/>
  <c r="AD64" i="1"/>
  <c r="AE63" i="1"/>
  <c r="AD63" i="1"/>
  <c r="AE62" i="1"/>
  <c r="AD62" i="1"/>
  <c r="AE61" i="1"/>
  <c r="AD61" i="1"/>
  <c r="AE60" i="1"/>
  <c r="AD60" i="1"/>
  <c r="AE59" i="1"/>
  <c r="AD59" i="1"/>
  <c r="AE58" i="1"/>
  <c r="AD58" i="1"/>
  <c r="AD57" i="1"/>
  <c r="AD54" i="1"/>
  <c r="AE51" i="1"/>
  <c r="AD51" i="1"/>
  <c r="AE50" i="1"/>
  <c r="AD50" i="1"/>
  <c r="AE49" i="1"/>
  <c r="AD49" i="1"/>
  <c r="AE48" i="1"/>
  <c r="AD48" i="1"/>
  <c r="AE47" i="1"/>
  <c r="AD47" i="1"/>
  <c r="AE46" i="1"/>
  <c r="AD46" i="1"/>
  <c r="AE45" i="1"/>
  <c r="AD45" i="1"/>
  <c r="AE44" i="1"/>
  <c r="AD44" i="1"/>
  <c r="AE43" i="1"/>
  <c r="AD43" i="1"/>
  <c r="AD42" i="1"/>
  <c r="AD41" i="1"/>
  <c r="AE38" i="1"/>
  <c r="AD38" i="1"/>
  <c r="AE37" i="1"/>
  <c r="AD37" i="1"/>
  <c r="AE36" i="1"/>
  <c r="AD36" i="1"/>
  <c r="AE35" i="1"/>
  <c r="AD35" i="1"/>
  <c r="AE34" i="1"/>
  <c r="AD34" i="1"/>
  <c r="AE33" i="1"/>
  <c r="AD33" i="1"/>
  <c r="AE32" i="1"/>
  <c r="AD32" i="1"/>
  <c r="AD31" i="1"/>
  <c r="AE27" i="1"/>
  <c r="AD27" i="1"/>
  <c r="AE26" i="1"/>
  <c r="AD26" i="1"/>
  <c r="AE25" i="1"/>
  <c r="AD25" i="1"/>
  <c r="AE24" i="1"/>
  <c r="AD24" i="1"/>
  <c r="AE23" i="1"/>
  <c r="AD23" i="1"/>
  <c r="AE22" i="1"/>
  <c r="AD22" i="1"/>
  <c r="AE21" i="1"/>
  <c r="AD21" i="1"/>
  <c r="AD20" i="1"/>
  <c r="AI21" i="1" l="1"/>
  <c r="AM21" i="1" s="1"/>
  <c r="AP10" i="1"/>
  <c r="AL21" i="1" l="1"/>
  <c r="AQ21" i="1"/>
  <c r="AP21" i="1" s="1"/>
  <c r="AH21" i="1"/>
  <c r="AF103" i="1"/>
  <c r="AF102" i="1"/>
  <c r="AF101" i="1"/>
  <c r="AF100" i="1"/>
  <c r="AF99" i="1"/>
  <c r="AA104" i="1"/>
  <c r="Y104" i="1"/>
  <c r="W104" i="1"/>
  <c r="U104" i="1"/>
  <c r="S104" i="1"/>
  <c r="Q104" i="1"/>
  <c r="O104" i="1"/>
  <c r="M104" i="1"/>
  <c r="K104" i="1"/>
  <c r="I104" i="1"/>
  <c r="G104" i="1"/>
  <c r="E104" i="1"/>
  <c r="C104" i="1"/>
  <c r="AU21" i="1" l="1"/>
  <c r="AT21" i="1" s="1"/>
  <c r="AF104" i="1"/>
  <c r="AF93" i="1"/>
  <c r="AF92" i="1"/>
  <c r="AF77" i="1"/>
  <c r="AI77" i="1" s="1"/>
  <c r="AF78" i="1"/>
  <c r="AI78" i="1" s="1"/>
  <c r="AF79" i="1"/>
  <c r="AF80" i="1"/>
  <c r="AF64" i="1"/>
  <c r="AF76" i="1"/>
  <c r="AI76" i="1" s="1"/>
  <c r="AF75" i="1"/>
  <c r="AI75" i="1" s="1"/>
  <c r="AF74" i="1"/>
  <c r="AI74" i="1" s="1"/>
  <c r="AF73" i="1"/>
  <c r="AI73" i="1" s="1"/>
  <c r="AF72" i="1"/>
  <c r="AI72" i="1" s="1"/>
  <c r="AF71" i="1"/>
  <c r="AI71" i="1" s="1"/>
  <c r="AF70" i="1"/>
  <c r="AI70" i="1" s="1"/>
  <c r="AF69" i="1"/>
  <c r="AI69" i="1" s="1"/>
  <c r="AF68" i="1"/>
  <c r="AF63" i="1"/>
  <c r="AI63" i="1" s="1"/>
  <c r="AF62" i="1"/>
  <c r="AF61" i="1"/>
  <c r="AF60" i="1"/>
  <c r="AF59" i="1"/>
  <c r="AF58" i="1"/>
  <c r="AF51" i="1"/>
  <c r="AF38" i="1"/>
  <c r="AF37" i="1"/>
  <c r="AF36" i="1"/>
  <c r="AF35" i="1"/>
  <c r="AF34" i="1"/>
  <c r="AF33" i="1"/>
  <c r="AF32" i="1"/>
  <c r="AF27" i="1"/>
  <c r="AF26" i="1"/>
  <c r="AF25" i="1"/>
  <c r="AF24" i="1"/>
  <c r="AF23" i="1"/>
  <c r="AF22" i="1"/>
  <c r="AA49" i="1"/>
  <c r="AA48" i="1"/>
  <c r="AA46" i="1"/>
  <c r="AA45" i="1"/>
  <c r="Y81" i="1"/>
  <c r="Y50" i="1"/>
  <c r="Y49" i="1"/>
  <c r="Y45" i="1"/>
  <c r="W49" i="1"/>
  <c r="W46" i="1"/>
  <c r="W45" i="1"/>
  <c r="U44" i="1"/>
  <c r="U43" i="1"/>
  <c r="U49" i="1"/>
  <c r="U46" i="1"/>
  <c r="U45" i="1"/>
  <c r="S49" i="1"/>
  <c r="S48" i="1"/>
  <c r="S46" i="1"/>
  <c r="S45" i="1"/>
  <c r="Q48" i="1"/>
  <c r="Q47" i="1"/>
  <c r="Q46" i="1"/>
  <c r="Q45" i="1"/>
  <c r="O49" i="1"/>
  <c r="O46" i="1"/>
  <c r="O45" i="1"/>
  <c r="M49" i="1"/>
  <c r="M48" i="1"/>
  <c r="M47" i="1"/>
  <c r="K48" i="1"/>
  <c r="K47" i="1"/>
  <c r="K46" i="1"/>
  <c r="K45" i="1"/>
  <c r="I49" i="1"/>
  <c r="I48" i="1"/>
  <c r="I46" i="1"/>
  <c r="G49" i="1"/>
  <c r="G48" i="1"/>
  <c r="G46" i="1"/>
  <c r="E94" i="1"/>
  <c r="E49" i="1"/>
  <c r="E48" i="1"/>
  <c r="E46" i="1"/>
  <c r="E45" i="1"/>
  <c r="AA94" i="1"/>
  <c r="AA81" i="1"/>
  <c r="AA65" i="1"/>
  <c r="AA40" i="1"/>
  <c r="AA29" i="1"/>
  <c r="Y94" i="1"/>
  <c r="Y65" i="1"/>
  <c r="Y40" i="1"/>
  <c r="Y29" i="1"/>
  <c r="W94" i="1"/>
  <c r="W81" i="1"/>
  <c r="W65" i="1"/>
  <c r="W40" i="1"/>
  <c r="W29" i="1"/>
  <c r="U94" i="1"/>
  <c r="U81" i="1"/>
  <c r="U65" i="1"/>
  <c r="U40" i="1"/>
  <c r="U29" i="1"/>
  <c r="S94" i="1"/>
  <c r="S81" i="1"/>
  <c r="S65" i="1"/>
  <c r="S40" i="1"/>
  <c r="S29" i="1"/>
  <c r="Q94" i="1"/>
  <c r="Q81" i="1"/>
  <c r="Q65" i="1"/>
  <c r="Q40" i="1"/>
  <c r="Q29" i="1"/>
  <c r="O94" i="1"/>
  <c r="O81" i="1"/>
  <c r="O65" i="1"/>
  <c r="O40" i="1"/>
  <c r="O29" i="1"/>
  <c r="M94" i="1"/>
  <c r="M81" i="1"/>
  <c r="M65" i="1"/>
  <c r="M40" i="1"/>
  <c r="M29" i="1"/>
  <c r="K94" i="1"/>
  <c r="K81" i="1"/>
  <c r="K65" i="1"/>
  <c r="K40" i="1"/>
  <c r="K29" i="1"/>
  <c r="I94" i="1"/>
  <c r="I81" i="1"/>
  <c r="I65" i="1"/>
  <c r="I40" i="1"/>
  <c r="I29" i="1"/>
  <c r="G94" i="1"/>
  <c r="G81" i="1"/>
  <c r="G65" i="1"/>
  <c r="G40" i="1"/>
  <c r="G29" i="1"/>
  <c r="C94" i="1"/>
  <c r="B93" i="1"/>
  <c r="B92" i="1"/>
  <c r="C45" i="1"/>
  <c r="C46" i="1"/>
  <c r="C49" i="1"/>
  <c r="C48" i="1"/>
  <c r="AF48" i="1" s="1"/>
  <c r="C47" i="1"/>
  <c r="C81" i="1"/>
  <c r="C65" i="1"/>
  <c r="E29" i="1"/>
  <c r="E40" i="1"/>
  <c r="C40" i="1"/>
  <c r="G12" i="1"/>
  <c r="AI24" i="1" l="1"/>
  <c r="AI36" i="1"/>
  <c r="AM36" i="1" s="1"/>
  <c r="AI62" i="1"/>
  <c r="AM62" i="1" s="1"/>
  <c r="AH74" i="1"/>
  <c r="AM74" i="1"/>
  <c r="AQ74" i="1" s="1"/>
  <c r="AI25" i="1"/>
  <c r="AH25" i="1" s="1"/>
  <c r="AI33" i="1"/>
  <c r="AH33" i="1"/>
  <c r="AI37" i="1"/>
  <c r="AH37" i="1" s="1"/>
  <c r="AI59" i="1"/>
  <c r="AH59" i="1" s="1"/>
  <c r="AH63" i="1"/>
  <c r="AM63" i="1"/>
  <c r="AH71" i="1"/>
  <c r="AM71" i="1"/>
  <c r="AQ71" i="1" s="1"/>
  <c r="AH75" i="1"/>
  <c r="AM75" i="1"/>
  <c r="AI79" i="1"/>
  <c r="AI32" i="1"/>
  <c r="AI58" i="1"/>
  <c r="AH58" i="1" s="1"/>
  <c r="AH70" i="1"/>
  <c r="AM70" i="1"/>
  <c r="AQ70" i="1" s="1"/>
  <c r="D81" i="39"/>
  <c r="D81" i="40"/>
  <c r="D75" i="33"/>
  <c r="D94" i="32"/>
  <c r="D86" i="34"/>
  <c r="D81" i="25"/>
  <c r="D81" i="24"/>
  <c r="D88" i="23"/>
  <c r="D81" i="19"/>
  <c r="D81" i="18"/>
  <c r="D81" i="15"/>
  <c r="D81" i="17"/>
  <c r="D81" i="21"/>
  <c r="D77" i="20"/>
  <c r="D81" i="9"/>
  <c r="D81" i="12"/>
  <c r="D82" i="10"/>
  <c r="D81" i="11"/>
  <c r="D81" i="14"/>
  <c r="D81" i="7"/>
  <c r="D81" i="4"/>
  <c r="AH80" i="1"/>
  <c r="D80" i="6"/>
  <c r="AI80" i="1"/>
  <c r="AI22" i="1"/>
  <c r="AH22" i="1" s="1"/>
  <c r="AI26" i="1"/>
  <c r="AH26" i="1"/>
  <c r="AI34" i="1"/>
  <c r="AH34" i="1"/>
  <c r="AI38" i="1"/>
  <c r="AH38" i="1" s="1"/>
  <c r="AI60" i="1"/>
  <c r="AH60" i="1" s="1"/>
  <c r="AI68" i="1"/>
  <c r="AI81" i="1" s="1"/>
  <c r="AH72" i="1"/>
  <c r="AM72" i="1"/>
  <c r="AH76" i="1"/>
  <c r="AM76" i="1"/>
  <c r="AQ76" i="1" s="1"/>
  <c r="AH78" i="1"/>
  <c r="AM78" i="1"/>
  <c r="AQ78" i="1" s="1"/>
  <c r="AI23" i="1"/>
  <c r="AI27" i="1"/>
  <c r="AH27" i="1" s="1"/>
  <c r="AI35" i="1"/>
  <c r="AI51" i="1"/>
  <c r="AH51" i="1" s="1"/>
  <c r="AI61" i="1"/>
  <c r="AH61" i="1" s="1"/>
  <c r="AH69" i="1"/>
  <c r="AM69" i="1"/>
  <c r="AQ69" i="1" s="1"/>
  <c r="AH73" i="1"/>
  <c r="AM73" i="1"/>
  <c r="AQ73" i="1" s="1"/>
  <c r="AH64" i="1"/>
  <c r="AI64" i="1"/>
  <c r="AH77" i="1"/>
  <c r="AM77" i="1"/>
  <c r="AQ77" i="1" s="1"/>
  <c r="AY21" i="1"/>
  <c r="I52" i="1"/>
  <c r="I54" i="1" s="1"/>
  <c r="I84" i="1" s="1"/>
  <c r="AF49" i="1"/>
  <c r="Y52" i="1"/>
  <c r="AA52" i="1"/>
  <c r="AA54" i="1" s="1"/>
  <c r="AA84" i="1" s="1"/>
  <c r="AF47" i="1"/>
  <c r="AF45" i="1"/>
  <c r="AF46" i="1"/>
  <c r="M52" i="1"/>
  <c r="M54" i="1" s="1"/>
  <c r="M84" i="1" s="1"/>
  <c r="AF50" i="1"/>
  <c r="E52" i="1"/>
  <c r="E54" i="1" s="1"/>
  <c r="G52" i="1"/>
  <c r="O52" i="1"/>
  <c r="O54" i="1" s="1"/>
  <c r="O84" i="1" s="1"/>
  <c r="W52" i="1"/>
  <c r="W54" i="1" s="1"/>
  <c r="W84" i="1" s="1"/>
  <c r="AF65" i="1"/>
  <c r="AF29" i="1"/>
  <c r="AF43" i="1"/>
  <c r="U52" i="1"/>
  <c r="U54" i="1" s="1"/>
  <c r="U84" i="1" s="1"/>
  <c r="Y54" i="1"/>
  <c r="Y84" i="1" s="1"/>
  <c r="AF44" i="1"/>
  <c r="AF81" i="1"/>
  <c r="AF94" i="1"/>
  <c r="K52" i="1"/>
  <c r="K54" i="1" s="1"/>
  <c r="K84" i="1" s="1"/>
  <c r="AF40" i="1"/>
  <c r="S52" i="1"/>
  <c r="S54" i="1" s="1"/>
  <c r="S84" i="1" s="1"/>
  <c r="Q52" i="1"/>
  <c r="Q54" i="1" s="1"/>
  <c r="Q84" i="1" s="1"/>
  <c r="G54" i="1"/>
  <c r="G84" i="1" s="1"/>
  <c r="C52" i="1"/>
  <c r="C54" i="1" s="1"/>
  <c r="AM11" i="1"/>
  <c r="E9" i="1"/>
  <c r="AI10" i="1" s="1"/>
  <c r="E65" i="1"/>
  <c r="E81" i="1"/>
  <c r="AI65" i="1" l="1"/>
  <c r="AH65" i="1" s="1"/>
  <c r="AL77" i="1"/>
  <c r="AL71" i="1"/>
  <c r="AL70" i="1"/>
  <c r="AL69" i="1"/>
  <c r="AL76" i="1"/>
  <c r="AM23" i="1"/>
  <c r="G81" i="11"/>
  <c r="D82" i="11"/>
  <c r="H81" i="11"/>
  <c r="AP74" i="1"/>
  <c r="AU74" i="1"/>
  <c r="AI50" i="1"/>
  <c r="AI47" i="1"/>
  <c r="AM47" i="1" s="1"/>
  <c r="AP77" i="1"/>
  <c r="AU77" i="1"/>
  <c r="AL73" i="1"/>
  <c r="AP69" i="1"/>
  <c r="AU69" i="1"/>
  <c r="AL78" i="1"/>
  <c r="AP76" i="1"/>
  <c r="AU76" i="1"/>
  <c r="AM34" i="1"/>
  <c r="G81" i="4"/>
  <c r="H81" i="4"/>
  <c r="D82" i="4"/>
  <c r="G82" i="10"/>
  <c r="H82" i="10"/>
  <c r="D83" i="10"/>
  <c r="G81" i="21"/>
  <c r="D82" i="21"/>
  <c r="H81" i="21"/>
  <c r="G81" i="19"/>
  <c r="H81" i="19"/>
  <c r="D82" i="19"/>
  <c r="G86" i="34"/>
  <c r="H86" i="34"/>
  <c r="D87" i="34"/>
  <c r="D82" i="39"/>
  <c r="G81" i="39"/>
  <c r="H81" i="39"/>
  <c r="AM79" i="1"/>
  <c r="AQ79" i="1" s="1"/>
  <c r="AL63" i="1"/>
  <c r="AQ63" i="1"/>
  <c r="AP63" i="1" s="1"/>
  <c r="AH36" i="1"/>
  <c r="E84" i="1"/>
  <c r="AQ72" i="1"/>
  <c r="G77" i="20"/>
  <c r="H77" i="20"/>
  <c r="D78" i="20"/>
  <c r="D82" i="25"/>
  <c r="G81" i="25"/>
  <c r="H81" i="25"/>
  <c r="AQ75" i="1"/>
  <c r="AL36" i="1"/>
  <c r="AQ36" i="1"/>
  <c r="AU36" i="1" s="1"/>
  <c r="AH10" i="1"/>
  <c r="AL10" i="1"/>
  <c r="AP73" i="1"/>
  <c r="AU73" i="1"/>
  <c r="AT73" i="1" s="1"/>
  <c r="AM51" i="1"/>
  <c r="AL51" i="1"/>
  <c r="AM27" i="1"/>
  <c r="AQ27" i="1" s="1"/>
  <c r="AL27" i="1"/>
  <c r="AP78" i="1"/>
  <c r="AU78" i="1"/>
  <c r="AM68" i="1"/>
  <c r="AL68" i="1" s="1"/>
  <c r="AL80" i="1"/>
  <c r="AM80" i="1"/>
  <c r="G81" i="7"/>
  <c r="D82" i="7"/>
  <c r="G81" i="12"/>
  <c r="H81" i="12"/>
  <c r="D82" i="12"/>
  <c r="G81" i="17"/>
  <c r="H81" i="17"/>
  <c r="D82" i="17"/>
  <c r="G88" i="23"/>
  <c r="D89" i="23"/>
  <c r="G94" i="32"/>
  <c r="H94" i="32"/>
  <c r="D95" i="32"/>
  <c r="F45" i="42" s="1"/>
  <c r="F50" i="42" s="1"/>
  <c r="F57" i="42" s="1"/>
  <c r="F60" i="42" s="1"/>
  <c r="F61" i="42" s="1"/>
  <c r="G59" i="42" s="1"/>
  <c r="M59" i="42" s="1"/>
  <c r="N59" i="42" s="1"/>
  <c r="AM58" i="1"/>
  <c r="AL58" i="1" s="1"/>
  <c r="AH79" i="1"/>
  <c r="AM37" i="1"/>
  <c r="AM25" i="1"/>
  <c r="AL62" i="1"/>
  <c r="AQ62" i="1"/>
  <c r="AP62" i="1" s="1"/>
  <c r="AL24" i="1"/>
  <c r="AM24" i="1"/>
  <c r="AM35" i="1"/>
  <c r="AL35" i="1"/>
  <c r="AM60" i="1"/>
  <c r="AQ60" i="1" s="1"/>
  <c r="AM22" i="1"/>
  <c r="AL22" i="1"/>
  <c r="G81" i="18"/>
  <c r="H81" i="18"/>
  <c r="D82" i="18"/>
  <c r="G81" i="40"/>
  <c r="D82" i="40"/>
  <c r="H81" i="40"/>
  <c r="AM32" i="1"/>
  <c r="AL32" i="1"/>
  <c r="AM33" i="1"/>
  <c r="AL33" i="1"/>
  <c r="AI29" i="1"/>
  <c r="AH29" i="1" s="1"/>
  <c r="AI40" i="1"/>
  <c r="AH40" i="1" s="1"/>
  <c r="AX21" i="1"/>
  <c r="BC21" i="1"/>
  <c r="BB21" i="1" s="1"/>
  <c r="AL64" i="1"/>
  <c r="AM64" i="1"/>
  <c r="AM61" i="1"/>
  <c r="AQ61" i="1" s="1"/>
  <c r="AH35" i="1"/>
  <c r="AH23" i="1"/>
  <c r="AL72" i="1"/>
  <c r="AH68" i="1"/>
  <c r="AL38" i="1"/>
  <c r="AM38" i="1"/>
  <c r="AM26" i="1"/>
  <c r="AL26" i="1"/>
  <c r="G80" i="6"/>
  <c r="D81" i="6"/>
  <c r="D82" i="14"/>
  <c r="G81" i="14"/>
  <c r="H81" i="14"/>
  <c r="D82" i="9"/>
  <c r="G81" i="9"/>
  <c r="H81" i="9"/>
  <c r="D82" i="15"/>
  <c r="H81" i="15"/>
  <c r="G81" i="15"/>
  <c r="G81" i="24"/>
  <c r="D82" i="24"/>
  <c r="H81" i="24"/>
  <c r="D76" i="33"/>
  <c r="G75" i="33"/>
  <c r="AP70" i="1"/>
  <c r="AU70" i="1"/>
  <c r="AH32" i="1"/>
  <c r="AL75" i="1"/>
  <c r="AP71" i="1"/>
  <c r="AU71" i="1"/>
  <c r="AM59" i="1"/>
  <c r="AL74" i="1"/>
  <c r="AH62" i="1"/>
  <c r="AH24" i="1"/>
  <c r="AM13" i="1"/>
  <c r="AP13" i="1" s="1"/>
  <c r="AP11" i="1"/>
  <c r="AI43" i="1"/>
  <c r="AI49" i="1"/>
  <c r="AH81" i="1"/>
  <c r="M96" i="1"/>
  <c r="M107" i="1" s="1"/>
  <c r="Y96" i="1"/>
  <c r="Y107" i="1" s="1"/>
  <c r="K96" i="1"/>
  <c r="K107" i="1" s="1"/>
  <c r="I96" i="1"/>
  <c r="I107" i="1" s="1"/>
  <c r="O96" i="1"/>
  <c r="O107" i="1" s="1"/>
  <c r="Q96" i="1"/>
  <c r="Q107" i="1" s="1"/>
  <c r="AA96" i="1"/>
  <c r="AA107" i="1" s="1"/>
  <c r="W96" i="1"/>
  <c r="W107" i="1" s="1"/>
  <c r="S96" i="1"/>
  <c r="S107" i="1" s="1"/>
  <c r="U96" i="1"/>
  <c r="U107" i="1" s="1"/>
  <c r="G96" i="1"/>
  <c r="G107" i="1" s="1"/>
  <c r="AF52" i="1"/>
  <c r="AF54" i="1" s="1"/>
  <c r="AF84" i="1" s="1"/>
  <c r="AI11" i="1"/>
  <c r="AL11" i="1" s="1"/>
  <c r="E96" i="1"/>
  <c r="E107" i="1" s="1"/>
  <c r="E10" i="1"/>
  <c r="C9" i="1" s="1"/>
  <c r="AL61" i="1" l="1"/>
  <c r="AQ59" i="1"/>
  <c r="AU59" i="1" s="1"/>
  <c r="G82" i="14"/>
  <c r="D101" i="14"/>
  <c r="D103" i="14" s="1"/>
  <c r="D104" i="14" s="1"/>
  <c r="D91" i="14"/>
  <c r="AQ25" i="1"/>
  <c r="AP25" i="1"/>
  <c r="AT36" i="1"/>
  <c r="AY36" i="1"/>
  <c r="AU72" i="1"/>
  <c r="AT72" i="1" s="1"/>
  <c r="D90" i="34"/>
  <c r="D100" i="34"/>
  <c r="D102" i="34" s="1"/>
  <c r="AT69" i="1"/>
  <c r="AY69" i="1"/>
  <c r="AM50" i="1"/>
  <c r="AL50" i="1"/>
  <c r="L81" i="24"/>
  <c r="H82" i="24"/>
  <c r="K81" i="24"/>
  <c r="AP61" i="1"/>
  <c r="AU61" i="1"/>
  <c r="AQ32" i="1"/>
  <c r="AP32" i="1" s="1"/>
  <c r="AM40" i="1"/>
  <c r="D88" i="18"/>
  <c r="D98" i="18"/>
  <c r="D100" i="18" s="1"/>
  <c r="AQ22" i="1"/>
  <c r="AP22" i="1"/>
  <c r="AM29" i="1"/>
  <c r="AQ35" i="1"/>
  <c r="AU35" i="1" s="1"/>
  <c r="AP35" i="1"/>
  <c r="AU62" i="1"/>
  <c r="AQ37" i="1"/>
  <c r="AP37" i="1" s="1"/>
  <c r="AQ58" i="1"/>
  <c r="AM65" i="1"/>
  <c r="D108" i="23"/>
  <c r="D13" i="23"/>
  <c r="I89" i="23"/>
  <c r="G89" i="23"/>
  <c r="H82" i="7"/>
  <c r="G82" i="7" s="1"/>
  <c r="K81" i="7"/>
  <c r="AQ51" i="1"/>
  <c r="AU51" i="1" s="1"/>
  <c r="AP51" i="1"/>
  <c r="AP36" i="1"/>
  <c r="H82" i="25"/>
  <c r="H102" i="25" s="1"/>
  <c r="K81" i="25"/>
  <c r="L81" i="25"/>
  <c r="H78" i="20"/>
  <c r="K77" i="20"/>
  <c r="L77" i="20"/>
  <c r="AU63" i="1"/>
  <c r="AT63" i="1" s="1"/>
  <c r="H82" i="39"/>
  <c r="K81" i="39"/>
  <c r="L81" i="39"/>
  <c r="L86" i="34"/>
  <c r="K86" i="34"/>
  <c r="H87" i="34"/>
  <c r="D88" i="10"/>
  <c r="D98" i="10"/>
  <c r="D100" i="10" s="1"/>
  <c r="L81" i="4"/>
  <c r="K81" i="4"/>
  <c r="H82" i="4"/>
  <c r="AT76" i="1"/>
  <c r="AY76" i="1"/>
  <c r="AL47" i="1"/>
  <c r="AQ47" i="1"/>
  <c r="AT74" i="1"/>
  <c r="AY74" i="1"/>
  <c r="AI44" i="1"/>
  <c r="AI45" i="1"/>
  <c r="AL40" i="1"/>
  <c r="AP80" i="1"/>
  <c r="AQ80" i="1"/>
  <c r="AU75" i="1"/>
  <c r="AT75" i="1" s="1"/>
  <c r="G78" i="20"/>
  <c r="D81" i="20"/>
  <c r="D91" i="20"/>
  <c r="D93" i="20" s="1"/>
  <c r="K81" i="19"/>
  <c r="L81" i="19"/>
  <c r="H82" i="19"/>
  <c r="P184" i="31" s="1"/>
  <c r="D95" i="4"/>
  <c r="D97" i="4" s="1"/>
  <c r="G82" i="4"/>
  <c r="D85" i="4"/>
  <c r="D95" i="11"/>
  <c r="D97" i="11" s="1"/>
  <c r="D98" i="11" s="1"/>
  <c r="D85" i="11"/>
  <c r="AT71" i="1"/>
  <c r="AY71" i="1"/>
  <c r="AT70" i="1"/>
  <c r="AY70" i="1"/>
  <c r="BC70" i="1" s="1"/>
  <c r="BB70" i="1" s="1"/>
  <c r="D85" i="9"/>
  <c r="D95" i="9"/>
  <c r="D97" i="9" s="1"/>
  <c r="D94" i="6"/>
  <c r="D96" i="6" s="1"/>
  <c r="D84" i="6"/>
  <c r="F46" i="27"/>
  <c r="AQ26" i="1"/>
  <c r="AP26" i="1"/>
  <c r="AI46" i="1"/>
  <c r="AH46" i="1" s="1"/>
  <c r="AM15" i="1"/>
  <c r="AP15" i="1" s="1"/>
  <c r="D95" i="24"/>
  <c r="D97" i="24" s="1"/>
  <c r="D85" i="24"/>
  <c r="G82" i="15"/>
  <c r="D95" i="15"/>
  <c r="D97" i="15" s="1"/>
  <c r="D85" i="15"/>
  <c r="L81" i="14"/>
  <c r="H82" i="14"/>
  <c r="K81" i="14"/>
  <c r="K80" i="6"/>
  <c r="AQ38" i="1"/>
  <c r="AP38" i="1"/>
  <c r="AQ64" i="1"/>
  <c r="AP64" i="1"/>
  <c r="K81" i="40"/>
  <c r="H82" i="40"/>
  <c r="L81" i="40"/>
  <c r="L81" i="18"/>
  <c r="K81" i="18"/>
  <c r="H82" i="18"/>
  <c r="AL60" i="1"/>
  <c r="AQ24" i="1"/>
  <c r="AP24" i="1" s="1"/>
  <c r="AL37" i="1"/>
  <c r="D103" i="32"/>
  <c r="D113" i="32"/>
  <c r="D115" i="32" s="1"/>
  <c r="D102" i="12"/>
  <c r="D104" i="12" s="1"/>
  <c r="D92" i="12"/>
  <c r="G82" i="12"/>
  <c r="D95" i="7"/>
  <c r="D97" i="7" s="1"/>
  <c r="D85" i="7"/>
  <c r="H82" i="21"/>
  <c r="L81" i="21"/>
  <c r="K81" i="21"/>
  <c r="H83" i="10"/>
  <c r="L82" i="10"/>
  <c r="K82" i="10"/>
  <c r="AH47" i="1"/>
  <c r="AQ23" i="1"/>
  <c r="I76" i="33"/>
  <c r="D95" i="33"/>
  <c r="D97" i="33" s="1"/>
  <c r="D85" i="33"/>
  <c r="G76" i="33"/>
  <c r="H82" i="17"/>
  <c r="G82" i="17" s="1"/>
  <c r="K81" i="17"/>
  <c r="L81" i="17"/>
  <c r="AT78" i="1"/>
  <c r="AY78" i="1"/>
  <c r="BC78" i="1" s="1"/>
  <c r="BB78" i="1" s="1"/>
  <c r="AP79" i="1"/>
  <c r="AU79" i="1"/>
  <c r="AQ34" i="1"/>
  <c r="AP34" i="1"/>
  <c r="K81" i="15"/>
  <c r="L81" i="15"/>
  <c r="H82" i="15"/>
  <c r="AI48" i="1"/>
  <c r="AH48" i="1" s="1"/>
  <c r="AL59" i="1"/>
  <c r="H82" i="9"/>
  <c r="G82" i="9" s="1"/>
  <c r="L81" i="9"/>
  <c r="K81" i="9"/>
  <c r="AQ33" i="1"/>
  <c r="AP33" i="1"/>
  <c r="D85" i="40"/>
  <c r="G82" i="40"/>
  <c r="D95" i="40"/>
  <c r="D97" i="40" s="1"/>
  <c r="AP60" i="1"/>
  <c r="AU60" i="1"/>
  <c r="AL25" i="1"/>
  <c r="L94" i="32"/>
  <c r="K94" i="32"/>
  <c r="H95" i="32"/>
  <c r="H103" i="32" s="1"/>
  <c r="D95" i="17"/>
  <c r="D97" i="17" s="1"/>
  <c r="D85" i="17"/>
  <c r="L81" i="12"/>
  <c r="H82" i="12"/>
  <c r="K81" i="12"/>
  <c r="AQ68" i="1"/>
  <c r="AP68" i="1" s="1"/>
  <c r="AM81" i="1"/>
  <c r="AP27" i="1"/>
  <c r="AU27" i="1"/>
  <c r="AT27" i="1" s="1"/>
  <c r="AY73" i="1"/>
  <c r="BC73" i="1" s="1"/>
  <c r="BB73" i="1" s="1"/>
  <c r="AP75" i="1"/>
  <c r="D112" i="25"/>
  <c r="D114" i="25" s="1"/>
  <c r="D102" i="25"/>
  <c r="AP72" i="1"/>
  <c r="AL79" i="1"/>
  <c r="D85" i="39"/>
  <c r="G82" i="39"/>
  <c r="D95" i="39"/>
  <c r="D97" i="39" s="1"/>
  <c r="D85" i="19"/>
  <c r="D87" i="19" s="1"/>
  <c r="D89" i="19" s="1"/>
  <c r="H7" i="19" s="1"/>
  <c r="H15" i="19" s="1"/>
  <c r="D95" i="19"/>
  <c r="D97" i="19" s="1"/>
  <c r="D85" i="21"/>
  <c r="D95" i="21"/>
  <c r="D97" i="21" s="1"/>
  <c r="F47" i="26"/>
  <c r="F47" i="28" s="1"/>
  <c r="U47" i="28" s="1"/>
  <c r="AL34" i="1"/>
  <c r="AT77" i="1"/>
  <c r="AY77" i="1"/>
  <c r="BC77" i="1" s="1"/>
  <c r="BB77" i="1" s="1"/>
  <c r="AH50" i="1"/>
  <c r="H82" i="11"/>
  <c r="K81" i="11"/>
  <c r="L81" i="11"/>
  <c r="AL23" i="1"/>
  <c r="AH49" i="1"/>
  <c r="AH43" i="1"/>
  <c r="C11" i="1"/>
  <c r="C13" i="1" s="1"/>
  <c r="AF9" i="1"/>
  <c r="AF96" i="1"/>
  <c r="AF107" i="1" s="1"/>
  <c r="AI13" i="1"/>
  <c r="AL13" i="1" s="1"/>
  <c r="G46" i="27" l="1"/>
  <c r="G82" i="25"/>
  <c r="K81" i="6"/>
  <c r="M81" i="6"/>
  <c r="G82" i="21"/>
  <c r="G47" i="26"/>
  <c r="G46" i="26" s="1"/>
  <c r="U47" i="26" s="1"/>
  <c r="D98" i="19"/>
  <c r="L83" i="45"/>
  <c r="O74" i="45"/>
  <c r="AX78" i="1"/>
  <c r="G46" i="42"/>
  <c r="M46" i="42" s="1"/>
  <c r="N46" i="42" s="1"/>
  <c r="AX70" i="1"/>
  <c r="AX73" i="1"/>
  <c r="L185" i="31"/>
  <c r="D8" i="22"/>
  <c r="D35" i="22" s="1"/>
  <c r="D98" i="21"/>
  <c r="D87" i="21"/>
  <c r="D87" i="33"/>
  <c r="D98" i="33"/>
  <c r="I85" i="33"/>
  <c r="G85" i="33"/>
  <c r="D94" i="12"/>
  <c r="D96" i="12" s="1"/>
  <c r="H7" i="12" s="1"/>
  <c r="AT64" i="1"/>
  <c r="AU64" i="1"/>
  <c r="I81" i="6"/>
  <c r="H94" i="6"/>
  <c r="AX71" i="1"/>
  <c r="BC71" i="1"/>
  <c r="BB71" i="1" s="1"/>
  <c r="G82" i="19"/>
  <c r="H95" i="19"/>
  <c r="H85" i="19"/>
  <c r="I85" i="19" s="1"/>
  <c r="AU47" i="1"/>
  <c r="AT47" i="1" s="1"/>
  <c r="K82" i="4"/>
  <c r="H95" i="4"/>
  <c r="H97" i="4" s="1"/>
  <c r="H85" i="4"/>
  <c r="K78" i="20"/>
  <c r="H91" i="20"/>
  <c r="H93" i="20" s="1"/>
  <c r="H81" i="20"/>
  <c r="G81" i="20" s="1"/>
  <c r="D15" i="23"/>
  <c r="D109" i="23"/>
  <c r="D110" i="23" s="1"/>
  <c r="D98" i="23"/>
  <c r="G13" i="23"/>
  <c r="D101" i="18"/>
  <c r="D90" i="18"/>
  <c r="O81" i="11"/>
  <c r="P81" i="11"/>
  <c r="L82" i="11"/>
  <c r="K82" i="11" s="1"/>
  <c r="AX77" i="1"/>
  <c r="D87" i="39"/>
  <c r="G85" i="39"/>
  <c r="AL81" i="1"/>
  <c r="K82" i="12"/>
  <c r="H102" i="12"/>
  <c r="H104" i="12" s="1"/>
  <c r="H92" i="12"/>
  <c r="D98" i="17"/>
  <c r="D87" i="7"/>
  <c r="D98" i="7"/>
  <c r="D105" i="12"/>
  <c r="K82" i="18"/>
  <c r="H98" i="18"/>
  <c r="H95" i="40"/>
  <c r="H97" i="40" s="1"/>
  <c r="H85" i="40"/>
  <c r="D87" i="15"/>
  <c r="AU26" i="1"/>
  <c r="AY26" i="1" s="1"/>
  <c r="D87" i="4"/>
  <c r="D98" i="4"/>
  <c r="G85" i="4"/>
  <c r="L82" i="19"/>
  <c r="K82" i="19" s="1"/>
  <c r="O81" i="19"/>
  <c r="P81" i="19"/>
  <c r="AX74" i="1"/>
  <c r="BC74" i="1"/>
  <c r="BB74" i="1" s="1"/>
  <c r="D90" i="10"/>
  <c r="D101" i="10"/>
  <c r="P81" i="39"/>
  <c r="O81" i="39"/>
  <c r="L82" i="39"/>
  <c r="AY63" i="1"/>
  <c r="BC63" i="1" s="1"/>
  <c r="BB63" i="1" s="1"/>
  <c r="P81" i="25"/>
  <c r="L82" i="25"/>
  <c r="K82" i="25" s="1"/>
  <c r="O81" i="25"/>
  <c r="P81" i="7"/>
  <c r="O81" i="7"/>
  <c r="L82" i="7"/>
  <c r="K82" i="7" s="1"/>
  <c r="AU22" i="1"/>
  <c r="AT22" i="1" s="1"/>
  <c r="AQ29" i="1"/>
  <c r="AM45" i="1"/>
  <c r="AL45" i="1" s="1"/>
  <c r="AM49" i="1"/>
  <c r="AM46" i="1"/>
  <c r="AM48" i="1"/>
  <c r="AM44" i="1"/>
  <c r="AL44" i="1" s="1"/>
  <c r="F46" i="26"/>
  <c r="T47" i="26" s="1"/>
  <c r="D104" i="25"/>
  <c r="D87" i="17"/>
  <c r="AU33" i="1"/>
  <c r="AT33" i="1"/>
  <c r="L82" i="17"/>
  <c r="P81" i="17"/>
  <c r="O81" i="17"/>
  <c r="I83" i="10"/>
  <c r="H98" i="10"/>
  <c r="H100" i="10" s="1"/>
  <c r="H88" i="10"/>
  <c r="D116" i="32"/>
  <c r="D105" i="32"/>
  <c r="D107" i="32" s="1"/>
  <c r="O81" i="14"/>
  <c r="L82" i="14"/>
  <c r="P81" i="14"/>
  <c r="AH44" i="1"/>
  <c r="P86" i="34"/>
  <c r="O86" i="34"/>
  <c r="L87" i="34"/>
  <c r="K87" i="34" s="1"/>
  <c r="I82" i="7"/>
  <c r="H95" i="7"/>
  <c r="H97" i="7" s="1"/>
  <c r="H85" i="7"/>
  <c r="G85" i="7" s="1"/>
  <c r="AY62" i="1"/>
  <c r="L82" i="24"/>
  <c r="P81" i="24"/>
  <c r="O81" i="24"/>
  <c r="AI52" i="1"/>
  <c r="AH52" i="1" s="1"/>
  <c r="D115" i="25"/>
  <c r="O81" i="12"/>
  <c r="P81" i="12"/>
  <c r="L82" i="12"/>
  <c r="I95" i="32"/>
  <c r="H113" i="32"/>
  <c r="H115" i="32" s="1"/>
  <c r="G103" i="32"/>
  <c r="AT60" i="1"/>
  <c r="AY60" i="1"/>
  <c r="G85" i="40"/>
  <c r="D98" i="40"/>
  <c r="D87" i="40"/>
  <c r="L82" i="9"/>
  <c r="K82" i="9" s="1"/>
  <c r="P81" i="9"/>
  <c r="O81" i="9"/>
  <c r="K82" i="15"/>
  <c r="H95" i="15"/>
  <c r="H97" i="15" s="1"/>
  <c r="H85" i="15"/>
  <c r="AU34" i="1"/>
  <c r="AT34" i="1"/>
  <c r="H95" i="17"/>
  <c r="H97" i="17" s="1"/>
  <c r="H85" i="17"/>
  <c r="O81" i="21"/>
  <c r="P81" i="21"/>
  <c r="L82" i="21"/>
  <c r="G95" i="32"/>
  <c r="AU38" i="1"/>
  <c r="AY38" i="1" s="1"/>
  <c r="AT38" i="1"/>
  <c r="D98" i="15"/>
  <c r="G81" i="6"/>
  <c r="D87" i="11"/>
  <c r="D89" i="11" s="1"/>
  <c r="H7" i="11" s="1"/>
  <c r="AX76" i="1"/>
  <c r="BC76" i="1"/>
  <c r="BB76" i="1" s="1"/>
  <c r="P81" i="4"/>
  <c r="O81" i="4"/>
  <c r="L82" i="4"/>
  <c r="I87" i="34"/>
  <c r="H100" i="34"/>
  <c r="H102" i="34" s="1"/>
  <c r="H90" i="34"/>
  <c r="G90" i="34" s="1"/>
  <c r="O77" i="20"/>
  <c r="L78" i="20"/>
  <c r="P77" i="20"/>
  <c r="AT51" i="1"/>
  <c r="AY51" i="1"/>
  <c r="BC51" i="1" s="1"/>
  <c r="BB51" i="1" s="1"/>
  <c r="AX51" i="1"/>
  <c r="AL65" i="1"/>
  <c r="AU37" i="1"/>
  <c r="AT35" i="1"/>
  <c r="AY35" i="1"/>
  <c r="G82" i="18"/>
  <c r="AQ50" i="1"/>
  <c r="AP50" i="1"/>
  <c r="AY72" i="1"/>
  <c r="AX72" i="1" s="1"/>
  <c r="AU25" i="1"/>
  <c r="AT25" i="1"/>
  <c r="AP59" i="1"/>
  <c r="O94" i="32"/>
  <c r="L95" i="32"/>
  <c r="K95" i="32" s="1"/>
  <c r="P94" i="32"/>
  <c r="AU23" i="1"/>
  <c r="AT23" i="1"/>
  <c r="L82" i="40"/>
  <c r="K82" i="40" s="1"/>
  <c r="P81" i="40"/>
  <c r="O81" i="40"/>
  <c r="D98" i="24"/>
  <c r="D87" i="24"/>
  <c r="D89" i="24" s="1"/>
  <c r="H7" i="24" s="1"/>
  <c r="D97" i="6"/>
  <c r="D86" i="6"/>
  <c r="D88" i="6" s="1"/>
  <c r="H7" i="6" s="1"/>
  <c r="D83" i="20"/>
  <c r="AU80" i="1"/>
  <c r="AT80" i="1"/>
  <c r="AU58" i="1"/>
  <c r="AT58" i="1" s="1"/>
  <c r="AQ65" i="1"/>
  <c r="AP65" i="1" s="1"/>
  <c r="AT61" i="1"/>
  <c r="AY61" i="1"/>
  <c r="BC61" i="1" s="1"/>
  <c r="BB61" i="1" s="1"/>
  <c r="D103" i="34"/>
  <c r="D92" i="34"/>
  <c r="I82" i="11"/>
  <c r="H95" i="11"/>
  <c r="H97" i="11" s="1"/>
  <c r="H85" i="11"/>
  <c r="D98" i="39"/>
  <c r="AY27" i="1"/>
  <c r="BC27" i="1" s="1"/>
  <c r="BB27" i="1" s="1"/>
  <c r="AU68" i="1"/>
  <c r="AT68" i="1" s="1"/>
  <c r="AQ81" i="1"/>
  <c r="AP81" i="1" s="1"/>
  <c r="I82" i="9"/>
  <c r="H95" i="9"/>
  <c r="H97" i="9" s="1"/>
  <c r="H85" i="9"/>
  <c r="L82" i="15"/>
  <c r="P81" i="15"/>
  <c r="O81" i="15"/>
  <c r="AT79" i="1"/>
  <c r="AY79" i="1"/>
  <c r="AP23" i="1"/>
  <c r="P82" i="10"/>
  <c r="L83" i="10"/>
  <c r="L88" i="10" s="1"/>
  <c r="O82" i="10"/>
  <c r="I82" i="21"/>
  <c r="H85" i="21"/>
  <c r="G85" i="21" s="1"/>
  <c r="H95" i="21"/>
  <c r="H97" i="21" s="1"/>
  <c r="AU24" i="1"/>
  <c r="AT24" i="1"/>
  <c r="P81" i="18"/>
  <c r="O81" i="18"/>
  <c r="L82" i="18"/>
  <c r="P81" i="6"/>
  <c r="O80" i="6"/>
  <c r="K82" i="14"/>
  <c r="H101" i="14"/>
  <c r="H103" i="14" s="1"/>
  <c r="H91" i="14"/>
  <c r="G91" i="14" s="1"/>
  <c r="D87" i="9"/>
  <c r="D98" i="9"/>
  <c r="G82" i="11"/>
  <c r="D94" i="20"/>
  <c r="AY75" i="1"/>
  <c r="BC75" i="1" s="1"/>
  <c r="BB75" i="1" s="1"/>
  <c r="AH45" i="1"/>
  <c r="AP47" i="1"/>
  <c r="G83" i="10"/>
  <c r="H95" i="39"/>
  <c r="H97" i="39" s="1"/>
  <c r="K82" i="39"/>
  <c r="H85" i="39"/>
  <c r="I82" i="25"/>
  <c r="H112" i="25"/>
  <c r="H114" i="25" s="1"/>
  <c r="AP58" i="1"/>
  <c r="AT62" i="1"/>
  <c r="AM43" i="1"/>
  <c r="AP29" i="1"/>
  <c r="AL29" i="1"/>
  <c r="AU32" i="1"/>
  <c r="AQ40" i="1"/>
  <c r="AP40" i="1" s="1"/>
  <c r="AT32" i="1"/>
  <c r="G82" i="24"/>
  <c r="H95" i="24"/>
  <c r="H97" i="24" s="1"/>
  <c r="H85" i="24"/>
  <c r="AX69" i="1"/>
  <c r="BC69" i="1"/>
  <c r="BB69" i="1" s="1"/>
  <c r="G87" i="34"/>
  <c r="AX36" i="1"/>
  <c r="BC36" i="1"/>
  <c r="BB36" i="1" s="1"/>
  <c r="D93" i="14"/>
  <c r="AT59" i="1"/>
  <c r="AY59" i="1"/>
  <c r="BC59" i="1" s="1"/>
  <c r="BB59" i="1" s="1"/>
  <c r="AF11" i="1"/>
  <c r="AH11" i="1" s="1"/>
  <c r="AH9" i="1"/>
  <c r="AI15" i="1"/>
  <c r="AL15" i="1" s="1"/>
  <c r="AH13" i="1"/>
  <c r="BC13" i="1" s="1"/>
  <c r="C84" i="1"/>
  <c r="C86" i="1" s="1"/>
  <c r="C88" i="1" s="1"/>
  <c r="AF13" i="1"/>
  <c r="C15" i="1"/>
  <c r="AI54" i="1" l="1"/>
  <c r="H46" i="42"/>
  <c r="H45" i="42" s="1"/>
  <c r="H47" i="26"/>
  <c r="H46" i="26" s="1"/>
  <c r="V47" i="26" s="1"/>
  <c r="K82" i="21"/>
  <c r="F51" i="26"/>
  <c r="F58" i="26" s="1"/>
  <c r="F61" i="26" s="1"/>
  <c r="M83" i="45"/>
  <c r="K83" i="45"/>
  <c r="O83" i="45"/>
  <c r="Q83" i="45"/>
  <c r="L98" i="45"/>
  <c r="L108" i="45"/>
  <c r="G45" i="42"/>
  <c r="M45" i="42" s="1"/>
  <c r="N45" i="42" s="1"/>
  <c r="G47" i="28"/>
  <c r="AX59" i="1"/>
  <c r="M185" i="31"/>
  <c r="K185" i="31"/>
  <c r="L217" i="31"/>
  <c r="O184" i="31"/>
  <c r="P185" i="31"/>
  <c r="F46" i="28"/>
  <c r="U46" i="28" s="1"/>
  <c r="I102" i="25"/>
  <c r="H104" i="25"/>
  <c r="G104" i="25" s="1"/>
  <c r="H115" i="25"/>
  <c r="S80" i="6"/>
  <c r="O81" i="6"/>
  <c r="S81" i="40"/>
  <c r="T81" i="40"/>
  <c r="P82" i="40"/>
  <c r="BC35" i="1"/>
  <c r="BB35" i="1" s="1"/>
  <c r="H87" i="17"/>
  <c r="G87" i="17" s="1"/>
  <c r="H98" i="17"/>
  <c r="H90" i="10"/>
  <c r="H101" i="10"/>
  <c r="I88" i="10"/>
  <c r="AY33" i="1"/>
  <c r="AX33" i="1"/>
  <c r="T81" i="25"/>
  <c r="P82" i="25"/>
  <c r="S81" i="25"/>
  <c r="M82" i="11"/>
  <c r="L95" i="11"/>
  <c r="L97" i="11" s="1"/>
  <c r="L85" i="11"/>
  <c r="K85" i="11" s="1"/>
  <c r="G85" i="24"/>
  <c r="H98" i="24"/>
  <c r="H87" i="24"/>
  <c r="H89" i="24" s="1"/>
  <c r="AM52" i="1"/>
  <c r="AL43" i="1"/>
  <c r="D89" i="9"/>
  <c r="G87" i="9"/>
  <c r="O82" i="18"/>
  <c r="L98" i="18"/>
  <c r="L100" i="18" s="1"/>
  <c r="L88" i="18"/>
  <c r="AY24" i="1"/>
  <c r="T82" i="10"/>
  <c r="P83" i="10"/>
  <c r="O83" i="10" s="1"/>
  <c r="S82" i="10"/>
  <c r="O82" i="40"/>
  <c r="L95" i="40"/>
  <c r="L97" i="40" s="1"/>
  <c r="L85" i="40"/>
  <c r="M95" i="32"/>
  <c r="L113" i="32"/>
  <c r="L115" i="32" s="1"/>
  <c r="L103" i="32"/>
  <c r="K103" i="32" s="1"/>
  <c r="AY25" i="1"/>
  <c r="BC25" i="1" s="1"/>
  <c r="BB25" i="1" s="1"/>
  <c r="AX25" i="1"/>
  <c r="AU50" i="1"/>
  <c r="AY50" i="1" s="1"/>
  <c r="P78" i="20"/>
  <c r="S77" i="20"/>
  <c r="T77" i="20"/>
  <c r="I90" i="34"/>
  <c r="H103" i="34"/>
  <c r="H92" i="34"/>
  <c r="G92" i="34" s="1"/>
  <c r="O82" i="4"/>
  <c r="L95" i="4"/>
  <c r="L97" i="4" s="1"/>
  <c r="L85" i="4"/>
  <c r="M82" i="21"/>
  <c r="L95" i="21"/>
  <c r="M82" i="9"/>
  <c r="L95" i="9"/>
  <c r="L97" i="9" s="1"/>
  <c r="L85" i="9"/>
  <c r="K85" i="9" s="1"/>
  <c r="AX60" i="1"/>
  <c r="BC60" i="1"/>
  <c r="BB60" i="1" s="1"/>
  <c r="T81" i="24"/>
  <c r="P82" i="24"/>
  <c r="S81" i="24"/>
  <c r="H87" i="7"/>
  <c r="H98" i="7"/>
  <c r="M87" i="34"/>
  <c r="L100" i="34"/>
  <c r="L102" i="34" s="1"/>
  <c r="L90" i="34"/>
  <c r="P82" i="17"/>
  <c r="T81" i="17"/>
  <c r="S81" i="17"/>
  <c r="G85" i="17"/>
  <c r="S81" i="7"/>
  <c r="T81" i="7"/>
  <c r="P82" i="7"/>
  <c r="O82" i="7" s="1"/>
  <c r="AX63" i="1"/>
  <c r="T81" i="39"/>
  <c r="S81" i="39"/>
  <c r="P82" i="39"/>
  <c r="L95" i="19"/>
  <c r="L97" i="19" s="1"/>
  <c r="L85" i="19"/>
  <c r="AT26" i="1"/>
  <c r="H98" i="40"/>
  <c r="H87" i="40"/>
  <c r="P82" i="11"/>
  <c r="S81" i="11"/>
  <c r="T81" i="11"/>
  <c r="H87" i="4"/>
  <c r="H98" i="4"/>
  <c r="K85" i="4"/>
  <c r="AY47" i="1"/>
  <c r="D89" i="21"/>
  <c r="M83" i="10"/>
  <c r="L98" i="10"/>
  <c r="L100" i="10" s="1"/>
  <c r="K88" i="10"/>
  <c r="T94" i="32"/>
  <c r="S94" i="32"/>
  <c r="P95" i="32"/>
  <c r="T81" i="9"/>
  <c r="P82" i="9"/>
  <c r="O82" i="9" s="1"/>
  <c r="S81" i="9"/>
  <c r="BC62" i="1"/>
  <c r="BB62" i="1" s="1"/>
  <c r="AL46" i="1"/>
  <c r="AQ43" i="1"/>
  <c r="AP43" i="1" s="1"/>
  <c r="AT29" i="1"/>
  <c r="D89" i="4"/>
  <c r="G87" i="4"/>
  <c r="D89" i="15"/>
  <c r="G87" i="15"/>
  <c r="I92" i="12"/>
  <c r="H105" i="12"/>
  <c r="H94" i="12"/>
  <c r="H96" i="12" s="1"/>
  <c r="D92" i="18"/>
  <c r="D95" i="14"/>
  <c r="H7" i="14" s="1"/>
  <c r="G93" i="14"/>
  <c r="AY32" i="1"/>
  <c r="AY40" i="1" s="1"/>
  <c r="AU40" i="1"/>
  <c r="H46" i="27"/>
  <c r="L94" i="6"/>
  <c r="P82" i="15"/>
  <c r="S81" i="15"/>
  <c r="T81" i="15"/>
  <c r="AY68" i="1"/>
  <c r="AX68" i="1" s="1"/>
  <c r="AU81" i="1"/>
  <c r="I85" i="11"/>
  <c r="H87" i="11"/>
  <c r="G87" i="11" s="1"/>
  <c r="H98" i="11"/>
  <c r="AX61" i="1"/>
  <c r="AY58" i="1"/>
  <c r="AX58" i="1" s="1"/>
  <c r="D85" i="20"/>
  <c r="AY37" i="1"/>
  <c r="AX37" i="1"/>
  <c r="O78" i="20"/>
  <c r="L91" i="20"/>
  <c r="L93" i="20" s="1"/>
  <c r="L81" i="20"/>
  <c r="K81" i="20" s="1"/>
  <c r="G85" i="11"/>
  <c r="P82" i="21"/>
  <c r="I47" i="26" s="1"/>
  <c r="T81" i="21"/>
  <c r="S81" i="21"/>
  <c r="G87" i="40"/>
  <c r="D89" i="40"/>
  <c r="K82" i="24"/>
  <c r="L95" i="24"/>
  <c r="L97" i="24" s="1"/>
  <c r="L85" i="24"/>
  <c r="S81" i="14"/>
  <c r="T81" i="14"/>
  <c r="P82" i="14"/>
  <c r="H7" i="32"/>
  <c r="K83" i="10"/>
  <c r="K82" i="17"/>
  <c r="L95" i="17"/>
  <c r="L97" i="17" s="1"/>
  <c r="L85" i="17"/>
  <c r="K85" i="17" s="1"/>
  <c r="D89" i="17"/>
  <c r="AL49" i="1"/>
  <c r="AY22" i="1"/>
  <c r="AU29" i="1"/>
  <c r="G88" i="10"/>
  <c r="AX26" i="1"/>
  <c r="BC26" i="1"/>
  <c r="BB26" i="1" s="1"/>
  <c r="D89" i="7"/>
  <c r="G87" i="7"/>
  <c r="D89" i="39"/>
  <c r="H7" i="39" s="1"/>
  <c r="G87" i="39"/>
  <c r="H94" i="20"/>
  <c r="I81" i="20"/>
  <c r="H83" i="20"/>
  <c r="G83" i="20" s="1"/>
  <c r="G92" i="12"/>
  <c r="H98" i="39"/>
  <c r="H87" i="39"/>
  <c r="I85" i="9"/>
  <c r="H98" i="9"/>
  <c r="H87" i="9"/>
  <c r="AY80" i="1"/>
  <c r="AX80" i="1"/>
  <c r="H98" i="15"/>
  <c r="H87" i="15"/>
  <c r="I85" i="15"/>
  <c r="S81" i="12"/>
  <c r="T81" i="12"/>
  <c r="P82" i="12"/>
  <c r="D106" i="25"/>
  <c r="D92" i="10"/>
  <c r="H7" i="10" s="1"/>
  <c r="G90" i="10"/>
  <c r="AU65" i="1"/>
  <c r="AT65" i="1" s="1"/>
  <c r="AY64" i="1"/>
  <c r="AX64" i="1"/>
  <c r="BB13" i="1"/>
  <c r="BC15" i="1"/>
  <c r="BB15" i="1" s="1"/>
  <c r="AQ45" i="1"/>
  <c r="AP45" i="1" s="1"/>
  <c r="AT40" i="1"/>
  <c r="AQ44" i="1"/>
  <c r="AP44" i="1" s="1"/>
  <c r="AQ48" i="1"/>
  <c r="AP48" i="1" s="1"/>
  <c r="AQ49" i="1"/>
  <c r="AP49" i="1" s="1"/>
  <c r="AQ46" i="1"/>
  <c r="AP46" i="1" s="1"/>
  <c r="AX75" i="1"/>
  <c r="G85" i="9"/>
  <c r="I91" i="14"/>
  <c r="H93" i="14"/>
  <c r="H104" i="14"/>
  <c r="S81" i="18"/>
  <c r="T81" i="18"/>
  <c r="P82" i="18"/>
  <c r="E8" i="22"/>
  <c r="E35" i="22" s="1"/>
  <c r="E36" i="22" s="1"/>
  <c r="H87" i="21"/>
  <c r="G87" i="21" s="1"/>
  <c r="H98" i="21"/>
  <c r="AX79" i="1"/>
  <c r="BC79" i="1"/>
  <c r="BB79" i="1" s="1"/>
  <c r="O82" i="15"/>
  <c r="L95" i="15"/>
  <c r="L97" i="15" s="1"/>
  <c r="L85" i="15"/>
  <c r="K85" i="15" s="1"/>
  <c r="AX27" i="1"/>
  <c r="D94" i="34"/>
  <c r="AY23" i="1"/>
  <c r="BC23" i="1" s="1"/>
  <c r="BB23" i="1" s="1"/>
  <c r="AX23" i="1"/>
  <c r="BC72" i="1"/>
  <c r="BB72" i="1" s="1"/>
  <c r="AX35" i="1"/>
  <c r="AT37" i="1"/>
  <c r="S81" i="4"/>
  <c r="T81" i="4"/>
  <c r="P82" i="4"/>
  <c r="AX38" i="1"/>
  <c r="BC38" i="1"/>
  <c r="BB38" i="1" s="1"/>
  <c r="AY34" i="1"/>
  <c r="BC34" i="1" s="1"/>
  <c r="BB34" i="1" s="1"/>
  <c r="AX34" i="1"/>
  <c r="I103" i="32"/>
  <c r="H105" i="32"/>
  <c r="G105" i="32" s="1"/>
  <c r="H116" i="32"/>
  <c r="O82" i="12"/>
  <c r="L102" i="12"/>
  <c r="L104" i="12" s="1"/>
  <c r="L92" i="12"/>
  <c r="K92" i="12" s="1"/>
  <c r="AX62" i="1"/>
  <c r="S86" i="34"/>
  <c r="P87" i="34"/>
  <c r="T86" i="34"/>
  <c r="O82" i="14"/>
  <c r="L101" i="14"/>
  <c r="L103" i="14" s="1"/>
  <c r="L91" i="14"/>
  <c r="G102" i="25"/>
  <c r="AL48" i="1"/>
  <c r="M82" i="7"/>
  <c r="L95" i="7"/>
  <c r="L97" i="7" s="1"/>
  <c r="L85" i="7"/>
  <c r="M82" i="25"/>
  <c r="O82" i="25"/>
  <c r="L112" i="25"/>
  <c r="L114" i="25" s="1"/>
  <c r="L102" i="25"/>
  <c r="K102" i="25" s="1"/>
  <c r="O82" i="39"/>
  <c r="L95" i="39"/>
  <c r="L97" i="39" s="1"/>
  <c r="L85" i="39"/>
  <c r="S81" i="19"/>
  <c r="P82" i="19"/>
  <c r="T81" i="19"/>
  <c r="G85" i="15"/>
  <c r="D100" i="23"/>
  <c r="D102" i="23" s="1"/>
  <c r="H7" i="23" s="1"/>
  <c r="D111" i="23"/>
  <c r="I98" i="23"/>
  <c r="G98" i="23"/>
  <c r="D89" i="33"/>
  <c r="G87" i="33"/>
  <c r="D9" i="22"/>
  <c r="D36" i="22"/>
  <c r="AH54" i="1"/>
  <c r="AI84" i="1"/>
  <c r="AF86" i="1"/>
  <c r="AF88" i="1" s="1"/>
  <c r="AI7" i="1" s="1"/>
  <c r="AF15" i="1"/>
  <c r="AH15" i="1" s="1"/>
  <c r="C96" i="1"/>
  <c r="C107" i="1" s="1"/>
  <c r="M47" i="26" l="1"/>
  <c r="N47" i="26" s="1"/>
  <c r="I46" i="26"/>
  <c r="W47" i="26" s="1"/>
  <c r="I46" i="27"/>
  <c r="O46" i="27" s="1"/>
  <c r="P46" i="27" s="1"/>
  <c r="K87" i="39"/>
  <c r="K87" i="40"/>
  <c r="S185" i="31"/>
  <c r="U185" i="31"/>
  <c r="O46" i="42"/>
  <c r="P46" i="42" s="1"/>
  <c r="M46" i="27"/>
  <c r="N46" i="27" s="1"/>
  <c r="L100" i="45"/>
  <c r="K98" i="45"/>
  <c r="L109" i="45"/>
  <c r="M98" i="45"/>
  <c r="O98" i="45"/>
  <c r="Q98" i="45"/>
  <c r="G50" i="42"/>
  <c r="G57" i="42" s="1"/>
  <c r="G46" i="28"/>
  <c r="V46" i="28" s="1"/>
  <c r="O45" i="42"/>
  <c r="P45" i="42" s="1"/>
  <c r="H50" i="42"/>
  <c r="G51" i="26"/>
  <c r="O82" i="21"/>
  <c r="I46" i="42"/>
  <c r="Q46" i="42" s="1"/>
  <c r="R46" i="42" s="1"/>
  <c r="O185" i="31"/>
  <c r="V47" i="28"/>
  <c r="M47" i="28"/>
  <c r="N47" i="28" s="1"/>
  <c r="H47" i="28"/>
  <c r="F62" i="26"/>
  <c r="G60" i="26" s="1"/>
  <c r="Q185" i="31"/>
  <c r="P217" i="31"/>
  <c r="H89" i="11"/>
  <c r="L7" i="11" s="1"/>
  <c r="H92" i="10"/>
  <c r="L7" i="10" s="1"/>
  <c r="M46" i="26"/>
  <c r="N46" i="26" s="1"/>
  <c r="AY44" i="1"/>
  <c r="AY45" i="1"/>
  <c r="Q87" i="34"/>
  <c r="P100" i="34"/>
  <c r="P102" i="34" s="1"/>
  <c r="P90" i="34"/>
  <c r="O90" i="34" s="1"/>
  <c r="W81" i="18"/>
  <c r="X81" i="18"/>
  <c r="T82" i="18"/>
  <c r="X81" i="12"/>
  <c r="W81" i="12"/>
  <c r="T82" i="12"/>
  <c r="L87" i="17"/>
  <c r="K87" i="17" s="1"/>
  <c r="L98" i="17"/>
  <c r="H7" i="40"/>
  <c r="H89" i="40" s="1"/>
  <c r="G89" i="40"/>
  <c r="X81" i="11"/>
  <c r="W81" i="11"/>
  <c r="T82" i="11"/>
  <c r="S82" i="11" s="1"/>
  <c r="Q82" i="7"/>
  <c r="P95" i="7"/>
  <c r="P97" i="7" s="1"/>
  <c r="P85" i="7"/>
  <c r="O85" i="7" s="1"/>
  <c r="O82" i="24"/>
  <c r="P95" i="24"/>
  <c r="P97" i="24" s="1"/>
  <c r="P85" i="24"/>
  <c r="L87" i="4"/>
  <c r="O87" i="4" s="1"/>
  <c r="L98" i="4"/>
  <c r="O85" i="4"/>
  <c r="M85" i="11"/>
  <c r="L98" i="11"/>
  <c r="L87" i="11"/>
  <c r="H7" i="34"/>
  <c r="G94" i="34"/>
  <c r="BC64" i="1"/>
  <c r="BB64" i="1"/>
  <c r="BB80" i="1"/>
  <c r="BC80" i="1"/>
  <c r="H7" i="7"/>
  <c r="H89" i="7" s="1"/>
  <c r="G89" i="7" s="1"/>
  <c r="AU43" i="1"/>
  <c r="H15" i="32"/>
  <c r="H107" i="32"/>
  <c r="K85" i="24"/>
  <c r="L98" i="24"/>
  <c r="L87" i="24"/>
  <c r="S82" i="15"/>
  <c r="P95" i="15"/>
  <c r="P97" i="15" s="1"/>
  <c r="P85" i="15"/>
  <c r="O85" i="15" s="1"/>
  <c r="G94" i="12"/>
  <c r="H7" i="15"/>
  <c r="H89" i="15" s="1"/>
  <c r="G89" i="15"/>
  <c r="AQ52" i="1"/>
  <c r="AP52" i="1" s="1"/>
  <c r="Q95" i="32"/>
  <c r="P113" i="32"/>
  <c r="P115" i="32" s="1"/>
  <c r="P103" i="32"/>
  <c r="O103" i="32" s="1"/>
  <c r="L101" i="10"/>
  <c r="L90" i="10"/>
  <c r="M88" i="10"/>
  <c r="X81" i="7"/>
  <c r="W81" i="7"/>
  <c r="T82" i="7"/>
  <c r="S82" i="7" s="1"/>
  <c r="W81" i="17"/>
  <c r="X81" i="17"/>
  <c r="T82" i="17"/>
  <c r="X81" i="24"/>
  <c r="W81" i="24"/>
  <c r="T82" i="24"/>
  <c r="S78" i="20"/>
  <c r="P91" i="20"/>
  <c r="P93" i="20" s="1"/>
  <c r="P81" i="20"/>
  <c r="O81" i="20" s="1"/>
  <c r="G89" i="24"/>
  <c r="L7" i="24"/>
  <c r="Q83" i="10"/>
  <c r="P98" i="10"/>
  <c r="P100" i="10" s="1"/>
  <c r="P88" i="10"/>
  <c r="L90" i="18"/>
  <c r="O90" i="18" s="1"/>
  <c r="O88" i="18"/>
  <c r="L101" i="18"/>
  <c r="H7" i="9"/>
  <c r="H89" i="9" s="1"/>
  <c r="L7" i="9" s="1"/>
  <c r="G89" i="9"/>
  <c r="G87" i="24"/>
  <c r="Q82" i="25"/>
  <c r="P102" i="25"/>
  <c r="O102" i="25" s="1"/>
  <c r="P112" i="25"/>
  <c r="P114" i="25" s="1"/>
  <c r="T81" i="6"/>
  <c r="X80" i="6"/>
  <c r="W80" i="6"/>
  <c r="G96" i="12"/>
  <c r="L7" i="12"/>
  <c r="L87" i="7"/>
  <c r="L98" i="7"/>
  <c r="M91" i="14"/>
  <c r="L104" i="14"/>
  <c r="L93" i="14"/>
  <c r="K93" i="14" s="1"/>
  <c r="W81" i="4"/>
  <c r="X81" i="4"/>
  <c r="T82" i="4"/>
  <c r="H95" i="14"/>
  <c r="G92" i="10"/>
  <c r="Q82" i="21"/>
  <c r="O47" i="26"/>
  <c r="P47" i="26" s="1"/>
  <c r="P95" i="21"/>
  <c r="P97" i="21" s="1"/>
  <c r="P85" i="21"/>
  <c r="H7" i="20"/>
  <c r="BC47" i="1"/>
  <c r="BB47" i="1" s="1"/>
  <c r="M90" i="34"/>
  <c r="L92" i="34"/>
  <c r="L103" i="34"/>
  <c r="M85" i="9"/>
  <c r="L98" i="9"/>
  <c r="L87" i="9"/>
  <c r="K87" i="9" s="1"/>
  <c r="BC24" i="1"/>
  <c r="BB33" i="1"/>
  <c r="BC33" i="1"/>
  <c r="L98" i="39"/>
  <c r="L87" i="39"/>
  <c r="W81" i="19"/>
  <c r="T82" i="19"/>
  <c r="X81" i="19"/>
  <c r="K91" i="14"/>
  <c r="H7" i="25"/>
  <c r="K85" i="39"/>
  <c r="AX22" i="1"/>
  <c r="BC22" i="1"/>
  <c r="BB22" i="1" s="1"/>
  <c r="AY29" i="1"/>
  <c r="AY46" i="1" s="1"/>
  <c r="S82" i="14"/>
  <c r="P101" i="14"/>
  <c r="P103" i="14" s="1"/>
  <c r="P91" i="14"/>
  <c r="O91" i="14" s="1"/>
  <c r="M81" i="20"/>
  <c r="L94" i="20"/>
  <c r="L83" i="20"/>
  <c r="BB37" i="1"/>
  <c r="BC37" i="1"/>
  <c r="BC58" i="1"/>
  <c r="BB58" i="1" s="1"/>
  <c r="AY65" i="1"/>
  <c r="BC68" i="1"/>
  <c r="AY81" i="1"/>
  <c r="AU48" i="1"/>
  <c r="AX40" i="1"/>
  <c r="AU46" i="1"/>
  <c r="AU44" i="1"/>
  <c r="AT44" i="1" s="1"/>
  <c r="AU45" i="1"/>
  <c r="AU49" i="1"/>
  <c r="H7" i="21"/>
  <c r="Q82" i="11"/>
  <c r="P95" i="11"/>
  <c r="P97" i="11" s="1"/>
  <c r="P85" i="11"/>
  <c r="L87" i="19"/>
  <c r="M85" i="19"/>
  <c r="L98" i="19"/>
  <c r="W81" i="39"/>
  <c r="X81" i="39"/>
  <c r="T82" i="39"/>
  <c r="S82" i="39" s="1"/>
  <c r="O82" i="17"/>
  <c r="S82" i="17"/>
  <c r="P95" i="17"/>
  <c r="P97" i="17" s="1"/>
  <c r="P85" i="17"/>
  <c r="O87" i="34"/>
  <c r="K87" i="7"/>
  <c r="AX50" i="1"/>
  <c r="BC50" i="1"/>
  <c r="BB50" i="1"/>
  <c r="L116" i="32"/>
  <c r="L105" i="32"/>
  <c r="K105" i="32" s="1"/>
  <c r="M103" i="32"/>
  <c r="K85" i="40"/>
  <c r="L87" i="40"/>
  <c r="L98" i="40"/>
  <c r="X82" i="10"/>
  <c r="T83" i="10"/>
  <c r="W82" i="10"/>
  <c r="O82" i="11"/>
  <c r="W81" i="25"/>
  <c r="T82" i="25"/>
  <c r="X81" i="25"/>
  <c r="P95" i="40"/>
  <c r="P97" i="40" s="1"/>
  <c r="P85" i="40"/>
  <c r="O85" i="40" s="1"/>
  <c r="Q81" i="6"/>
  <c r="P94" i="6"/>
  <c r="M102" i="25"/>
  <c r="L104" i="25"/>
  <c r="K104" i="25" s="1"/>
  <c r="L115" i="25"/>
  <c r="T82" i="9"/>
  <c r="W81" i="9"/>
  <c r="X81" i="9"/>
  <c r="P95" i="39"/>
  <c r="P97" i="39" s="1"/>
  <c r="P85" i="39"/>
  <c r="K85" i="7"/>
  <c r="D17" i="22"/>
  <c r="E5" i="22"/>
  <c r="E9" i="22" s="1"/>
  <c r="H7" i="33"/>
  <c r="O82" i="19"/>
  <c r="P95" i="19"/>
  <c r="P97" i="19" s="1"/>
  <c r="P85" i="19"/>
  <c r="O85" i="19" s="1"/>
  <c r="W86" i="34"/>
  <c r="T87" i="34"/>
  <c r="X86" i="34"/>
  <c r="M92" i="12"/>
  <c r="L105" i="12"/>
  <c r="L94" i="12"/>
  <c r="S82" i="4"/>
  <c r="P95" i="4"/>
  <c r="P97" i="4" s="1"/>
  <c r="P85" i="4"/>
  <c r="L87" i="15"/>
  <c r="K87" i="15" s="1"/>
  <c r="L98" i="15"/>
  <c r="M85" i="15"/>
  <c r="S82" i="18"/>
  <c r="P98" i="18"/>
  <c r="P100" i="18" s="1"/>
  <c r="P88" i="18"/>
  <c r="S82" i="12"/>
  <c r="P102" i="12"/>
  <c r="P104" i="12" s="1"/>
  <c r="P92" i="12"/>
  <c r="O92" i="12" s="1"/>
  <c r="H89" i="39"/>
  <c r="H7" i="17"/>
  <c r="X81" i="14"/>
  <c r="W81" i="14"/>
  <c r="T82" i="14"/>
  <c r="X81" i="21"/>
  <c r="W81" i="21"/>
  <c r="T82" i="21"/>
  <c r="J47" i="26" s="1"/>
  <c r="W81" i="15"/>
  <c r="T82" i="15"/>
  <c r="X81" i="15"/>
  <c r="AX32" i="1"/>
  <c r="BC32" i="1"/>
  <c r="H7" i="18"/>
  <c r="G92" i="18"/>
  <c r="H7" i="4"/>
  <c r="H89" i="4" s="1"/>
  <c r="G89" i="4"/>
  <c r="Q82" i="9"/>
  <c r="P95" i="9"/>
  <c r="P97" i="9" s="1"/>
  <c r="P85" i="9"/>
  <c r="W94" i="32"/>
  <c r="T95" i="32"/>
  <c r="U95" i="32" s="1"/>
  <c r="X94" i="32"/>
  <c r="AX47" i="1"/>
  <c r="K87" i="4"/>
  <c r="K90" i="34"/>
  <c r="X77" i="20"/>
  <c r="W77" i="20"/>
  <c r="T78" i="20"/>
  <c r="AT50" i="1"/>
  <c r="O95" i="32"/>
  <c r="AT81" i="1"/>
  <c r="AX24" i="1"/>
  <c r="AM54" i="1"/>
  <c r="AL52" i="1"/>
  <c r="K90" i="10"/>
  <c r="X81" i="40"/>
  <c r="W81" i="40"/>
  <c r="T82" i="40"/>
  <c r="S82" i="40" s="1"/>
  <c r="AH84" i="1"/>
  <c r="AI86" i="1"/>
  <c r="AH86" i="1" s="1"/>
  <c r="J47" i="28" l="1"/>
  <c r="Q47" i="26"/>
  <c r="R47" i="26" s="1"/>
  <c r="S81" i="6"/>
  <c r="J46" i="27"/>
  <c r="Q46" i="27" s="1"/>
  <c r="R46" i="27" s="1"/>
  <c r="J46" i="26"/>
  <c r="Q46" i="26" s="1"/>
  <c r="R46" i="26" s="1"/>
  <c r="G89" i="11"/>
  <c r="K87" i="24"/>
  <c r="O100" i="45"/>
  <c r="K100" i="45"/>
  <c r="L102" i="45"/>
  <c r="H71" i="28" s="1"/>
  <c r="W71" i="28" s="1"/>
  <c r="M46" i="28"/>
  <c r="N46" i="28" s="1"/>
  <c r="O50" i="42"/>
  <c r="P50" i="42" s="1"/>
  <c r="M50" i="42"/>
  <c r="N50" i="42" s="1"/>
  <c r="BC81" i="1"/>
  <c r="BB81" i="1" s="1"/>
  <c r="I45" i="42"/>
  <c r="Q45" i="42" s="1"/>
  <c r="R45" i="42" s="1"/>
  <c r="H57" i="42"/>
  <c r="O57" i="42" s="1"/>
  <c r="P57" i="42" s="1"/>
  <c r="G58" i="26"/>
  <c r="M57" i="42"/>
  <c r="N57" i="42" s="1"/>
  <c r="W47" i="28"/>
  <c r="O47" i="28"/>
  <c r="P47" i="28" s="1"/>
  <c r="H46" i="28"/>
  <c r="H51" i="26"/>
  <c r="I47" i="28"/>
  <c r="O46" i="26"/>
  <c r="P46" i="26" s="1"/>
  <c r="L89" i="24"/>
  <c r="P7" i="24" s="1"/>
  <c r="L92" i="10"/>
  <c r="P7" i="10" s="1"/>
  <c r="L89" i="11"/>
  <c r="P7" i="11" s="1"/>
  <c r="L89" i="9"/>
  <c r="P7" i="9" s="1"/>
  <c r="L7" i="4"/>
  <c r="L89" i="4" s="1"/>
  <c r="K89" i="4"/>
  <c r="W78" i="20"/>
  <c r="T91" i="20"/>
  <c r="T93" i="20" s="1"/>
  <c r="T81" i="20"/>
  <c r="P87" i="9"/>
  <c r="Q85" i="9"/>
  <c r="P98" i="9"/>
  <c r="S82" i="21"/>
  <c r="T95" i="21"/>
  <c r="T97" i="21" s="1"/>
  <c r="T85" i="21"/>
  <c r="G89" i="39"/>
  <c r="L7" i="39"/>
  <c r="L89" i="39" s="1"/>
  <c r="P87" i="4"/>
  <c r="S87" i="4" s="1"/>
  <c r="P98" i="4"/>
  <c r="S85" i="4"/>
  <c r="T100" i="34"/>
  <c r="T102" i="34" s="1"/>
  <c r="T90" i="34"/>
  <c r="S90" i="34" s="1"/>
  <c r="Q85" i="11"/>
  <c r="P98" i="11"/>
  <c r="P87" i="11"/>
  <c r="O87" i="11" s="1"/>
  <c r="AX81" i="1"/>
  <c r="H15" i="25"/>
  <c r="H106" i="25"/>
  <c r="AB81" i="19"/>
  <c r="AB82" i="19" s="1"/>
  <c r="X82" i="19"/>
  <c r="AA81" i="19"/>
  <c r="BC29" i="1"/>
  <c r="BC43" i="1" s="1"/>
  <c r="H15" i="20"/>
  <c r="H85" i="20"/>
  <c r="G95" i="14"/>
  <c r="L7" i="14"/>
  <c r="L95" i="14" s="1"/>
  <c r="L96" i="12"/>
  <c r="T94" i="6"/>
  <c r="P90" i="10"/>
  <c r="O90" i="10" s="1"/>
  <c r="P101" i="10"/>
  <c r="Q88" i="10"/>
  <c r="T95" i="24"/>
  <c r="T97" i="24" s="1"/>
  <c r="T85" i="24"/>
  <c r="AB81" i="17"/>
  <c r="AB82" i="17" s="1"/>
  <c r="X82" i="17"/>
  <c r="AA81" i="17"/>
  <c r="AA81" i="7"/>
  <c r="AB81" i="7"/>
  <c r="AB82" i="7" s="1"/>
  <c r="X82" i="7"/>
  <c r="W82" i="7" s="1"/>
  <c r="L7" i="15"/>
  <c r="L89" i="15" s="1"/>
  <c r="AU52" i="1"/>
  <c r="AU54" i="1" s="1"/>
  <c r="H15" i="34"/>
  <c r="H94" i="34"/>
  <c r="O85" i="24"/>
  <c r="P98" i="24"/>
  <c r="P87" i="24"/>
  <c r="P87" i="7"/>
  <c r="O87" i="7" s="1"/>
  <c r="P98" i="7"/>
  <c r="T95" i="11"/>
  <c r="T97" i="11" s="1"/>
  <c r="T85" i="11"/>
  <c r="W82" i="12"/>
  <c r="T102" i="12"/>
  <c r="T104" i="12" s="1"/>
  <c r="T92" i="12"/>
  <c r="AB81" i="18"/>
  <c r="AB82" i="18" s="1"/>
  <c r="AA81" i="18"/>
  <c r="X82" i="18"/>
  <c r="AY48" i="1"/>
  <c r="AX48" i="1" s="1"/>
  <c r="T95" i="40"/>
  <c r="T97" i="40" s="1"/>
  <c r="T85" i="40"/>
  <c r="S85" i="40" s="1"/>
  <c r="AA94" i="32"/>
  <c r="AB94" i="32"/>
  <c r="AB95" i="32" s="1"/>
  <c r="X95" i="32"/>
  <c r="X82" i="15"/>
  <c r="AA81" i="15"/>
  <c r="AB81" i="15"/>
  <c r="AB82" i="15" s="1"/>
  <c r="AB81" i="14"/>
  <c r="AB82" i="14" s="1"/>
  <c r="AA81" i="14"/>
  <c r="X82" i="14"/>
  <c r="P101" i="18"/>
  <c r="S88" i="18"/>
  <c r="P90" i="18"/>
  <c r="S90" i="18" s="1"/>
  <c r="AB81" i="9"/>
  <c r="AB82" i="9" s="1"/>
  <c r="AA81" i="9"/>
  <c r="X82" i="9"/>
  <c r="W82" i="9" s="1"/>
  <c r="P87" i="40"/>
  <c r="P98" i="40"/>
  <c r="AB81" i="25"/>
  <c r="AB82" i="25" s="1"/>
  <c r="X82" i="25"/>
  <c r="AA81" i="25"/>
  <c r="O85" i="17"/>
  <c r="P87" i="17"/>
  <c r="S87" i="17" s="1"/>
  <c r="S85" i="17"/>
  <c r="P98" i="17"/>
  <c r="T95" i="39"/>
  <c r="T97" i="39" s="1"/>
  <c r="T85" i="39"/>
  <c r="H15" i="21"/>
  <c r="G15" i="21" s="1"/>
  <c r="H89" i="21"/>
  <c r="G72" i="26" s="1"/>
  <c r="AT46" i="1"/>
  <c r="AX46" i="1"/>
  <c r="BB68" i="1"/>
  <c r="S82" i="19"/>
  <c r="T95" i="19"/>
  <c r="T97" i="19" s="1"/>
  <c r="T85" i="19"/>
  <c r="O85" i="9"/>
  <c r="P98" i="21"/>
  <c r="P87" i="21"/>
  <c r="W82" i="4"/>
  <c r="T95" i="4"/>
  <c r="T97" i="4" s="1"/>
  <c r="T85" i="4"/>
  <c r="Q81" i="20"/>
  <c r="P94" i="20"/>
  <c r="P83" i="20"/>
  <c r="O83" i="20" s="1"/>
  <c r="O88" i="10"/>
  <c r="Q103" i="32"/>
  <c r="P105" i="32"/>
  <c r="P116" i="32"/>
  <c r="AT43" i="1"/>
  <c r="K94" i="12"/>
  <c r="L7" i="32"/>
  <c r="I107" i="32"/>
  <c r="G107" i="32"/>
  <c r="O85" i="11"/>
  <c r="K89" i="40"/>
  <c r="L7" i="40"/>
  <c r="L89" i="40" s="1"/>
  <c r="P7" i="40" s="1"/>
  <c r="S87" i="34"/>
  <c r="AM84" i="1"/>
  <c r="AL54" i="1"/>
  <c r="AB77" i="20"/>
  <c r="AB78" i="20" s="1"/>
  <c r="X78" i="20"/>
  <c r="AA77" i="20"/>
  <c r="T113" i="32"/>
  <c r="T115" i="32" s="1"/>
  <c r="T103" i="32"/>
  <c r="S103" i="32" s="1"/>
  <c r="H9" i="18"/>
  <c r="W82" i="15"/>
  <c r="T95" i="15"/>
  <c r="T97" i="15" s="1"/>
  <c r="T85" i="15"/>
  <c r="S85" i="15" s="1"/>
  <c r="AA81" i="21"/>
  <c r="AB81" i="21"/>
  <c r="AB82" i="21" s="1"/>
  <c r="X82" i="21"/>
  <c r="Q92" i="12"/>
  <c r="P105" i="12"/>
  <c r="P94" i="12"/>
  <c r="P87" i="19"/>
  <c r="O87" i="19" s="1"/>
  <c r="Q85" i="19"/>
  <c r="P98" i="19"/>
  <c r="H15" i="33"/>
  <c r="H89" i="33"/>
  <c r="O85" i="39"/>
  <c r="P87" i="39"/>
  <c r="P98" i="39"/>
  <c r="T102" i="25"/>
  <c r="S102" i="25" s="1"/>
  <c r="T112" i="25"/>
  <c r="T114" i="25" s="1"/>
  <c r="S83" i="10"/>
  <c r="T98" i="10"/>
  <c r="T100" i="10" s="1"/>
  <c r="T88" i="10"/>
  <c r="AB81" i="39"/>
  <c r="AB82" i="39" s="1"/>
  <c r="AA81" i="39"/>
  <c r="X82" i="39"/>
  <c r="W82" i="39" s="1"/>
  <c r="AT49" i="1"/>
  <c r="AY49" i="1"/>
  <c r="AX49" i="1" s="1"/>
  <c r="AY43" i="1"/>
  <c r="AX43" i="1" s="1"/>
  <c r="BB29" i="1"/>
  <c r="K89" i="11"/>
  <c r="AB81" i="4"/>
  <c r="AB82" i="4" s="1"/>
  <c r="AA81" i="4"/>
  <c r="X82" i="4"/>
  <c r="Q102" i="25"/>
  <c r="P115" i="25"/>
  <c r="P104" i="25"/>
  <c r="AB81" i="24"/>
  <c r="AB82" i="24" s="1"/>
  <c r="AA81" i="24"/>
  <c r="X82" i="24"/>
  <c r="T95" i="7"/>
  <c r="T97" i="7" s="1"/>
  <c r="T85" i="7"/>
  <c r="AQ54" i="1"/>
  <c r="AP54" i="1" s="1"/>
  <c r="G15" i="32"/>
  <c r="I15" i="32"/>
  <c r="L7" i="7"/>
  <c r="L89" i="7" s="1"/>
  <c r="K89" i="7" s="1"/>
  <c r="BC65" i="1"/>
  <c r="BB65" i="1" s="1"/>
  <c r="K87" i="11"/>
  <c r="S82" i="24"/>
  <c r="AB81" i="11"/>
  <c r="AB82" i="11" s="1"/>
  <c r="X82" i="11"/>
  <c r="AA81" i="11"/>
  <c r="AA81" i="12"/>
  <c r="AB81" i="12"/>
  <c r="AB82" i="12" s="1"/>
  <c r="X82" i="12"/>
  <c r="AB81" i="40"/>
  <c r="AB82" i="40" s="1"/>
  <c r="AA81" i="40"/>
  <c r="X82" i="40"/>
  <c r="W82" i="40" s="1"/>
  <c r="BB32" i="1"/>
  <c r="BC40" i="1"/>
  <c r="W82" i="14"/>
  <c r="T101" i="14"/>
  <c r="T103" i="14" s="1"/>
  <c r="T91" i="14"/>
  <c r="S91" i="14" s="1"/>
  <c r="H15" i="17"/>
  <c r="H89" i="17"/>
  <c r="AB86" i="34"/>
  <c r="AB87" i="34" s="1"/>
  <c r="X87" i="34"/>
  <c r="AA86" i="34"/>
  <c r="E17" i="22"/>
  <c r="F5" i="22"/>
  <c r="S82" i="9"/>
  <c r="T95" i="9"/>
  <c r="T97" i="9" s="1"/>
  <c r="T85" i="9"/>
  <c r="AB82" i="10"/>
  <c r="AB83" i="10" s="1"/>
  <c r="X83" i="10"/>
  <c r="AA82" i="10"/>
  <c r="AT45" i="1"/>
  <c r="AX45" i="1"/>
  <c r="AT48" i="1"/>
  <c r="AX65" i="1"/>
  <c r="K83" i="20"/>
  <c r="Q91" i="14"/>
  <c r="P104" i="14"/>
  <c r="P93" i="14"/>
  <c r="O93" i="14" s="1"/>
  <c r="BB24" i="1"/>
  <c r="K92" i="34"/>
  <c r="AA80" i="6"/>
  <c r="AB80" i="6"/>
  <c r="AB81" i="6" s="1"/>
  <c r="AB94" i="6" s="1"/>
  <c r="X81" i="6"/>
  <c r="S82" i="25"/>
  <c r="W82" i="17"/>
  <c r="T95" i="17"/>
  <c r="T97" i="17" s="1"/>
  <c r="T85" i="17"/>
  <c r="S95" i="32"/>
  <c r="P98" i="15"/>
  <c r="P87" i="15"/>
  <c r="O87" i="15" s="1"/>
  <c r="Q85" i="15"/>
  <c r="AX29" i="1"/>
  <c r="W82" i="18"/>
  <c r="T98" i="18"/>
  <c r="T100" i="18" s="1"/>
  <c r="T88" i="18"/>
  <c r="Q90" i="34"/>
  <c r="P92" i="34"/>
  <c r="O92" i="34" s="1"/>
  <c r="P103" i="34"/>
  <c r="AX44" i="1"/>
  <c r="AI88" i="1"/>
  <c r="G72" i="28" l="1"/>
  <c r="V72" i="28" s="1"/>
  <c r="G69" i="26"/>
  <c r="J46" i="28"/>
  <c r="J51" i="26"/>
  <c r="O87" i="39"/>
  <c r="O87" i="40"/>
  <c r="K89" i="24"/>
  <c r="O87" i="17"/>
  <c r="K89" i="9"/>
  <c r="G73" i="28"/>
  <c r="O87" i="24"/>
  <c r="K92" i="10"/>
  <c r="P7" i="45"/>
  <c r="K102" i="45"/>
  <c r="P92" i="10"/>
  <c r="P89" i="24"/>
  <c r="T7" i="24" s="1"/>
  <c r="P89" i="11"/>
  <c r="O89" i="11" s="1"/>
  <c r="I50" i="42"/>
  <c r="I57" i="42" s="1"/>
  <c r="Q57" i="42" s="1"/>
  <c r="R57" i="42" s="1"/>
  <c r="J45" i="42"/>
  <c r="K45" i="42" s="1"/>
  <c r="L45" i="42" s="1"/>
  <c r="W46" i="28"/>
  <c r="O46" i="28"/>
  <c r="P46" i="28" s="1"/>
  <c r="X47" i="28"/>
  <c r="Q47" i="28"/>
  <c r="R47" i="28" s="1"/>
  <c r="M51" i="26"/>
  <c r="N51" i="26" s="1"/>
  <c r="H58" i="26"/>
  <c r="M58" i="26" s="1"/>
  <c r="P89" i="40"/>
  <c r="O89" i="40" s="1"/>
  <c r="O87" i="9"/>
  <c r="AT52" i="1"/>
  <c r="P89" i="9"/>
  <c r="O89" i="9" s="1"/>
  <c r="AA82" i="21"/>
  <c r="AB95" i="21"/>
  <c r="AB97" i="21" s="1"/>
  <c r="AB85" i="21"/>
  <c r="T87" i="4"/>
  <c r="W87" i="4" s="1"/>
  <c r="W85" i="4"/>
  <c r="T98" i="4"/>
  <c r="S85" i="19"/>
  <c r="T87" i="19"/>
  <c r="T98" i="19"/>
  <c r="W85" i="19"/>
  <c r="S85" i="39"/>
  <c r="T87" i="39"/>
  <c r="T98" i="39"/>
  <c r="X112" i="25"/>
  <c r="X114" i="25" s="1"/>
  <c r="X102" i="25"/>
  <c r="AA82" i="15"/>
  <c r="X95" i="15"/>
  <c r="X97" i="15" s="1"/>
  <c r="X85" i="15"/>
  <c r="W85" i="15" s="1"/>
  <c r="T87" i="40"/>
  <c r="T98" i="40"/>
  <c r="S92" i="12"/>
  <c r="T94" i="12"/>
  <c r="S94" i="12" s="1"/>
  <c r="T105" i="12"/>
  <c r="I15" i="34"/>
  <c r="G15" i="34"/>
  <c r="P7" i="15"/>
  <c r="P89" i="15" s="1"/>
  <c r="L100" i="12"/>
  <c r="P7" i="12"/>
  <c r="P96" i="12" s="1"/>
  <c r="K96" i="12"/>
  <c r="G15" i="20"/>
  <c r="AA82" i="19"/>
  <c r="AB95" i="19"/>
  <c r="AB97" i="19" s="1"/>
  <c r="AB85" i="19"/>
  <c r="S85" i="21"/>
  <c r="T98" i="21"/>
  <c r="T87" i="21"/>
  <c r="J72" i="26" s="1"/>
  <c r="AA82" i="12"/>
  <c r="X102" i="12"/>
  <c r="X104" i="12" s="1"/>
  <c r="X92" i="12"/>
  <c r="W82" i="24"/>
  <c r="X95" i="24"/>
  <c r="X97" i="24" s="1"/>
  <c r="X85" i="24"/>
  <c r="W85" i="24" s="1"/>
  <c r="T98" i="17"/>
  <c r="T87" i="17"/>
  <c r="W87" i="17" s="1"/>
  <c r="W85" i="17"/>
  <c r="L7" i="17"/>
  <c r="G89" i="17"/>
  <c r="AB102" i="12"/>
  <c r="AB104" i="12" s="1"/>
  <c r="AB92" i="12"/>
  <c r="AA82" i="11"/>
  <c r="AB85" i="11"/>
  <c r="AB87" i="11" s="1"/>
  <c r="AB95" i="11"/>
  <c r="AB97" i="11" s="1"/>
  <c r="T87" i="7"/>
  <c r="S87" i="7" s="1"/>
  <c r="T98" i="7"/>
  <c r="AB95" i="39"/>
  <c r="AB97" i="39" s="1"/>
  <c r="AB85" i="39"/>
  <c r="AM86" i="1"/>
  <c r="AL84" i="1"/>
  <c r="L15" i="32"/>
  <c r="L107" i="32"/>
  <c r="AA82" i="25"/>
  <c r="AB112" i="25"/>
  <c r="AB114" i="25" s="1"/>
  <c r="AB102" i="25"/>
  <c r="AA82" i="9"/>
  <c r="X95" i="9"/>
  <c r="X97" i="9" s="1"/>
  <c r="X85" i="9"/>
  <c r="W85" i="9" s="1"/>
  <c r="AB101" i="14"/>
  <c r="AB103" i="14" s="1"/>
  <c r="AB91" i="14"/>
  <c r="AB93" i="14" s="1"/>
  <c r="W95" i="32"/>
  <c r="X113" i="32"/>
  <c r="X115" i="32" s="1"/>
  <c r="X103" i="32"/>
  <c r="W103" i="32" s="1"/>
  <c r="AA82" i="18"/>
  <c r="X98" i="18"/>
  <c r="X100" i="18" s="1"/>
  <c r="X88" i="18"/>
  <c r="S85" i="7"/>
  <c r="AA82" i="7"/>
  <c r="X95" i="7"/>
  <c r="X97" i="7" s="1"/>
  <c r="X85" i="7"/>
  <c r="X95" i="17"/>
  <c r="X97" i="17" s="1"/>
  <c r="X85" i="17"/>
  <c r="K95" i="14"/>
  <c r="P7" i="14"/>
  <c r="P95" i="14" s="1"/>
  <c r="I106" i="25"/>
  <c r="L7" i="25"/>
  <c r="G106" i="25"/>
  <c r="T92" i="34"/>
  <c r="S92" i="34" s="1"/>
  <c r="T103" i="34"/>
  <c r="AA87" i="34"/>
  <c r="AB100" i="34"/>
  <c r="AB102" i="34" s="1"/>
  <c r="AB90" i="34"/>
  <c r="W82" i="11"/>
  <c r="X95" i="11"/>
  <c r="X97" i="11" s="1"/>
  <c r="X85" i="11"/>
  <c r="G15" i="17"/>
  <c r="BC48" i="1"/>
  <c r="BB48" i="1" s="1"/>
  <c r="BC45" i="1"/>
  <c r="BB45" i="1" s="1"/>
  <c r="BC44" i="1"/>
  <c r="BB44" i="1" s="1"/>
  <c r="BC46" i="1"/>
  <c r="BB46" i="1" s="1"/>
  <c r="BC49" i="1"/>
  <c r="BB49" i="1" s="1"/>
  <c r="BB40" i="1"/>
  <c r="AB95" i="40"/>
  <c r="AB97" i="40" s="1"/>
  <c r="AB85" i="40"/>
  <c r="AA82" i="24"/>
  <c r="AB95" i="24"/>
  <c r="AB97" i="24" s="1"/>
  <c r="AB85" i="24"/>
  <c r="AB95" i="4"/>
  <c r="AB97" i="4" s="1"/>
  <c r="AB85" i="4"/>
  <c r="BB43" i="1"/>
  <c r="AY52" i="1"/>
  <c r="S88" i="10"/>
  <c r="T101" i="10"/>
  <c r="T90" i="10"/>
  <c r="S90" i="10" s="1"/>
  <c r="T104" i="25"/>
  <c r="S104" i="25" s="1"/>
  <c r="T115" i="25"/>
  <c r="T87" i="15"/>
  <c r="T98" i="15"/>
  <c r="G9" i="18"/>
  <c r="K9" i="18"/>
  <c r="H11" i="18"/>
  <c r="AA78" i="20"/>
  <c r="X81" i="20"/>
  <c r="X91" i="20"/>
  <c r="X93" i="20" s="1"/>
  <c r="O105" i="32"/>
  <c r="I89" i="21"/>
  <c r="L7" i="21"/>
  <c r="G89" i="21"/>
  <c r="AB95" i="15"/>
  <c r="AB97" i="15" s="1"/>
  <c r="AB85" i="15"/>
  <c r="AB87" i="15" s="1"/>
  <c r="AA95" i="32"/>
  <c r="AB113" i="32"/>
  <c r="AB115" i="32" s="1"/>
  <c r="AB103" i="32"/>
  <c r="AU84" i="1"/>
  <c r="AB95" i="7"/>
  <c r="AB97" i="7" s="1"/>
  <c r="AB85" i="7"/>
  <c r="AA82" i="17"/>
  <c r="AB95" i="17"/>
  <c r="AB97" i="17" s="1"/>
  <c r="AB85" i="17"/>
  <c r="I15" i="25"/>
  <c r="G15" i="25"/>
  <c r="K89" i="39"/>
  <c r="P7" i="39"/>
  <c r="P89" i="39" s="1"/>
  <c r="T87" i="9"/>
  <c r="S87" i="9" s="1"/>
  <c r="T98" i="9"/>
  <c r="AA82" i="40"/>
  <c r="X95" i="40"/>
  <c r="X97" i="40" s="1"/>
  <c r="X85" i="40"/>
  <c r="W85" i="40" s="1"/>
  <c r="AT54" i="1"/>
  <c r="AQ84" i="1"/>
  <c r="AP84" i="1" s="1"/>
  <c r="AA82" i="4"/>
  <c r="X95" i="4"/>
  <c r="X97" i="4" s="1"/>
  <c r="X85" i="4"/>
  <c r="I15" i="33"/>
  <c r="G15" i="33"/>
  <c r="W83" i="10"/>
  <c r="X98" i="10"/>
  <c r="X100" i="10" s="1"/>
  <c r="X88" i="10"/>
  <c r="T101" i="18"/>
  <c r="T90" i="18"/>
  <c r="W90" i="18" s="1"/>
  <c r="W88" i="18"/>
  <c r="AA81" i="6"/>
  <c r="X94" i="6"/>
  <c r="AA83" i="10"/>
  <c r="AB98" i="10"/>
  <c r="AB100" i="10" s="1"/>
  <c r="AB88" i="10"/>
  <c r="W87" i="34"/>
  <c r="X100" i="34"/>
  <c r="X102" i="34" s="1"/>
  <c r="X90" i="34"/>
  <c r="W90" i="34" s="1"/>
  <c r="T104" i="14"/>
  <c r="T93" i="14"/>
  <c r="I51" i="26"/>
  <c r="O51" i="26" s="1"/>
  <c r="P51" i="26" s="1"/>
  <c r="I46" i="28"/>
  <c r="P7" i="7"/>
  <c r="P89" i="7" s="1"/>
  <c r="O104" i="25"/>
  <c r="AA82" i="39"/>
  <c r="X95" i="39"/>
  <c r="X97" i="39" s="1"/>
  <c r="X85" i="39"/>
  <c r="W85" i="39" s="1"/>
  <c r="W82" i="25"/>
  <c r="L7" i="33"/>
  <c r="G89" i="33"/>
  <c r="W82" i="21"/>
  <c r="X95" i="21"/>
  <c r="X97" i="21" s="1"/>
  <c r="X85" i="21"/>
  <c r="W85" i="21" s="1"/>
  <c r="T116" i="32"/>
  <c r="T105" i="32"/>
  <c r="S105" i="32" s="1"/>
  <c r="AB91" i="20"/>
  <c r="AB93" i="20" s="1"/>
  <c r="AB81" i="20"/>
  <c r="AB85" i="9"/>
  <c r="AB87" i="9" s="1"/>
  <c r="AB95" i="9"/>
  <c r="AB97" i="9" s="1"/>
  <c r="AA82" i="14"/>
  <c r="X101" i="14"/>
  <c r="X103" i="14" s="1"/>
  <c r="X91" i="14"/>
  <c r="O94" i="12"/>
  <c r="AB98" i="18"/>
  <c r="AB100" i="18" s="1"/>
  <c r="AB88" i="18"/>
  <c r="S85" i="11"/>
  <c r="T98" i="11"/>
  <c r="T87" i="11"/>
  <c r="I94" i="34"/>
  <c r="L7" i="34"/>
  <c r="K89" i="15"/>
  <c r="S85" i="24"/>
  <c r="T98" i="24"/>
  <c r="T87" i="24"/>
  <c r="S87" i="24" s="1"/>
  <c r="W81" i="6"/>
  <c r="I85" i="20"/>
  <c r="L7" i="20"/>
  <c r="G85" i="20"/>
  <c r="W82" i="19"/>
  <c r="X95" i="19"/>
  <c r="X97" i="19" s="1"/>
  <c r="X85" i="19"/>
  <c r="S85" i="9"/>
  <c r="S81" i="20"/>
  <c r="T94" i="20"/>
  <c r="T83" i="20"/>
  <c r="P7" i="4"/>
  <c r="P89" i="4" s="1"/>
  <c r="O89" i="4"/>
  <c r="AH88" i="1"/>
  <c r="AM7" i="1"/>
  <c r="J58" i="26" l="1"/>
  <c r="Q51" i="26"/>
  <c r="R51" i="26" s="1"/>
  <c r="J69" i="26"/>
  <c r="K72" i="26"/>
  <c r="J72" i="28"/>
  <c r="O89" i="15"/>
  <c r="P5" i="15"/>
  <c r="O92" i="10"/>
  <c r="P5" i="10"/>
  <c r="T7" i="12"/>
  <c r="P5" i="12"/>
  <c r="S87" i="39"/>
  <c r="T7" i="40"/>
  <c r="S87" i="40"/>
  <c r="V73" i="28"/>
  <c r="G69" i="28"/>
  <c r="V69" i="28" s="1"/>
  <c r="O89" i="24"/>
  <c r="T7" i="10"/>
  <c r="T92" i="10" s="1"/>
  <c r="T7" i="11"/>
  <c r="T89" i="11" s="1"/>
  <c r="AM88" i="1"/>
  <c r="P18" i="45"/>
  <c r="P102" i="45"/>
  <c r="Q50" i="42"/>
  <c r="R50" i="42" s="1"/>
  <c r="X46" i="28"/>
  <c r="Q46" i="28"/>
  <c r="R46" i="28" s="1"/>
  <c r="N58" i="26"/>
  <c r="I58" i="26"/>
  <c r="O58" i="26" s="1"/>
  <c r="P58" i="26" s="1"/>
  <c r="AB104" i="14"/>
  <c r="T7" i="9"/>
  <c r="T89" i="9" s="1"/>
  <c r="S89" i="9" s="1"/>
  <c r="T96" i="12"/>
  <c r="AB98" i="11"/>
  <c r="O96" i="12"/>
  <c r="X93" i="14"/>
  <c r="AA93" i="14" s="1"/>
  <c r="X104" i="14"/>
  <c r="AA91" i="14"/>
  <c r="X98" i="39"/>
  <c r="AA85" i="39"/>
  <c r="X87" i="39"/>
  <c r="W81" i="20"/>
  <c r="AA81" i="20"/>
  <c r="X83" i="20"/>
  <c r="AA83" i="20" s="1"/>
  <c r="AB87" i="40"/>
  <c r="AB98" i="40"/>
  <c r="BC52" i="1"/>
  <c r="BC54" i="1" s="1"/>
  <c r="X116" i="32"/>
  <c r="AA103" i="32"/>
  <c r="X105" i="32"/>
  <c r="W105" i="32" s="1"/>
  <c r="AB104" i="25"/>
  <c r="AB115" i="25"/>
  <c r="P7" i="32"/>
  <c r="M107" i="32"/>
  <c r="AB87" i="19"/>
  <c r="AB98" i="19"/>
  <c r="AA85" i="21"/>
  <c r="X87" i="21"/>
  <c r="W87" i="21" s="1"/>
  <c r="X98" i="21"/>
  <c r="T7" i="7"/>
  <c r="T89" i="7" s="1"/>
  <c r="S89" i="7" s="1"/>
  <c r="S93" i="14"/>
  <c r="AA85" i="40"/>
  <c r="X87" i="40"/>
  <c r="X98" i="40"/>
  <c r="O89" i="39"/>
  <c r="T7" i="39"/>
  <c r="T89" i="39" s="1"/>
  <c r="AB87" i="7"/>
  <c r="AB98" i="7"/>
  <c r="AB105" i="32"/>
  <c r="AB116" i="32"/>
  <c r="AB98" i="15"/>
  <c r="AX52" i="1"/>
  <c r="AY54" i="1"/>
  <c r="AB87" i="24"/>
  <c r="AB98" i="24"/>
  <c r="O95" i="14"/>
  <c r="T7" i="14"/>
  <c r="T95" i="14" s="1"/>
  <c r="X87" i="7"/>
  <c r="X98" i="7"/>
  <c r="AA85" i="7"/>
  <c r="AA88" i="18"/>
  <c r="X90" i="18"/>
  <c r="AA90" i="18" s="1"/>
  <c r="X101" i="18"/>
  <c r="X87" i="9"/>
  <c r="AA87" i="9" s="1"/>
  <c r="X98" i="9"/>
  <c r="AA85" i="9"/>
  <c r="M15" i="32"/>
  <c r="K15" i="32"/>
  <c r="AB98" i="39"/>
  <c r="AB87" i="39"/>
  <c r="AB105" i="12"/>
  <c r="AB94" i="12"/>
  <c r="L15" i="17"/>
  <c r="K15" i="17" s="1"/>
  <c r="L89" i="17"/>
  <c r="W92" i="12"/>
  <c r="X94" i="12"/>
  <c r="X105" i="12"/>
  <c r="AA92" i="12"/>
  <c r="S87" i="21"/>
  <c r="T7" i="15"/>
  <c r="T89" i="15" s="1"/>
  <c r="AB98" i="21"/>
  <c r="AB87" i="21"/>
  <c r="T7" i="4"/>
  <c r="T89" i="4" s="1"/>
  <c r="S89" i="4"/>
  <c r="W91" i="14"/>
  <c r="X87" i="4"/>
  <c r="AA87" i="4" s="1"/>
  <c r="X98" i="4"/>
  <c r="AA85" i="4"/>
  <c r="AA85" i="19"/>
  <c r="X98" i="19"/>
  <c r="X87" i="19"/>
  <c r="AA87" i="19" s="1"/>
  <c r="AB101" i="18"/>
  <c r="AB90" i="18"/>
  <c r="S87" i="11"/>
  <c r="L89" i="33"/>
  <c r="L15" i="33"/>
  <c r="AB90" i="10"/>
  <c r="AB101" i="10"/>
  <c r="W88" i="10"/>
  <c r="X101" i="10"/>
  <c r="X90" i="10"/>
  <c r="W90" i="10" s="1"/>
  <c r="AA88" i="10"/>
  <c r="AB87" i="17"/>
  <c r="AB98" i="17"/>
  <c r="H13" i="18"/>
  <c r="K11" i="18"/>
  <c r="G11" i="18"/>
  <c r="AB92" i="34"/>
  <c r="AB103" i="34"/>
  <c r="L106" i="25"/>
  <c r="L15" i="25"/>
  <c r="X98" i="24"/>
  <c r="AA85" i="24"/>
  <c r="X87" i="24"/>
  <c r="W102" i="25"/>
  <c r="X115" i="25"/>
  <c r="AA102" i="25"/>
  <c r="X104" i="25"/>
  <c r="S87" i="19"/>
  <c r="W87" i="19"/>
  <c r="L85" i="20"/>
  <c r="L15" i="20"/>
  <c r="L15" i="34"/>
  <c r="L94" i="34"/>
  <c r="AB98" i="9"/>
  <c r="AB94" i="20"/>
  <c r="AB83" i="20"/>
  <c r="O89" i="7"/>
  <c r="K46" i="26"/>
  <c r="AA90" i="34"/>
  <c r="X92" i="34"/>
  <c r="W92" i="34" s="1"/>
  <c r="X103" i="34"/>
  <c r="AT84" i="1"/>
  <c r="AQ86" i="1"/>
  <c r="AP86" i="1" s="1"/>
  <c r="T89" i="24"/>
  <c r="AU86" i="1"/>
  <c r="X94" i="20"/>
  <c r="S87" i="15"/>
  <c r="AB87" i="4"/>
  <c r="AB98" i="4"/>
  <c r="W85" i="11"/>
  <c r="AA85" i="11"/>
  <c r="X87" i="11"/>
  <c r="AA87" i="11" s="1"/>
  <c r="X98" i="11"/>
  <c r="AA85" i="17"/>
  <c r="X98" i="17"/>
  <c r="X87" i="17"/>
  <c r="AA87" i="17" s="1"/>
  <c r="S83" i="20"/>
  <c r="AL86" i="1"/>
  <c r="W85" i="7"/>
  <c r="X87" i="15"/>
  <c r="AA87" i="15" s="1"/>
  <c r="X98" i="15"/>
  <c r="AA85" i="15"/>
  <c r="T89" i="40"/>
  <c r="AL88" i="1"/>
  <c r="AQ7" i="1"/>
  <c r="Q58" i="26" l="1"/>
  <c r="R58" i="26" s="1"/>
  <c r="K72" i="28"/>
  <c r="L72" i="26"/>
  <c r="L72" i="28" s="1"/>
  <c r="S89" i="15"/>
  <c r="T5" i="15"/>
  <c r="S92" i="10"/>
  <c r="T5" i="10"/>
  <c r="X7" i="12"/>
  <c r="X96" i="12" s="1"/>
  <c r="W96" i="12" s="1"/>
  <c r="T5" i="12"/>
  <c r="AA87" i="39"/>
  <c r="W87" i="39"/>
  <c r="AA87" i="40"/>
  <c r="W87" i="40"/>
  <c r="W83" i="20"/>
  <c r="W93" i="14"/>
  <c r="S96" i="12"/>
  <c r="AA94" i="12"/>
  <c r="X7" i="10"/>
  <c r="X92" i="10" s="1"/>
  <c r="T7" i="45"/>
  <c r="T102" i="45" s="1"/>
  <c r="O102" i="45"/>
  <c r="Q18" i="45"/>
  <c r="S18" i="45"/>
  <c r="O18" i="45"/>
  <c r="AA104" i="25"/>
  <c r="AA87" i="7"/>
  <c r="BB52" i="1"/>
  <c r="AQ88" i="1"/>
  <c r="AU7" i="1" s="1"/>
  <c r="AU88" i="1" s="1"/>
  <c r="AA90" i="10"/>
  <c r="W94" i="12"/>
  <c r="W87" i="7"/>
  <c r="W87" i="9"/>
  <c r="AA92" i="34"/>
  <c r="S89" i="40"/>
  <c r="X7" i="40"/>
  <c r="X89" i="40" s="1"/>
  <c r="AB7" i="40" s="1"/>
  <c r="AB89" i="40" s="1"/>
  <c r="AA89" i="40" s="1"/>
  <c r="S89" i="24"/>
  <c r="X7" i="24"/>
  <c r="X89" i="24" s="1"/>
  <c r="AB7" i="24" s="1"/>
  <c r="AB89" i="24" s="1"/>
  <c r="AA89" i="24" s="1"/>
  <c r="K85" i="20"/>
  <c r="P7" i="20"/>
  <c r="M85" i="20"/>
  <c r="X7" i="9"/>
  <c r="X89" i="9" s="1"/>
  <c r="AB7" i="9" s="1"/>
  <c r="AB89" i="9" s="1"/>
  <c r="AA89" i="9" s="1"/>
  <c r="M15" i="25"/>
  <c r="K15" i="25"/>
  <c r="H15" i="18"/>
  <c r="K13" i="18"/>
  <c r="H99" i="18"/>
  <c r="H100" i="18" s="1"/>
  <c r="H88" i="18"/>
  <c r="P7" i="17"/>
  <c r="K89" i="17"/>
  <c r="AY84" i="1"/>
  <c r="AX54" i="1"/>
  <c r="S89" i="39"/>
  <c r="X7" i="39"/>
  <c r="X89" i="39" s="1"/>
  <c r="AB7" i="39" s="1"/>
  <c r="AB89" i="39" s="1"/>
  <c r="AA89" i="39" s="1"/>
  <c r="AA87" i="21"/>
  <c r="BB54" i="1"/>
  <c r="BC84" i="1"/>
  <c r="BC86" i="1" s="1"/>
  <c r="AT86" i="1"/>
  <c r="S89" i="11"/>
  <c r="X7" i="11"/>
  <c r="X89" i="11" s="1"/>
  <c r="AB7" i="11" s="1"/>
  <c r="AB89" i="11" s="1"/>
  <c r="AA89" i="11" s="1"/>
  <c r="M94" i="34"/>
  <c r="P7" i="34"/>
  <c r="K94" i="34"/>
  <c r="W87" i="24"/>
  <c r="AA87" i="24"/>
  <c r="M106" i="25"/>
  <c r="P7" i="25"/>
  <c r="K106" i="25"/>
  <c r="W87" i="11"/>
  <c r="X7" i="4"/>
  <c r="X89" i="4" s="1"/>
  <c r="W89" i="4"/>
  <c r="X7" i="15"/>
  <c r="X89" i="15" s="1"/>
  <c r="AB7" i="15" s="1"/>
  <c r="AB89" i="15" s="1"/>
  <c r="AA89" i="15" s="1"/>
  <c r="AA105" i="32"/>
  <c r="M15" i="34"/>
  <c r="K15" i="34"/>
  <c r="M15" i="33"/>
  <c r="K15" i="33"/>
  <c r="W104" i="25"/>
  <c r="X7" i="7"/>
  <c r="X89" i="7" s="1"/>
  <c r="P15" i="32"/>
  <c r="P107" i="32"/>
  <c r="W87" i="15"/>
  <c r="L46" i="26"/>
  <c r="L46" i="28" s="1"/>
  <c r="K46" i="28"/>
  <c r="K15" i="20"/>
  <c r="P7" i="33"/>
  <c r="K89" i="33"/>
  <c r="S95" i="14"/>
  <c r="X7" i="14"/>
  <c r="X95" i="14" s="1"/>
  <c r="AB7" i="14" s="1"/>
  <c r="AB95" i="14" s="1"/>
  <c r="AA95" i="14" s="1"/>
  <c r="W89" i="39" l="1"/>
  <c r="W89" i="40"/>
  <c r="W89" i="24"/>
  <c r="S102" i="45"/>
  <c r="X7" i="45"/>
  <c r="X102" i="45" s="1"/>
  <c r="W102" i="45" s="1"/>
  <c r="AP88" i="1"/>
  <c r="W89" i="11"/>
  <c r="AB7" i="12"/>
  <c r="AB96" i="12" s="1"/>
  <c r="AA96" i="12" s="1"/>
  <c r="W89" i="9"/>
  <c r="W95" i="14"/>
  <c r="P15" i="20"/>
  <c r="P85" i="20"/>
  <c r="P15" i="17"/>
  <c r="O15" i="17" s="1"/>
  <c r="P89" i="17"/>
  <c r="K15" i="18"/>
  <c r="G15" i="18"/>
  <c r="P106" i="25"/>
  <c r="P15" i="25"/>
  <c r="Q15" i="32"/>
  <c r="S15" i="32"/>
  <c r="O15" i="32"/>
  <c r="W89" i="15"/>
  <c r="AY86" i="1"/>
  <c r="BB84" i="1"/>
  <c r="AX84" i="1"/>
  <c r="K88" i="18"/>
  <c r="H101" i="18"/>
  <c r="G88" i="18"/>
  <c r="H90" i="18"/>
  <c r="AB7" i="7"/>
  <c r="AB89" i="7" s="1"/>
  <c r="AA89" i="7" s="1"/>
  <c r="P89" i="33"/>
  <c r="P15" i="33"/>
  <c r="Q107" i="32"/>
  <c r="T7" i="32"/>
  <c r="T107" i="32" s="1"/>
  <c r="T5" i="32" s="1"/>
  <c r="O107" i="32"/>
  <c r="AB7" i="4"/>
  <c r="AB89" i="4" s="1"/>
  <c r="AA89" i="4"/>
  <c r="W92" i="10"/>
  <c r="AB7" i="10"/>
  <c r="AB92" i="10" s="1"/>
  <c r="AA92" i="10" s="1"/>
  <c r="W89" i="7"/>
  <c r="P94" i="34"/>
  <c r="P15" i="34"/>
  <c r="AT88" i="1"/>
  <c r="AY7" i="1"/>
  <c r="AA102" i="45" l="1"/>
  <c r="AB7" i="45"/>
  <c r="AB102" i="45" s="1"/>
  <c r="AY88" i="1"/>
  <c r="BC7" i="1" s="1"/>
  <c r="BC88" i="1" s="1"/>
  <c r="BB88" i="1" s="1"/>
  <c r="Q15" i="25"/>
  <c r="S15" i="25"/>
  <c r="O15" i="25"/>
  <c r="T7" i="17"/>
  <c r="O89" i="17"/>
  <c r="Q94" i="34"/>
  <c r="T7" i="34"/>
  <c r="T94" i="34" s="1"/>
  <c r="O94" i="34"/>
  <c r="Q15" i="33"/>
  <c r="S15" i="33"/>
  <c r="O15" i="33"/>
  <c r="K90" i="18"/>
  <c r="G90" i="18"/>
  <c r="H92" i="18"/>
  <c r="Q106" i="25"/>
  <c r="T7" i="25"/>
  <c r="T106" i="25" s="1"/>
  <c r="O106" i="25"/>
  <c r="T7" i="33"/>
  <c r="T89" i="33" s="1"/>
  <c r="S89" i="33" s="1"/>
  <c r="O89" i="33"/>
  <c r="O85" i="20"/>
  <c r="Q85" i="20"/>
  <c r="T7" i="20"/>
  <c r="T85" i="20" s="1"/>
  <c r="S85" i="20" s="1"/>
  <c r="Q15" i="34"/>
  <c r="S15" i="34"/>
  <c r="O15" i="34"/>
  <c r="S107" i="32"/>
  <c r="X7" i="32"/>
  <c r="X107" i="32" s="1"/>
  <c r="AB7" i="32" s="1"/>
  <c r="AB107" i="32" s="1"/>
  <c r="AA107" i="32" s="1"/>
  <c r="BB86" i="1"/>
  <c r="AX86" i="1"/>
  <c r="S15" i="20"/>
  <c r="O15" i="20"/>
  <c r="AX88" i="1"/>
  <c r="H4" i="6"/>
  <c r="K92" i="18" l="1"/>
  <c r="L7" i="18"/>
  <c r="X7" i="34"/>
  <c r="X94" i="34" s="1"/>
  <c r="AB7" i="34" s="1"/>
  <c r="AB94" i="34" s="1"/>
  <c r="AA94" i="34" s="1"/>
  <c r="T15" i="17"/>
  <c r="S15" i="17" s="1"/>
  <c r="T89" i="17"/>
  <c r="X7" i="20"/>
  <c r="X85" i="20" s="1"/>
  <c r="AB7" i="20" s="1"/>
  <c r="AB85" i="20" s="1"/>
  <c r="AA85" i="20" s="1"/>
  <c r="W85" i="20"/>
  <c r="S106" i="25"/>
  <c r="X7" i="25"/>
  <c r="X106" i="25" s="1"/>
  <c r="AB7" i="25" s="1"/>
  <c r="AB106" i="25" s="1"/>
  <c r="AA106" i="25" s="1"/>
  <c r="W107" i="32"/>
  <c r="X7" i="33"/>
  <c r="X89" i="33" s="1"/>
  <c r="AB7" i="33" s="1"/>
  <c r="AB89" i="33" s="1"/>
  <c r="AA89" i="33" s="1"/>
  <c r="S94" i="34"/>
  <c r="G8" i="28"/>
  <c r="G14" i="27"/>
  <c r="M14" i="27" s="1"/>
  <c r="G9" i="6"/>
  <c r="H11" i="6"/>
  <c r="V8" i="28" l="1"/>
  <c r="M8" i="28"/>
  <c r="N8" i="28" s="1"/>
  <c r="O8" i="28"/>
  <c r="P8" i="28" s="1"/>
  <c r="N14" i="27"/>
  <c r="W106" i="25"/>
  <c r="W94" i="34"/>
  <c r="I11" i="6"/>
  <c r="W89" i="33"/>
  <c r="X7" i="17"/>
  <c r="S89" i="17"/>
  <c r="L92" i="18"/>
  <c r="L15" i="18"/>
  <c r="O15" i="18" s="1"/>
  <c r="G14" i="28"/>
  <c r="G11" i="6"/>
  <c r="L11" i="6"/>
  <c r="K9" i="6"/>
  <c r="H95" i="6" l="1"/>
  <c r="H96" i="6" s="1"/>
  <c r="V14" i="28"/>
  <c r="M14" i="28"/>
  <c r="N14" i="28" s="1"/>
  <c r="H15" i="6"/>
  <c r="G15" i="6" s="1"/>
  <c r="G13" i="6"/>
  <c r="H84" i="6"/>
  <c r="I84" i="6" s="1"/>
  <c r="X15" i="17"/>
  <c r="W15" i="17" s="1"/>
  <c r="X89" i="17"/>
  <c r="O92" i="18"/>
  <c r="P7" i="18"/>
  <c r="L15" i="6"/>
  <c r="M11" i="6"/>
  <c r="H9" i="36"/>
  <c r="O9" i="6"/>
  <c r="K11" i="6"/>
  <c r="S9" i="6" l="1"/>
  <c r="J8" i="27"/>
  <c r="O8" i="27"/>
  <c r="P8" i="27" s="1"/>
  <c r="I15" i="6"/>
  <c r="G51" i="27"/>
  <c r="H50" i="27"/>
  <c r="H86" i="6"/>
  <c r="H88" i="6" s="1"/>
  <c r="G88" i="6" s="1"/>
  <c r="H97" i="6"/>
  <c r="G50" i="28"/>
  <c r="G84" i="6"/>
  <c r="P92" i="18"/>
  <c r="P15" i="18"/>
  <c r="S15" i="18" s="1"/>
  <c r="AB7" i="17"/>
  <c r="W89" i="17"/>
  <c r="I8" i="28"/>
  <c r="G9" i="23"/>
  <c r="G86" i="6"/>
  <c r="L95" i="6"/>
  <c r="L96" i="6" s="1"/>
  <c r="L84" i="6"/>
  <c r="M84" i="6" s="1"/>
  <c r="K13" i="6"/>
  <c r="M15" i="6"/>
  <c r="X9" i="6"/>
  <c r="W9" i="6" s="1"/>
  <c r="Q8" i="27" l="1"/>
  <c r="R8" i="27" s="1"/>
  <c r="X8" i="27"/>
  <c r="X9" i="27" s="1"/>
  <c r="X10" i="27" s="1"/>
  <c r="J14" i="27"/>
  <c r="Q14" i="27" s="1"/>
  <c r="R14" i="27" s="1"/>
  <c r="J8" i="28"/>
  <c r="M50" i="27"/>
  <c r="N50" i="27" s="1"/>
  <c r="H51" i="27"/>
  <c r="H58" i="27" s="1"/>
  <c r="X8" i="28"/>
  <c r="Q8" i="28"/>
  <c r="R8" i="28" s="1"/>
  <c r="V50" i="28"/>
  <c r="M50" i="28"/>
  <c r="N50" i="28" s="1"/>
  <c r="G51" i="28"/>
  <c r="H50" i="28"/>
  <c r="AB89" i="17"/>
  <c r="AA89" i="17" s="1"/>
  <c r="AB15" i="17"/>
  <c r="AA15" i="17" s="1"/>
  <c r="S92" i="18"/>
  <c r="T7" i="18"/>
  <c r="K8" i="27"/>
  <c r="K8" i="28" s="1"/>
  <c r="K14" i="28" s="1"/>
  <c r="K25" i="28" s="1"/>
  <c r="L7" i="6"/>
  <c r="L86" i="6"/>
  <c r="L97" i="6"/>
  <c r="K15" i="6"/>
  <c r="AB9" i="6"/>
  <c r="AB11" i="6" s="1"/>
  <c r="X11" i="6"/>
  <c r="K84" i="6"/>
  <c r="M51" i="27" l="1"/>
  <c r="N51" i="27" s="1"/>
  <c r="V51" i="28"/>
  <c r="W50" i="28"/>
  <c r="O50" i="28"/>
  <c r="P50" i="28" s="1"/>
  <c r="E80" i="28"/>
  <c r="G58" i="28"/>
  <c r="G77" i="26" s="1"/>
  <c r="E78" i="28"/>
  <c r="E82" i="28"/>
  <c r="H51" i="28"/>
  <c r="T92" i="18"/>
  <c r="T15" i="18"/>
  <c r="W15" i="18" s="1"/>
  <c r="L8" i="27"/>
  <c r="L8" i="28" s="1"/>
  <c r="L14" i="28" s="1"/>
  <c r="L25" i="28" s="1"/>
  <c r="K14" i="27"/>
  <c r="L88" i="6"/>
  <c r="AA9" i="6"/>
  <c r="AA11" i="6"/>
  <c r="X13" i="6"/>
  <c r="K86" i="6"/>
  <c r="AB13" i="6"/>
  <c r="G76" i="42" l="1"/>
  <c r="W51" i="28"/>
  <c r="O51" i="28"/>
  <c r="P51" i="28" s="1"/>
  <c r="G77" i="28"/>
  <c r="G78" i="28" s="1"/>
  <c r="H2" i="23"/>
  <c r="H3" i="23" s="1"/>
  <c r="G78" i="26"/>
  <c r="H58" i="28"/>
  <c r="L9" i="23" s="1"/>
  <c r="W92" i="18"/>
  <c r="X7" i="18"/>
  <c r="P7" i="6"/>
  <c r="M88" i="6"/>
  <c r="K88" i="6"/>
  <c r="L14" i="27"/>
  <c r="S10" i="23"/>
  <c r="X95" i="6"/>
  <c r="X96" i="6" s="1"/>
  <c r="X84" i="6"/>
  <c r="AB95" i="6"/>
  <c r="AB96" i="6" s="1"/>
  <c r="AB84" i="6"/>
  <c r="AB15" i="6"/>
  <c r="AA13" i="6"/>
  <c r="X15" i="6"/>
  <c r="O58" i="28" l="1"/>
  <c r="P58" i="28" s="1"/>
  <c r="H76" i="42"/>
  <c r="G77" i="42"/>
  <c r="H77" i="28"/>
  <c r="H78" i="28" s="1"/>
  <c r="L2" i="23"/>
  <c r="V77" i="28"/>
  <c r="V78" i="28"/>
  <c r="H77" i="26"/>
  <c r="H78" i="26" s="1"/>
  <c r="X15" i="18"/>
  <c r="AA15" i="18" s="1"/>
  <c r="X92" i="18"/>
  <c r="X86" i="6"/>
  <c r="X97" i="6"/>
  <c r="AA15" i="6"/>
  <c r="AB86" i="6"/>
  <c r="AB97" i="6"/>
  <c r="AA84" i="6"/>
  <c r="H77" i="42" l="1"/>
  <c r="W58" i="28"/>
  <c r="K9" i="23"/>
  <c r="W77" i="28"/>
  <c r="AB7" i="18"/>
  <c r="AA92" i="18"/>
  <c r="W78" i="28"/>
  <c r="AA86" i="6"/>
  <c r="L3" i="23" l="1"/>
  <c r="AB92" i="18"/>
  <c r="AB15" i="18"/>
  <c r="D110" i="13"/>
  <c r="I110" i="13" s="1"/>
  <c r="F49" i="27" l="1"/>
  <c r="D123" i="13"/>
  <c r="G110" i="13"/>
  <c r="D113" i="13"/>
  <c r="I113" i="13" s="1"/>
  <c r="G16" i="13"/>
  <c r="D18" i="13"/>
  <c r="D124" i="13"/>
  <c r="M26" i="31" l="1"/>
  <c r="G20" i="42"/>
  <c r="H21" i="26"/>
  <c r="G18" i="13"/>
  <c r="I18" i="13"/>
  <c r="W19" i="28"/>
  <c r="D125" i="13"/>
  <c r="D126" i="13" s="1"/>
  <c r="F49" i="28"/>
  <c r="F51" i="27"/>
  <c r="D115" i="13"/>
  <c r="G113" i="13"/>
  <c r="M20" i="42" l="1"/>
  <c r="N20" i="42" s="1"/>
  <c r="G22" i="42"/>
  <c r="H23" i="26"/>
  <c r="U49" i="28"/>
  <c r="M49" i="28"/>
  <c r="N49" i="28" s="1"/>
  <c r="F58" i="27"/>
  <c r="F51" i="28"/>
  <c r="H23" i="28"/>
  <c r="G115" i="13"/>
  <c r="D117" i="13"/>
  <c r="M22" i="42" l="1"/>
  <c r="N22" i="42" s="1"/>
  <c r="G24" i="42"/>
  <c r="Q23" i="28"/>
  <c r="R23" i="28" s="1"/>
  <c r="U51" i="28"/>
  <c r="M51" i="28"/>
  <c r="N51" i="28" s="1"/>
  <c r="W23" i="28"/>
  <c r="F58" i="28"/>
  <c r="F61" i="27"/>
  <c r="H7" i="13"/>
  <c r="H117" i="13" s="1"/>
  <c r="M24" i="42" l="1"/>
  <c r="N24" i="42" s="1"/>
  <c r="G60" i="42"/>
  <c r="M58" i="28"/>
  <c r="N58" i="28" s="1"/>
  <c r="F76" i="42"/>
  <c r="F62" i="42"/>
  <c r="U58" i="28"/>
  <c r="F63" i="26"/>
  <c r="F61" i="28"/>
  <c r="U61" i="28" s="1"/>
  <c r="F77" i="26"/>
  <c r="F78" i="26" s="1"/>
  <c r="F77" i="28"/>
  <c r="F62" i="27"/>
  <c r="L7" i="13"/>
  <c r="L117" i="13" s="1"/>
  <c r="G117" i="13"/>
  <c r="G61" i="42" l="1"/>
  <c r="M60" i="42"/>
  <c r="N60" i="42" s="1"/>
  <c r="F77" i="42"/>
  <c r="F78" i="42"/>
  <c r="F79" i="42" s="1"/>
  <c r="K117" i="13"/>
  <c r="P7" i="13"/>
  <c r="P117" i="13" s="1"/>
  <c r="P5" i="13" s="1"/>
  <c r="F62" i="28"/>
  <c r="U62" i="28" s="1"/>
  <c r="U77" i="28"/>
  <c r="F79" i="26"/>
  <c r="F80" i="26" s="1"/>
  <c r="F78" i="28"/>
  <c r="U78" i="28" s="1"/>
  <c r="G60" i="27"/>
  <c r="F67" i="27"/>
  <c r="M61" i="42" l="1"/>
  <c r="N61" i="42" s="1"/>
  <c r="H59" i="42"/>
  <c r="O59" i="42" s="1"/>
  <c r="P59" i="42" s="1"/>
  <c r="G62" i="42"/>
  <c r="G78" i="42"/>
  <c r="O117" i="13"/>
  <c r="F80" i="42"/>
  <c r="F81" i="42" s="1"/>
  <c r="G60" i="28"/>
  <c r="F63" i="28"/>
  <c r="U63" i="28" s="1"/>
  <c r="F81" i="26"/>
  <c r="F82" i="26" s="1"/>
  <c r="F76" i="27"/>
  <c r="U76" i="28" s="1"/>
  <c r="T7" i="13"/>
  <c r="T117" i="13" s="1"/>
  <c r="S117" i="13" l="1"/>
  <c r="T5" i="13"/>
  <c r="G79" i="42"/>
  <c r="G80" i="42"/>
  <c r="G81" i="42" s="1"/>
  <c r="V60" i="28"/>
  <c r="M60" i="28"/>
  <c r="N60" i="28" s="1"/>
  <c r="F81" i="27"/>
  <c r="X7" i="13"/>
  <c r="X117" i="13" s="1"/>
  <c r="W117" i="13" s="1"/>
  <c r="F67" i="28" l="1"/>
  <c r="U67" i="28" s="1"/>
  <c r="AB7" i="13"/>
  <c r="AB117" i="13" s="1"/>
  <c r="AA117" i="13" s="1"/>
  <c r="G13" i="19"/>
  <c r="K13" i="19"/>
  <c r="G15" i="19"/>
  <c r="H96" i="19"/>
  <c r="H97" i="19" s="1"/>
  <c r="K85" i="19"/>
  <c r="F79" i="28" l="1"/>
  <c r="U79" i="28" s="1"/>
  <c r="H98" i="19"/>
  <c r="G85" i="19"/>
  <c r="H87" i="19"/>
  <c r="F81" i="28" l="1"/>
  <c r="U81" i="28" s="1"/>
  <c r="F80" i="28"/>
  <c r="U80" i="28" s="1"/>
  <c r="G87" i="19"/>
  <c r="K87" i="19"/>
  <c r="H89" i="19"/>
  <c r="F82" i="28" l="1"/>
  <c r="U82" i="28" s="1"/>
  <c r="G89" i="19"/>
  <c r="L7" i="19"/>
  <c r="L89" i="19" s="1"/>
  <c r="L15" i="19" l="1"/>
  <c r="P7" i="19" l="1"/>
  <c r="K89" i="19"/>
  <c r="K15" i="19"/>
  <c r="P89" i="19" l="1"/>
  <c r="P15" i="19"/>
  <c r="O15" i="19" l="1"/>
  <c r="T7" i="19"/>
  <c r="O89" i="19"/>
  <c r="T89" i="19" l="1"/>
  <c r="T15" i="19"/>
  <c r="S15" i="19" l="1"/>
  <c r="X7" i="19"/>
  <c r="S89" i="19"/>
  <c r="X15" i="19" l="1"/>
  <c r="X89" i="19"/>
  <c r="AB7" i="19" l="1"/>
  <c r="W89" i="19"/>
  <c r="W15" i="19"/>
  <c r="AB89" i="19" l="1"/>
  <c r="AA89" i="19" s="1"/>
  <c r="AB15" i="19"/>
  <c r="AA15" i="19" s="1"/>
  <c r="K10" i="23"/>
  <c r="H11" i="23"/>
  <c r="I11" i="23" l="1"/>
  <c r="H25" i="31"/>
  <c r="H29" i="31" s="1"/>
  <c r="H100" i="23"/>
  <c r="G11" i="23"/>
  <c r="H15" i="23"/>
  <c r="I26" i="31" l="1"/>
  <c r="G21" i="26"/>
  <c r="G23" i="27"/>
  <c r="I15" i="23"/>
  <c r="K25" i="31"/>
  <c r="G25" i="31"/>
  <c r="G58" i="27"/>
  <c r="M58" i="27" s="1"/>
  <c r="G15" i="23"/>
  <c r="G100" i="23"/>
  <c r="H102" i="23"/>
  <c r="I102" i="23" s="1"/>
  <c r="G25" i="27" l="1"/>
  <c r="M21" i="26"/>
  <c r="N21" i="26" s="1"/>
  <c r="V58" i="28"/>
  <c r="N58" i="27"/>
  <c r="G21" i="28"/>
  <c r="V24" i="28"/>
  <c r="H31" i="31"/>
  <c r="H207" i="31" s="1"/>
  <c r="G23" i="26"/>
  <c r="G25" i="26" s="1"/>
  <c r="V19" i="28"/>
  <c r="G29" i="31"/>
  <c r="L7" i="23"/>
  <c r="G102" i="23"/>
  <c r="G61" i="27" l="1"/>
  <c r="M21" i="28"/>
  <c r="N21" i="28" s="1"/>
  <c r="M23" i="26"/>
  <c r="N23" i="26" s="1"/>
  <c r="H33" i="31"/>
  <c r="G33" i="31" s="1"/>
  <c r="K31" i="31"/>
  <c r="H218" i="31"/>
  <c r="I207" i="31"/>
  <c r="G23" i="28"/>
  <c r="G207" i="31"/>
  <c r="H209" i="31"/>
  <c r="H211" i="31" s="1"/>
  <c r="L7" i="31" s="1"/>
  <c r="G62" i="27" l="1"/>
  <c r="M23" i="28"/>
  <c r="N23" i="28" s="1"/>
  <c r="O23" i="28"/>
  <c r="P23" i="28" s="1"/>
  <c r="V23" i="28"/>
  <c r="G61" i="26"/>
  <c r="G62" i="26" s="1"/>
  <c r="G79" i="26" s="1"/>
  <c r="I33" i="31"/>
  <c r="G25" i="28"/>
  <c r="G209" i="31"/>
  <c r="H60" i="27" l="1"/>
  <c r="G67" i="27"/>
  <c r="G76" i="27" s="1"/>
  <c r="V76" i="28" s="1"/>
  <c r="V25" i="28"/>
  <c r="M25" i="28"/>
  <c r="N25" i="28" s="1"/>
  <c r="H60" i="26"/>
  <c r="M60" i="26" s="1"/>
  <c r="N60" i="26" s="1"/>
  <c r="G61" i="28"/>
  <c r="G211" i="31"/>
  <c r="M60" i="27" l="1"/>
  <c r="V61" i="28"/>
  <c r="M61" i="28"/>
  <c r="N61" i="28" s="1"/>
  <c r="G63" i="26"/>
  <c r="G80" i="26"/>
  <c r="G81" i="27"/>
  <c r="G62" i="28"/>
  <c r="C105" i="5"/>
  <c r="C108" i="5" s="1"/>
  <c r="AF102" i="5"/>
  <c r="AF105" i="5" s="1"/>
  <c r="AF108" i="5" s="1"/>
  <c r="V62" i="28" l="1"/>
  <c r="M62" i="28"/>
  <c r="N62" i="28" s="1"/>
  <c r="G81" i="26"/>
  <c r="G82" i="26" s="1"/>
  <c r="G67" i="28"/>
  <c r="V67" i="28" s="1"/>
  <c r="G63" i="28"/>
  <c r="V63" i="28" s="1"/>
  <c r="H60" i="28"/>
  <c r="AG108" i="5"/>
  <c r="AG109" i="5" s="1"/>
  <c r="AF111" i="5"/>
  <c r="W60" i="28" l="1"/>
  <c r="O60" i="28"/>
  <c r="P60" i="28" s="1"/>
  <c r="G79" i="28"/>
  <c r="V79" i="28" s="1"/>
  <c r="AF113" i="5"/>
  <c r="AG111" i="5"/>
  <c r="G81" i="28" l="1"/>
  <c r="V81" i="28" s="1"/>
  <c r="G80" i="28"/>
  <c r="V80" i="28" s="1"/>
  <c r="O9" i="27"/>
  <c r="P9" i="27" s="1"/>
  <c r="T11" i="6"/>
  <c r="J50" i="28" l="1"/>
  <c r="J51" i="28" s="1"/>
  <c r="J58" i="28" s="1"/>
  <c r="J51" i="27"/>
  <c r="O10" i="6"/>
  <c r="G82" i="28"/>
  <c r="V82" i="28" s="1"/>
  <c r="W11" i="6"/>
  <c r="S10" i="6"/>
  <c r="W10" i="6"/>
  <c r="H10" i="36"/>
  <c r="H70" i="36" s="1"/>
  <c r="P11" i="6"/>
  <c r="Q11" i="6" s="1"/>
  <c r="T95" i="6"/>
  <c r="T96" i="6" s="1"/>
  <c r="T84" i="6"/>
  <c r="W13" i="6"/>
  <c r="O14" i="27"/>
  <c r="P14" i="27" s="1"/>
  <c r="I9" i="28"/>
  <c r="T15" i="6"/>
  <c r="W15" i="6" s="1"/>
  <c r="T2" i="23" l="1"/>
  <c r="T9" i="23"/>
  <c r="J58" i="27"/>
  <c r="X9" i="28"/>
  <c r="Q9" i="28"/>
  <c r="R9" i="28" s="1"/>
  <c r="P13" i="6"/>
  <c r="I50" i="27" s="1"/>
  <c r="O11" i="6"/>
  <c r="S11" i="6"/>
  <c r="H73" i="36"/>
  <c r="H77" i="36"/>
  <c r="H80" i="36" s="1"/>
  <c r="H84" i="36" s="1"/>
  <c r="H87" i="36" s="1"/>
  <c r="W84" i="6"/>
  <c r="T97" i="6"/>
  <c r="T86" i="6"/>
  <c r="W86" i="6" s="1"/>
  <c r="I51" i="27" l="1"/>
  <c r="Q50" i="27"/>
  <c r="R50" i="27" s="1"/>
  <c r="P15" i="6"/>
  <c r="Q15" i="6" s="1"/>
  <c r="S13" i="6"/>
  <c r="O13" i="6"/>
  <c r="P95" i="6"/>
  <c r="P96" i="6" s="1"/>
  <c r="P84" i="6"/>
  <c r="Q84" i="6" s="1"/>
  <c r="O50" i="27"/>
  <c r="P50" i="27" s="1"/>
  <c r="I58" i="27" l="1"/>
  <c r="Q58" i="27" s="1"/>
  <c r="R58" i="27" s="1"/>
  <c r="Q51" i="27"/>
  <c r="R51" i="27" s="1"/>
  <c r="I50" i="28"/>
  <c r="I51" i="28" s="1"/>
  <c r="O51" i="27"/>
  <c r="P51" i="27" s="1"/>
  <c r="P86" i="6"/>
  <c r="O86" i="6" s="1"/>
  <c r="S84" i="6"/>
  <c r="O84" i="6"/>
  <c r="P97" i="6"/>
  <c r="O15" i="6"/>
  <c r="S15" i="6"/>
  <c r="X50" i="28" l="1"/>
  <c r="Q50" i="28"/>
  <c r="R50" i="28" s="1"/>
  <c r="S86" i="6"/>
  <c r="P88" i="6"/>
  <c r="X51" i="28" l="1"/>
  <c r="Q51" i="28"/>
  <c r="R51" i="28" s="1"/>
  <c r="T7" i="6"/>
  <c r="T88" i="6" s="1"/>
  <c r="X7" i="6" s="1"/>
  <c r="X88" i="6" s="1"/>
  <c r="AB7" i="6" s="1"/>
  <c r="AB88" i="6" s="1"/>
  <c r="AA88" i="6" s="1"/>
  <c r="O88" i="6"/>
  <c r="W88" i="6" l="1"/>
  <c r="S88" i="6"/>
  <c r="X19" i="28" l="1"/>
  <c r="X23" i="28" l="1"/>
  <c r="K10" i="21" l="1"/>
  <c r="F9" i="22"/>
  <c r="F17" i="22" s="1"/>
  <c r="O11" i="21" l="1"/>
  <c r="G5" i="22"/>
  <c r="G9" i="22" s="1"/>
  <c r="G17" i="22" s="1"/>
  <c r="O10" i="21"/>
  <c r="K11" i="21" l="1"/>
  <c r="Q11" i="21"/>
  <c r="M11" i="21"/>
  <c r="H5" i="22"/>
  <c r="H8" i="22" s="1"/>
  <c r="H9" i="22" s="1"/>
  <c r="L13" i="21"/>
  <c r="L15" i="21" s="1"/>
  <c r="K15" i="21" s="1"/>
  <c r="L29" i="31" l="1"/>
  <c r="H5" i="42"/>
  <c r="K10" i="31"/>
  <c r="O10" i="31"/>
  <c r="L96" i="21"/>
  <c r="L97" i="21" s="1"/>
  <c r="L85" i="21"/>
  <c r="K85" i="21" s="1"/>
  <c r="O13" i="21"/>
  <c r="I5" i="22"/>
  <c r="I9" i="22" s="1"/>
  <c r="H14" i="22"/>
  <c r="H15" i="22" s="1"/>
  <c r="I12" i="22" s="1"/>
  <c r="I15" i="22" s="1"/>
  <c r="J12" i="22" s="1"/>
  <c r="AB4" i="42" l="1"/>
  <c r="AB5" i="42" s="1"/>
  <c r="O5" i="42"/>
  <c r="P5" i="42" s="1"/>
  <c r="AC4" i="42"/>
  <c r="AC5" i="42" s="1"/>
  <c r="Q5" i="42"/>
  <c r="R5" i="42" s="1"/>
  <c r="L98" i="21"/>
  <c r="O85" i="21"/>
  <c r="L87" i="21"/>
  <c r="K87" i="21" s="1"/>
  <c r="H6" i="28"/>
  <c r="H35" i="22"/>
  <c r="H36" i="22" s="1"/>
  <c r="I17" i="22"/>
  <c r="J5" i="22"/>
  <c r="H17" i="22"/>
  <c r="W6" i="28" l="1"/>
  <c r="O6" i="28"/>
  <c r="P6" i="28" s="1"/>
  <c r="Q6" i="28"/>
  <c r="R6" i="28" s="1"/>
  <c r="L89" i="21"/>
  <c r="H72" i="26" s="1"/>
  <c r="O87" i="21"/>
  <c r="J8" i="22"/>
  <c r="J9" i="22" s="1"/>
  <c r="H69" i="26" l="1"/>
  <c r="H72" i="28"/>
  <c r="W72" i="28" s="1"/>
  <c r="P7" i="21"/>
  <c r="P15" i="21" s="1"/>
  <c r="K89" i="21"/>
  <c r="M89" i="21"/>
  <c r="J14" i="22"/>
  <c r="J15" i="22" s="1"/>
  <c r="J17" i="22" s="1"/>
  <c r="P89" i="21" l="1"/>
  <c r="H73" i="28"/>
  <c r="S15" i="21"/>
  <c r="O15" i="21"/>
  <c r="J35" i="22"/>
  <c r="J36" i="22" s="1"/>
  <c r="Q89" i="21" l="1"/>
  <c r="I72" i="26"/>
  <c r="O89" i="21"/>
  <c r="T7" i="21"/>
  <c r="T89" i="21" s="1"/>
  <c r="S89" i="21" s="1"/>
  <c r="W73" i="28"/>
  <c r="H69" i="28"/>
  <c r="W69" i="28" s="1"/>
  <c r="I69" i="26" l="1"/>
  <c r="I72" i="28"/>
  <c r="X72" i="28" s="1"/>
  <c r="K73" i="26"/>
  <c r="I73" i="28"/>
  <c r="X73" i="28" s="1"/>
  <c r="X7" i="21"/>
  <c r="X89" i="21" s="1"/>
  <c r="W89" i="21" s="1"/>
  <c r="O22" i="31"/>
  <c r="K22" i="31"/>
  <c r="H11" i="42"/>
  <c r="H13" i="42" s="1"/>
  <c r="K29" i="31"/>
  <c r="M22" i="31"/>
  <c r="H12" i="26"/>
  <c r="M12" i="26" s="1"/>
  <c r="N12" i="26" s="1"/>
  <c r="I14" i="26" l="1"/>
  <c r="J69" i="28"/>
  <c r="I69" i="28"/>
  <c r="X69" i="28" s="1"/>
  <c r="AB7" i="21"/>
  <c r="AB89" i="21" s="1"/>
  <c r="AA89" i="21" s="1"/>
  <c r="K73" i="28"/>
  <c r="K69" i="28" s="1"/>
  <c r="K69" i="26"/>
  <c r="L73" i="26"/>
  <c r="L31" i="31"/>
  <c r="L33" i="31" s="1"/>
  <c r="K33" i="31" s="1"/>
  <c r="Q13" i="42"/>
  <c r="R13" i="42" s="1"/>
  <c r="O13" i="42"/>
  <c r="P13" i="42" s="1"/>
  <c r="H14" i="26"/>
  <c r="Q11" i="42"/>
  <c r="R11" i="42" s="1"/>
  <c r="O11" i="42"/>
  <c r="P11" i="42" s="1"/>
  <c r="M29" i="31"/>
  <c r="H12" i="28"/>
  <c r="O12" i="26"/>
  <c r="P12" i="26" s="1"/>
  <c r="I12" i="28" l="1"/>
  <c r="I14" i="28" s="1"/>
  <c r="I25" i="28" s="1"/>
  <c r="J12" i="28"/>
  <c r="J14" i="28" s="1"/>
  <c r="J25" i="28" s="1"/>
  <c r="J61" i="28" s="1"/>
  <c r="K12" i="26"/>
  <c r="J14" i="26"/>
  <c r="Q14" i="26" s="1"/>
  <c r="R14" i="26" s="1"/>
  <c r="L73" i="28"/>
  <c r="L69" i="28" s="1"/>
  <c r="L69" i="26"/>
  <c r="L207" i="31"/>
  <c r="O31" i="31"/>
  <c r="M33" i="31"/>
  <c r="O12" i="28"/>
  <c r="P12" i="28" s="1"/>
  <c r="W12" i="28"/>
  <c r="H14" i="28"/>
  <c r="H25" i="28" s="1"/>
  <c r="M14" i="26"/>
  <c r="N14" i="26" s="1"/>
  <c r="O14" i="26"/>
  <c r="P14" i="26" s="1"/>
  <c r="H25" i="26"/>
  <c r="X12" i="28" l="1"/>
  <c r="Q12" i="28"/>
  <c r="R12" i="28" s="1"/>
  <c r="L12" i="26"/>
  <c r="L12" i="28" s="1"/>
  <c r="K12" i="28"/>
  <c r="X14" i="28"/>
  <c r="L218" i="31"/>
  <c r="M207" i="31"/>
  <c r="L209" i="31"/>
  <c r="K209" i="31" s="1"/>
  <c r="K207" i="31"/>
  <c r="M25" i="26"/>
  <c r="N25" i="26" s="1"/>
  <c r="H61" i="26"/>
  <c r="Q14" i="28"/>
  <c r="R14" i="28" s="1"/>
  <c r="O14" i="28"/>
  <c r="P14" i="28" s="1"/>
  <c r="W14" i="28"/>
  <c r="L211" i="31" l="1"/>
  <c r="K211" i="31" s="1"/>
  <c r="H61" i="28"/>
  <c r="Q25" i="28"/>
  <c r="R25" i="28" s="1"/>
  <c r="O25" i="28"/>
  <c r="P25" i="28" s="1"/>
  <c r="M61" i="26"/>
  <c r="N61" i="26" s="1"/>
  <c r="H62" i="26"/>
  <c r="H79" i="26" s="1"/>
  <c r="P7" i="31" l="1"/>
  <c r="H62" i="28"/>
  <c r="I60" i="28" s="1"/>
  <c r="O61" i="28"/>
  <c r="P61" i="28" s="1"/>
  <c r="I60" i="26"/>
  <c r="M62" i="26"/>
  <c r="N62" i="26" s="1"/>
  <c r="H63" i="26"/>
  <c r="H80" i="26" l="1"/>
  <c r="H81" i="26"/>
  <c r="H82" i="26" s="1"/>
  <c r="O60" i="26"/>
  <c r="P60" i="26" s="1"/>
  <c r="H63" i="28"/>
  <c r="W63" i="28" s="1"/>
  <c r="O62" i="28"/>
  <c r="P62" i="28" s="1"/>
  <c r="Q60" i="28" l="1"/>
  <c r="R60" i="28" s="1"/>
  <c r="N56" i="27"/>
  <c r="N60" i="27"/>
  <c r="W56" i="28"/>
  <c r="N54" i="27"/>
  <c r="O56" i="27"/>
  <c r="P56" i="27" s="1"/>
  <c r="K54" i="27"/>
  <c r="I54" i="28"/>
  <c r="I56" i="28" s="1"/>
  <c r="I58" i="28" s="1"/>
  <c r="P9" i="23" s="1"/>
  <c r="Q54" i="28" l="1"/>
  <c r="R54" i="28" s="1"/>
  <c r="L54" i="27"/>
  <c r="K56" i="27"/>
  <c r="K61" i="27" s="1"/>
  <c r="K54" i="28"/>
  <c r="Q56" i="28"/>
  <c r="R56" i="28" s="1"/>
  <c r="X54" i="28"/>
  <c r="O58" i="27"/>
  <c r="P58" i="27" s="1"/>
  <c r="X56" i="28" l="1"/>
  <c r="X58" i="28"/>
  <c r="L56" i="27"/>
  <c r="L61" i="27" s="1"/>
  <c r="L54" i="28"/>
  <c r="K77" i="28"/>
  <c r="K78" i="28" s="1"/>
  <c r="K76" i="42"/>
  <c r="K77" i="26"/>
  <c r="K56" i="28"/>
  <c r="K62" i="42"/>
  <c r="J76" i="42"/>
  <c r="J62" i="42"/>
  <c r="J77" i="28"/>
  <c r="J78" i="28" s="1"/>
  <c r="J77" i="26"/>
  <c r="I61" i="28" l="1"/>
  <c r="Q61" i="28" s="1"/>
  <c r="R61" i="28" s="1"/>
  <c r="I76" i="42"/>
  <c r="I77" i="42" s="1"/>
  <c r="P2" i="23"/>
  <c r="I77" i="26"/>
  <c r="I78" i="26" s="1"/>
  <c r="Q58" i="28"/>
  <c r="R58" i="28" s="1"/>
  <c r="I77" i="28"/>
  <c r="I78" i="28" s="1"/>
  <c r="K77" i="42"/>
  <c r="K78" i="42"/>
  <c r="K79" i="42" s="1"/>
  <c r="K80" i="42"/>
  <c r="K81" i="42" s="1"/>
  <c r="J77" i="42"/>
  <c r="J78" i="42"/>
  <c r="J79" i="42" s="1"/>
  <c r="K78" i="26"/>
  <c r="K81" i="26"/>
  <c r="K82" i="26" s="1"/>
  <c r="J78" i="26"/>
  <c r="L77" i="26"/>
  <c r="L77" i="28"/>
  <c r="L78" i="28" s="1"/>
  <c r="L62" i="42"/>
  <c r="L56" i="28"/>
  <c r="L76" i="42"/>
  <c r="J80" i="42" l="1"/>
  <c r="J81" i="42" s="1"/>
  <c r="I62" i="28"/>
  <c r="P3" i="23"/>
  <c r="X77" i="28"/>
  <c r="X78" i="28"/>
  <c r="L78" i="42"/>
  <c r="L79" i="42" s="1"/>
  <c r="L80" i="42"/>
  <c r="L81" i="42" s="1"/>
  <c r="L77" i="42"/>
  <c r="L78" i="26"/>
  <c r="L81" i="26"/>
  <c r="L82" i="26" s="1"/>
  <c r="O9" i="23"/>
  <c r="J60" i="28" l="1"/>
  <c r="J62" i="28" s="1"/>
  <c r="J63" i="28" s="1"/>
  <c r="P11" i="23"/>
  <c r="I21" i="27" s="1"/>
  <c r="I23" i="27" s="1"/>
  <c r="I25" i="27" s="1"/>
  <c r="I61" i="27" s="1"/>
  <c r="I63" i="28"/>
  <c r="Q62" i="28"/>
  <c r="R62" i="28" s="1"/>
  <c r="P100" i="23" l="1"/>
  <c r="P15" i="23"/>
  <c r="P25" i="31"/>
  <c r="I21" i="26" s="1"/>
  <c r="I23" i="26" s="1"/>
  <c r="I20" i="42"/>
  <c r="K60" i="28"/>
  <c r="K61" i="28" s="1"/>
  <c r="K62" i="28" s="1"/>
  <c r="P29" i="31" l="1"/>
  <c r="P31" i="31" s="1"/>
  <c r="S31" i="31" s="1"/>
  <c r="Q26" i="31"/>
  <c r="O25" i="31"/>
  <c r="I21" i="28"/>
  <c r="X24" i="28"/>
  <c r="O21" i="26"/>
  <c r="P21" i="26" s="1"/>
  <c r="L60" i="28"/>
  <c r="I22" i="42"/>
  <c r="Q29" i="31" l="1"/>
  <c r="O29" i="31"/>
  <c r="P207" i="31"/>
  <c r="I24" i="42"/>
  <c r="P33" i="31"/>
  <c r="L61" i="28"/>
  <c r="L62" i="28"/>
  <c r="O23" i="26"/>
  <c r="P23" i="26" s="1"/>
  <c r="I25" i="26"/>
  <c r="Q207" i="31" l="1"/>
  <c r="P218" i="31"/>
  <c r="O207" i="31"/>
  <c r="P209" i="31"/>
  <c r="I60" i="42"/>
  <c r="X25" i="28"/>
  <c r="O25" i="26"/>
  <c r="P25" i="26" s="1"/>
  <c r="I61" i="26"/>
  <c r="O33" i="31"/>
  <c r="Q33" i="31"/>
  <c r="I62" i="26" l="1"/>
  <c r="I79" i="26" s="1"/>
  <c r="O61" i="26"/>
  <c r="P61" i="26" s="1"/>
  <c r="X61" i="28"/>
  <c r="O209" i="31"/>
  <c r="P211" i="31"/>
  <c r="O211" i="31" l="1"/>
  <c r="T7" i="31"/>
  <c r="I63" i="26"/>
  <c r="X63" i="28" s="1"/>
  <c r="O62" i="26"/>
  <c r="P62" i="26" s="1"/>
  <c r="J60" i="26"/>
  <c r="Q60" i="26" l="1"/>
  <c r="R60" i="26" s="1"/>
  <c r="I80" i="26"/>
  <c r="I81" i="26"/>
  <c r="I82" i="26" s="1"/>
  <c r="L60" i="26" l="1"/>
  <c r="L62" i="26" s="1"/>
  <c r="K63" i="26"/>
  <c r="K79" i="26"/>
  <c r="K80" i="26" s="1"/>
  <c r="L63" i="26" l="1"/>
  <c r="L79" i="26"/>
  <c r="L80" i="26" s="1"/>
  <c r="K62" i="26"/>
  <c r="S9" i="23"/>
  <c r="W9" i="23"/>
  <c r="T11" i="23"/>
  <c r="T15" i="23" s="1"/>
  <c r="T25" i="31" l="1"/>
  <c r="W25" i="31" s="1"/>
  <c r="J21" i="27"/>
  <c r="W15" i="23"/>
  <c r="S15" i="23"/>
  <c r="T100" i="23"/>
  <c r="W11" i="23"/>
  <c r="S11" i="23"/>
  <c r="T29" i="31" l="1"/>
  <c r="T31" i="31" s="1"/>
  <c r="T33" i="31" s="1"/>
  <c r="U26" i="31"/>
  <c r="Q21" i="27"/>
  <c r="R21" i="27" s="1"/>
  <c r="J23" i="27"/>
  <c r="S25" i="31"/>
  <c r="J21" i="26"/>
  <c r="S100" i="23"/>
  <c r="W100" i="23"/>
  <c r="S29" i="31" l="1"/>
  <c r="U29" i="31"/>
  <c r="W29" i="31"/>
  <c r="Q21" i="26"/>
  <c r="R21" i="26" s="1"/>
  <c r="J21" i="28"/>
  <c r="J23" i="26"/>
  <c r="Q23" i="27"/>
  <c r="R23" i="27" s="1"/>
  <c r="J25" i="27"/>
  <c r="U33" i="31"/>
  <c r="S33" i="31"/>
  <c r="W33" i="31"/>
  <c r="W31" i="31"/>
  <c r="T207" i="31"/>
  <c r="Q23" i="26" l="1"/>
  <c r="R23" i="26" s="1"/>
  <c r="J25" i="26"/>
  <c r="Q25" i="27"/>
  <c r="R25" i="27" s="1"/>
  <c r="J61" i="27"/>
  <c r="W207" i="31"/>
  <c r="U207" i="31"/>
  <c r="T218" i="31"/>
  <c r="S207" i="31"/>
  <c r="T209" i="31"/>
  <c r="Q25" i="26" l="1"/>
  <c r="R25" i="26" s="1"/>
  <c r="J61" i="26"/>
  <c r="Q61" i="27"/>
  <c r="R61" i="27" s="1"/>
  <c r="W209" i="31"/>
  <c r="T211" i="31"/>
  <c r="S209" i="31"/>
  <c r="J62" i="26" l="1"/>
  <c r="Q61" i="26"/>
  <c r="R61" i="26" s="1"/>
  <c r="S211" i="31"/>
  <c r="X7" i="31"/>
  <c r="X211" i="31" s="1"/>
  <c r="W211" i="31" s="1"/>
  <c r="Q62" i="26" l="1"/>
  <c r="R62" i="26" s="1"/>
  <c r="J63" i="26"/>
  <c r="J79" i="26"/>
  <c r="K60" i="26"/>
  <c r="AA211" i="31"/>
  <c r="AB7" i="31"/>
  <c r="AB211" i="31" s="1"/>
  <c r="J80" i="26" l="1"/>
  <c r="J81" i="26"/>
  <c r="J82" i="26" s="1"/>
  <c r="O10" i="23"/>
  <c r="L11" i="23"/>
  <c r="O11" i="23" s="1"/>
  <c r="L15" i="23" l="1"/>
  <c r="K11" i="23"/>
  <c r="M11" i="23"/>
  <c r="L100" i="23"/>
  <c r="Q11" i="23"/>
  <c r="H21" i="27"/>
  <c r="O100" i="23" l="1"/>
  <c r="L102" i="23"/>
  <c r="K100" i="23"/>
  <c r="H20" i="42"/>
  <c r="O21" i="27"/>
  <c r="P21" i="27" s="1"/>
  <c r="H23" i="27"/>
  <c r="W24" i="28"/>
  <c r="M21" i="27"/>
  <c r="N21" i="27" s="1"/>
  <c r="H21" i="28"/>
  <c r="K15" i="23"/>
  <c r="O15" i="23"/>
  <c r="Q15" i="23"/>
  <c r="M15" i="23"/>
  <c r="O21" i="28" l="1"/>
  <c r="P21" i="28" s="1"/>
  <c r="Q21" i="28"/>
  <c r="R21" i="28" s="1"/>
  <c r="O20" i="42"/>
  <c r="P20" i="42" s="1"/>
  <c r="H22" i="42"/>
  <c r="Q20" i="42"/>
  <c r="R20" i="42" s="1"/>
  <c r="H25" i="27"/>
  <c r="O23" i="27"/>
  <c r="P23" i="27" s="1"/>
  <c r="M23" i="27"/>
  <c r="N23" i="27" s="1"/>
  <c r="K102" i="23"/>
  <c r="P7" i="23"/>
  <c r="P102" i="23" s="1"/>
  <c r="L5" i="23"/>
  <c r="M102" i="23"/>
  <c r="H24" i="42" l="1"/>
  <c r="O22" i="42"/>
  <c r="P22" i="42" s="1"/>
  <c r="Q22" i="42"/>
  <c r="R22" i="42" s="1"/>
  <c r="W25" i="28"/>
  <c r="O25" i="27"/>
  <c r="P25" i="27" s="1"/>
  <c r="M25" i="27"/>
  <c r="N25" i="27" s="1"/>
  <c r="H61" i="27"/>
  <c r="P5" i="23"/>
  <c r="T7" i="23"/>
  <c r="T102" i="23" s="1"/>
  <c r="S102" i="23" s="1"/>
  <c r="Q102" i="23"/>
  <c r="O102" i="23"/>
  <c r="M61" i="27" l="1"/>
  <c r="N61" i="27" s="1"/>
  <c r="H62" i="27"/>
  <c r="O61" i="27"/>
  <c r="P61" i="27" s="1"/>
  <c r="W61" i="28"/>
  <c r="X7" i="23"/>
  <c r="X102" i="23" s="1"/>
  <c r="T5" i="23"/>
  <c r="Q24" i="42"/>
  <c r="R24" i="42" s="1"/>
  <c r="O24" i="42"/>
  <c r="P24" i="42" s="1"/>
  <c r="H60" i="42"/>
  <c r="AB7" i="23" l="1"/>
  <c r="AB102" i="23" s="1"/>
  <c r="AA102" i="23" s="1"/>
  <c r="W62" i="28"/>
  <c r="H67" i="27"/>
  <c r="H76" i="27" s="1"/>
  <c r="W76" i="28" s="1"/>
  <c r="M62" i="27"/>
  <c r="N62" i="27" s="1"/>
  <c r="I60" i="27"/>
  <c r="Q60" i="42"/>
  <c r="R60" i="42" s="1"/>
  <c r="H61" i="42"/>
  <c r="O60" i="42"/>
  <c r="P60" i="42" s="1"/>
  <c r="W102" i="23"/>
  <c r="H81" i="27" l="1"/>
  <c r="H67" i="28" s="1"/>
  <c r="O60" i="27"/>
  <c r="P60" i="27" s="1"/>
  <c r="I62" i="27"/>
  <c r="X60" i="28"/>
  <c r="I59" i="42"/>
  <c r="H62" i="42"/>
  <c r="H78" i="42"/>
  <c r="O61" i="42"/>
  <c r="P61" i="42" s="1"/>
  <c r="H79" i="42" l="1"/>
  <c r="H80" i="42"/>
  <c r="H81" i="42" s="1"/>
  <c r="I76" i="27"/>
  <c r="X76" i="28" s="1"/>
  <c r="J60" i="27"/>
  <c r="O62" i="27"/>
  <c r="P62" i="27" s="1"/>
  <c r="I67" i="27"/>
  <c r="X62" i="28"/>
  <c r="Q59" i="42"/>
  <c r="R59" i="42" s="1"/>
  <c r="I61" i="42"/>
  <c r="H79" i="28"/>
  <c r="H81" i="28"/>
  <c r="W67" i="28"/>
  <c r="Q60" i="27" l="1"/>
  <c r="R60" i="27" s="1"/>
  <c r="J62" i="27"/>
  <c r="W81" i="28"/>
  <c r="H82" i="28"/>
  <c r="W82" i="28" s="1"/>
  <c r="W79" i="28"/>
  <c r="H80" i="28"/>
  <c r="W80" i="28" s="1"/>
  <c r="I81" i="27"/>
  <c r="I67" i="28" s="1"/>
  <c r="I62" i="42"/>
  <c r="J59" i="42"/>
  <c r="I78" i="42"/>
  <c r="Q61" i="42"/>
  <c r="R61" i="42" s="1"/>
  <c r="I79" i="28" l="1"/>
  <c r="I81" i="28"/>
  <c r="X67" i="28"/>
  <c r="J67" i="27"/>
  <c r="J76" i="27" s="1"/>
  <c r="Q62" i="27"/>
  <c r="R62" i="27" s="1"/>
  <c r="K60" i="27"/>
  <c r="K62" i="27" s="1"/>
  <c r="I79" i="42"/>
  <c r="I80" i="42"/>
  <c r="I81" i="42" s="1"/>
  <c r="L60" i="27" l="1"/>
  <c r="L62" i="27" s="1"/>
  <c r="K67" i="27"/>
  <c r="K81" i="27" s="1"/>
  <c r="K67" i="28" s="1"/>
  <c r="X81" i="28"/>
  <c r="I82" i="28"/>
  <c r="X82" i="28" s="1"/>
  <c r="J81" i="27"/>
  <c r="J67" i="28" s="1"/>
  <c r="I80" i="28"/>
  <c r="X80" i="28" s="1"/>
  <c r="X79" i="28"/>
  <c r="K76" i="27" l="1"/>
  <c r="K81" i="28"/>
  <c r="K82" i="28" s="1"/>
  <c r="K79" i="28"/>
  <c r="K80" i="28" s="1"/>
  <c r="J79" i="28"/>
  <c r="J80" i="28" s="1"/>
  <c r="L67" i="27"/>
  <c r="L81" i="27" s="1"/>
  <c r="L67" i="28" s="1"/>
  <c r="L76" i="27" l="1"/>
  <c r="J81" i="28"/>
  <c r="J82" i="28" s="1"/>
  <c r="L81" i="28"/>
  <c r="L82" i="28" s="1"/>
  <c r="L79" i="28"/>
  <c r="L80" i="28" s="1"/>
</calcChain>
</file>

<file path=xl/comments1.xml><?xml version="1.0" encoding="utf-8"?>
<comments xmlns="http://schemas.openxmlformats.org/spreadsheetml/2006/main">
  <authors>
    <author>Cheryl Phan</author>
  </authors>
  <commentList>
    <comment ref="C100" authorId="0">
      <text>
        <r>
          <rPr>
            <sz val="9"/>
            <color indexed="81"/>
            <rFont val="Tahoma"/>
            <family val="2"/>
          </rPr>
          <t>Solution Tree</t>
        </r>
      </text>
    </comment>
    <comment ref="C101" authorId="0">
      <text>
        <r>
          <rPr>
            <sz val="9"/>
            <color indexed="81"/>
            <rFont val="Tahoma"/>
            <family val="2"/>
          </rPr>
          <t>2 days inservice</t>
        </r>
      </text>
    </comment>
    <comment ref="C102" authorId="0">
      <text>
        <r>
          <rPr>
            <sz val="9"/>
            <color indexed="81"/>
            <rFont val="Tahoma"/>
            <family val="2"/>
          </rPr>
          <t>Indirect costs, but could be less, depending on how much we actually expense this year</t>
        </r>
      </text>
    </comment>
  </commentList>
</comments>
</file>

<file path=xl/sharedStrings.xml><?xml version="1.0" encoding="utf-8"?>
<sst xmlns="http://schemas.openxmlformats.org/spreadsheetml/2006/main" count="4677" uniqueCount="1119">
  <si>
    <t>TOTAL EXPENDITURES</t>
  </si>
  <si>
    <t>5000</t>
  </si>
  <si>
    <t>Outside Transp.</t>
  </si>
  <si>
    <t>5817</t>
  </si>
  <si>
    <t>Other Services</t>
  </si>
  <si>
    <t>5814</t>
  </si>
  <si>
    <t>Outside Services</t>
  </si>
  <si>
    <t>5813</t>
  </si>
  <si>
    <t>Consultants</t>
  </si>
  <si>
    <t>5807</t>
  </si>
  <si>
    <t>Field Trip Transp.</t>
  </si>
  <si>
    <t>5725</t>
  </si>
  <si>
    <t>Membership/Dues</t>
  </si>
  <si>
    <t>5310</t>
  </si>
  <si>
    <t>Conf. &amp; Travel</t>
  </si>
  <si>
    <t>5213</t>
  </si>
  <si>
    <t>Services, Other Oprtng Exp.</t>
  </si>
  <si>
    <t>Non-cap. Equipment</t>
  </si>
  <si>
    <t>4400</t>
  </si>
  <si>
    <t>Non-Inst. Materials</t>
  </si>
  <si>
    <t xml:space="preserve">4353 </t>
  </si>
  <si>
    <t>Inst. Materials</t>
  </si>
  <si>
    <t>4310</t>
  </si>
  <si>
    <t>Other Books</t>
  </si>
  <si>
    <t>4210</t>
  </si>
  <si>
    <t>Supplies</t>
  </si>
  <si>
    <t>Total Salaries and Benefits</t>
  </si>
  <si>
    <t>Benefits</t>
  </si>
  <si>
    <t xml:space="preserve">  </t>
  </si>
  <si>
    <t>Sub. Office</t>
  </si>
  <si>
    <t>2481</t>
  </si>
  <si>
    <t>Secretary</t>
  </si>
  <si>
    <t>2404</t>
  </si>
  <si>
    <t>Extra Clss Support</t>
  </si>
  <si>
    <t>2273</t>
  </si>
  <si>
    <t>Classified</t>
  </si>
  <si>
    <t>Inst. Coaches</t>
  </si>
  <si>
    <t>1901</t>
  </si>
  <si>
    <t>Director</t>
  </si>
  <si>
    <t>1305</t>
  </si>
  <si>
    <t>Counselor</t>
  </si>
  <si>
    <t>1204</t>
  </si>
  <si>
    <t>Subs</t>
  </si>
  <si>
    <t>1181</t>
  </si>
  <si>
    <t>Supplemental Tchr.</t>
  </si>
  <si>
    <t>1112</t>
  </si>
  <si>
    <t xml:space="preserve">Certificated </t>
  </si>
  <si>
    <t>Notes</t>
  </si>
  <si>
    <t>Budget</t>
  </si>
  <si>
    <t>Balance</t>
  </si>
  <si>
    <t xml:space="preserve">TOTAL AVAILABLE </t>
  </si>
  <si>
    <t>Prior Carryover</t>
  </si>
  <si>
    <t>Revenue</t>
  </si>
  <si>
    <t xml:space="preserve">Current Year </t>
  </si>
  <si>
    <t>Beginning Balance</t>
  </si>
  <si>
    <t>2016-2017</t>
  </si>
  <si>
    <t>Multi-year Projection</t>
  </si>
  <si>
    <t>District Office</t>
  </si>
  <si>
    <t>Site:</t>
  </si>
  <si>
    <t>RESC #:</t>
  </si>
  <si>
    <t>Title I, Part A</t>
  </si>
  <si>
    <t>Program:</t>
  </si>
  <si>
    <t>Rec'd</t>
  </si>
  <si>
    <t>To be rec'd</t>
  </si>
  <si>
    <t>Indirect Costs</t>
  </si>
  <si>
    <t>1110</t>
  </si>
  <si>
    <t>Intervention Tchr.</t>
  </si>
  <si>
    <t>1208</t>
  </si>
  <si>
    <t>Parent Instruction</t>
  </si>
  <si>
    <t>2101</t>
  </si>
  <si>
    <t>Para Lrning Asstnt</t>
  </si>
  <si>
    <t>Babysitter</t>
  </si>
  <si>
    <t>2901</t>
  </si>
  <si>
    <t>2924</t>
  </si>
  <si>
    <t>Parent Ed. Aide</t>
  </si>
  <si>
    <t>200 - DO</t>
  </si>
  <si>
    <t>STRS</t>
  </si>
  <si>
    <t>PERS</t>
  </si>
  <si>
    <t>SS</t>
  </si>
  <si>
    <t>Medicare</t>
  </si>
  <si>
    <t>H&amp;W</t>
  </si>
  <si>
    <t>SUI</t>
  </si>
  <si>
    <t>W/C</t>
  </si>
  <si>
    <t>310X</t>
  </si>
  <si>
    <t>320X</t>
  </si>
  <si>
    <t>330X</t>
  </si>
  <si>
    <t>331X</t>
  </si>
  <si>
    <t>340X</t>
  </si>
  <si>
    <t>350X</t>
  </si>
  <si>
    <t>360X</t>
  </si>
  <si>
    <t>370X</t>
  </si>
  <si>
    <t>390X</t>
  </si>
  <si>
    <t>OPEB</t>
  </si>
  <si>
    <t>Other Benefits</t>
  </si>
  <si>
    <t>4211</t>
  </si>
  <si>
    <t>4212</t>
  </si>
  <si>
    <t>Reference Books</t>
  </si>
  <si>
    <t>Library Books</t>
  </si>
  <si>
    <t xml:space="preserve">Report ran on </t>
  </si>
  <si>
    <t>010 - CFB</t>
  </si>
  <si>
    <t>020 - SH</t>
  </si>
  <si>
    <t>030 - SO</t>
  </si>
  <si>
    <t>040 - ST</t>
  </si>
  <si>
    <t>050 - SC</t>
  </si>
  <si>
    <t>060 - Sylvan</t>
  </si>
  <si>
    <t>070 - Woodrow</t>
  </si>
  <si>
    <t>080 - EU</t>
  </si>
  <si>
    <t>090 - OR</t>
  </si>
  <si>
    <t>110 - DS</t>
  </si>
  <si>
    <t>120 - MAS</t>
  </si>
  <si>
    <t>130 - CR</t>
  </si>
  <si>
    <t>15% c/o to 17-18</t>
  </si>
  <si>
    <t>Prior Year Current Year</t>
  </si>
  <si>
    <t>Total Current Year Award</t>
  </si>
  <si>
    <t>2910</t>
  </si>
  <si>
    <t>A. Bandy</t>
  </si>
  <si>
    <t>M. Reed</t>
  </si>
  <si>
    <t>Interpreters</t>
  </si>
  <si>
    <t>TOTAL</t>
  </si>
  <si>
    <t>S. Drabert, G. Mroczka, V. Shuping, add L.. Crawford</t>
  </si>
  <si>
    <t>5752</t>
  </si>
  <si>
    <t>Direct Srvc-Food Srvc.</t>
  </si>
  <si>
    <t>5809</t>
  </si>
  <si>
    <t>Fees</t>
  </si>
  <si>
    <t>5908</t>
  </si>
  <si>
    <t>Postage</t>
  </si>
  <si>
    <t>5806</t>
  </si>
  <si>
    <t>Outside Interpreter</t>
  </si>
  <si>
    <t>5607</t>
  </si>
  <si>
    <t>Repairs-Other</t>
  </si>
  <si>
    <t>Solution Tree PLC</t>
  </si>
  <si>
    <t>Inservice, Aug. 7-8</t>
  </si>
  <si>
    <t>2016-17 c/o to be expensed in 2017-18</t>
  </si>
  <si>
    <t>Move L. Crawford from  RS 0654</t>
  </si>
  <si>
    <t>Alt. Spprt.</t>
  </si>
  <si>
    <t>Must be expensed
 by Sept. 30, 2017</t>
  </si>
  <si>
    <t>ENDING FUND BALANCE</t>
  </si>
  <si>
    <t>TOTAL REVENUE</t>
  </si>
  <si>
    <t>NET INCRS/DCRS TO FB</t>
  </si>
  <si>
    <t>10% cut, 15% to 18-19</t>
  </si>
  <si>
    <t>Multi-Year Projection Assumptions</t>
  </si>
  <si>
    <t xml:space="preserve"> </t>
  </si>
  <si>
    <t>Local Control Funding Formula</t>
  </si>
  <si>
    <t>COLA</t>
  </si>
  <si>
    <t>Gap Funding %</t>
  </si>
  <si>
    <t>UPP</t>
  </si>
  <si>
    <t>(Unduplicated Pupil Count)</t>
  </si>
  <si>
    <t>Enrollment and ADA (Average Daily Attendance)</t>
  </si>
  <si>
    <t>Enrollment</t>
  </si>
  <si>
    <t>Increase / (Decrease)</t>
  </si>
  <si>
    <t>ADA</t>
  </si>
  <si>
    <t>3-Year Average Retention</t>
  </si>
  <si>
    <t>Federal, State, and Local Revenues</t>
  </si>
  <si>
    <t xml:space="preserve">Federal, State, and Local revenues were adjusted for one-time revenues and Federal carryover. </t>
  </si>
  <si>
    <t>Federal</t>
  </si>
  <si>
    <t>State</t>
  </si>
  <si>
    <t>Local</t>
  </si>
  <si>
    <t>Salaries and Benefits</t>
  </si>
  <si>
    <t>The following are employer contribution rates for the projected years:</t>
  </si>
  <si>
    <t>Supplies, Services, Capital Outlay, and Other Outgo</t>
  </si>
  <si>
    <t>One-time expenditures and CPI (consumer price index) were applied in resources, programs, and object categories as applicable.</t>
  </si>
  <si>
    <t>The following interfund transfers are assumed to be ongoing:</t>
  </si>
  <si>
    <t>To Fund 20 - Special Reserve for Postemployment Benefits</t>
  </si>
  <si>
    <t>To Fund 40 - Special Reserve for Equipment Replacement</t>
  </si>
  <si>
    <t>Certificated and classified salaries assumed a 2% step and column increase.</t>
  </si>
  <si>
    <t>No change</t>
  </si>
  <si>
    <t xml:space="preserve">CPI </t>
  </si>
  <si>
    <t>PY cut by 10%</t>
  </si>
  <si>
    <t>15% carryover to 18-19</t>
  </si>
  <si>
    <t>No est. c/o to 19-20</t>
  </si>
  <si>
    <t>PY cut by 5%</t>
  </si>
  <si>
    <t>5% cut</t>
  </si>
  <si>
    <t>SALY</t>
  </si>
  <si>
    <t>Flat</t>
  </si>
  <si>
    <t>15-16 c/o</t>
  </si>
  <si>
    <t>EXPENDITURES</t>
  </si>
  <si>
    <t>Current Year</t>
  </si>
  <si>
    <t>Title II, Part A</t>
  </si>
  <si>
    <t>1312</t>
  </si>
  <si>
    <t>Total SITES</t>
  </si>
  <si>
    <t>Total DO, w/ I/C</t>
  </si>
  <si>
    <t>Title III, LEP</t>
  </si>
  <si>
    <t>Total Allocation</t>
  </si>
  <si>
    <t>Obj 4300-Chromebooks</t>
  </si>
  <si>
    <t>Obj 4400-Carts</t>
  </si>
  <si>
    <t>Obj 4300-Camp materials</t>
  </si>
  <si>
    <t>T. Exp. w/NO Alt.Support</t>
  </si>
  <si>
    <t>Alt. Support Allocation</t>
  </si>
  <si>
    <t>Obj 5727-Transportation</t>
  </si>
  <si>
    <t>Obj 4300-Other supplies</t>
  </si>
  <si>
    <t>Alternative Support Budget - ORGN 2224</t>
  </si>
  <si>
    <t>Obj 1110-Before/After Schl</t>
  </si>
  <si>
    <t>Certificated Salary</t>
  </si>
  <si>
    <t>Amber Wethern</t>
  </si>
  <si>
    <t>Tedde' Vaupel</t>
  </si>
  <si>
    <t>Nancee Davis</t>
  </si>
  <si>
    <t>Scott Ferreira</t>
  </si>
  <si>
    <t xml:space="preserve">Bfor/AftrSchl, Camps </t>
  </si>
  <si>
    <t xml:space="preserve">Para </t>
  </si>
  <si>
    <t>Classified Salary</t>
  </si>
  <si>
    <t>060 - SY</t>
  </si>
  <si>
    <t>070 - WO</t>
  </si>
  <si>
    <t>Mentor Stipends, 5 @ $2000 each</t>
  </si>
  <si>
    <t>1923</t>
  </si>
  <si>
    <t>Mentors</t>
  </si>
  <si>
    <t>S. Drabert, G. Mroczka, V. Shuping, L. Crawford
Counselors: 4 Title I + 7 Base Gen. Fund = 11 Total</t>
  </si>
  <si>
    <t>7 @ 89.5% Rs 3010, 10.5% R4203 - M.Baker, E.Balaam, 
          Y.Hall, H.Gaylor, J. Sanderson, T. Shuford, H.Smith
0.5 - S.Eddington @ 45% Rs 4203, 5% Rs 3010
         S .Eddington 50% R6264, OBJ1312-Inst Admin Specialist</t>
  </si>
  <si>
    <t>1900</t>
  </si>
  <si>
    <t xml:space="preserve">Classified </t>
  </si>
  <si>
    <t>15-16 adjusment</t>
  </si>
  <si>
    <t>16-17 Prelim</t>
  </si>
  <si>
    <t>Big Valley Private Schl</t>
  </si>
  <si>
    <t>PY Adjustment</t>
  </si>
  <si>
    <t>Per ConApp</t>
  </si>
  <si>
    <t>c/o from PY</t>
  </si>
  <si>
    <t>est c/o to next year</t>
  </si>
  <si>
    <t>est c/o from PY</t>
  </si>
  <si>
    <t>est c/o to new year</t>
  </si>
  <si>
    <t>Removed</t>
  </si>
  <si>
    <t>Title III, Immigrant</t>
  </si>
  <si>
    <t xml:space="preserve"> 16-17 c/o</t>
  </si>
  <si>
    <t>Exp. 1XXX-5999</t>
  </si>
  <si>
    <t>I/C</t>
  </si>
  <si>
    <t>Medi-Cal Billing Option</t>
  </si>
  <si>
    <t>Nurse</t>
  </si>
  <si>
    <t>Sub Support Staff</t>
  </si>
  <si>
    <t>ASES - After School</t>
  </si>
  <si>
    <t>Intervention Tchr</t>
  </si>
  <si>
    <t>After Schl Aide</t>
  </si>
  <si>
    <t>Federal Special Ed</t>
  </si>
  <si>
    <t>Vocational Nurse</t>
  </si>
  <si>
    <t>Other Out Go</t>
  </si>
  <si>
    <t>Adjusted</t>
  </si>
  <si>
    <t>Local Asst Trnsfr</t>
  </si>
  <si>
    <t>State Special Ed</t>
  </si>
  <si>
    <t>SpEd, Private Schl</t>
  </si>
  <si>
    <t>Speech Therapist</t>
  </si>
  <si>
    <t>8097-Property Tax</t>
  </si>
  <si>
    <t>Fees For Service</t>
  </si>
  <si>
    <t>AB 602-ST SpEd Rev</t>
  </si>
  <si>
    <t>Contribution</t>
  </si>
  <si>
    <t>Special Ed Instrcton</t>
  </si>
  <si>
    <t>13XX</t>
  </si>
  <si>
    <t>Mentor</t>
  </si>
  <si>
    <t>22XX</t>
  </si>
  <si>
    <t>Paras, Subs</t>
  </si>
  <si>
    <t>29XX</t>
  </si>
  <si>
    <t>4XXX</t>
  </si>
  <si>
    <t>Special Ed Supplies</t>
  </si>
  <si>
    <t>FFS Sub Agreements</t>
  </si>
  <si>
    <t>SpEd Outside Agnc.</t>
  </si>
  <si>
    <t>Mileage</t>
  </si>
  <si>
    <t>Travel &amp; Conference</t>
  </si>
  <si>
    <t>Rental, Other</t>
  </si>
  <si>
    <t>Repairs, Other</t>
  </si>
  <si>
    <t>Direct Srvc, Food Srvc</t>
  </si>
  <si>
    <t>Legal Expese</t>
  </si>
  <si>
    <t>Interpreter Srvc.</t>
  </si>
  <si>
    <t>Physicals, TB test</t>
  </si>
  <si>
    <t>Outside Transportation</t>
  </si>
  <si>
    <t>Excess Cost-Tuition</t>
  </si>
  <si>
    <t>Transportation</t>
  </si>
  <si>
    <t>Trnsfr, Apportionment</t>
  </si>
  <si>
    <t>Exp. 1XXX-7999</t>
  </si>
  <si>
    <t>Same as last year</t>
  </si>
  <si>
    <t>SELPA, Mental Hlth</t>
  </si>
  <si>
    <t>BCBA</t>
  </si>
  <si>
    <t>Prop. 39 CA Clean Energy Jobs Act</t>
  </si>
  <si>
    <t>Completed</t>
  </si>
  <si>
    <t>CEC Loan</t>
  </si>
  <si>
    <t>Other Sources</t>
  </si>
  <si>
    <t>Educator Effectiveness</t>
  </si>
  <si>
    <t>Teacher subs</t>
  </si>
  <si>
    <t>Lottery, I/M</t>
  </si>
  <si>
    <t>Instructional Materials</t>
  </si>
  <si>
    <t>Textbooks &amp; Consumables</t>
  </si>
  <si>
    <t>I/M Schedule</t>
  </si>
  <si>
    <t>2.66% = COLA</t>
  </si>
  <si>
    <t>Rs 0617 - IMRP</t>
  </si>
  <si>
    <t>Beginning Bal.</t>
  </si>
  <si>
    <t>Ongoing Contrb.</t>
  </si>
  <si>
    <t>Other Contrb.</t>
  </si>
  <si>
    <t>Expenditures</t>
  </si>
  <si>
    <t>Ending Fund Bal.</t>
  </si>
  <si>
    <t>Rs 6300 - Lottery, I/M</t>
  </si>
  <si>
    <t>Checks</t>
  </si>
  <si>
    <t>2016-17</t>
  </si>
  <si>
    <t>2017-18</t>
  </si>
  <si>
    <t>2018-19</t>
  </si>
  <si>
    <t>2019-20</t>
  </si>
  <si>
    <t>2020-21</t>
  </si>
  <si>
    <t>2021-22</t>
  </si>
  <si>
    <t>2022-23</t>
  </si>
  <si>
    <t>Ongoing/Annual Expenditures</t>
  </si>
  <si>
    <t>Instructional Materials Adoptions</t>
  </si>
  <si>
    <t>Math</t>
  </si>
  <si>
    <t>English Language Arts/ELD</t>
  </si>
  <si>
    <t>History-Social Sciences</t>
  </si>
  <si>
    <t>Science</t>
  </si>
  <si>
    <t>Health</t>
  </si>
  <si>
    <t>World Language</t>
  </si>
  <si>
    <t>Visual &amp; Performing Arts</t>
  </si>
  <si>
    <t>Physical Ed (Content Standards Only Req)</t>
  </si>
  <si>
    <t>Ongoing/Major Maintenance</t>
  </si>
  <si>
    <t>Contribution -3%</t>
  </si>
  <si>
    <t>Add'l Contribution</t>
  </si>
  <si>
    <t>Maintenance</t>
  </si>
  <si>
    <t>Custodians</t>
  </si>
  <si>
    <t>Extra-time Suppor</t>
  </si>
  <si>
    <t>Materials &amp; Supplies</t>
  </si>
  <si>
    <t>Custodial Suppies</t>
  </si>
  <si>
    <t>Fuel</t>
  </si>
  <si>
    <t>Repair Parts</t>
  </si>
  <si>
    <t>Vehicle Parts</t>
  </si>
  <si>
    <t>Office Supplies</t>
  </si>
  <si>
    <t>Computer Supplies</t>
  </si>
  <si>
    <t>Non-Cap Equipment</t>
  </si>
  <si>
    <t>Disposal Services</t>
  </si>
  <si>
    <t>Electricity</t>
  </si>
  <si>
    <t>Repairs and Rentals</t>
  </si>
  <si>
    <t>Repairs-Equipment</t>
  </si>
  <si>
    <t>Rental-Equipment</t>
  </si>
  <si>
    <t>Repairs-Vehicle</t>
  </si>
  <si>
    <t>Maintenance Agreements</t>
  </si>
  <si>
    <t>Services</t>
  </si>
  <si>
    <t>Architect Fees</t>
  </si>
  <si>
    <t>Cell Phones</t>
  </si>
  <si>
    <t>Postage/Delivery</t>
  </si>
  <si>
    <t>Capital Outlay</t>
  </si>
  <si>
    <t>New Equip. over $5k</t>
  </si>
  <si>
    <t>Equipment Replacement</t>
  </si>
  <si>
    <t>3% of total exp. &amp; TFs out</t>
  </si>
  <si>
    <t>TUPE</t>
  </si>
  <si>
    <t>Obj. 8677-Interagency</t>
  </si>
  <si>
    <t>Facilities Improvement</t>
  </si>
  <si>
    <t>Hazardous Waste Removal</t>
  </si>
  <si>
    <t>DSA Plan Check Fees</t>
  </si>
  <si>
    <t>Permanent Construction</t>
  </si>
  <si>
    <t>Other Costs-Construction</t>
  </si>
  <si>
    <t>Labor Compliance Prgm.</t>
  </si>
  <si>
    <t>Construction Testing</t>
  </si>
  <si>
    <t>Inspection</t>
  </si>
  <si>
    <t>6XXX</t>
  </si>
  <si>
    <t xml:space="preserve">UNRESTRICTED </t>
  </si>
  <si>
    <t>REVENUES</t>
  </si>
  <si>
    <t>Local Control Funding Formula - LCFF</t>
  </si>
  <si>
    <t>Federal Revenues</t>
  </si>
  <si>
    <t>Other State Revenues</t>
  </si>
  <si>
    <t>One-Time  Mandate Reimbursement</t>
  </si>
  <si>
    <t>Other Local Revenues</t>
  </si>
  <si>
    <t>Total Revenues</t>
  </si>
  <si>
    <t>EXPENSES</t>
  </si>
  <si>
    <t>Certificated Salaries</t>
  </si>
  <si>
    <t xml:space="preserve">Classified Salaries </t>
  </si>
  <si>
    <t>Employee Benefits</t>
  </si>
  <si>
    <t>Other Supplies &amp; Materials</t>
  </si>
  <si>
    <t xml:space="preserve">Services &amp; Other Operating Expenditures   </t>
  </si>
  <si>
    <t xml:space="preserve">Other Outgo </t>
  </si>
  <si>
    <t xml:space="preserve">Direct Support/Indirect Costs    </t>
  </si>
  <si>
    <t>Total Expenses</t>
  </si>
  <si>
    <t>Interfund Transfers Out</t>
  </si>
  <si>
    <t>Interfund Transfers In</t>
  </si>
  <si>
    <t>Other Uses</t>
  </si>
  <si>
    <t>Contributions</t>
  </si>
  <si>
    <t>Total Other Financing Sources &amp; Uses</t>
  </si>
  <si>
    <t>NET INCREASE/(DECREASE) IN FUND BALANCE</t>
  </si>
  <si>
    <t>GENERAL FUND - COMPONENTS OF ENDING FUND BALANCE</t>
  </si>
  <si>
    <t>Nonspendable: Revolving Cash</t>
  </si>
  <si>
    <t>Restricted</t>
  </si>
  <si>
    <t>Committed</t>
  </si>
  <si>
    <t>Assigned</t>
  </si>
  <si>
    <t>Insurance Deductibles</t>
  </si>
  <si>
    <t>Professional Learning</t>
  </si>
  <si>
    <t>Unassigned/Unappropriated</t>
  </si>
  <si>
    <t>Reserve for Economic Uncertainties (REU)</t>
  </si>
  <si>
    <t>Unassigned/Unappropriated Amount</t>
  </si>
  <si>
    <t>TOTAL COMPONENTS OF ENDING FUND BALANCE</t>
  </si>
  <si>
    <t>RESTRICTED</t>
  </si>
  <si>
    <t>Federal Carryover</t>
  </si>
  <si>
    <t>Prop. 39, CA Clean Energy Jobs Act</t>
  </si>
  <si>
    <r>
      <t xml:space="preserve">Services &amp; Other Operating Expenditures   </t>
    </r>
    <r>
      <rPr>
        <sz val="14"/>
        <color indexed="10"/>
        <rFont val="Cambria"/>
        <family val="1"/>
        <scheme val="major"/>
      </rPr>
      <t xml:space="preserve"> </t>
    </r>
  </si>
  <si>
    <r>
      <t xml:space="preserve">Other Outgo  </t>
    </r>
    <r>
      <rPr>
        <sz val="14"/>
        <color indexed="10"/>
        <rFont val="Cambria"/>
        <family val="1"/>
        <scheme val="major"/>
      </rPr>
      <t xml:space="preserve"> </t>
    </r>
  </si>
  <si>
    <t xml:space="preserve">Direct Support/Indirect Costs </t>
  </si>
  <si>
    <t>BEGINNING FUND BALANCE</t>
  </si>
  <si>
    <t>COMPONENTS OF ENDING FUND BALANCE</t>
  </si>
  <si>
    <t>Total Components of Ending Fund Balance</t>
  </si>
  <si>
    <t>One-Time State Revenues</t>
  </si>
  <si>
    <t>One-Time Local Revenues</t>
  </si>
  <si>
    <t xml:space="preserve">Other Outgo  </t>
  </si>
  <si>
    <t xml:space="preserve">Direct Support/Indirect Costs   </t>
  </si>
  <si>
    <r>
      <t xml:space="preserve">Interfund Transfers Out </t>
    </r>
    <r>
      <rPr>
        <sz val="14"/>
        <color indexed="12"/>
        <rFont val="Cambria"/>
        <family val="1"/>
        <scheme val="major"/>
      </rPr>
      <t xml:space="preserve"> </t>
    </r>
  </si>
  <si>
    <t>Special Education (RS 6500)</t>
  </si>
  <si>
    <t>Ongoing &amp; Major Maintenance (RS 8150)</t>
  </si>
  <si>
    <t>Facilities Improvement (RS 9225)</t>
  </si>
  <si>
    <t>Social Security</t>
  </si>
  <si>
    <t>2015-2016</t>
  </si>
  <si>
    <t>Contributions To Restricted Programs:</t>
  </si>
  <si>
    <t>LCFF Supp/Conc</t>
  </si>
  <si>
    <t>LCFF</t>
  </si>
  <si>
    <t>Art Teachers</t>
  </si>
  <si>
    <t>Music  Teachers</t>
  </si>
  <si>
    <t>Advisor Stipends</t>
  </si>
  <si>
    <t>Substitute Teachers</t>
  </si>
  <si>
    <t>Asst. Principal</t>
  </si>
  <si>
    <t>Directors</t>
  </si>
  <si>
    <t>Paraprofessionals</t>
  </si>
  <si>
    <t xml:space="preserve">From Title III, LEP </t>
  </si>
  <si>
    <t>43XX</t>
  </si>
  <si>
    <t>Travel &amp; Conference, Mileage</t>
  </si>
  <si>
    <t>6th Grade Outdoor Ed</t>
  </si>
  <si>
    <t>52XX</t>
  </si>
  <si>
    <t>560X</t>
  </si>
  <si>
    <t>Rental/ /Repairs-Equipment</t>
  </si>
  <si>
    <t>Field Trip Transportation</t>
  </si>
  <si>
    <t>Direct Service-Food Service</t>
  </si>
  <si>
    <t>Physicals, TB Test</t>
  </si>
  <si>
    <t>Local Revenues</t>
  </si>
  <si>
    <t>Non-Instructional Materials</t>
  </si>
  <si>
    <t>Oil</t>
  </si>
  <si>
    <t>Tires</t>
  </si>
  <si>
    <t>Fuel-Transportation</t>
  </si>
  <si>
    <t>Non-Capital Equipmetn</t>
  </si>
  <si>
    <t>Insurance</t>
  </si>
  <si>
    <t>Maintenance Agreement</t>
  </si>
  <si>
    <t>Transportation-Childcare</t>
  </si>
  <si>
    <t>Drug &amp; Alcohol Test</t>
  </si>
  <si>
    <t>Lottery, Unrestricted</t>
  </si>
  <si>
    <t>State Lottery</t>
  </si>
  <si>
    <t>Rental-Other</t>
  </si>
  <si>
    <t>Repair-Equipment</t>
  </si>
  <si>
    <t>Warehouse Services</t>
  </si>
  <si>
    <t>Postage/Delivery Service</t>
  </si>
  <si>
    <t>Substitute Teacher</t>
  </si>
  <si>
    <t>80XX</t>
  </si>
  <si>
    <t>MAA (Federal)</t>
  </si>
  <si>
    <t>Mandate Block Grant</t>
  </si>
  <si>
    <t>One-Time Mandate Funding</t>
  </si>
  <si>
    <t>Other State Revenue</t>
  </si>
  <si>
    <t>Leases and Rents</t>
  </si>
  <si>
    <t>Interest Revenue</t>
  </si>
  <si>
    <t>Interagency Revenue</t>
  </si>
  <si>
    <t>8980</t>
  </si>
  <si>
    <t>8986</t>
  </si>
  <si>
    <t>8987</t>
  </si>
  <si>
    <t>Contribution to Special Education - RS 6500</t>
  </si>
  <si>
    <t>Contribution to Ongoing &amp; Major Maintenance - RS 8150</t>
  </si>
  <si>
    <t>Contribution to Facilities Improvement - RS9225</t>
  </si>
  <si>
    <t>8699</t>
  </si>
  <si>
    <t>E-Rate Refunds and Reimbursements</t>
  </si>
  <si>
    <t>Grants: Sylvan Foundation, 6th Grade Camp</t>
  </si>
  <si>
    <t>MID Energy Audit and Projects Refund</t>
  </si>
  <si>
    <t>Workers' Comp. Refund</t>
  </si>
  <si>
    <t>Other Various Receipts, Donations, Rebates, Refunds</t>
  </si>
  <si>
    <t xml:space="preserve"> = $214.55 X 7,865.44 ADA</t>
  </si>
  <si>
    <t xml:space="preserve"> = $28.42 X 7,865.44 ADA</t>
  </si>
  <si>
    <t>Contribution-GF</t>
  </si>
  <si>
    <t>Per SELPA</t>
  </si>
  <si>
    <t>2016-17 Award</t>
  </si>
  <si>
    <t>Estimated 2017-18 Award</t>
  </si>
  <si>
    <t>CEC loan</t>
  </si>
  <si>
    <t>From general fund</t>
  </si>
  <si>
    <t>Ongoing from general fund</t>
  </si>
  <si>
    <t>LCFF - Supplemental</t>
  </si>
  <si>
    <t>1118</t>
  </si>
  <si>
    <t>1201</t>
  </si>
  <si>
    <t>1203</t>
  </si>
  <si>
    <t>1206</t>
  </si>
  <si>
    <t>Librarian</t>
  </si>
  <si>
    <t>By Function</t>
  </si>
  <si>
    <t>37XX</t>
  </si>
  <si>
    <t>Retirees</t>
  </si>
  <si>
    <t>5450</t>
  </si>
  <si>
    <t>5501</t>
  </si>
  <si>
    <t>5504</t>
  </si>
  <si>
    <t>5508</t>
  </si>
  <si>
    <t>5509</t>
  </si>
  <si>
    <t>Utilities: Water, Sewer</t>
  </si>
  <si>
    <t xml:space="preserve">Utilities: Disposal Service </t>
  </si>
  <si>
    <t>Utilities: Electricity</t>
  </si>
  <si>
    <t>Utilities: Gas</t>
  </si>
  <si>
    <t>Utilities: Cell Phones</t>
  </si>
  <si>
    <t>Utilities: Telephones</t>
  </si>
  <si>
    <t>Utilities: Internet Service</t>
  </si>
  <si>
    <t>5902</t>
  </si>
  <si>
    <t>5904</t>
  </si>
  <si>
    <t>5907</t>
  </si>
  <si>
    <t>5601</t>
  </si>
  <si>
    <t>5604</t>
  </si>
  <si>
    <t>5719</t>
  </si>
  <si>
    <t>5753</t>
  </si>
  <si>
    <t>5756</t>
  </si>
  <si>
    <t>5802</t>
  </si>
  <si>
    <t>5804</t>
  </si>
  <si>
    <t>5805</t>
  </si>
  <si>
    <t>5810</t>
  </si>
  <si>
    <t>5818</t>
  </si>
  <si>
    <t>5836</t>
  </si>
  <si>
    <t>5839</t>
  </si>
  <si>
    <t>5860</t>
  </si>
  <si>
    <t>5861</t>
  </si>
  <si>
    <t>5862</t>
  </si>
  <si>
    <t>5863</t>
  </si>
  <si>
    <t>5866</t>
  </si>
  <si>
    <t xml:space="preserve">Warehouse Services </t>
  </si>
  <si>
    <t>Interfund Service</t>
  </si>
  <si>
    <t>Interfund Service-Business</t>
  </si>
  <si>
    <t>Advertisement</t>
  </si>
  <si>
    <t>Legal Expense</t>
  </si>
  <si>
    <t>Audit Expense</t>
  </si>
  <si>
    <t>Interpreter Services</t>
  </si>
  <si>
    <t>Taxes</t>
  </si>
  <si>
    <t>SARB</t>
  </si>
  <si>
    <t xml:space="preserve">Claims Paid </t>
  </si>
  <si>
    <t>SCOE: Audio/visual Services</t>
  </si>
  <si>
    <t>SCOE: Audiology Services</t>
  </si>
  <si>
    <t>SCOE: Internet Services</t>
  </si>
  <si>
    <t>SCOE: Information Services</t>
  </si>
  <si>
    <t>SCOE: Mail and Delivery Services</t>
  </si>
  <si>
    <t>Other Outgo</t>
  </si>
  <si>
    <t>7130</t>
  </si>
  <si>
    <t>Federal Revenues (MAA)</t>
  </si>
  <si>
    <t>7142</t>
  </si>
  <si>
    <t>7310</t>
  </si>
  <si>
    <t>7350</t>
  </si>
  <si>
    <t>7612</t>
  </si>
  <si>
    <t>Special State Schools</t>
  </si>
  <si>
    <t>LCFF COE Transfer</t>
  </si>
  <si>
    <t>Categorical I/C</t>
  </si>
  <si>
    <t>Food Service I/C</t>
  </si>
  <si>
    <t>Transfers To FD 20-OPEB</t>
  </si>
  <si>
    <t>Transfers To FD 40-Equipment Replacement</t>
  </si>
  <si>
    <t xml:space="preserve">Transfers To FD 40-Buses </t>
  </si>
  <si>
    <t>Certificated</t>
  </si>
  <si>
    <t>2023-24</t>
  </si>
  <si>
    <t>Salary</t>
  </si>
  <si>
    <t>STRS Rates %</t>
  </si>
  <si>
    <t>STRS Cost $</t>
  </si>
  <si>
    <t>Yr. over Yr. Increase</t>
  </si>
  <si>
    <t>%</t>
  </si>
  <si>
    <t>$</t>
  </si>
  <si>
    <t>Cumulative</t>
  </si>
  <si>
    <t>PERS Cost $</t>
  </si>
  <si>
    <t>7 years</t>
  </si>
  <si>
    <t>Increase</t>
  </si>
  <si>
    <t>TOTAL INCREASE</t>
  </si>
  <si>
    <t>Make graph for 2nd interim presentation</t>
  </si>
  <si>
    <t>Check</t>
  </si>
  <si>
    <t>Per MYP tab</t>
  </si>
  <si>
    <t>Total Revenues and Other Sources</t>
  </si>
  <si>
    <t>8600 - 7999</t>
  </si>
  <si>
    <t>8300 - 8599</t>
  </si>
  <si>
    <t>State Revenues</t>
  </si>
  <si>
    <t>8100 - 8299</t>
  </si>
  <si>
    <t>8010-8099</t>
  </si>
  <si>
    <t>Combined - Unrestricted and Restricted</t>
  </si>
  <si>
    <t>Object Codes</t>
  </si>
  <si>
    <t xml:space="preserve">Unrestricted </t>
  </si>
  <si>
    <t>8011</t>
  </si>
  <si>
    <t>0000</t>
  </si>
  <si>
    <t>Return of unused site fnds</t>
  </si>
  <si>
    <t>Prior year UPP correction</t>
  </si>
  <si>
    <t>LCFF - Adjustments to LCFF</t>
  </si>
  <si>
    <t>9221</t>
  </si>
  <si>
    <t>MS Voucher</t>
  </si>
  <si>
    <t>Donations</t>
  </si>
  <si>
    <t>Grant 6th Grade Camp</t>
  </si>
  <si>
    <t>Mini-grants</t>
  </si>
  <si>
    <t>Sylvan Foundation Grant</t>
  </si>
  <si>
    <t>Workers Comp Refund (one-time)</t>
  </si>
  <si>
    <t xml:space="preserve">Miscellaneous revenue </t>
  </si>
  <si>
    <t>Union Days (reimb subs)</t>
  </si>
  <si>
    <t xml:space="preserve">SIFA Reimbursement </t>
  </si>
  <si>
    <r>
      <t xml:space="preserve">Reimb from Student Body </t>
    </r>
    <r>
      <rPr>
        <sz val="9"/>
        <rFont val="Arial Narrow"/>
        <family val="2"/>
      </rPr>
      <t>(coaches, bookkeeper)</t>
    </r>
  </si>
  <si>
    <t>0655</t>
  </si>
  <si>
    <t>Transportation Field Trips (0655)</t>
  </si>
  <si>
    <t>8689</t>
  </si>
  <si>
    <t>Book Fees</t>
  </si>
  <si>
    <t>Headstart contract</t>
  </si>
  <si>
    <t>8677</t>
  </si>
  <si>
    <t>Charter School Administrative Fees</t>
  </si>
  <si>
    <t>8650</t>
  </si>
  <si>
    <t>Facility rent</t>
  </si>
  <si>
    <t>8631</t>
  </si>
  <si>
    <t>Sale of equipment and supplies</t>
  </si>
  <si>
    <t>8660</t>
  </si>
  <si>
    <t>Interest</t>
  </si>
  <si>
    <t>Local Revenue-0000</t>
  </si>
  <si>
    <t>SELPA formulas</t>
  </si>
  <si>
    <t>8792</t>
  </si>
  <si>
    <t>6500</t>
  </si>
  <si>
    <t>Special Education, COE Apportionment TF</t>
  </si>
  <si>
    <t>Numbers provided by SELPA</t>
  </si>
  <si>
    <t>Special Education, Fee for Service (Local)</t>
  </si>
  <si>
    <t>8590</t>
  </si>
  <si>
    <t>6512</t>
  </si>
  <si>
    <t xml:space="preserve">Special Education, State </t>
  </si>
  <si>
    <t>Provided by SELPA</t>
  </si>
  <si>
    <t>8097</t>
  </si>
  <si>
    <t>Special Education County Taxes</t>
  </si>
  <si>
    <t>JPA with SCOE</t>
  </si>
  <si>
    <t>9096</t>
  </si>
  <si>
    <t>TUPE (consortium)</t>
  </si>
  <si>
    <t>8979</t>
  </si>
  <si>
    <t>7810</t>
  </si>
  <si>
    <t xml:space="preserve">CDE website  </t>
  </si>
  <si>
    <t>6230</t>
  </si>
  <si>
    <t>Clean Energy Jobs</t>
  </si>
  <si>
    <t>2015-16 State Budget (one-time)($1450/Cert FTE)</t>
  </si>
  <si>
    <t>6264</t>
  </si>
  <si>
    <t>Grant entitlement</t>
  </si>
  <si>
    <t>6010</t>
  </si>
  <si>
    <t>After School Education and Safety</t>
  </si>
  <si>
    <t>8560</t>
  </si>
  <si>
    <t>6300</t>
  </si>
  <si>
    <t>Lottery - Instr. Materials, Restricted - prior year</t>
  </si>
  <si>
    <t>SSC estimates</t>
  </si>
  <si>
    <t>Lottery - Instr. Materials, Restricted - current year</t>
  </si>
  <si>
    <t>1100</t>
  </si>
  <si>
    <t>Lottery, Unrestricted - prior year</t>
  </si>
  <si>
    <t>Lottery, Unrestricted - current year</t>
  </si>
  <si>
    <t>0049</t>
  </si>
  <si>
    <t>CELDT</t>
  </si>
  <si>
    <t>STAR</t>
  </si>
  <si>
    <t>Student Identifier</t>
  </si>
  <si>
    <t xml:space="preserve"> 2015-16, 2016-17 ($214/ADA) </t>
  </si>
  <si>
    <t>8550</t>
  </si>
  <si>
    <t>Mandated Cost One-time</t>
  </si>
  <si>
    <t>http://www.cde.ca.gov/fg/aa/ca/</t>
  </si>
  <si>
    <t>Mandated Cost Block Grant</t>
  </si>
  <si>
    <t>State Programs</t>
  </si>
  <si>
    <t>Expenditures(invoiced to SCOE)</t>
  </si>
  <si>
    <t>Medi-cal Reimburement</t>
  </si>
  <si>
    <t>Final carryover</t>
  </si>
  <si>
    <t>Title III, LEP - prior year carryover</t>
  </si>
  <si>
    <t>Title III, LEP - current year</t>
  </si>
  <si>
    <t xml:space="preserve">Title III, Immigrant Ed - prior year carryover </t>
  </si>
  <si>
    <t xml:space="preserve">http://www.cde.ca.gov/fg/aa/ca/ </t>
  </si>
  <si>
    <t>Title III, Immigrant Ed - current year</t>
  </si>
  <si>
    <t>Title II, Principal Training</t>
  </si>
  <si>
    <t>Final 2015-16 adjustment</t>
  </si>
  <si>
    <t>Title II - prior year carryover</t>
  </si>
  <si>
    <t>Title II - current year</t>
  </si>
  <si>
    <t>IDEA, Special Education</t>
  </si>
  <si>
    <t>3310/1</t>
  </si>
  <si>
    <t xml:space="preserve">Title I PI </t>
  </si>
  <si>
    <t>Title I - prior year carryover</t>
  </si>
  <si>
    <t>Title I - current year</t>
  </si>
  <si>
    <t xml:space="preserve"> PrYr claim report</t>
  </si>
  <si>
    <t>0032</t>
  </si>
  <si>
    <t>MAA(Medi-cal Admin)</t>
  </si>
  <si>
    <t xml:space="preserve">Federal Programs </t>
  </si>
  <si>
    <t>Formula</t>
  </si>
  <si>
    <t>2015-16</t>
  </si>
  <si>
    <t>OBJ</t>
  </si>
  <si>
    <t>RS #</t>
  </si>
  <si>
    <t>Other Revenues</t>
  </si>
  <si>
    <t>8181</t>
  </si>
  <si>
    <t>8287</t>
  </si>
  <si>
    <t>Program ended</t>
  </si>
  <si>
    <t>Boys and Girls Club</t>
  </si>
  <si>
    <t>Printing Services for Adopted Textbook Consumables</t>
  </si>
  <si>
    <t>89XX</t>
  </si>
  <si>
    <t>Contribution to IMFRP, Instructional Materials - RS 0617</t>
  </si>
  <si>
    <t>One-Time Wrks. Comp. &amp; Energy Audit/Proj. Reimb.</t>
  </si>
  <si>
    <r>
      <t xml:space="preserve">State Adopted Textbooks &amp; Instructional Materials
</t>
    </r>
    <r>
      <rPr>
        <sz val="12"/>
        <color rgb="FFC00000"/>
        <rFont val="Cambria"/>
        <family val="1"/>
        <scheme val="major"/>
      </rPr>
      <t>(Partially funded w/ Restricted funds)</t>
    </r>
  </si>
  <si>
    <t>Rate Yr. Over Yr. Increase</t>
  </si>
  <si>
    <t>Cost Yr. Over Yr. Increase</t>
  </si>
  <si>
    <t>Cafeteria Fund</t>
  </si>
  <si>
    <t>2018-2019</t>
  </si>
  <si>
    <t>Actual</t>
  </si>
  <si>
    <t>Estimate</t>
  </si>
  <si>
    <t>BEGINNING BALANCE</t>
  </si>
  <si>
    <t>Total Revenue</t>
  </si>
  <si>
    <t>Total Expenditures</t>
  </si>
  <si>
    <t>Net Balance increase/(decrease)</t>
  </si>
  <si>
    <t>ENDING BALANCE</t>
  </si>
  <si>
    <t>Deferred Maintenance Fund</t>
  </si>
  <si>
    <t>Special Reserve - Other Post Employment Benefits</t>
  </si>
  <si>
    <t>Building Fund - Bond Money</t>
  </si>
  <si>
    <t>Local Revenue</t>
  </si>
  <si>
    <t>Capital Facilities Fund - Developer Fees</t>
  </si>
  <si>
    <t>Special Reserve - Capital Outlay</t>
  </si>
  <si>
    <t>Special Reserve - Capital Projects</t>
  </si>
  <si>
    <t>Childcare Fund</t>
  </si>
  <si>
    <t>Self-Insured Dental Fund</t>
  </si>
  <si>
    <t>Analysis of STRS and PERS Increased Employer Rates</t>
  </si>
  <si>
    <t>Total increased cost for the next 3 years</t>
  </si>
  <si>
    <t>Contributions to Restricted Programs:</t>
  </si>
  <si>
    <r>
      <t xml:space="preserve">State Adopted Textbooks &amp; Instructional Materials
</t>
    </r>
    <r>
      <rPr>
        <sz val="12"/>
        <color rgb="FFC00000"/>
        <rFont val="Cambria"/>
        <family val="1"/>
        <scheme val="major"/>
      </rPr>
      <t>(Partially funded w/ Unrestricted funds)</t>
    </r>
  </si>
  <si>
    <t>State Adopted Textbooks &amp; Instructional Materials</t>
  </si>
  <si>
    <t>Federal, State, and Local revenues were adjusted for COLA with the following percentages:</t>
  </si>
  <si>
    <t>4201</t>
  </si>
  <si>
    <t>3311</t>
  </si>
  <si>
    <t>Teacher in Charge</t>
  </si>
  <si>
    <t>Teacher on Special Assignment</t>
  </si>
  <si>
    <t>Induction w/ SCOE</t>
  </si>
  <si>
    <t>Shawn Timmons w/ SCOE</t>
  </si>
  <si>
    <t>Total to be expensed</t>
  </si>
  <si>
    <t>Reduced to est exps to date</t>
  </si>
  <si>
    <t>S. Eddington, from Rs 4035 Hess/Bosio</t>
  </si>
  <si>
    <t>Bosio and Hess</t>
  </si>
  <si>
    <t>Local Control Funding Formula (LCFF)</t>
  </si>
  <si>
    <t>OTHER FINANCING SOURCES</t>
  </si>
  <si>
    <t xml:space="preserve">Total Other Financing Sources </t>
  </si>
  <si>
    <t>TOTAL REVENUES and OTHER FINANCING SOURCES</t>
  </si>
  <si>
    <t>OTHER FINANCING USES</t>
  </si>
  <si>
    <t>TOTAL EXPENSES and OTHER USES</t>
  </si>
  <si>
    <t>Total Other Financing Uses</t>
  </si>
  <si>
    <t>TOTAL EXPENSES and OTHER FINANCING USES</t>
  </si>
  <si>
    <t>LCFF Supp/Conc - Freedom</t>
  </si>
  <si>
    <t>BUDGET</t>
  </si>
  <si>
    <t>School Sites</t>
  </si>
  <si>
    <t>Expense Budget Breakdown</t>
  </si>
  <si>
    <t>Balance Available</t>
  </si>
  <si>
    <t>Average monthly payroll</t>
  </si>
  <si>
    <t>$6.5 million</t>
  </si>
  <si>
    <t>Average monthly operating expenditures</t>
  </si>
  <si>
    <t>Based on August 2016 - February 2017 actual payroll</t>
  </si>
  <si>
    <t>Based on August 2016 - February 2017 actual expenses</t>
  </si>
  <si>
    <t>TOTAL GENERAL FUND - UNRESTRICTED and COMBINED</t>
  </si>
  <si>
    <t>Increases in LCFF</t>
  </si>
  <si>
    <t>S. Eddington Only</t>
  </si>
  <si>
    <t>$15.6 million</t>
  </si>
  <si>
    <t>At least 3 months of payroll</t>
  </si>
  <si>
    <t>At least 2 months of operating expenditures</t>
  </si>
  <si>
    <t>Rule of thumb for reserve:</t>
  </si>
  <si>
    <t>Recommend $15.6 million or 3 months of payroll for reserve since the District's budget is predominantly salaries and benefits.</t>
  </si>
  <si>
    <t>$5.2 million</t>
  </si>
  <si>
    <t xml:space="preserve">Fully expense </t>
  </si>
  <si>
    <t>for Inst. Coaches</t>
  </si>
  <si>
    <t>from RS 3010</t>
  </si>
  <si>
    <t>Rosetta Stone</t>
  </si>
  <si>
    <t>Formula --&gt; Total expenses and encumb. X 3.7% I/C rte</t>
  </si>
  <si>
    <t>Review S&amp;B w/ MR, LG if ok to sweep?</t>
  </si>
  <si>
    <t>Benefits - ok to sweep?</t>
  </si>
  <si>
    <t>Certificated - ok to sweep?</t>
  </si>
  <si>
    <t>Classified - ok to sweep?</t>
  </si>
  <si>
    <t>Sweep back to DO</t>
  </si>
  <si>
    <t>supplies</t>
  </si>
  <si>
    <t xml:space="preserve">Includes Alternative </t>
  </si>
  <si>
    <t>Support, see below for</t>
  </si>
  <si>
    <t>Altn. Spprt. Balance</t>
  </si>
  <si>
    <t>Chromebooks</t>
  </si>
  <si>
    <t>Certificated, not Alt. Spprt. - ok to sweep?</t>
  </si>
  <si>
    <t>Alternative Support S&amp;B</t>
  </si>
  <si>
    <t>T&amp;C, Outside/Other Srvc</t>
  </si>
  <si>
    <t xml:space="preserve">Alternative Support S&amp;B - MAX or use </t>
  </si>
  <si>
    <t>regular S&amp;B</t>
  </si>
  <si>
    <t>Have to use salaries to cover overage</t>
  </si>
  <si>
    <t>Apply for negotiated increase</t>
  </si>
  <si>
    <t>Hourly rate changed $34.54, 2% negotiated</t>
  </si>
  <si>
    <t>Need to see who, most likely $34.54 rate</t>
  </si>
  <si>
    <t>Supplemental Tchr./Extra Duty/Training</t>
  </si>
  <si>
    <t>Alt. Support Balance to Expense for S&amp;B</t>
  </si>
  <si>
    <t>Alt. Spport certificated salaries</t>
  </si>
  <si>
    <t>Alt. Spport certificated benefits</t>
  </si>
  <si>
    <t>Classified, ignored negative encumbrance - ok to sweep?</t>
  </si>
  <si>
    <t xml:space="preserve">Alternative Support S&amp;B </t>
  </si>
  <si>
    <t>Alternative Support Supplies &amp; Field Trip Transp.</t>
  </si>
  <si>
    <t>T&amp;C, field trip tranp., outside/other srvc., direct FS, postage</t>
  </si>
  <si>
    <t>Alt. Support Bal.to Expense for S&amp;B, supplies, field trip transp.</t>
  </si>
  <si>
    <t>Ignored negative encumbrances, was 1-X correction in March</t>
  </si>
  <si>
    <t>2016-2017 c/o to be expensed in 2017-18 and/or trying to expese by June 30, 2017</t>
  </si>
  <si>
    <t>Benefits, not Alt. Support - ok to sweep?</t>
  </si>
  <si>
    <t>T&amp;C, field trip tranp., outside/other srvc., postage</t>
  </si>
  <si>
    <t>Solution Tree and Certificated Salaries</t>
  </si>
  <si>
    <t>2 days inservice and Classified Salaries</t>
  </si>
  <si>
    <t>I/C and benefits</t>
  </si>
  <si>
    <t>ok to sweep - YES</t>
  </si>
  <si>
    <t>Do not sweep, use for STEAM Lab</t>
  </si>
  <si>
    <t>Est. Beginning Bal.</t>
  </si>
  <si>
    <t>Teacher Subs</t>
  </si>
  <si>
    <t>Textbooks</t>
  </si>
  <si>
    <t>CY 15% c/o to next year</t>
  </si>
  <si>
    <t>Para sub</t>
  </si>
  <si>
    <t>est. c/o to 18-19</t>
  </si>
  <si>
    <t>c/o from 2016-17 FY</t>
  </si>
  <si>
    <t>1101</t>
  </si>
  <si>
    <t>1103</t>
  </si>
  <si>
    <t>1105</t>
  </si>
  <si>
    <t>1122</t>
  </si>
  <si>
    <t>1185</t>
  </si>
  <si>
    <t>1273</t>
  </si>
  <si>
    <t>1281</t>
  </si>
  <si>
    <t>1301</t>
  </si>
  <si>
    <t>1302</t>
  </si>
  <si>
    <t>1303</t>
  </si>
  <si>
    <t>1304</t>
  </si>
  <si>
    <t>1306</t>
  </si>
  <si>
    <t>1381</t>
  </si>
  <si>
    <t>Music Teachers</t>
  </si>
  <si>
    <t>Extra Duty/Hourly/Training</t>
  </si>
  <si>
    <t>Home and Hopital Teacher</t>
  </si>
  <si>
    <t>Substitute Teachers, Long Term</t>
  </si>
  <si>
    <t>Psychologist</t>
  </si>
  <si>
    <t>Instructional Supplort Extra Time</t>
  </si>
  <si>
    <t>Support Staff Substitute</t>
  </si>
  <si>
    <t>Superintendent</t>
  </si>
  <si>
    <t>Assistant Superintendent</t>
  </si>
  <si>
    <t>Principals</t>
  </si>
  <si>
    <t>Assistant Principals</t>
  </si>
  <si>
    <t>Department Chair Stipends</t>
  </si>
  <si>
    <t>Substitute Administrator</t>
  </si>
  <si>
    <t>Teacher Mentor Stipends</t>
  </si>
  <si>
    <t xml:space="preserve">Yard Duty &amp; Campus Supervisors </t>
  </si>
  <si>
    <t>Library Assistants &amp; Subs</t>
  </si>
  <si>
    <t>0617</t>
  </si>
  <si>
    <t>Estimated</t>
  </si>
  <si>
    <t>Prior Year</t>
  </si>
  <si>
    <t>Library Books and Supplies</t>
  </si>
  <si>
    <t>Testing Materials</t>
  </si>
  <si>
    <t>Medical Supplies</t>
  </si>
  <si>
    <t>Non-Capital Equipment</t>
  </si>
  <si>
    <t>Adaptive PE</t>
  </si>
  <si>
    <t>Speech/Language Therapist</t>
  </si>
  <si>
    <t>Resource Specialist</t>
  </si>
  <si>
    <t>Autism Inclusion Specialist</t>
  </si>
  <si>
    <t>Special Day Class Teacher</t>
  </si>
  <si>
    <t>Home/Hospital Teacher</t>
  </si>
  <si>
    <t>Psychologists</t>
  </si>
  <si>
    <t>Nurses</t>
  </si>
  <si>
    <t>Support Staff Subs</t>
  </si>
  <si>
    <t>Program Specialist</t>
  </si>
  <si>
    <t>Directors/Supervisors</t>
  </si>
  <si>
    <t>Vocational Nurses</t>
  </si>
  <si>
    <t>Board Cert Behavior Analyst</t>
  </si>
  <si>
    <t>Fund 13</t>
  </si>
  <si>
    <t>Fund 14</t>
  </si>
  <si>
    <t>Fund 20</t>
  </si>
  <si>
    <t>Fund 21</t>
  </si>
  <si>
    <t>Fund 25</t>
  </si>
  <si>
    <t>Fund 40, Furniture and equipment replacement</t>
  </si>
  <si>
    <t>Fund 40, New schools and construction, and buses</t>
  </si>
  <si>
    <t>Fund 63</t>
  </si>
  <si>
    <t>Fund 67</t>
  </si>
  <si>
    <t>MS Voucher, General Purpose</t>
  </si>
  <si>
    <t>MS Voucher, Software</t>
  </si>
  <si>
    <t>EADMS</t>
  </si>
  <si>
    <t>BrightBytes</t>
  </si>
  <si>
    <t>Intervention Teacher</t>
  </si>
  <si>
    <t>Stipends - Advisor</t>
  </si>
  <si>
    <t>Safety/Renaissance Stipends</t>
  </si>
  <si>
    <t>After School Sports</t>
  </si>
  <si>
    <t>Admisision Tickets</t>
  </si>
  <si>
    <t>Incrs for ipads repairs, crack screens</t>
  </si>
  <si>
    <t>From RS 0000</t>
  </si>
  <si>
    <t>Trainings</t>
  </si>
  <si>
    <t>Debt Service</t>
  </si>
  <si>
    <t>New CEC loan payments</t>
  </si>
  <si>
    <t>New</t>
  </si>
  <si>
    <t>One-time  Mandate Reimbursement</t>
  </si>
  <si>
    <t>Estimated Increase in ADA</t>
  </si>
  <si>
    <t>or          $13 million</t>
  </si>
  <si>
    <t>One-time Energy Audit Projects</t>
  </si>
  <si>
    <t>The purchase of state adopted textbooks and related instructional materials/consumables for the current year and the anticipated schedule for the subsequent years are displayed below:</t>
  </si>
  <si>
    <t>0653</t>
  </si>
  <si>
    <t>Cost of 1% with statutory benefits</t>
  </si>
  <si>
    <t>Checks - Do not erase</t>
  </si>
  <si>
    <t>Unaudited Actuals</t>
  </si>
  <si>
    <t>Projections</t>
  </si>
  <si>
    <t>2015-16 c/o, Final</t>
  </si>
  <si>
    <t>2016-17 Award, Final 8/15/2017</t>
  </si>
  <si>
    <t>Extra Cuty/ Hourly</t>
  </si>
  <si>
    <t>I/M</t>
  </si>
  <si>
    <t>Non I/M</t>
  </si>
  <si>
    <t>Computer supplies</t>
  </si>
  <si>
    <t>Non capital</t>
  </si>
  <si>
    <t>PLA Support</t>
  </si>
  <si>
    <t>Extra-Time Support</t>
  </si>
  <si>
    <t>Computer Tech</t>
  </si>
  <si>
    <t>Extra-Time Office</t>
  </si>
  <si>
    <t>Sub Clerical, Office</t>
  </si>
  <si>
    <t>Yard Duty Supervisor</t>
  </si>
  <si>
    <t>Extra-time Other Class.</t>
  </si>
  <si>
    <t>Sub - Other Classified</t>
  </si>
  <si>
    <t>Para Learning Assistant (PLA)</t>
  </si>
  <si>
    <t>Bus Driver</t>
  </si>
  <si>
    <t>Mechanic</t>
  </si>
  <si>
    <t>Mechanic Helper/Bus Driver</t>
  </si>
  <si>
    <t>Transportation Support Specialist</t>
  </si>
  <si>
    <t>Extra-time Class. Support</t>
  </si>
  <si>
    <t>Sub, classified support</t>
  </si>
  <si>
    <t>Asst. Supt. Business Services</t>
  </si>
  <si>
    <t>Supervisor</t>
  </si>
  <si>
    <t xml:space="preserve">Extra-time  Office </t>
  </si>
  <si>
    <t>Membership</t>
  </si>
  <si>
    <t>Travel and Conference</t>
  </si>
  <si>
    <t>Interfund TFs, Field Trips</t>
  </si>
  <si>
    <t>Non Capital Equipment</t>
  </si>
  <si>
    <t>PLUGGED</t>
  </si>
  <si>
    <t>Plugged 8631</t>
  </si>
  <si>
    <t>Nonspendable: Revolving Cash &amp; Prepaid</t>
  </si>
  <si>
    <t>Classified Retro</t>
  </si>
  <si>
    <t>Textbook Adoptions</t>
  </si>
  <si>
    <t>LCFF Target/Supplemental Funds</t>
  </si>
  <si>
    <t>16-17 award c/o to 17-18</t>
  </si>
  <si>
    <t xml:space="preserve">  =ROUND(D12-(D12/(1+E14)),2)</t>
  </si>
  <si>
    <t>est. c/o from PY</t>
  </si>
  <si>
    <t>16-17 c/o to 17-18</t>
  </si>
  <si>
    <t>16-17 award less c/o to 17-18</t>
  </si>
  <si>
    <t>Final 16-17</t>
  </si>
  <si>
    <t>CY</t>
  </si>
  <si>
    <t>Equipment</t>
  </si>
  <si>
    <t>3.7%, Wasn’t sure if on spending plan</t>
  </si>
  <si>
    <t xml:space="preserve"> =ROUND((D11-D89)-((D11-D89)/(1+$E$13)),2)</t>
  </si>
  <si>
    <t xml:space="preserve"> =ROUND((D11-D89)-((D11-D89)/(1+E13)),2)</t>
  </si>
  <si>
    <t>5600/3</t>
  </si>
  <si>
    <t>Capital Exp.</t>
  </si>
  <si>
    <t>Fund 40</t>
  </si>
  <si>
    <t>Sum of EE Bens</t>
  </si>
  <si>
    <t>Sum of Supplies</t>
  </si>
  <si>
    <t>Sum of Federal</t>
  </si>
  <si>
    <t>Sum of State</t>
  </si>
  <si>
    <t>T. 16-17 FY expenditures</t>
  </si>
  <si>
    <t>15-16 c/o exp in 16-17 FY</t>
  </si>
  <si>
    <t>16-17 award exp in 16-17</t>
  </si>
  <si>
    <t>Final 2016-17 Award</t>
  </si>
  <si>
    <t>16-17 c/o c/o to 17-18</t>
  </si>
  <si>
    <t>Max 16-17 c/o</t>
  </si>
  <si>
    <t>Exp. To date, 9/19/2017</t>
  </si>
  <si>
    <t>Encumbrances to date, 9/19/2017</t>
  </si>
  <si>
    <t>Total Title I Obligations</t>
  </si>
  <si>
    <t>as of 9/19/2017</t>
  </si>
  <si>
    <t>Spent more than required 15% c/o</t>
  </si>
  <si>
    <t>Need to expense by Sept. 30, 2017</t>
  </si>
  <si>
    <t>Solution Tree</t>
  </si>
  <si>
    <t>16-17 c/o</t>
  </si>
  <si>
    <t>Training: Cert. Pupil</t>
  </si>
  <si>
    <t>Training</t>
  </si>
  <si>
    <t>Ongoing contribution</t>
  </si>
  <si>
    <t>NEW</t>
  </si>
  <si>
    <t>EADMS &amp; Solution Tree</t>
  </si>
  <si>
    <t>est. c/o to next year</t>
  </si>
  <si>
    <t>Est. c/o to next year</t>
  </si>
  <si>
    <t>calc. from above</t>
  </si>
  <si>
    <t>from above</t>
  </si>
  <si>
    <t>CP-Bal w/ RS6500</t>
  </si>
  <si>
    <t>1X75</t>
  </si>
  <si>
    <t>prelim</t>
  </si>
  <si>
    <t>Bosio and Suydam</t>
  </si>
  <si>
    <t>amount need to balance</t>
  </si>
  <si>
    <t>Hard coded in</t>
  </si>
  <si>
    <t>Required 3% contribution</t>
  </si>
  <si>
    <t>Difference between actual</t>
  </si>
  <si>
    <t>First Interim Budget</t>
  </si>
  <si>
    <t xml:space="preserve">  = $147.32 X 7,760.61, rounded</t>
  </si>
  <si>
    <t xml:space="preserve">  =$30.34 X 7,760.61, rounded</t>
  </si>
  <si>
    <t>Sort by Function</t>
  </si>
  <si>
    <t>% Increase, ongoing</t>
  </si>
  <si>
    <t>Certificated STRS cost at 12.58% for all 4 years</t>
  </si>
  <si>
    <t>Certificated STRS cost at 12.58%, 14.43%, 16.28%, 18.13%</t>
  </si>
  <si>
    <t>includes $150/tchr from board</t>
  </si>
  <si>
    <t>Step &amp; Other Adj.</t>
  </si>
  <si>
    <t>% Change</t>
  </si>
  <si>
    <t>% Increase</t>
  </si>
  <si>
    <t>To Fund 40 - Special Reserve for Buses</t>
  </si>
  <si>
    <t>Saving c/O for I/C</t>
  </si>
  <si>
    <t>Plugged to bal. resource</t>
  </si>
  <si>
    <t>Going to RS 0000</t>
  </si>
  <si>
    <t>Teachers' Salaries ELD/Literacy</t>
  </si>
  <si>
    <t>If rate stayed flat</t>
  </si>
  <si>
    <t xml:space="preserve">Increase due to </t>
  </si>
  <si>
    <t>increased STRS rate</t>
  </si>
  <si>
    <t xml:space="preserve"> ---------------------------------------------------------------------------------------------------------</t>
  </si>
  <si>
    <t>If STRS rate stayed flat, increase follows salary changes</t>
  </si>
  <si>
    <t>Combined Classified Salary</t>
  </si>
  <si>
    <t>Combined Certificated Salary</t>
  </si>
  <si>
    <t>Step Incrs. &amp; Other Adj.</t>
  </si>
  <si>
    <t>PERS Rates (Proj.) %</t>
  </si>
  <si>
    <t>If PERS rate stayed flat, increase follows salary changes</t>
  </si>
  <si>
    <t>increased PERS rate</t>
  </si>
  <si>
    <t xml:space="preserve">One-Time Wrks. Comp. </t>
  </si>
  <si>
    <t>Previous</t>
  </si>
  <si>
    <t xml:space="preserve">Full implementation of LCFF is proposed by the Governor for fiscal year 2018-19
</t>
  </si>
  <si>
    <t xml:space="preserve">Health insurance premium  increase for the two subsequent fiscal
years for Sutter, Kaiser, Dental and Vision are estimated at </t>
  </si>
  <si>
    <t>Previous PERS %</t>
  </si>
  <si>
    <t>Medical Admin Activities - MAA</t>
  </si>
  <si>
    <t>Federal Revenue</t>
  </si>
  <si>
    <t>Health Servies Clerk</t>
  </si>
  <si>
    <t>Sub classified support</t>
  </si>
  <si>
    <t>Extra time classied support</t>
  </si>
  <si>
    <t>Training: Clerical, Office</t>
  </si>
  <si>
    <t>Non-instructional</t>
  </si>
  <si>
    <t>5XXX</t>
  </si>
  <si>
    <t>7XXX</t>
  </si>
  <si>
    <t>STAR / CELDT Testing</t>
  </si>
  <si>
    <t>Professional Learning - $425,000</t>
  </si>
  <si>
    <t>Contribution from GF</t>
  </si>
  <si>
    <t>Extra Duty / Hourly</t>
  </si>
  <si>
    <t>Non-instructioal Supplies</t>
  </si>
  <si>
    <t>Unrestricted GF and EPA</t>
  </si>
  <si>
    <t>0000 &amp; 14000</t>
  </si>
  <si>
    <t>T. Mandates</t>
  </si>
  <si>
    <t>Total Local Rev</t>
  </si>
  <si>
    <t>Contribution to RS 0103 - PL</t>
  </si>
  <si>
    <t>T. Contributions Out</t>
  </si>
  <si>
    <t>Total State Revs</t>
  </si>
  <si>
    <t>Paras Sub</t>
  </si>
  <si>
    <t>Library Assistant</t>
  </si>
  <si>
    <t>Warehouse Driver</t>
  </si>
  <si>
    <t>Grounds Person</t>
  </si>
  <si>
    <t>Custodian</t>
  </si>
  <si>
    <t>Extra Time Class Support</t>
  </si>
  <si>
    <t>Training Classified Support</t>
  </si>
  <si>
    <t>Classified support sub</t>
  </si>
  <si>
    <t>Abatement</t>
  </si>
  <si>
    <t>Director of Fiscal Services</t>
  </si>
  <si>
    <t>Director Technology</t>
  </si>
  <si>
    <t>Stipend, Athletic Director</t>
  </si>
  <si>
    <t>Assistant Supt., Business</t>
  </si>
  <si>
    <t>Executive Asst.</t>
  </si>
  <si>
    <t>Board Member</t>
  </si>
  <si>
    <t>Extra Exec. Admin Pay</t>
  </si>
  <si>
    <t>Secretary, Ed Services</t>
  </si>
  <si>
    <t>Office Manager</t>
  </si>
  <si>
    <t>School Secretary</t>
  </si>
  <si>
    <t>Account Tech</t>
  </si>
  <si>
    <t>Accountant</t>
  </si>
  <si>
    <t>Account Clerk</t>
  </si>
  <si>
    <t>Secretary II</t>
  </si>
  <si>
    <t>Student Attendance Specialist</t>
  </si>
  <si>
    <t>Business Asst.</t>
  </si>
  <si>
    <t>Techonlogy Specialist</t>
  </si>
  <si>
    <t>Computer Technician</t>
  </si>
  <si>
    <t>Staff Secretary</t>
  </si>
  <si>
    <t>Personnel Asst.</t>
  </si>
  <si>
    <t>Position Control Analyst</t>
  </si>
  <si>
    <t>Payroll Technician</t>
  </si>
  <si>
    <t>Substitute Placement Specialist</t>
  </si>
  <si>
    <t>Bookkeeper, Student Store</t>
  </si>
  <si>
    <t>Extra Time Office</t>
  </si>
  <si>
    <t>Sub, Clerical/Office</t>
  </si>
  <si>
    <t>Stipend, After School Sports</t>
  </si>
  <si>
    <t>Referee, Game Official</t>
  </si>
  <si>
    <t>Campus Supervisor</t>
  </si>
  <si>
    <t>Extra Time Other Classified</t>
  </si>
  <si>
    <t>Training, Other Classified</t>
  </si>
  <si>
    <t>Sub, Other Classified</t>
  </si>
  <si>
    <t>NA</t>
  </si>
  <si>
    <t>Library books</t>
  </si>
  <si>
    <t>Warehouse Supplies</t>
  </si>
  <si>
    <t>Custodial Supplies</t>
  </si>
  <si>
    <t>Non-instrucitonal Supplies</t>
  </si>
  <si>
    <t>Non-capital Equipment</t>
  </si>
  <si>
    <t xml:space="preserve">Mileage </t>
  </si>
  <si>
    <t>Conference and Travel</t>
  </si>
  <si>
    <t>Membership / Dues</t>
  </si>
  <si>
    <t>RentalOther</t>
  </si>
  <si>
    <t>Maintenance Agremments</t>
  </si>
  <si>
    <t>Removed 2 days</t>
  </si>
  <si>
    <t>Trainings, Teachers</t>
  </si>
  <si>
    <t>Rental - Other</t>
  </si>
  <si>
    <t>Final</t>
  </si>
  <si>
    <t>Para</t>
  </si>
  <si>
    <t>Para, extra time</t>
  </si>
  <si>
    <t>Office Support/Extra Time</t>
  </si>
  <si>
    <t>Office Support/Subs</t>
  </si>
  <si>
    <t>Extra time, Other</t>
  </si>
  <si>
    <t>Asst. Supt of BS</t>
  </si>
  <si>
    <t>Sub, office</t>
  </si>
  <si>
    <t>Tchr Sub</t>
  </si>
  <si>
    <t>Interfund TF in</t>
  </si>
  <si>
    <t>Non-Cap.</t>
  </si>
  <si>
    <t>Full year salary</t>
  </si>
  <si>
    <t>State Revs</t>
  </si>
  <si>
    <t>T. 1-X Discretionary</t>
  </si>
  <si>
    <t>Hardcoded</t>
  </si>
  <si>
    <t>New Psych</t>
  </si>
  <si>
    <t>New psych</t>
  </si>
  <si>
    <t>New psych, Step 3</t>
  </si>
  <si>
    <t>Goes to RS 0000 in 2018-19</t>
  </si>
  <si>
    <t>COMBINED</t>
  </si>
  <si>
    <t>Following RS 0617</t>
  </si>
  <si>
    <t>W/C refund</t>
  </si>
  <si>
    <t>LCFF - 8011</t>
  </si>
  <si>
    <t>At EOY 17-18, move 2 days to RS 0654</t>
  </si>
  <si>
    <t>T. Contrbtns Out To UNREST.</t>
  </si>
  <si>
    <t>T. Contrbtns Out to RESTRICTED</t>
  </si>
  <si>
    <t xml:space="preserve">Multi-year projections (MYP) are the mathematical result of today’s decisions based on a given set of assumptions.  MYP’s are expected to change as various factors are updated and revised.    Projections will change any time the underlying factors and assumptions are modified, therefore, we must plan and prepare to make changes as conditions and situations change.
The assumptions described below are implemented in the latest MYP.  The primary source of these assumptions are the  approved State Budget, California Department of Education, Department of Finance, School Services of California's Financial Projection Dartboard, other external sources and organizations, and of course the District's historical trends.  
The 2017-18 budget column is the District's First Interim Budget.   The 2016-17 column has been updated for Unaudited Actuals.  </t>
  </si>
  <si>
    <t>One-time Workers' Compensation Reimbursement</t>
  </si>
  <si>
    <t>Estimated Actuals</t>
  </si>
  <si>
    <t>PROPOSED BUDGET</t>
  </si>
  <si>
    <t>Actuals</t>
  </si>
  <si>
    <t>2018-19 Budget</t>
  </si>
  <si>
    <t>Teachers Salaries</t>
  </si>
  <si>
    <t>Transfer to Fund 14</t>
  </si>
  <si>
    <t xml:space="preserve"> =ROUND(344*7717.65,0)</t>
  </si>
  <si>
    <t xml:space="preserve"> =ROUND(31.16*7717.65,0)</t>
  </si>
  <si>
    <t>At EOY 18-19, move 2 days to RS 0654</t>
  </si>
  <si>
    <t>IT Secrty @ Full yr</t>
  </si>
  <si>
    <t xml:space="preserve"> + 6 mons help</t>
  </si>
  <si>
    <t>Includes induction fees</t>
  </si>
  <si>
    <t>Transfers To FD 40-New Telephone System</t>
  </si>
  <si>
    <t>Removed position, replaced w/Shell</t>
  </si>
  <si>
    <t>5813/5814</t>
  </si>
  <si>
    <t>Outside/Other Services</t>
  </si>
  <si>
    <t>1-X discretionary funding less amount to cover embedded coaching</t>
  </si>
  <si>
    <t xml:space="preserve">Principal </t>
  </si>
  <si>
    <t>Instr. Admin. Specialist</t>
  </si>
  <si>
    <t>Technology Reserve &amp; Replacement</t>
  </si>
  <si>
    <t>Contribution from RS 0000</t>
  </si>
  <si>
    <t>Computer replacements for middle schools</t>
  </si>
  <si>
    <t>I/M Media Materials</t>
  </si>
  <si>
    <t>Bal. w/ RS 6500</t>
  </si>
  <si>
    <t>Orchard HVAC Project</t>
  </si>
  <si>
    <t>LCFF COLA</t>
  </si>
  <si>
    <t>To Fund 40 - Special Reserve for New Phone System</t>
  </si>
  <si>
    <t>LCFF - S/C</t>
  </si>
  <si>
    <t>Debt service payments for the CEC loan is estimated at $73,085 per year.</t>
  </si>
  <si>
    <t>Funding is based on using the latest FCMAT (Fiscal Crisis &amp; Management Team) LCFF calculator (v19.1a) which includes the following factors:</t>
  </si>
  <si>
    <t>COLA  /  LCFF COLA</t>
  </si>
  <si>
    <t>2.71%  /  3.00%</t>
  </si>
  <si>
    <t>Proposed Budget</t>
  </si>
  <si>
    <t>Private school</t>
  </si>
  <si>
    <t>Need to adjust salaries to allocate</t>
  </si>
  <si>
    <t>funds to private school</t>
  </si>
  <si>
    <t>No changes since public hearing.</t>
  </si>
  <si>
    <t>Tuesday, June 26, 2018</t>
  </si>
  <si>
    <t>0654</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</si>
</sst>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6" formatCode="&quot;$&quot;#,##0_);[Red]\(&quot;$&quot;#,##0\)"/>
    <numFmt numFmtId="8" formatCode="&quot;$&quot;#,##0.00_);[Red]\(&quot;$&quot;#,##0.00\)"/>
    <numFmt numFmtId="41" formatCode="_(* #,##0_);_(* \(#,##0\);_(* &quot;-&quot;_);_(@_)"/>
    <numFmt numFmtId="44" formatCode="_(&quot;$&quot;* #,##0.00_);_(&quot;$&quot;* \(#,##0.00\);_(&quot;$&quot;* &quot;-&quot;??_);_(@_)"/>
    <numFmt numFmtId="43" formatCode="_(* #,##0.00_);_(* \(#,##0.00\);_(* &quot;-&quot;??_);_(@_)"/>
    <numFmt numFmtId="164" formatCode="0;\-0;;@"/>
    <numFmt numFmtId="165" formatCode="0000"/>
    <numFmt numFmtId="166" formatCode="0.0%"/>
    <numFmt numFmtId="167" formatCode="[$-F800]dddd\,\ mmmm\ dd\,\ yyyy"/>
    <numFmt numFmtId="168" formatCode="_(* #,##0_);_(* \(#,##0\);_(* &quot;-&quot;??_);_(@_)"/>
    <numFmt numFmtId="169" formatCode="0.000%"/>
    <numFmt numFmtId="170" formatCode="&quot;$&quot;#,##0"/>
    <numFmt numFmtId="171" formatCode="_(* #,##0.00000_);_(* \(#,##0.00000\);_(* &quot;-&quot;??_);_(@_)"/>
    <numFmt numFmtId="172" formatCode="_(&quot;$&quot;* #,##0_);_(&quot;$&quot;* \(#,##0\);_(&quot;$&quot;* &quot;-&quot;??_);_(@_)"/>
    <numFmt numFmtId="173" formatCode="0.0000%"/>
    <numFmt numFmtId="174" formatCode="_(* #,##0.000_);_(* \(#,##0.000\);_(* &quot;-&quot;??_);_(@_)"/>
    <numFmt numFmtId="175" formatCode="&quot;$&quot;#,##0.00"/>
    <numFmt numFmtId="176" formatCode="0.00000%"/>
    <numFmt numFmtId="177" formatCode="00##"/>
  </numFmts>
  <fonts count="188" x14ac:knownFonts="1">
    <font>
      <sz val="11"/>
      <color theme="1"/>
      <name val="Calibri"/>
      <family val="2"/>
      <scheme val="minor"/>
    </font>
    <font>
      <sz val="11"/>
      <color theme="1"/>
      <name val="Calibri"/>
      <family val="2"/>
      <scheme val="minor"/>
    </font>
    <font>
      <b/>
      <sz val="11"/>
      <color theme="1"/>
      <name val="Calibri"/>
      <family val="2"/>
      <scheme val="minor"/>
    </font>
    <font>
      <b/>
      <u/>
      <sz val="11"/>
      <color theme="1"/>
      <name val="Calibri"/>
      <family val="2"/>
      <scheme val="minor"/>
    </font>
    <font>
      <sz val="10"/>
      <name val="Arial"/>
      <family val="2"/>
    </font>
    <font>
      <b/>
      <u val="singleAccounting"/>
      <sz val="11"/>
      <color theme="1"/>
      <name val="Calibri"/>
      <family val="2"/>
      <scheme val="minor"/>
    </font>
    <font>
      <i/>
      <sz val="11"/>
      <color theme="1"/>
      <name val="Calibri"/>
      <family val="2"/>
      <scheme val="minor"/>
    </font>
    <font>
      <b/>
      <i/>
      <sz val="11"/>
      <color theme="1"/>
      <name val="Calibri"/>
      <family val="2"/>
      <scheme val="minor"/>
    </font>
    <font>
      <b/>
      <i/>
      <u/>
      <sz val="11"/>
      <color theme="1"/>
      <name val="Calibri"/>
      <family val="2"/>
      <scheme val="minor"/>
    </font>
    <font>
      <sz val="12"/>
      <name val="Arial"/>
      <family val="2"/>
    </font>
    <font>
      <sz val="12"/>
      <name val="Arial"/>
      <family val="2"/>
    </font>
    <font>
      <u/>
      <sz val="11"/>
      <color theme="1"/>
      <name val="Calibri"/>
      <family val="2"/>
      <scheme val="minor"/>
    </font>
    <font>
      <sz val="11"/>
      <color rgb="FF000000"/>
      <name val="Calibri"/>
      <family val="2"/>
    </font>
    <font>
      <i/>
      <u val="singleAccounting"/>
      <sz val="11"/>
      <color theme="1"/>
      <name val="Calibri"/>
      <family val="2"/>
      <scheme val="minor"/>
    </font>
    <font>
      <b/>
      <sz val="12"/>
      <color theme="1"/>
      <name val="Calibri"/>
      <family val="2"/>
      <scheme val="minor"/>
    </font>
    <font>
      <sz val="12"/>
      <color theme="1"/>
      <name val="Calibri"/>
      <family val="2"/>
      <scheme val="minor"/>
    </font>
    <font>
      <b/>
      <u/>
      <sz val="12"/>
      <color theme="1"/>
      <name val="Calibri"/>
      <family val="2"/>
      <scheme val="minor"/>
    </font>
    <font>
      <b/>
      <sz val="11"/>
      <color rgb="FFC00000"/>
      <name val="Calibri"/>
      <family val="2"/>
      <scheme val="minor"/>
    </font>
    <font>
      <sz val="11"/>
      <color indexed="8"/>
      <name val="Calibri"/>
      <family val="2"/>
      <scheme val="minor"/>
    </font>
    <font>
      <b/>
      <sz val="11"/>
      <color indexed="8"/>
      <name val="Calibri"/>
      <family val="2"/>
      <scheme val="minor"/>
    </font>
    <font>
      <b/>
      <sz val="12"/>
      <color rgb="FFC00000"/>
      <name val="Calibri"/>
      <family val="2"/>
      <scheme val="minor"/>
    </font>
    <font>
      <sz val="10"/>
      <color theme="1"/>
      <name val="Cambria"/>
      <family val="1"/>
    </font>
    <font>
      <sz val="11"/>
      <name val="Calibri"/>
      <family val="2"/>
      <scheme val="minor"/>
    </font>
    <font>
      <b/>
      <sz val="11"/>
      <color rgb="FF3333FF"/>
      <name val="Calibri"/>
      <family val="2"/>
      <scheme val="minor"/>
    </font>
    <font>
      <sz val="8"/>
      <color theme="1"/>
      <name val="Calibri"/>
      <family val="2"/>
      <scheme val="minor"/>
    </font>
    <font>
      <b/>
      <sz val="8"/>
      <color theme="1"/>
      <name val="Calibri"/>
      <family val="2"/>
      <scheme val="minor"/>
    </font>
    <font>
      <i/>
      <sz val="8"/>
      <color theme="1"/>
      <name val="Calibri"/>
      <family val="2"/>
      <scheme val="minor"/>
    </font>
    <font>
      <sz val="11"/>
      <color rgb="FFC00000"/>
      <name val="Calibri"/>
      <family val="2"/>
      <scheme val="minor"/>
    </font>
    <font>
      <b/>
      <sz val="11"/>
      <name val="Calibri"/>
      <family val="2"/>
      <scheme val="minor"/>
    </font>
    <font>
      <b/>
      <sz val="8"/>
      <name val="Calibri"/>
      <family val="2"/>
      <scheme val="minor"/>
    </font>
    <font>
      <sz val="8"/>
      <name val="Calibri"/>
      <family val="2"/>
      <scheme val="minor"/>
    </font>
    <font>
      <b/>
      <sz val="18"/>
      <color indexed="8"/>
      <name val="Cambria"/>
      <family val="1"/>
      <scheme val="major"/>
    </font>
    <font>
      <b/>
      <sz val="14"/>
      <name val="Cambria"/>
      <family val="1"/>
      <scheme val="major"/>
    </font>
    <font>
      <sz val="11"/>
      <name val="Arial"/>
      <family val="2"/>
    </font>
    <font>
      <sz val="12"/>
      <name val="Cambria"/>
      <family val="1"/>
      <scheme val="major"/>
    </font>
    <font>
      <b/>
      <sz val="12"/>
      <name val="Cambria"/>
      <family val="1"/>
      <scheme val="major"/>
    </font>
    <font>
      <sz val="14"/>
      <name val="Cambria"/>
      <family val="1"/>
      <scheme val="major"/>
    </font>
    <font>
      <sz val="14"/>
      <color rgb="FFC00000"/>
      <name val="Cambria"/>
      <family val="1"/>
      <scheme val="major"/>
    </font>
    <font>
      <sz val="14"/>
      <color rgb="FF3333FF"/>
      <name val="Cambria"/>
      <family val="1"/>
      <scheme val="major"/>
    </font>
    <font>
      <u val="singleAccounting"/>
      <sz val="11"/>
      <name val="Arial"/>
      <family val="2"/>
    </font>
    <font>
      <b/>
      <sz val="11"/>
      <name val="Arial"/>
      <family val="2"/>
    </font>
    <font>
      <sz val="11"/>
      <name val="Cambria"/>
      <family val="1"/>
      <scheme val="major"/>
    </font>
    <font>
      <sz val="14"/>
      <color theme="1"/>
      <name val="Cambria"/>
      <family val="1"/>
      <scheme val="major"/>
    </font>
    <font>
      <sz val="11"/>
      <color rgb="FF3333FF"/>
      <name val="Arial"/>
      <family val="2"/>
    </font>
    <font>
      <sz val="12"/>
      <color rgb="FFC00000"/>
      <name val="Cambria"/>
      <family val="1"/>
      <scheme val="major"/>
    </font>
    <font>
      <sz val="12"/>
      <color indexed="8"/>
      <name val="Arial"/>
      <family val="2"/>
    </font>
    <font>
      <sz val="9"/>
      <name val="Arial"/>
      <family val="2"/>
    </font>
    <font>
      <b/>
      <sz val="14"/>
      <color rgb="FF3333FF"/>
      <name val="Cambria"/>
      <family val="1"/>
      <scheme val="major"/>
    </font>
    <font>
      <sz val="14"/>
      <color indexed="8"/>
      <name val="Cambria"/>
      <family val="1"/>
      <scheme val="major"/>
    </font>
    <font>
      <b/>
      <i/>
      <sz val="11"/>
      <color rgb="FF3333FF"/>
      <name val="Cambria"/>
      <family val="1"/>
      <scheme val="major"/>
    </font>
    <font>
      <b/>
      <u/>
      <sz val="14"/>
      <color rgb="FF3333FF"/>
      <name val="Cambria"/>
      <family val="1"/>
      <scheme val="major"/>
    </font>
    <font>
      <sz val="14"/>
      <color indexed="48"/>
      <name val="Cambria"/>
      <family val="1"/>
      <scheme val="major"/>
    </font>
    <font>
      <b/>
      <sz val="14"/>
      <color indexed="8"/>
      <name val="Cambria"/>
      <family val="1"/>
      <scheme val="major"/>
    </font>
    <font>
      <sz val="10"/>
      <color indexed="8"/>
      <name val="Cambria"/>
      <family val="1"/>
      <scheme val="major"/>
    </font>
    <font>
      <sz val="12"/>
      <color indexed="48"/>
      <name val="Arial"/>
      <family val="2"/>
    </font>
    <font>
      <i/>
      <sz val="11"/>
      <color indexed="8"/>
      <name val="Cambria"/>
      <family val="1"/>
      <scheme val="major"/>
    </font>
    <font>
      <b/>
      <i/>
      <sz val="11"/>
      <name val="Cambria"/>
      <family val="1"/>
      <scheme val="major"/>
    </font>
    <font>
      <b/>
      <sz val="14"/>
      <color indexed="53"/>
      <name val="Cambria"/>
      <family val="1"/>
      <scheme val="major"/>
    </font>
    <font>
      <b/>
      <sz val="14"/>
      <color theme="9" tint="-0.249977111117893"/>
      <name val="Cambria"/>
      <family val="1"/>
      <scheme val="major"/>
    </font>
    <font>
      <i/>
      <sz val="11"/>
      <color indexed="53"/>
      <name val="Cambria"/>
      <family val="1"/>
      <scheme val="major"/>
    </font>
    <font>
      <i/>
      <sz val="11"/>
      <color theme="9" tint="-0.249977111117893"/>
      <name val="Cambria"/>
      <family val="1"/>
      <scheme val="major"/>
    </font>
    <font>
      <i/>
      <sz val="11"/>
      <color rgb="FF3333FF"/>
      <name val="Cambria"/>
      <family val="1"/>
      <scheme val="major"/>
    </font>
    <font>
      <sz val="14"/>
      <color indexed="10"/>
      <name val="Cambria"/>
      <family val="1"/>
      <scheme val="major"/>
    </font>
    <font>
      <b/>
      <sz val="12"/>
      <name val="Arial"/>
      <family val="2"/>
    </font>
    <font>
      <b/>
      <sz val="14"/>
      <color indexed="10"/>
      <name val="Cambria"/>
      <family val="1"/>
      <scheme val="major"/>
    </font>
    <font>
      <sz val="12"/>
      <color rgb="FFC00000"/>
      <name val="Arial"/>
      <family val="2"/>
    </font>
    <font>
      <sz val="14"/>
      <color indexed="12"/>
      <name val="Cambria"/>
      <family val="1"/>
      <scheme val="major"/>
    </font>
    <font>
      <b/>
      <sz val="13"/>
      <name val="Cambria"/>
      <family val="1"/>
      <scheme val="major"/>
    </font>
    <font>
      <b/>
      <sz val="14"/>
      <color indexed="48"/>
      <name val="Cambria"/>
      <family val="1"/>
      <scheme val="major"/>
    </font>
    <font>
      <i/>
      <sz val="11"/>
      <color indexed="48"/>
      <name val="Cambria"/>
      <family val="1"/>
      <scheme val="major"/>
    </font>
    <font>
      <b/>
      <sz val="14"/>
      <color indexed="60"/>
      <name val="Cambria"/>
      <family val="1"/>
      <scheme val="major"/>
    </font>
    <font>
      <b/>
      <u/>
      <sz val="14"/>
      <name val="Cambria"/>
      <family val="1"/>
      <scheme val="major"/>
    </font>
    <font>
      <u/>
      <sz val="14"/>
      <name val="Cambria"/>
      <family val="1"/>
      <scheme val="major"/>
    </font>
    <font>
      <sz val="14"/>
      <color indexed="17"/>
      <name val="Cambria"/>
      <family val="1"/>
      <scheme val="major"/>
    </font>
    <font>
      <b/>
      <u val="singleAccounting"/>
      <sz val="14"/>
      <name val="Cambria"/>
      <family val="1"/>
      <scheme val="major"/>
    </font>
    <font>
      <b/>
      <u val="singleAccounting"/>
      <sz val="12"/>
      <name val="Arial"/>
      <family val="2"/>
    </font>
    <font>
      <sz val="13"/>
      <name val="Cambria"/>
      <family val="1"/>
      <scheme val="major"/>
    </font>
    <font>
      <b/>
      <u/>
      <sz val="14"/>
      <color indexed="8"/>
      <name val="Cambria"/>
      <family val="1"/>
      <scheme val="major"/>
    </font>
    <font>
      <u val="singleAccounting"/>
      <sz val="14"/>
      <color indexed="8"/>
      <name val="Cambria"/>
      <family val="1"/>
      <scheme val="major"/>
    </font>
    <font>
      <b/>
      <u/>
      <sz val="13"/>
      <color indexed="8"/>
      <name val="Cambria"/>
      <family val="1"/>
      <scheme val="major"/>
    </font>
    <font>
      <b/>
      <u/>
      <sz val="13"/>
      <name val="Cambria"/>
      <family val="1"/>
      <scheme val="major"/>
    </font>
    <font>
      <i/>
      <sz val="11"/>
      <name val="Calibri"/>
      <family val="2"/>
      <scheme val="minor"/>
    </font>
    <font>
      <sz val="10"/>
      <name val="Arial Narrow"/>
      <family val="2"/>
    </font>
    <font>
      <b/>
      <sz val="10"/>
      <name val="Arial Narrow"/>
      <family val="2"/>
    </font>
    <font>
      <sz val="11"/>
      <name val="Arial Narrow"/>
      <family val="2"/>
    </font>
    <font>
      <b/>
      <sz val="11"/>
      <name val="Arial Narrow"/>
      <family val="2"/>
    </font>
    <font>
      <sz val="9"/>
      <name val="Arial Narrow"/>
      <family val="2"/>
    </font>
    <font>
      <sz val="10"/>
      <color theme="1"/>
      <name val="Arial Narrow"/>
      <family val="2"/>
    </font>
    <font>
      <b/>
      <u/>
      <sz val="11"/>
      <name val="Arial Narrow"/>
      <family val="2"/>
    </font>
    <font>
      <b/>
      <i/>
      <sz val="11"/>
      <name val="Calibri"/>
      <family val="2"/>
      <scheme val="minor"/>
    </font>
    <font>
      <sz val="9"/>
      <color indexed="8"/>
      <name val="Arial"/>
      <family val="2"/>
    </font>
    <font>
      <u val="singleAccounting"/>
      <sz val="9"/>
      <name val="Arial"/>
      <family val="2"/>
    </font>
    <font>
      <sz val="9"/>
      <color rgb="FF008000"/>
      <name val="Arial"/>
      <family val="2"/>
    </font>
    <font>
      <sz val="9"/>
      <name val="Cambria"/>
      <family val="1"/>
      <scheme val="major"/>
    </font>
    <font>
      <sz val="8"/>
      <name val="Cambria"/>
      <family val="1"/>
      <scheme val="major"/>
    </font>
    <font>
      <sz val="11"/>
      <color rgb="FF008000"/>
      <name val="Calibri"/>
      <family val="2"/>
      <scheme val="minor"/>
    </font>
    <font>
      <b/>
      <sz val="11"/>
      <color rgb="FF008000"/>
      <name val="Calibri"/>
      <family val="2"/>
      <scheme val="minor"/>
    </font>
    <font>
      <b/>
      <u/>
      <sz val="11"/>
      <color rgb="FF008000"/>
      <name val="Calibri"/>
      <family val="2"/>
      <scheme val="minor"/>
    </font>
    <font>
      <sz val="12"/>
      <color theme="1"/>
      <name val="Cambria"/>
      <family val="1"/>
    </font>
    <font>
      <b/>
      <sz val="12"/>
      <color theme="1"/>
      <name val="Cambria"/>
      <family val="1"/>
    </font>
    <font>
      <b/>
      <u/>
      <sz val="12"/>
      <color theme="1"/>
      <name val="Cambria"/>
      <family val="1"/>
    </font>
    <font>
      <sz val="12"/>
      <name val="Cambria"/>
      <family val="1"/>
    </font>
    <font>
      <b/>
      <u/>
      <sz val="12"/>
      <color theme="0"/>
      <name val="Cambria"/>
      <family val="1"/>
    </font>
    <font>
      <sz val="12"/>
      <color theme="0"/>
      <name val="Cambria"/>
      <family val="1"/>
    </font>
    <font>
      <b/>
      <sz val="12"/>
      <color rgb="FFC00000"/>
      <name val="Cambria"/>
      <family val="1"/>
    </font>
    <font>
      <sz val="12"/>
      <color rgb="FFC00000"/>
      <name val="Cambria"/>
      <family val="1"/>
    </font>
    <font>
      <sz val="11"/>
      <color rgb="FF3333FF"/>
      <name val="Calibri"/>
      <family val="2"/>
      <scheme val="minor"/>
    </font>
    <font>
      <u/>
      <sz val="11"/>
      <name val="Calibri"/>
      <family val="2"/>
      <scheme val="minor"/>
    </font>
    <font>
      <i/>
      <sz val="9"/>
      <name val="Calibri"/>
      <family val="2"/>
      <scheme val="minor"/>
    </font>
    <font>
      <sz val="9"/>
      <name val="Calibri"/>
      <family val="2"/>
      <scheme val="minor"/>
    </font>
    <font>
      <i/>
      <u val="singleAccounting"/>
      <sz val="9"/>
      <name val="Calibri"/>
      <family val="2"/>
      <scheme val="minor"/>
    </font>
    <font>
      <b/>
      <u/>
      <sz val="12"/>
      <name val="Calibri"/>
      <family val="2"/>
      <scheme val="minor"/>
    </font>
    <font>
      <b/>
      <sz val="12"/>
      <name val="Calibri"/>
      <family val="2"/>
      <scheme val="minor"/>
    </font>
    <font>
      <sz val="12"/>
      <name val="Calibri"/>
      <family val="2"/>
      <scheme val="minor"/>
    </font>
    <font>
      <b/>
      <u val="singleAccounting"/>
      <sz val="11"/>
      <name val="Calibri"/>
      <family val="2"/>
      <scheme val="minor"/>
    </font>
    <font>
      <i/>
      <sz val="8"/>
      <name val="Calibri"/>
      <family val="2"/>
      <scheme val="minor"/>
    </font>
    <font>
      <sz val="8"/>
      <color indexed="8"/>
      <name val="Arial"/>
      <family val="2"/>
    </font>
    <font>
      <b/>
      <sz val="16"/>
      <color rgb="FFC00000"/>
      <name val="Cambria"/>
      <family val="1"/>
      <scheme val="major"/>
    </font>
    <font>
      <b/>
      <sz val="14"/>
      <color rgb="FFC00000"/>
      <name val="Cambria"/>
      <family val="1"/>
      <scheme val="major"/>
    </font>
    <font>
      <sz val="10"/>
      <color indexed="8"/>
      <name val="Arial"/>
      <family val="2"/>
    </font>
    <font>
      <sz val="10"/>
      <color indexed="48"/>
      <name val="Arial"/>
      <family val="2"/>
    </font>
    <font>
      <b/>
      <sz val="11"/>
      <name val="Cambria"/>
      <family val="1"/>
      <scheme val="major"/>
    </font>
    <font>
      <sz val="8"/>
      <color rgb="FFC00000"/>
      <name val="Calibri"/>
      <family val="2"/>
      <scheme val="minor"/>
    </font>
    <font>
      <sz val="9"/>
      <color indexed="81"/>
      <name val="Tahoma"/>
      <family val="2"/>
    </font>
    <font>
      <sz val="10"/>
      <color theme="1"/>
      <name val="Calibri"/>
      <family val="2"/>
      <scheme val="minor"/>
    </font>
    <font>
      <b/>
      <u/>
      <sz val="12"/>
      <name val="Arial"/>
      <family val="2"/>
    </font>
    <font>
      <b/>
      <u/>
      <sz val="11"/>
      <name val="Arial"/>
      <family val="2"/>
    </font>
    <font>
      <sz val="11"/>
      <color rgb="FFC00000"/>
      <name val="Arial"/>
      <family val="2"/>
    </font>
    <font>
      <sz val="9"/>
      <color rgb="FFC00000"/>
      <name val="Arial"/>
      <family val="2"/>
    </font>
    <font>
      <sz val="12"/>
      <color theme="1"/>
      <name val="Arial"/>
      <family val="2"/>
    </font>
    <font>
      <b/>
      <sz val="12"/>
      <color rgb="FF3333FF"/>
      <name val="Arial"/>
      <family val="2"/>
    </font>
    <font>
      <sz val="11"/>
      <color rgb="FF3333FF"/>
      <name val="Cambria"/>
      <family val="1"/>
      <scheme val="major"/>
    </font>
    <font>
      <sz val="11"/>
      <color rgb="FFFF0000"/>
      <name val="Calibri"/>
      <family val="2"/>
      <scheme val="minor"/>
    </font>
    <font>
      <b/>
      <u val="singleAccounting"/>
      <sz val="11"/>
      <color rgb="FFC00000"/>
      <name val="Calibri"/>
      <family val="2"/>
      <scheme val="minor"/>
    </font>
    <font>
      <b/>
      <sz val="11"/>
      <color rgb="FF7030A0"/>
      <name val="Calibri"/>
      <family val="2"/>
      <scheme val="minor"/>
    </font>
    <font>
      <b/>
      <i/>
      <sz val="9"/>
      <color rgb="FF008000"/>
      <name val="Calibri"/>
      <family val="2"/>
      <scheme val="minor"/>
    </font>
    <font>
      <i/>
      <sz val="9"/>
      <color rgb="FF008000"/>
      <name val="Calibri"/>
      <family val="2"/>
      <scheme val="minor"/>
    </font>
    <font>
      <i/>
      <sz val="9"/>
      <color theme="9" tint="-0.249977111117893"/>
      <name val="Calibri"/>
      <family val="2"/>
      <scheme val="minor"/>
    </font>
    <font>
      <u val="singleAccounting"/>
      <sz val="11"/>
      <color theme="1"/>
      <name val="Calibri"/>
      <family val="2"/>
      <scheme val="minor"/>
    </font>
    <font>
      <sz val="11"/>
      <color rgb="FF000000"/>
      <name val="Calibri"/>
      <family val="2"/>
    </font>
    <font>
      <i/>
      <sz val="12"/>
      <name val="Calibri"/>
      <family val="2"/>
    </font>
    <font>
      <sz val="12"/>
      <name val="Courier New"/>
      <family val="3"/>
    </font>
    <font>
      <sz val="11"/>
      <name val="Courier New"/>
      <family val="3"/>
    </font>
    <font>
      <b/>
      <sz val="12"/>
      <name val="Courier New"/>
      <family val="3"/>
    </font>
    <font>
      <sz val="9"/>
      <name val="Courier New"/>
      <family val="3"/>
    </font>
    <font>
      <b/>
      <sz val="11"/>
      <name val="Courier New"/>
      <family val="3"/>
    </font>
    <font>
      <u val="singleAccounting"/>
      <sz val="9"/>
      <name val="Courier New"/>
      <family val="3"/>
    </font>
    <font>
      <sz val="9"/>
      <color indexed="8"/>
      <name val="Courier New"/>
      <family val="3"/>
    </font>
    <font>
      <sz val="11"/>
      <color rgb="FF3333FF"/>
      <name val="Courier New"/>
      <family val="3"/>
    </font>
    <font>
      <u val="singleAccounting"/>
      <sz val="11"/>
      <name val="Courier New"/>
      <family val="3"/>
    </font>
    <font>
      <b/>
      <sz val="12"/>
      <color rgb="FF7030A0"/>
      <name val="Courier New"/>
      <family val="3"/>
    </font>
    <font>
      <sz val="12"/>
      <color indexed="8"/>
      <name val="Courier New"/>
      <family val="3"/>
    </font>
    <font>
      <sz val="12"/>
      <color indexed="48"/>
      <name val="Courier New"/>
      <family val="3"/>
    </font>
    <font>
      <b/>
      <sz val="10"/>
      <name val="Cambria"/>
      <family val="1"/>
      <scheme val="major"/>
    </font>
    <font>
      <sz val="10"/>
      <name val="Cambria"/>
      <family val="1"/>
      <scheme val="major"/>
    </font>
    <font>
      <i/>
      <sz val="10"/>
      <name val="Cambria"/>
      <family val="1"/>
      <scheme val="major"/>
    </font>
    <font>
      <u/>
      <sz val="11"/>
      <name val="Arial"/>
      <family val="2"/>
    </font>
    <font>
      <b/>
      <u val="singleAccounting"/>
      <sz val="9"/>
      <name val="Courier New"/>
      <family val="3"/>
    </font>
    <font>
      <u/>
      <sz val="9"/>
      <name val="Courier New"/>
      <family val="3"/>
    </font>
    <font>
      <sz val="11"/>
      <color indexed="8"/>
      <name val="Courier New"/>
      <family val="3"/>
    </font>
    <font>
      <b/>
      <u val="singleAccounting"/>
      <sz val="11"/>
      <name val="Courier New"/>
      <family val="3"/>
    </font>
    <font>
      <b/>
      <sz val="11"/>
      <color rgb="FFC00000"/>
      <name val="Courier New"/>
      <family val="3"/>
    </font>
    <font>
      <sz val="11"/>
      <color indexed="48"/>
      <name val="Courier New"/>
      <family val="3"/>
    </font>
    <font>
      <u/>
      <sz val="11"/>
      <name val="Courier New"/>
      <family val="3"/>
    </font>
    <font>
      <b/>
      <u/>
      <sz val="11"/>
      <color rgb="FF3333FF"/>
      <name val="Calibri"/>
      <family val="2"/>
      <scheme val="minor"/>
    </font>
    <font>
      <b/>
      <u/>
      <sz val="12"/>
      <name val="Cambria"/>
      <family val="1"/>
      <scheme val="major"/>
    </font>
    <font>
      <b/>
      <i/>
      <sz val="12"/>
      <color rgb="FF3333FF"/>
      <name val="Cambria"/>
      <family val="1"/>
      <scheme val="major"/>
    </font>
    <font>
      <b/>
      <sz val="12"/>
      <color indexed="8"/>
      <name val="Cambria"/>
      <family val="1"/>
      <scheme val="major"/>
    </font>
    <font>
      <sz val="12"/>
      <color indexed="8"/>
      <name val="Cambria"/>
      <family val="1"/>
      <scheme val="major"/>
    </font>
    <font>
      <i/>
      <sz val="12"/>
      <color indexed="8"/>
      <name val="Cambria"/>
      <family val="1"/>
      <scheme val="major"/>
    </font>
    <font>
      <b/>
      <i/>
      <sz val="12"/>
      <name val="Cambria"/>
      <family val="1"/>
      <scheme val="major"/>
    </font>
    <font>
      <b/>
      <sz val="12"/>
      <color indexed="53"/>
      <name val="Cambria"/>
      <family val="1"/>
      <scheme val="major"/>
    </font>
    <font>
      <i/>
      <sz val="12"/>
      <color theme="9" tint="-0.249977111117893"/>
      <name val="Cambria"/>
      <family val="1"/>
      <scheme val="major"/>
    </font>
    <font>
      <b/>
      <sz val="12"/>
      <color rgb="FF3333FF"/>
      <name val="Cambria"/>
      <family val="1"/>
      <scheme val="major"/>
    </font>
    <font>
      <i/>
      <sz val="12"/>
      <color rgb="FF3333FF"/>
      <name val="Cambria"/>
      <family val="1"/>
      <scheme val="major"/>
    </font>
    <font>
      <sz val="12"/>
      <color rgb="FF3333FF"/>
      <name val="Courier New"/>
      <family val="3"/>
    </font>
    <font>
      <sz val="16"/>
      <name val="Cambria"/>
      <family val="1"/>
      <scheme val="major"/>
    </font>
    <font>
      <i/>
      <sz val="11"/>
      <color rgb="FF3333FF"/>
      <name val="Calibri"/>
      <family val="2"/>
      <scheme val="minor"/>
    </font>
    <font>
      <b/>
      <sz val="11"/>
      <color rgb="FF3333FF"/>
      <name val="Cambria"/>
      <family val="1"/>
      <scheme val="major"/>
    </font>
    <font>
      <sz val="11"/>
      <color indexed="8"/>
      <name val="Arial"/>
      <family val="2"/>
    </font>
    <font>
      <b/>
      <sz val="14"/>
      <color rgb="FF3333FF"/>
      <name val="Courier New"/>
      <family val="3"/>
    </font>
    <font>
      <sz val="12"/>
      <color rgb="FF3333FF"/>
      <name val="Arial"/>
      <family val="2"/>
    </font>
    <font>
      <b/>
      <sz val="12"/>
      <color rgb="FF008000"/>
      <name val="Cambria"/>
      <family val="1"/>
      <scheme val="major"/>
    </font>
    <font>
      <b/>
      <sz val="14"/>
      <color rgb="FF008000"/>
      <name val="Cambria"/>
      <family val="1"/>
      <scheme val="major"/>
    </font>
    <font>
      <i/>
      <sz val="10"/>
      <color theme="1"/>
      <name val="Cambria"/>
      <family val="1"/>
    </font>
    <font>
      <b/>
      <u/>
      <sz val="12"/>
      <name val="Cambria"/>
      <family val="1"/>
    </font>
    <font>
      <b/>
      <u/>
      <sz val="11"/>
      <name val="Calibri"/>
      <family val="2"/>
      <scheme val="minor"/>
    </font>
    <font>
      <sz val="10"/>
      <name val="Calibri"/>
      <family val="2"/>
      <scheme val="minor"/>
    </font>
  </fonts>
  <fills count="25">
    <fill>
      <patternFill patternType="none"/>
    </fill>
    <fill>
      <patternFill patternType="gray125"/>
    </fill>
    <fill>
      <patternFill patternType="solid">
        <fgColor theme="4" tint="0.79998168889431442"/>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rgb="FFFFFF99"/>
        <bgColor indexed="64"/>
      </patternFill>
    </fill>
    <fill>
      <patternFill patternType="solid">
        <fgColor rgb="FFFFFF00"/>
        <bgColor indexed="64"/>
      </patternFill>
    </fill>
    <fill>
      <patternFill patternType="solid">
        <fgColor theme="1" tint="0.49998474074526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FFFFCC"/>
        <bgColor indexed="64"/>
      </patternFill>
    </fill>
    <fill>
      <patternFill patternType="solid">
        <fgColor indexed="43"/>
        <bgColor indexed="64"/>
      </patternFill>
    </fill>
    <fill>
      <patternFill patternType="solid">
        <fgColor rgb="FF99CCFF"/>
        <bgColor indexed="64"/>
      </patternFill>
    </fill>
    <fill>
      <patternFill patternType="solid">
        <fgColor indexed="42"/>
        <bgColor indexed="64"/>
      </patternFill>
    </fill>
    <fill>
      <patternFill patternType="solid">
        <fgColor rgb="FFCCFFCC"/>
        <bgColor indexed="64"/>
      </patternFill>
    </fill>
    <fill>
      <patternFill patternType="solid">
        <fgColor indexed="9"/>
        <bgColor indexed="64"/>
      </patternFill>
    </fill>
    <fill>
      <patternFill patternType="solid">
        <fgColor rgb="FFFDE9D9"/>
        <bgColor indexed="64"/>
      </patternFill>
    </fill>
    <fill>
      <patternFill patternType="solid">
        <fgColor theme="8" tint="0.39997558519241921"/>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6" tint="0.39997558519241921"/>
        <bgColor indexed="64"/>
      </patternFill>
    </fill>
    <fill>
      <patternFill patternType="solid">
        <fgColor theme="6" tint="0.79998168889431442"/>
        <bgColor indexed="64"/>
      </patternFill>
    </fill>
  </fills>
  <borders count="169">
    <border>
      <left/>
      <right/>
      <top/>
      <bottom/>
      <diagonal/>
    </border>
    <border>
      <left/>
      <right/>
      <top style="thin">
        <color indexed="64"/>
      </top>
      <bottom/>
      <diagonal/>
    </border>
    <border>
      <left/>
      <right/>
      <top/>
      <bottom style="thin">
        <color indexed="64"/>
      </bottom>
      <diagonal/>
    </border>
    <border>
      <left/>
      <right/>
      <top/>
      <bottom style="dashed">
        <color auto="1"/>
      </bottom>
      <diagonal/>
    </border>
    <border>
      <left/>
      <right style="thick">
        <color rgb="FFC00000"/>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right/>
      <top/>
      <bottom style="double">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style="thick">
        <color theme="3" tint="0.59996337778862885"/>
      </top>
      <bottom/>
      <diagonal/>
    </border>
    <border>
      <left style="thick">
        <color theme="3" tint="0.59996337778862885"/>
      </left>
      <right style="thick">
        <color theme="3" tint="0.59996337778862885"/>
      </right>
      <top style="thin">
        <color indexed="64"/>
      </top>
      <bottom style="thick">
        <color theme="3" tint="0.59996337778862885"/>
      </bottom>
      <diagonal/>
    </border>
    <border>
      <left style="thick">
        <color theme="3" tint="0.59996337778862885"/>
      </left>
      <right style="thick">
        <color theme="3" tint="0.59996337778862885"/>
      </right>
      <top/>
      <bottom style="thin">
        <color indexed="64"/>
      </bottom>
      <diagonal/>
    </border>
    <border>
      <left/>
      <right/>
      <top style="dashed">
        <color theme="5" tint="0.59996337778862885"/>
      </top>
      <bottom style="dashed">
        <color theme="5" tint="0.59996337778862885"/>
      </bottom>
      <diagonal/>
    </border>
    <border>
      <left style="thick">
        <color theme="3" tint="0.59996337778862885"/>
      </left>
      <right style="thick">
        <color theme="3" tint="0.59996337778862885"/>
      </right>
      <top/>
      <bottom/>
      <diagonal/>
    </border>
    <border>
      <left/>
      <right/>
      <top/>
      <bottom style="dashed">
        <color theme="5" tint="0.59996337778862885"/>
      </bottom>
      <diagonal/>
    </border>
    <border>
      <left style="thick">
        <color theme="3" tint="0.39994506668294322"/>
      </left>
      <right style="thick">
        <color theme="3" tint="0.39991454817346722"/>
      </right>
      <top/>
      <bottom/>
      <diagonal/>
    </border>
    <border>
      <left/>
      <right style="thick">
        <color theme="3" tint="0.39994506668294322"/>
      </right>
      <top/>
      <bottom/>
      <diagonal/>
    </border>
    <border>
      <left style="thick">
        <color theme="3" tint="0.39994506668294322"/>
      </left>
      <right style="thick">
        <color theme="3" tint="0.39994506668294322"/>
      </right>
      <top/>
      <bottom/>
      <diagonal/>
    </border>
    <border>
      <left style="thick">
        <color theme="3" tint="0.39994506668294322"/>
      </left>
      <right style="thick">
        <color theme="3" tint="0.39991454817346722"/>
      </right>
      <top style="thick">
        <color theme="3" tint="0.39991454817346722"/>
      </top>
      <bottom style="thin">
        <color indexed="64"/>
      </bottom>
      <diagonal/>
    </border>
    <border>
      <left style="thick">
        <color rgb="FF3333FF"/>
      </left>
      <right style="thick">
        <color rgb="FF3333FF"/>
      </right>
      <top style="thin">
        <color indexed="64"/>
      </top>
      <bottom/>
      <diagonal/>
    </border>
    <border>
      <left style="thick">
        <color rgb="FF3333FF"/>
      </left>
      <right style="thick">
        <color rgb="FF3333FF"/>
      </right>
      <top/>
      <bottom style="thin">
        <color auto="1"/>
      </bottom>
      <diagonal/>
    </border>
    <border>
      <left style="thin">
        <color indexed="64"/>
      </left>
      <right/>
      <top/>
      <bottom style="hair">
        <color indexed="23"/>
      </bottom>
      <diagonal/>
    </border>
    <border>
      <left/>
      <right/>
      <top/>
      <bottom style="hair">
        <color indexed="23"/>
      </bottom>
      <diagonal/>
    </border>
    <border>
      <left style="thick">
        <color rgb="FF3333FF"/>
      </left>
      <right style="thick">
        <color rgb="FF3333FF"/>
      </right>
      <top/>
      <bottom style="hair">
        <color indexed="23"/>
      </bottom>
      <diagonal/>
    </border>
    <border>
      <left style="thin">
        <color indexed="64"/>
      </left>
      <right/>
      <top style="hair">
        <color indexed="23"/>
      </top>
      <bottom style="hair">
        <color indexed="23"/>
      </bottom>
      <diagonal/>
    </border>
    <border>
      <left/>
      <right/>
      <top style="hair">
        <color indexed="23"/>
      </top>
      <bottom style="hair">
        <color indexed="23"/>
      </bottom>
      <diagonal/>
    </border>
    <border>
      <left style="thick">
        <color rgb="FF3333FF"/>
      </left>
      <right style="thick">
        <color rgb="FF3333FF"/>
      </right>
      <top style="hair">
        <color indexed="23"/>
      </top>
      <bottom style="hair">
        <color indexed="23"/>
      </bottom>
      <diagonal/>
    </border>
    <border>
      <left/>
      <right/>
      <top style="hair">
        <color indexed="23"/>
      </top>
      <bottom style="thin">
        <color indexed="64"/>
      </bottom>
      <diagonal/>
    </border>
    <border>
      <left style="thick">
        <color rgb="FF3333FF"/>
      </left>
      <right style="thick">
        <color rgb="FF3333FF"/>
      </right>
      <top style="hair">
        <color indexed="23"/>
      </top>
      <bottom style="thin">
        <color indexed="64"/>
      </bottom>
      <diagonal/>
    </border>
    <border>
      <left style="thin">
        <color indexed="64"/>
      </left>
      <right/>
      <top style="thin">
        <color indexed="64"/>
      </top>
      <bottom style="thin">
        <color indexed="64"/>
      </bottom>
      <diagonal/>
    </border>
    <border>
      <left style="thick">
        <color rgb="FF3333FF"/>
      </left>
      <right style="thick">
        <color rgb="FF3333FF"/>
      </right>
      <top style="thin">
        <color indexed="64"/>
      </top>
      <bottom style="thin">
        <color auto="1"/>
      </bottom>
      <diagonal/>
    </border>
    <border>
      <left/>
      <right style="thin">
        <color indexed="64"/>
      </right>
      <top style="thin">
        <color indexed="64"/>
      </top>
      <bottom style="thin">
        <color indexed="64"/>
      </bottom>
      <diagonal/>
    </border>
    <border>
      <left style="thick">
        <color rgb="FF3333FF"/>
      </left>
      <right style="thick">
        <color rgb="FF3333FF"/>
      </right>
      <top/>
      <bottom/>
      <diagonal/>
    </border>
    <border>
      <left style="thin">
        <color indexed="64"/>
      </left>
      <right/>
      <top style="hair">
        <color indexed="23"/>
      </top>
      <bottom style="thin">
        <color indexed="64"/>
      </bottom>
      <diagonal/>
    </border>
    <border>
      <left style="thick">
        <color rgb="FF3333FF"/>
      </left>
      <right style="thick">
        <color rgb="FF3333FF"/>
      </right>
      <top style="hair">
        <color indexed="23"/>
      </top>
      <bottom style="hair">
        <color indexed="64"/>
      </bottom>
      <diagonal/>
    </border>
    <border>
      <left/>
      <right/>
      <top/>
      <bottom style="hair">
        <color auto="1"/>
      </bottom>
      <diagonal/>
    </border>
    <border>
      <left/>
      <right/>
      <top style="hair">
        <color auto="1"/>
      </top>
      <bottom style="hair">
        <color auto="1"/>
      </bottom>
      <diagonal/>
    </border>
    <border>
      <left/>
      <right/>
      <top style="hair">
        <color auto="1"/>
      </top>
      <bottom style="thin">
        <color indexed="64"/>
      </bottom>
      <diagonal/>
    </border>
    <border>
      <left/>
      <right/>
      <top style="hair">
        <color auto="1"/>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diagonal/>
    </border>
    <border>
      <left style="thin">
        <color indexed="64"/>
      </left>
      <right style="thin">
        <color indexed="64"/>
      </right>
      <top style="double">
        <color indexed="64"/>
      </top>
      <bottom/>
      <diagonal/>
    </border>
    <border>
      <left style="thin">
        <color indexed="64"/>
      </left>
      <right style="thin">
        <color indexed="64"/>
      </right>
      <top style="hair">
        <color auto="1"/>
      </top>
      <bottom style="thin">
        <color indexed="64"/>
      </bottom>
      <diagonal/>
    </border>
    <border>
      <left style="thin">
        <color indexed="64"/>
      </left>
      <right/>
      <top style="thin">
        <color indexed="64"/>
      </top>
      <bottom style="double">
        <color indexed="64"/>
      </bottom>
      <diagonal/>
    </border>
    <border>
      <left style="thin">
        <color indexed="64"/>
      </left>
      <right/>
      <top style="hair">
        <color auto="1"/>
      </top>
      <bottom style="hair">
        <color auto="1"/>
      </bottom>
      <diagonal/>
    </border>
    <border>
      <left style="thin">
        <color indexed="64"/>
      </left>
      <right/>
      <top style="hair">
        <color auto="1"/>
      </top>
      <bottom/>
      <diagonal/>
    </border>
    <border>
      <left style="thin">
        <color indexed="64"/>
      </left>
      <right/>
      <top style="hair">
        <color auto="1"/>
      </top>
      <bottom style="thin">
        <color indexed="64"/>
      </bottom>
      <diagonal/>
    </border>
    <border>
      <left style="thin">
        <color indexed="64"/>
      </left>
      <right/>
      <top/>
      <bottom style="hair">
        <color auto="1"/>
      </bottom>
      <diagonal/>
    </border>
    <border>
      <left style="thin">
        <color indexed="64"/>
      </left>
      <right style="thin">
        <color indexed="64"/>
      </right>
      <top/>
      <bottom style="hair">
        <color auto="1"/>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style="thin">
        <color indexed="64"/>
      </left>
      <right/>
      <top style="thin">
        <color indexed="64"/>
      </top>
      <bottom style="hair">
        <color auto="1"/>
      </bottom>
      <diagonal/>
    </border>
    <border>
      <left/>
      <right/>
      <top style="thin">
        <color indexed="64"/>
      </top>
      <bottom style="hair">
        <color auto="1"/>
      </bottom>
      <diagonal/>
    </border>
    <border>
      <left/>
      <right style="thin">
        <color indexed="64"/>
      </right>
      <top style="hair">
        <color auto="1"/>
      </top>
      <bottom style="hair">
        <color auto="1"/>
      </bottom>
      <diagonal/>
    </border>
    <border>
      <left/>
      <right style="thin">
        <color indexed="64"/>
      </right>
      <top/>
      <bottom style="hair">
        <color auto="1"/>
      </bottom>
      <diagonal/>
    </border>
    <border>
      <left style="thin">
        <color indexed="64"/>
      </left>
      <right/>
      <top style="double">
        <color indexed="64"/>
      </top>
      <bottom/>
      <diagonal/>
    </border>
    <border>
      <left/>
      <right/>
      <top style="double">
        <color indexed="64"/>
      </top>
      <bottom/>
      <diagonal/>
    </border>
    <border>
      <left style="thin">
        <color indexed="64"/>
      </left>
      <right style="thin">
        <color indexed="64"/>
      </right>
      <top style="thin">
        <color indexed="64"/>
      </top>
      <bottom style="hair">
        <color auto="1"/>
      </bottom>
      <diagonal/>
    </border>
    <border>
      <left/>
      <right style="thin">
        <color indexed="64"/>
      </right>
      <top style="hair">
        <color indexed="64"/>
      </top>
      <bottom/>
      <diagonal/>
    </border>
    <border>
      <left/>
      <right style="thin">
        <color indexed="64"/>
      </right>
      <top style="double">
        <color indexed="64"/>
      </top>
      <bottom/>
      <diagonal/>
    </border>
    <border>
      <left/>
      <right/>
      <top style="double">
        <color indexed="64"/>
      </top>
      <bottom style="thin">
        <color indexed="64"/>
      </bottom>
      <diagonal/>
    </border>
    <border>
      <left style="thin">
        <color indexed="64"/>
      </left>
      <right style="thin">
        <color indexed="64"/>
      </right>
      <top/>
      <bottom style="hair">
        <color indexed="23"/>
      </bottom>
      <diagonal/>
    </border>
    <border>
      <left style="thin">
        <color indexed="64"/>
      </left>
      <right style="thin">
        <color indexed="64"/>
      </right>
      <top style="hair">
        <color indexed="23"/>
      </top>
      <bottom style="hair">
        <color indexed="23"/>
      </bottom>
      <diagonal/>
    </border>
    <border>
      <left style="thin">
        <color indexed="64"/>
      </left>
      <right style="thin">
        <color indexed="64"/>
      </right>
      <top style="hair">
        <color indexed="23"/>
      </top>
      <bottom style="thin">
        <color indexed="64"/>
      </bottom>
      <diagonal/>
    </border>
    <border>
      <left style="thin">
        <color indexed="64"/>
      </left>
      <right style="thick">
        <color rgb="FF3333FF"/>
      </right>
      <top style="thin">
        <color indexed="64"/>
      </top>
      <bottom style="thin">
        <color auto="1"/>
      </bottom>
      <diagonal/>
    </border>
    <border>
      <left style="double">
        <color indexed="64"/>
      </left>
      <right/>
      <top style="thin">
        <color indexed="64"/>
      </top>
      <bottom/>
      <diagonal/>
    </border>
    <border>
      <left style="double">
        <color indexed="64"/>
      </left>
      <right/>
      <top/>
      <bottom style="thin">
        <color indexed="64"/>
      </bottom>
      <diagonal/>
    </border>
    <border>
      <left style="double">
        <color indexed="64"/>
      </left>
      <right/>
      <top/>
      <bottom style="hair">
        <color indexed="23"/>
      </bottom>
      <diagonal/>
    </border>
    <border>
      <left style="double">
        <color indexed="64"/>
      </left>
      <right/>
      <top style="hair">
        <color indexed="23"/>
      </top>
      <bottom style="hair">
        <color indexed="23"/>
      </bottom>
      <diagonal/>
    </border>
    <border>
      <left style="double">
        <color indexed="64"/>
      </left>
      <right/>
      <top style="hair">
        <color indexed="23"/>
      </top>
      <bottom style="thin">
        <color indexed="64"/>
      </bottom>
      <diagonal/>
    </border>
    <border>
      <left style="double">
        <color indexed="64"/>
      </left>
      <right/>
      <top/>
      <bottom/>
      <diagonal/>
    </border>
    <border>
      <left style="double">
        <color indexed="64"/>
      </left>
      <right/>
      <top style="thin">
        <color indexed="64"/>
      </top>
      <bottom style="hair">
        <color auto="1"/>
      </bottom>
      <diagonal/>
    </border>
    <border>
      <left style="double">
        <color indexed="64"/>
      </left>
      <right/>
      <top style="hair">
        <color auto="1"/>
      </top>
      <bottom style="hair">
        <color auto="1"/>
      </bottom>
      <diagonal/>
    </border>
    <border>
      <left style="double">
        <color indexed="64"/>
      </left>
      <right/>
      <top/>
      <bottom style="hair">
        <color indexed="64"/>
      </bottom>
      <diagonal/>
    </border>
    <border>
      <left style="thin">
        <color indexed="64"/>
      </left>
      <right style="thick">
        <color rgb="FF3333FF"/>
      </right>
      <top style="thin">
        <color indexed="64"/>
      </top>
      <bottom/>
      <diagonal/>
    </border>
    <border>
      <left style="thin">
        <color indexed="64"/>
      </left>
      <right style="thick">
        <color rgb="FF3333FF"/>
      </right>
      <top/>
      <bottom style="thin">
        <color auto="1"/>
      </bottom>
      <diagonal/>
    </border>
    <border>
      <left style="thin">
        <color indexed="64"/>
      </left>
      <right style="thick">
        <color rgb="FF3333FF"/>
      </right>
      <top/>
      <bottom style="hair">
        <color indexed="23"/>
      </bottom>
      <diagonal/>
    </border>
    <border>
      <left style="thin">
        <color indexed="64"/>
      </left>
      <right style="thick">
        <color rgb="FF3333FF"/>
      </right>
      <top/>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right style="thin">
        <color indexed="64"/>
      </right>
      <top style="thin">
        <color indexed="64"/>
      </top>
      <bottom style="hair">
        <color indexed="64"/>
      </bottom>
      <diagonal/>
    </border>
    <border>
      <left/>
      <right/>
      <top style="hair">
        <color auto="1"/>
      </top>
      <bottom style="hair">
        <color auto="1"/>
      </bottom>
      <diagonal/>
    </border>
    <border>
      <left style="thin">
        <color indexed="64"/>
      </left>
      <right/>
      <top style="hair">
        <color auto="1"/>
      </top>
      <bottom style="hair">
        <color auto="1"/>
      </bottom>
      <diagonal/>
    </border>
    <border>
      <left style="thin">
        <color indexed="64"/>
      </left>
      <right/>
      <top style="hair">
        <color auto="1"/>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thick">
        <color rgb="FF3333FF"/>
      </left>
      <right style="thick">
        <color rgb="FF3333FF"/>
      </right>
      <top/>
      <bottom style="hair">
        <color auto="1"/>
      </bottom>
      <diagonal/>
    </border>
    <border>
      <left style="thick">
        <color rgb="FF3333FF"/>
      </left>
      <right style="thick">
        <color rgb="FF3333FF"/>
      </right>
      <top style="hair">
        <color auto="1"/>
      </top>
      <bottom style="hair">
        <color auto="1"/>
      </bottom>
      <diagonal/>
    </border>
    <border>
      <left style="thick">
        <color rgb="FF3333FF"/>
      </left>
      <right style="thick">
        <color rgb="FF3333FF"/>
      </right>
      <top style="thin">
        <color indexed="64"/>
      </top>
      <bottom style="double">
        <color indexed="64"/>
      </bottom>
      <diagonal/>
    </border>
    <border>
      <left style="thick">
        <color rgb="FF3333FF"/>
      </left>
      <right style="thick">
        <color rgb="FF3333FF"/>
      </right>
      <top style="double">
        <color indexed="64"/>
      </top>
      <bottom/>
      <diagonal/>
    </border>
    <border>
      <left style="thick">
        <color rgb="FF3333FF"/>
      </left>
      <right style="thick">
        <color rgb="FF3333FF"/>
      </right>
      <top style="hair">
        <color auto="1"/>
      </top>
      <bottom/>
      <diagonal/>
    </border>
    <border>
      <left style="thick">
        <color rgb="FF3333FF"/>
      </left>
      <right style="thick">
        <color rgb="FF3333FF"/>
      </right>
      <top/>
      <bottom style="double">
        <color indexed="64"/>
      </bottom>
      <diagonal/>
    </border>
    <border>
      <left style="thick">
        <color rgb="FF3333FF"/>
      </left>
      <right style="thick">
        <color rgb="FF3333FF"/>
      </right>
      <top/>
      <bottom style="thick">
        <color rgb="FF3333FF"/>
      </bottom>
      <diagonal/>
    </border>
    <border>
      <left style="thin">
        <color indexed="64"/>
      </left>
      <right/>
      <top style="hair">
        <color auto="1"/>
      </top>
      <bottom style="thin">
        <color indexed="64"/>
      </bottom>
      <diagonal/>
    </border>
    <border>
      <left/>
      <right style="thin">
        <color indexed="64"/>
      </right>
      <top style="hair">
        <color auto="1"/>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ck">
        <color rgb="FF3333FF"/>
      </left>
      <right style="thick">
        <color rgb="FF3333FF"/>
      </right>
      <top style="thin">
        <color indexed="64"/>
      </top>
      <bottom style="hair">
        <color auto="1"/>
      </bottom>
      <diagonal/>
    </border>
    <border>
      <left style="thick">
        <color rgb="FF3333FF"/>
      </left>
      <right style="thick">
        <color rgb="FF3333FF"/>
      </right>
      <top style="double">
        <color indexed="64"/>
      </top>
      <bottom style="thin">
        <color indexed="64"/>
      </bottom>
      <diagonal/>
    </border>
    <border>
      <left style="thick">
        <color rgb="FF3333FF"/>
      </left>
      <right style="thick">
        <color rgb="FF3333FF"/>
      </right>
      <top style="thick">
        <color rgb="FF3333FF"/>
      </top>
      <bottom/>
      <diagonal/>
    </border>
    <border>
      <left/>
      <right style="thick">
        <color theme="3" tint="0.39991454817346722"/>
      </right>
      <top/>
      <bottom style="thin">
        <color indexed="64"/>
      </bottom>
      <diagonal/>
    </border>
    <border>
      <left/>
      <right style="thick">
        <color theme="3" tint="0.39991454817346722"/>
      </right>
      <top/>
      <bottom/>
      <diagonal/>
    </border>
    <border>
      <left/>
      <right style="thick">
        <color theme="3" tint="0.59996337778862885"/>
      </right>
      <top/>
      <bottom/>
      <diagonal/>
    </border>
    <border>
      <left/>
      <right style="thick">
        <color theme="3" tint="0.59996337778862885"/>
      </right>
      <top/>
      <bottom style="thin">
        <color indexed="64"/>
      </bottom>
      <diagonal/>
    </border>
    <border>
      <left/>
      <right style="thick">
        <color theme="3" tint="0.59996337778862885"/>
      </right>
      <top style="thin">
        <color indexed="64"/>
      </top>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thin">
        <color indexed="64"/>
      </left>
      <right/>
      <top style="hair">
        <color auto="1"/>
      </top>
      <bottom style="hair">
        <color auto="1"/>
      </bottom>
      <diagonal/>
    </border>
    <border>
      <left style="thin">
        <color indexed="64"/>
      </left>
      <right/>
      <top style="hair">
        <color auto="1"/>
      </top>
      <bottom/>
      <diagonal/>
    </border>
    <border>
      <left style="thick">
        <color rgb="FF3333FF"/>
      </left>
      <right style="thick">
        <color rgb="FF3333FF"/>
      </right>
      <top style="hair">
        <color indexed="64"/>
      </top>
      <bottom style="hair">
        <color indexed="64"/>
      </bottom>
      <diagonal/>
    </border>
    <border>
      <left style="thick">
        <color rgb="FF3333FF"/>
      </left>
      <right style="thick">
        <color rgb="FF3333FF"/>
      </right>
      <top style="hair">
        <color indexed="64"/>
      </top>
      <bottom/>
      <diagonal/>
    </border>
    <border>
      <left style="thin">
        <color indexed="64"/>
      </left>
      <right style="thick">
        <color rgb="FF3333FF"/>
      </right>
      <top style="double">
        <color indexed="64"/>
      </top>
      <bottom style="thin">
        <color indexed="64"/>
      </bottom>
      <diagonal/>
    </border>
    <border>
      <left style="thick">
        <color rgb="FF3333FF"/>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hair">
        <color auto="1"/>
      </top>
      <bottom style="thin">
        <color indexed="64"/>
      </bottom>
      <diagonal/>
    </border>
    <border>
      <left/>
      <right style="thin">
        <color indexed="64"/>
      </right>
      <top style="hair">
        <color auto="1"/>
      </top>
      <bottom style="thin">
        <color indexed="64"/>
      </bottom>
      <diagonal/>
    </border>
    <border>
      <left style="thick">
        <color rgb="FF3333FF"/>
      </left>
      <right style="thick">
        <color rgb="FF3333FF"/>
      </right>
      <top style="hair">
        <color auto="1"/>
      </top>
      <bottom style="thin">
        <color indexed="64"/>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right style="hair">
        <color auto="1"/>
      </right>
      <top/>
      <bottom/>
      <diagonal/>
    </border>
    <border>
      <left/>
      <right style="hair">
        <color indexed="64"/>
      </right>
      <top style="hair">
        <color indexed="64"/>
      </top>
      <bottom/>
      <diagonal/>
    </border>
    <border>
      <left/>
      <right/>
      <top style="hair">
        <color indexed="64"/>
      </top>
      <bottom style="hair">
        <color indexed="64"/>
      </bottom>
      <diagonal/>
    </border>
    <border>
      <left style="thick">
        <color auto="1"/>
      </left>
      <right/>
      <top style="thick">
        <color auto="1"/>
      </top>
      <bottom style="hair">
        <color auto="1"/>
      </bottom>
      <diagonal/>
    </border>
    <border>
      <left/>
      <right/>
      <top style="thick">
        <color auto="1"/>
      </top>
      <bottom style="hair">
        <color auto="1"/>
      </bottom>
      <diagonal/>
    </border>
    <border>
      <left/>
      <right style="hair">
        <color auto="1"/>
      </right>
      <top style="thick">
        <color auto="1"/>
      </top>
      <bottom style="hair">
        <color indexed="64"/>
      </bottom>
      <diagonal/>
    </border>
    <border>
      <left style="hair">
        <color auto="1"/>
      </left>
      <right style="hair">
        <color auto="1"/>
      </right>
      <top style="thick">
        <color auto="1"/>
      </top>
      <bottom style="hair">
        <color auto="1"/>
      </bottom>
      <diagonal/>
    </border>
    <border>
      <left/>
      <right/>
      <top style="thick">
        <color auto="1"/>
      </top>
      <bottom/>
      <diagonal/>
    </border>
    <border>
      <left style="hair">
        <color auto="1"/>
      </left>
      <right style="thick">
        <color auto="1"/>
      </right>
      <top style="thick">
        <color auto="1"/>
      </top>
      <bottom style="hair">
        <color auto="1"/>
      </bottom>
      <diagonal/>
    </border>
    <border>
      <left style="thick">
        <color auto="1"/>
      </left>
      <right/>
      <top/>
      <bottom/>
      <diagonal/>
    </border>
    <border>
      <left style="hair">
        <color auto="1"/>
      </left>
      <right style="thick">
        <color auto="1"/>
      </right>
      <top style="hair">
        <color auto="1"/>
      </top>
      <bottom style="hair">
        <color auto="1"/>
      </bottom>
      <diagonal/>
    </border>
    <border>
      <left style="thick">
        <color auto="1"/>
      </left>
      <right/>
      <top style="hair">
        <color indexed="64"/>
      </top>
      <bottom/>
      <diagonal/>
    </border>
    <border>
      <left style="thick">
        <color auto="1"/>
      </left>
      <right/>
      <top/>
      <bottom style="hair">
        <color indexed="64"/>
      </bottom>
      <diagonal/>
    </border>
    <border>
      <left/>
      <right style="hair">
        <color auto="1"/>
      </right>
      <top/>
      <bottom style="hair">
        <color indexed="64"/>
      </bottom>
      <diagonal/>
    </border>
    <border>
      <left style="thick">
        <color auto="1"/>
      </left>
      <right/>
      <top style="hair">
        <color auto="1"/>
      </top>
      <bottom style="hair">
        <color auto="1"/>
      </bottom>
      <diagonal/>
    </border>
    <border>
      <left style="thick">
        <color auto="1"/>
      </left>
      <right/>
      <top style="hair">
        <color auto="1"/>
      </top>
      <bottom style="thick">
        <color auto="1"/>
      </bottom>
      <diagonal/>
    </border>
    <border>
      <left/>
      <right/>
      <top style="hair">
        <color indexed="64"/>
      </top>
      <bottom style="thick">
        <color auto="1"/>
      </bottom>
      <diagonal/>
    </border>
    <border>
      <left/>
      <right style="hair">
        <color auto="1"/>
      </right>
      <top style="hair">
        <color auto="1"/>
      </top>
      <bottom style="thick">
        <color auto="1"/>
      </bottom>
      <diagonal/>
    </border>
    <border>
      <left style="hair">
        <color auto="1"/>
      </left>
      <right style="hair">
        <color auto="1"/>
      </right>
      <top style="hair">
        <color auto="1"/>
      </top>
      <bottom style="thick">
        <color auto="1"/>
      </bottom>
      <diagonal/>
    </border>
    <border>
      <left style="hair">
        <color auto="1"/>
      </left>
      <right/>
      <top style="hair">
        <color auto="1"/>
      </top>
      <bottom style="thick">
        <color auto="1"/>
      </bottom>
      <diagonal/>
    </border>
    <border>
      <left style="hair">
        <color auto="1"/>
      </left>
      <right style="thick">
        <color auto="1"/>
      </right>
      <top style="hair">
        <color auto="1"/>
      </top>
      <bottom style="thick">
        <color auto="1"/>
      </bottom>
      <diagonal/>
    </border>
    <border>
      <left style="hair">
        <color indexed="64"/>
      </left>
      <right style="hair">
        <color indexed="64"/>
      </right>
      <top style="hair">
        <color auto="1"/>
      </top>
      <bottom/>
      <diagonal/>
    </border>
    <border>
      <left style="hair">
        <color indexed="64"/>
      </left>
      <right style="thick">
        <color auto="1"/>
      </right>
      <top style="hair">
        <color auto="1"/>
      </top>
      <bottom/>
      <diagonal/>
    </border>
    <border>
      <left style="hair">
        <color indexed="64"/>
      </left>
      <right style="hair">
        <color indexed="64"/>
      </right>
      <top/>
      <bottom style="hair">
        <color auto="1"/>
      </bottom>
      <diagonal/>
    </border>
    <border>
      <left style="hair">
        <color indexed="64"/>
      </left>
      <right style="thick">
        <color auto="1"/>
      </right>
      <top/>
      <bottom style="hair">
        <color auto="1"/>
      </bottom>
      <diagonal/>
    </border>
    <border>
      <left style="thick">
        <color rgb="FFC00000"/>
      </left>
      <right/>
      <top/>
      <bottom/>
      <diagonal/>
    </border>
    <border>
      <left style="thin">
        <color rgb="FFC00000"/>
      </left>
      <right/>
      <top style="thin">
        <color rgb="FFC00000"/>
      </top>
      <bottom style="thin">
        <color rgb="FFC00000"/>
      </bottom>
      <diagonal/>
    </border>
    <border>
      <left/>
      <right style="thin">
        <color rgb="FFC00000"/>
      </right>
      <top style="thin">
        <color rgb="FFC00000"/>
      </top>
      <bottom style="thin">
        <color rgb="FFC00000"/>
      </bottom>
      <diagonal/>
    </border>
    <border>
      <left style="thin">
        <color indexed="64"/>
      </left>
      <right style="thin">
        <color indexed="64"/>
      </right>
      <top style="hair">
        <color indexed="23"/>
      </top>
      <bottom style="hair">
        <color indexed="23"/>
      </bottom>
      <diagonal/>
    </border>
    <border>
      <left style="thin">
        <color indexed="64"/>
      </left>
      <right style="thick">
        <color rgb="FF3333FF"/>
      </right>
      <top style="hair">
        <color indexed="23"/>
      </top>
      <bottom style="hair">
        <color indexed="23"/>
      </bottom>
      <diagonal/>
    </border>
    <border>
      <left style="thin">
        <color indexed="64"/>
      </left>
      <right style="thin">
        <color indexed="64"/>
      </right>
      <top style="hair">
        <color indexed="23"/>
      </top>
      <bottom style="thin">
        <color indexed="64"/>
      </bottom>
      <diagonal/>
    </border>
    <border>
      <left style="thin">
        <color indexed="64"/>
      </left>
      <right style="thick">
        <color rgb="FF3333FF"/>
      </right>
      <top style="hair">
        <color indexed="23"/>
      </top>
      <bottom style="thin">
        <color indexed="64"/>
      </bottom>
      <diagonal/>
    </border>
    <border>
      <left style="thin">
        <color indexed="64"/>
      </left>
      <right style="thin">
        <color indexed="64"/>
      </right>
      <top style="hair">
        <color indexed="23"/>
      </top>
      <bottom style="hair">
        <color indexed="64"/>
      </bottom>
      <diagonal/>
    </border>
    <border>
      <left style="thin">
        <color indexed="64"/>
      </left>
      <right style="thick">
        <color rgb="FF3333FF"/>
      </right>
      <top style="hair">
        <color indexed="23"/>
      </top>
      <bottom style="hair">
        <color indexed="64"/>
      </bottom>
      <diagonal/>
    </border>
  </borders>
  <cellStyleXfs count="56">
    <xf numFmtId="167" fontId="0" fillId="0" borderId="0"/>
    <xf numFmtId="43" fontId="1" fillId="0" borderId="0" applyFont="0" applyFill="0" applyBorder="0" applyAlignment="0" applyProtection="0"/>
    <xf numFmtId="9" fontId="1" fillId="0" borderId="0" applyFont="0" applyFill="0" applyBorder="0" applyAlignment="0" applyProtection="0"/>
    <xf numFmtId="167" fontId="4" fillId="0" borderId="0"/>
    <xf numFmtId="167" fontId="1" fillId="0" borderId="0"/>
    <xf numFmtId="9" fontId="9" fillId="0" borderId="0" applyFont="0" applyFill="0" applyBorder="0" applyAlignment="0" applyProtection="0"/>
    <xf numFmtId="167" fontId="10" fillId="0" borderId="0"/>
    <xf numFmtId="167" fontId="1" fillId="0" borderId="0"/>
    <xf numFmtId="43" fontId="9" fillId="0" borderId="0" applyFont="0" applyFill="0" applyBorder="0" applyAlignment="0" applyProtection="0"/>
    <xf numFmtId="9"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7" fontId="1" fillId="0" borderId="0"/>
    <xf numFmtId="167" fontId="1" fillId="0" borderId="0"/>
    <xf numFmtId="167" fontId="12"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2" fillId="0" borderId="0" applyFont="0" applyFill="0" applyBorder="0" applyAlignment="0" applyProtection="0"/>
    <xf numFmtId="167" fontId="9" fillId="0" borderId="0"/>
    <xf numFmtId="167" fontId="9" fillId="0" borderId="0"/>
    <xf numFmtId="167" fontId="1" fillId="0" borderId="0"/>
    <xf numFmtId="167" fontId="4" fillId="0" borderId="0"/>
    <xf numFmtId="44" fontId="4"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167" fontId="9" fillId="0" borderId="0"/>
    <xf numFmtId="167" fontId="4" fillId="0" borderId="0"/>
    <xf numFmtId="44" fontId="4" fillId="0" borderId="0" applyFont="0" applyFill="0" applyBorder="0" applyAlignment="0" applyProtection="0"/>
    <xf numFmtId="44" fontId="1" fillId="0" borderId="0" applyFont="0" applyFill="0" applyBorder="0" applyAlignment="0" applyProtection="0"/>
    <xf numFmtId="167" fontId="1" fillId="0" borderId="0"/>
    <xf numFmtId="167" fontId="1" fillId="0" borderId="0"/>
    <xf numFmtId="167" fontId="1" fillId="0" borderId="0"/>
    <xf numFmtId="167" fontId="139" fillId="0" borderId="0"/>
    <xf numFmtId="167" fontId="1" fillId="0" borderId="0"/>
    <xf numFmtId="167" fontId="1" fillId="0" borderId="0"/>
    <xf numFmtId="167" fontId="1" fillId="0" borderId="0"/>
    <xf numFmtId="167" fontId="12" fillId="0" borderId="0"/>
    <xf numFmtId="167" fontId="4" fillId="0" borderId="0"/>
    <xf numFmtId="167" fontId="1" fillId="0" borderId="0"/>
    <xf numFmtId="167" fontId="1" fillId="0" borderId="0"/>
  </cellStyleXfs>
  <cellXfs count="2574">
    <xf numFmtId="167" fontId="0" fillId="0" borderId="0" xfId="0"/>
    <xf numFmtId="167" fontId="2" fillId="0" borderId="0" xfId="0" applyFont="1" applyAlignment="1">
      <alignment horizontal="right"/>
    </xf>
    <xf numFmtId="43" fontId="0" fillId="0" borderId="0" xfId="1" applyFont="1"/>
    <xf numFmtId="43" fontId="0" fillId="0" borderId="0" xfId="1" applyFont="1" applyAlignment="1">
      <alignment horizontal="center"/>
    </xf>
    <xf numFmtId="167" fontId="2" fillId="0" borderId="0" xfId="0" applyFont="1" applyBorder="1"/>
    <xf numFmtId="43" fontId="2" fillId="0" borderId="0" xfId="1" applyFont="1" applyBorder="1" applyAlignment="1">
      <alignment horizontal="center"/>
    </xf>
    <xf numFmtId="43" fontId="2" fillId="0" borderId="0" xfId="1" applyFont="1" applyBorder="1"/>
    <xf numFmtId="167" fontId="2" fillId="0" borderId="0" xfId="0" applyFont="1" applyBorder="1" applyAlignment="1">
      <alignment horizontal="left"/>
    </xf>
    <xf numFmtId="43" fontId="2" fillId="0" borderId="1" xfId="1" applyFont="1" applyBorder="1" applyAlignment="1">
      <alignment horizontal="center"/>
    </xf>
    <xf numFmtId="43" fontId="2" fillId="0" borderId="0" xfId="1" applyFont="1" applyAlignment="1">
      <alignment horizontal="center"/>
    </xf>
    <xf numFmtId="43" fontId="2" fillId="0" borderId="0" xfId="1" applyFont="1"/>
    <xf numFmtId="164" fontId="0" fillId="0" borderId="0" xfId="0" applyNumberFormat="1" applyFont="1" applyAlignment="1">
      <alignment horizontal="left"/>
    </xf>
    <xf numFmtId="49" fontId="0" fillId="0" borderId="0" xfId="0" applyNumberFormat="1" applyFont="1" applyAlignment="1">
      <alignment horizontal="right"/>
    </xf>
    <xf numFmtId="167" fontId="2" fillId="0" borderId="0" xfId="0" applyFont="1"/>
    <xf numFmtId="43" fontId="2" fillId="0" borderId="2" xfId="1" applyFont="1" applyBorder="1" applyAlignment="1">
      <alignment horizontal="center"/>
    </xf>
    <xf numFmtId="9" fontId="2" fillId="0" borderId="0" xfId="2" applyFont="1" applyAlignment="1">
      <alignment horizontal="center"/>
    </xf>
    <xf numFmtId="43" fontId="0" fillId="0" borderId="0" xfId="0" applyNumberFormat="1"/>
    <xf numFmtId="43" fontId="0" fillId="0" borderId="2" xfId="1" applyFont="1" applyBorder="1"/>
    <xf numFmtId="43" fontId="0" fillId="0" borderId="0" xfId="1" applyNumberFormat="1" applyFont="1" applyAlignment="1">
      <alignment horizontal="center"/>
    </xf>
    <xf numFmtId="43" fontId="2" fillId="0" borderId="0" xfId="0" applyNumberFormat="1" applyFont="1" applyAlignment="1">
      <alignment horizontal="center"/>
    </xf>
    <xf numFmtId="49" fontId="2" fillId="0" borderId="0" xfId="0" applyNumberFormat="1" applyFont="1" applyAlignment="1">
      <alignment horizontal="right"/>
    </xf>
    <xf numFmtId="49" fontId="2" fillId="0" borderId="0" xfId="0" applyNumberFormat="1" applyFont="1" applyAlignment="1">
      <alignment horizontal="left"/>
    </xf>
    <xf numFmtId="49" fontId="2" fillId="0" borderId="0" xfId="0" applyNumberFormat="1" applyFont="1" applyBorder="1" applyAlignment="1">
      <alignment horizontal="left"/>
    </xf>
    <xf numFmtId="14" fontId="2" fillId="5" borderId="0" xfId="0" applyNumberFormat="1" applyFont="1" applyFill="1" applyAlignment="1">
      <alignment horizontal="left"/>
    </xf>
    <xf numFmtId="43" fontId="0" fillId="0" borderId="1" xfId="1" applyFont="1" applyBorder="1" applyAlignment="1">
      <alignment horizontal="center"/>
    </xf>
    <xf numFmtId="43" fontId="0" fillId="0" borderId="0" xfId="1" applyFont="1" applyBorder="1" applyAlignment="1">
      <alignment horizontal="center"/>
    </xf>
    <xf numFmtId="167" fontId="2" fillId="0" borderId="0" xfId="0" applyFont="1" applyBorder="1" applyAlignment="1">
      <alignment horizontal="right"/>
    </xf>
    <xf numFmtId="43" fontId="0" fillId="0" borderId="0" xfId="1" applyNumberFormat="1" applyFont="1" applyBorder="1" applyAlignment="1">
      <alignment horizontal="center"/>
    </xf>
    <xf numFmtId="14" fontId="2" fillId="0" borderId="0" xfId="0" applyNumberFormat="1" applyFont="1" applyFill="1" applyBorder="1" applyAlignment="1">
      <alignment horizontal="left"/>
    </xf>
    <xf numFmtId="43" fontId="2" fillId="0" borderId="0" xfId="1" applyFont="1" applyFill="1" applyBorder="1" applyAlignment="1">
      <alignment horizontal="center"/>
    </xf>
    <xf numFmtId="43" fontId="0" fillId="0" borderId="0" xfId="1" applyFont="1" applyBorder="1" applyAlignment="1">
      <alignment horizontal="left"/>
    </xf>
    <xf numFmtId="43" fontId="2" fillId="0" borderId="0" xfId="0" applyNumberFormat="1" applyFont="1" applyBorder="1" applyAlignment="1">
      <alignment horizontal="left"/>
    </xf>
    <xf numFmtId="43" fontId="2" fillId="0" borderId="0" xfId="1" applyFont="1" applyFill="1" applyBorder="1" applyAlignment="1">
      <alignment horizontal="left"/>
    </xf>
    <xf numFmtId="43" fontId="2" fillId="0" borderId="0" xfId="1" applyFont="1" applyBorder="1" applyAlignment="1">
      <alignment horizontal="left"/>
    </xf>
    <xf numFmtId="43" fontId="5" fillId="0" borderId="0" xfId="1" applyFont="1" applyBorder="1" applyAlignment="1">
      <alignment horizontal="left"/>
    </xf>
    <xf numFmtId="43" fontId="5" fillId="0" borderId="0" xfId="1" applyFont="1" applyBorder="1" applyAlignment="1">
      <alignment horizontal="center"/>
    </xf>
    <xf numFmtId="43" fontId="0" fillId="0" borderId="0" xfId="1" applyFont="1" applyBorder="1"/>
    <xf numFmtId="43" fontId="2" fillId="0" borderId="0" xfId="1" applyFont="1" applyAlignment="1">
      <alignment horizontal="right"/>
    </xf>
    <xf numFmtId="43" fontId="2" fillId="0" borderId="1" xfId="0" applyNumberFormat="1" applyFont="1" applyBorder="1"/>
    <xf numFmtId="167" fontId="0" fillId="0" borderId="0" xfId="0" applyFont="1"/>
    <xf numFmtId="167" fontId="0" fillId="0" borderId="2" xfId="0" applyFont="1" applyBorder="1"/>
    <xf numFmtId="167" fontId="0" fillId="0" borderId="2" xfId="0" applyFont="1" applyBorder="1" applyAlignment="1">
      <alignment horizontal="center"/>
    </xf>
    <xf numFmtId="165" fontId="0" fillId="0" borderId="2" xfId="0" applyNumberFormat="1" applyFont="1" applyBorder="1" applyAlignment="1">
      <alignment horizontal="left"/>
    </xf>
    <xf numFmtId="167" fontId="0" fillId="0" borderId="0" xfId="0" applyFont="1" applyBorder="1" applyAlignment="1">
      <alignment horizontal="left"/>
    </xf>
    <xf numFmtId="167" fontId="0" fillId="0" borderId="0" xfId="0" applyFont="1" applyAlignment="1">
      <alignment horizontal="center"/>
    </xf>
    <xf numFmtId="43" fontId="0" fillId="0" borderId="0" xfId="0" applyNumberFormat="1" applyFont="1"/>
    <xf numFmtId="167" fontId="0" fillId="0" borderId="0" xfId="0" applyFont="1" applyAlignment="1">
      <alignment horizontal="right"/>
    </xf>
    <xf numFmtId="43" fontId="0" fillId="0" borderId="1" xfId="0" applyNumberFormat="1" applyFont="1" applyBorder="1" applyAlignment="1">
      <alignment horizontal="center"/>
    </xf>
    <xf numFmtId="167" fontId="0" fillId="0" borderId="0" xfId="0" applyFont="1" applyFill="1" applyBorder="1" applyAlignment="1">
      <alignment horizontal="left"/>
    </xf>
    <xf numFmtId="43" fontId="0" fillId="0" borderId="0" xfId="0" applyNumberFormat="1" applyFont="1" applyAlignment="1">
      <alignment horizontal="center"/>
    </xf>
    <xf numFmtId="43" fontId="0" fillId="0" borderId="0" xfId="1" applyFont="1" applyBorder="1" applyAlignment="1"/>
    <xf numFmtId="167" fontId="0" fillId="0" borderId="0" xfId="0" applyFont="1" applyBorder="1"/>
    <xf numFmtId="10" fontId="0" fillId="0" borderId="0" xfId="2" applyNumberFormat="1" applyFont="1" applyAlignment="1">
      <alignment horizontal="right"/>
    </xf>
    <xf numFmtId="43" fontId="2" fillId="0" borderId="0" xfId="0" applyNumberFormat="1" applyFont="1"/>
    <xf numFmtId="167" fontId="2" fillId="0" borderId="0" xfId="0" applyFont="1" applyAlignment="1">
      <alignment horizontal="right" wrapText="1"/>
    </xf>
    <xf numFmtId="49" fontId="3" fillId="0" borderId="0" xfId="0" applyNumberFormat="1" applyFont="1" applyAlignment="1">
      <alignment horizontal="left"/>
    </xf>
    <xf numFmtId="167" fontId="0" fillId="0" borderId="0" xfId="0" applyFont="1" applyFill="1"/>
    <xf numFmtId="43" fontId="2" fillId="0" borderId="0" xfId="1" applyFont="1" applyFill="1" applyBorder="1"/>
    <xf numFmtId="167" fontId="2" fillId="0" borderId="0" xfId="0" applyFont="1" applyFill="1" applyBorder="1"/>
    <xf numFmtId="167" fontId="0" fillId="0" borderId="0" xfId="0" applyFont="1" applyFill="1" applyBorder="1"/>
    <xf numFmtId="43" fontId="0" fillId="0" borderId="0" xfId="0" applyNumberFormat="1" applyFont="1" applyFill="1" applyBorder="1"/>
    <xf numFmtId="43" fontId="0" fillId="0" borderId="0" xfId="1" applyFont="1" applyFill="1" applyBorder="1" applyAlignment="1">
      <alignment horizontal="center"/>
    </xf>
    <xf numFmtId="43" fontId="0" fillId="0" borderId="0" xfId="0" applyNumberFormat="1" applyFont="1" applyFill="1" applyBorder="1" applyAlignment="1">
      <alignment horizontal="center"/>
    </xf>
    <xf numFmtId="167" fontId="0" fillId="0" borderId="0" xfId="0" applyFont="1" applyFill="1" applyBorder="1" applyAlignment="1">
      <alignment horizontal="center"/>
    </xf>
    <xf numFmtId="43" fontId="0" fillId="0" borderId="0" xfId="1" applyNumberFormat="1" applyFont="1" applyFill="1" applyBorder="1" applyAlignment="1">
      <alignment horizontal="center"/>
    </xf>
    <xf numFmtId="9" fontId="2" fillId="0" borderId="0" xfId="2" applyFont="1" applyFill="1" applyBorder="1" applyAlignment="1">
      <alignment horizontal="center"/>
    </xf>
    <xf numFmtId="43" fontId="0" fillId="0" borderId="0" xfId="1" applyFont="1" applyFill="1" applyBorder="1"/>
    <xf numFmtId="43" fontId="0" fillId="0" borderId="0" xfId="0" applyNumberFormat="1" applyFont="1" applyBorder="1"/>
    <xf numFmtId="43" fontId="0" fillId="0" borderId="0" xfId="0" applyNumberFormat="1" applyFont="1" applyBorder="1" applyAlignment="1">
      <alignment horizontal="center"/>
    </xf>
    <xf numFmtId="167" fontId="0" fillId="0" borderId="0" xfId="0" applyFont="1" applyBorder="1" applyAlignment="1">
      <alignment horizontal="center"/>
    </xf>
    <xf numFmtId="9" fontId="2" fillId="0" borderId="0" xfId="2" applyFont="1" applyBorder="1" applyAlignment="1">
      <alignment horizontal="center"/>
    </xf>
    <xf numFmtId="167" fontId="7" fillId="0" borderId="0" xfId="0" applyFont="1" applyBorder="1" applyAlignment="1">
      <alignment horizontal="left"/>
    </xf>
    <xf numFmtId="167" fontId="8" fillId="0" borderId="0" xfId="0" applyFont="1" applyAlignment="1">
      <alignment horizontal="left"/>
    </xf>
    <xf numFmtId="167" fontId="6" fillId="0" borderId="0" xfId="0" applyFont="1" applyAlignment="1">
      <alignment horizontal="left"/>
    </xf>
    <xf numFmtId="167" fontId="7" fillId="0" borderId="0" xfId="0" applyFont="1" applyAlignment="1">
      <alignment horizontal="left"/>
    </xf>
    <xf numFmtId="9" fontId="6" fillId="0" borderId="0" xfId="2" applyFont="1" applyBorder="1" applyAlignment="1">
      <alignment horizontal="left"/>
    </xf>
    <xf numFmtId="167" fontId="2" fillId="0" borderId="0" xfId="0" applyFont="1" applyAlignment="1">
      <alignment wrapText="1"/>
    </xf>
    <xf numFmtId="43" fontId="2" fillId="0" borderId="0" xfId="1" applyNumberFormat="1" applyFont="1" applyAlignment="1">
      <alignment horizontal="center"/>
    </xf>
    <xf numFmtId="43" fontId="2" fillId="0" borderId="1" xfId="0" applyNumberFormat="1" applyFont="1" applyBorder="1" applyAlignment="1">
      <alignment horizontal="center"/>
    </xf>
    <xf numFmtId="43" fontId="5" fillId="0" borderId="0" xfId="1" applyFont="1" applyFill="1" applyBorder="1" applyAlignment="1">
      <alignment horizontal="left"/>
    </xf>
    <xf numFmtId="43" fontId="6" fillId="0" borderId="0" xfId="0" applyNumberFormat="1" applyFont="1" applyAlignment="1">
      <alignment horizontal="left"/>
    </xf>
    <xf numFmtId="9" fontId="0" fillId="0" borderId="0" xfId="2" applyFont="1" applyBorder="1"/>
    <xf numFmtId="171" fontId="0" fillId="0" borderId="0" xfId="1" applyNumberFormat="1" applyFont="1" applyBorder="1"/>
    <xf numFmtId="10" fontId="6" fillId="0" borderId="0" xfId="2" applyNumberFormat="1" applyFont="1" applyAlignment="1">
      <alignment horizontal="right"/>
    </xf>
    <xf numFmtId="166" fontId="6" fillId="0" borderId="0" xfId="2" applyNumberFormat="1" applyFont="1" applyAlignment="1">
      <alignment horizontal="right"/>
    </xf>
    <xf numFmtId="167" fontId="0" fillId="0" borderId="0" xfId="0" applyFont="1" applyBorder="1" applyAlignment="1">
      <alignment horizontal="right"/>
    </xf>
    <xf numFmtId="43" fontId="6" fillId="0" borderId="0" xfId="2" applyNumberFormat="1" applyFont="1" applyBorder="1" applyAlignment="1">
      <alignment horizontal="left"/>
    </xf>
    <xf numFmtId="43" fontId="13" fillId="0" borderId="0" xfId="1" applyFont="1" applyBorder="1" applyAlignment="1">
      <alignment horizontal="left"/>
    </xf>
    <xf numFmtId="167" fontId="14" fillId="0" borderId="0" xfId="0" applyFont="1" applyFill="1" applyAlignment="1">
      <alignment horizontal="center"/>
    </xf>
    <xf numFmtId="167" fontId="15" fillId="0" borderId="0" xfId="0" applyFont="1"/>
    <xf numFmtId="167" fontId="14" fillId="4" borderId="0" xfId="0" applyFont="1" applyFill="1" applyAlignment="1">
      <alignment horizontal="center"/>
    </xf>
    <xf numFmtId="167" fontId="14" fillId="3" borderId="0" xfId="0" applyFont="1" applyFill="1" applyAlignment="1">
      <alignment horizontal="right"/>
    </xf>
    <xf numFmtId="167" fontId="14" fillId="3" borderId="0" xfId="0" applyFont="1" applyFill="1" applyAlignment="1"/>
    <xf numFmtId="167" fontId="14" fillId="0" borderId="0" xfId="0" applyFont="1" applyFill="1" applyBorder="1" applyAlignment="1">
      <alignment horizontal="center"/>
    </xf>
    <xf numFmtId="167" fontId="14" fillId="2" borderId="0" xfId="0" applyFont="1" applyFill="1" applyAlignment="1"/>
    <xf numFmtId="167" fontId="14" fillId="2" borderId="0" xfId="0" applyFont="1" applyFill="1" applyAlignment="1">
      <alignment horizontal="right"/>
    </xf>
    <xf numFmtId="167" fontId="15" fillId="0" borderId="0" xfId="0" applyFont="1" applyAlignment="1">
      <alignment horizontal="right"/>
    </xf>
    <xf numFmtId="43" fontId="6" fillId="0" borderId="0" xfId="1" applyFont="1" applyAlignment="1">
      <alignment horizontal="center"/>
    </xf>
    <xf numFmtId="167" fontId="6" fillId="0" borderId="0" xfId="0" applyFont="1" applyBorder="1" applyAlignment="1">
      <alignment horizontal="left"/>
    </xf>
    <xf numFmtId="43" fontId="6" fillId="0" borderId="0" xfId="1" applyFont="1"/>
    <xf numFmtId="167" fontId="6" fillId="0" borderId="0" xfId="0" applyFont="1"/>
    <xf numFmtId="49" fontId="16" fillId="0" borderId="0" xfId="0" applyNumberFormat="1" applyFont="1" applyAlignment="1">
      <alignment horizontal="left"/>
    </xf>
    <xf numFmtId="49" fontId="2" fillId="0" borderId="0" xfId="0" applyNumberFormat="1" applyFont="1" applyBorder="1" applyAlignment="1">
      <alignment horizontal="right"/>
    </xf>
    <xf numFmtId="167" fontId="2" fillId="0" borderId="0" xfId="0" applyFont="1" applyBorder="1" applyAlignment="1">
      <alignment wrapText="1"/>
    </xf>
    <xf numFmtId="9" fontId="2" fillId="0" borderId="0" xfId="2" applyFont="1" applyAlignment="1">
      <alignment horizontal="left"/>
    </xf>
    <xf numFmtId="167" fontId="18" fillId="0" borderId="0" xfId="0" applyFont="1"/>
    <xf numFmtId="43" fontId="19" fillId="0" borderId="0" xfId="1" applyFont="1" applyFill="1" applyBorder="1" applyAlignment="1">
      <alignment horizontal="left"/>
    </xf>
    <xf numFmtId="43" fontId="0" fillId="0" borderId="3" xfId="1" applyFont="1" applyBorder="1"/>
    <xf numFmtId="43" fontId="0" fillId="0" borderId="0" xfId="1" applyFont="1" applyFill="1"/>
    <xf numFmtId="167" fontId="0" fillId="0" borderId="4" xfId="0" applyFont="1" applyBorder="1"/>
    <xf numFmtId="167" fontId="15" fillId="0" borderId="4" xfId="0" applyFont="1" applyBorder="1" applyAlignment="1">
      <alignment horizontal="right"/>
    </xf>
    <xf numFmtId="167" fontId="2" fillId="0" borderId="4" xfId="0" applyFont="1" applyBorder="1"/>
    <xf numFmtId="43" fontId="0" fillId="0" borderId="1" xfId="1" applyFont="1" applyBorder="1"/>
    <xf numFmtId="43" fontId="0" fillId="0" borderId="0" xfId="1" applyFont="1" applyAlignment="1">
      <alignment horizontal="center" vertical="top"/>
    </xf>
    <xf numFmtId="43" fontId="0" fillId="0" borderId="0" xfId="1" applyFont="1" applyAlignment="1">
      <alignment vertical="top"/>
    </xf>
    <xf numFmtId="43" fontId="0" fillId="0" borderId="0" xfId="1" applyFont="1" applyBorder="1" applyAlignment="1">
      <alignment vertical="top"/>
    </xf>
    <xf numFmtId="43" fontId="0" fillId="0" borderId="0" xfId="1" applyFont="1" applyFill="1" applyBorder="1" applyAlignment="1">
      <alignment vertical="top"/>
    </xf>
    <xf numFmtId="43" fontId="0" fillId="0" borderId="0" xfId="1" applyFont="1" applyBorder="1" applyAlignment="1">
      <alignment horizontal="center" vertical="top"/>
    </xf>
    <xf numFmtId="43" fontId="0" fillId="0" borderId="0" xfId="1" applyFont="1" applyFill="1" applyBorder="1" applyAlignment="1">
      <alignment horizontal="center" vertical="top"/>
    </xf>
    <xf numFmtId="43" fontId="20" fillId="6" borderId="0" xfId="1" applyFont="1" applyFill="1" applyAlignment="1">
      <alignment horizontal="center"/>
    </xf>
    <xf numFmtId="167" fontId="21" fillId="0" borderId="0" xfId="4" applyFont="1" applyAlignment="1">
      <alignment horizontal="right" vertical="top"/>
    </xf>
    <xf numFmtId="43" fontId="6" fillId="0" borderId="0" xfId="1" applyFont="1" applyBorder="1" applyAlignment="1">
      <alignment horizontal="left"/>
    </xf>
    <xf numFmtId="43" fontId="6" fillId="0" borderId="0" xfId="1" applyFont="1" applyAlignment="1">
      <alignment horizontal="left"/>
    </xf>
    <xf numFmtId="43" fontId="14" fillId="2" borderId="0" xfId="1" applyFont="1" applyFill="1" applyAlignment="1">
      <alignment horizontal="right"/>
    </xf>
    <xf numFmtId="43" fontId="0" fillId="0" borderId="0" xfId="1" applyFont="1" applyAlignment="1">
      <alignment horizontal="left"/>
    </xf>
    <xf numFmtId="43" fontId="2" fillId="0" borderId="0" xfId="1" applyFont="1" applyAlignment="1">
      <alignment horizontal="left"/>
    </xf>
    <xf numFmtId="43" fontId="7" fillId="0" borderId="0" xfId="1" applyFont="1" applyBorder="1" applyAlignment="1">
      <alignment horizontal="left"/>
    </xf>
    <xf numFmtId="43" fontId="6" fillId="0" borderId="0" xfId="1" applyFont="1" applyAlignment="1">
      <alignment horizontal="right"/>
    </xf>
    <xf numFmtId="43" fontId="0" fillId="0" borderId="0" xfId="1" applyFont="1" applyAlignment="1">
      <alignment horizontal="right"/>
    </xf>
    <xf numFmtId="49" fontId="25" fillId="0" borderId="0" xfId="0" applyNumberFormat="1" applyFont="1" applyBorder="1" applyAlignment="1">
      <alignment horizontal="right"/>
    </xf>
    <xf numFmtId="10" fontId="26" fillId="0" borderId="0" xfId="2" applyNumberFormat="1" applyFont="1" applyAlignment="1">
      <alignment horizontal="right"/>
    </xf>
    <xf numFmtId="43" fontId="26" fillId="0" borderId="0" xfId="1" applyFont="1" applyAlignment="1">
      <alignment horizontal="right"/>
    </xf>
    <xf numFmtId="43" fontId="24" fillId="0" borderId="0" xfId="1" applyFont="1" applyFill="1" applyBorder="1" applyAlignment="1">
      <alignment horizontal="center"/>
    </xf>
    <xf numFmtId="43" fontId="26" fillId="0" borderId="0" xfId="1" applyFont="1" applyAlignment="1">
      <alignment horizontal="left"/>
    </xf>
    <xf numFmtId="167" fontId="24" fillId="0" borderId="0" xfId="0" applyFont="1"/>
    <xf numFmtId="167" fontId="26" fillId="0" borderId="0" xfId="0" applyFont="1" applyAlignment="1">
      <alignment horizontal="left"/>
    </xf>
    <xf numFmtId="167" fontId="24" fillId="0" borderId="4" xfId="0" applyFont="1" applyBorder="1"/>
    <xf numFmtId="43" fontId="24" fillId="0" borderId="0" xfId="1" applyFont="1" applyFill="1" applyBorder="1"/>
    <xf numFmtId="167" fontId="24" fillId="0" borderId="0" xfId="0" applyFont="1" applyAlignment="1">
      <alignment horizontal="right"/>
    </xf>
    <xf numFmtId="43" fontId="24" fillId="0" borderId="0" xfId="1" applyFont="1" applyAlignment="1">
      <alignment horizontal="right"/>
    </xf>
    <xf numFmtId="167" fontId="24" fillId="0" borderId="0" xfId="0" applyFont="1" applyFill="1" applyBorder="1"/>
    <xf numFmtId="43" fontId="24" fillId="0" borderId="0" xfId="1" applyFont="1"/>
    <xf numFmtId="43" fontId="24" fillId="0" borderId="1" xfId="1" applyFont="1" applyBorder="1" applyAlignment="1">
      <alignment horizontal="right"/>
    </xf>
    <xf numFmtId="167" fontId="0" fillId="0" borderId="0" xfId="0" applyNumberFormat="1" applyFont="1" applyFill="1"/>
    <xf numFmtId="167" fontId="14" fillId="0" borderId="0" xfId="0" applyNumberFormat="1" applyFont="1" applyFill="1" applyAlignment="1">
      <alignment horizontal="center"/>
    </xf>
    <xf numFmtId="167" fontId="2" fillId="0" borderId="0" xfId="1" applyNumberFormat="1" applyFont="1" applyFill="1" applyBorder="1" applyAlignment="1">
      <alignment horizontal="left"/>
    </xf>
    <xf numFmtId="167" fontId="5" fillId="0" borderId="0" xfId="1" applyNumberFormat="1" applyFont="1" applyFill="1" applyBorder="1" applyAlignment="1">
      <alignment horizontal="left"/>
    </xf>
    <xf numFmtId="167" fontId="2" fillId="0" borderId="0" xfId="0" applyNumberFormat="1" applyFont="1" applyFill="1" applyBorder="1"/>
    <xf numFmtId="167" fontId="0" fillId="0" borderId="0" xfId="1" applyNumberFormat="1" applyFont="1" applyFill="1" applyBorder="1" applyAlignment="1">
      <alignment horizontal="center"/>
    </xf>
    <xf numFmtId="167" fontId="0" fillId="0" borderId="0" xfId="1" applyNumberFormat="1" applyFont="1" applyFill="1" applyBorder="1"/>
    <xf numFmtId="167" fontId="2" fillId="0" borderId="0" xfId="1" applyNumberFormat="1" applyFont="1" applyFill="1" applyBorder="1" applyAlignment="1">
      <alignment horizontal="center"/>
    </xf>
    <xf numFmtId="167" fontId="2" fillId="0" borderId="0" xfId="1" applyNumberFormat="1" applyFont="1" applyFill="1" applyBorder="1"/>
    <xf numFmtId="167" fontId="0" fillId="0" borderId="0" xfId="0" applyNumberFormat="1" applyFont="1" applyFill="1" applyBorder="1"/>
    <xf numFmtId="167" fontId="24" fillId="0" borderId="0" xfId="0" applyNumberFormat="1" applyFont="1" applyFill="1"/>
    <xf numFmtId="167" fontId="24" fillId="0" borderId="0" xfId="1" applyNumberFormat="1" applyFont="1" applyFill="1" applyBorder="1"/>
    <xf numFmtId="43" fontId="2" fillId="0" borderId="1" xfId="1" applyFont="1" applyBorder="1"/>
    <xf numFmtId="43" fontId="27" fillId="0" borderId="0" xfId="1" applyFont="1"/>
    <xf numFmtId="167" fontId="9" fillId="0" borderId="0" xfId="28"/>
    <xf numFmtId="167" fontId="28" fillId="0" borderId="0" xfId="28" applyFont="1"/>
    <xf numFmtId="167" fontId="22" fillId="0" borderId="0" xfId="28" applyFont="1"/>
    <xf numFmtId="167" fontId="22" fillId="0" borderId="0" xfId="28" applyFont="1" applyAlignment="1">
      <alignment horizontal="left"/>
    </xf>
    <xf numFmtId="167" fontId="28" fillId="0" borderId="0" xfId="28" applyFont="1" applyFill="1" applyBorder="1" applyAlignment="1">
      <alignment horizontal="center" vertical="center" wrapText="1"/>
    </xf>
    <xf numFmtId="167" fontId="22" fillId="0" borderId="0" xfId="28" applyFont="1" applyFill="1" applyBorder="1"/>
    <xf numFmtId="43" fontId="22" fillId="0" borderId="0" xfId="8" applyFont="1" applyFill="1" applyBorder="1"/>
    <xf numFmtId="167" fontId="22" fillId="5" borderId="0" xfId="28" applyFont="1" applyFill="1" applyAlignment="1">
      <alignment horizontal="left"/>
    </xf>
    <xf numFmtId="43" fontId="22" fillId="5" borderId="0" xfId="8" applyFont="1" applyFill="1" applyBorder="1"/>
    <xf numFmtId="167" fontId="23" fillId="0" borderId="0" xfId="28" applyFont="1"/>
    <xf numFmtId="167" fontId="23" fillId="0" borderId="0" xfId="28" applyFont="1" applyAlignment="1">
      <alignment horizontal="left"/>
    </xf>
    <xf numFmtId="43" fontId="23" fillId="0" borderId="0" xfId="8" applyFont="1" applyFill="1" applyBorder="1"/>
    <xf numFmtId="40" fontId="22" fillId="0" borderId="0" xfId="8" applyNumberFormat="1" applyFont="1" applyFill="1" applyBorder="1"/>
    <xf numFmtId="167" fontId="29" fillId="0" borderId="0" xfId="28" applyFont="1"/>
    <xf numFmtId="167" fontId="30" fillId="0" borderId="0" xfId="28" applyFont="1"/>
    <xf numFmtId="167" fontId="30" fillId="0" borderId="0" xfId="28" applyFont="1" applyAlignment="1">
      <alignment horizontal="right"/>
    </xf>
    <xf numFmtId="43" fontId="30" fillId="0" borderId="0" xfId="8" applyFont="1" applyFill="1" applyBorder="1"/>
    <xf numFmtId="167" fontId="22" fillId="0" borderId="0" xfId="29" applyFont="1" applyBorder="1"/>
    <xf numFmtId="167" fontId="30" fillId="0" borderId="0" xfId="28" applyFont="1" applyAlignment="1">
      <alignment horizontal="left"/>
    </xf>
    <xf numFmtId="167" fontId="33" fillId="0" borderId="0" xfId="29" applyFont="1" applyFill="1"/>
    <xf numFmtId="167" fontId="34" fillId="0" borderId="0" xfId="29" applyFont="1" applyFill="1"/>
    <xf numFmtId="167" fontId="35" fillId="0" borderId="0" xfId="29" applyFont="1" applyFill="1" applyBorder="1"/>
    <xf numFmtId="167" fontId="36" fillId="0" borderId="0" xfId="29" applyFont="1" applyFill="1"/>
    <xf numFmtId="168" fontId="36" fillId="0" borderId="0" xfId="8" applyNumberFormat="1" applyFont="1" applyFill="1"/>
    <xf numFmtId="167" fontId="41" fillId="0" borderId="0" xfId="29" applyFont="1"/>
    <xf numFmtId="168" fontId="36" fillId="0" borderId="0" xfId="8" applyNumberFormat="1" applyFont="1" applyFill="1" applyBorder="1"/>
    <xf numFmtId="44" fontId="36" fillId="0" borderId="0" xfId="29" applyNumberFormat="1" applyFont="1" applyFill="1"/>
    <xf numFmtId="167" fontId="33" fillId="0" borderId="0" xfId="29" applyFont="1" applyFill="1" applyAlignment="1">
      <alignment horizontal="right"/>
    </xf>
    <xf numFmtId="172" fontId="36" fillId="0" borderId="0" xfId="29" applyNumberFormat="1" applyFont="1" applyFill="1"/>
    <xf numFmtId="167" fontId="9" fillId="0" borderId="0" xfId="29" applyFont="1" applyFill="1"/>
    <xf numFmtId="167" fontId="41" fillId="0" borderId="0" xfId="29" applyFont="1" applyFill="1"/>
    <xf numFmtId="172" fontId="58" fillId="0" borderId="0" xfId="16" applyNumberFormat="1" applyFont="1" applyFill="1"/>
    <xf numFmtId="10" fontId="60" fillId="0" borderId="0" xfId="5" applyNumberFormat="1" applyFont="1" applyFill="1" applyAlignment="1">
      <alignment vertical="top"/>
    </xf>
    <xf numFmtId="167" fontId="35" fillId="0" borderId="0" xfId="29" applyFont="1" applyFill="1" applyBorder="1" applyAlignment="1">
      <alignment horizontal="center"/>
    </xf>
    <xf numFmtId="167" fontId="63" fillId="0" borderId="0" xfId="29" applyFont="1" applyFill="1" applyBorder="1" applyAlignment="1">
      <alignment horizontal="center" vertical="center" wrapText="1"/>
    </xf>
    <xf numFmtId="167" fontId="9" fillId="0" borderId="0" xfId="29" applyFont="1"/>
    <xf numFmtId="167" fontId="32" fillId="0" borderId="0" xfId="29" applyFont="1" applyFill="1" applyBorder="1"/>
    <xf numFmtId="167" fontId="63" fillId="0" borderId="0" xfId="29" applyFont="1" applyFill="1" applyBorder="1"/>
    <xf numFmtId="167" fontId="64" fillId="0" borderId="0" xfId="29" applyFont="1" applyFill="1" applyAlignment="1"/>
    <xf numFmtId="172" fontId="36" fillId="0" borderId="0" xfId="16" applyNumberFormat="1" applyFont="1" applyFill="1" applyBorder="1"/>
    <xf numFmtId="172" fontId="9" fillId="0" borderId="0" xfId="16" applyNumberFormat="1" applyFont="1" applyFill="1" applyBorder="1"/>
    <xf numFmtId="168" fontId="9" fillId="0" borderId="0" xfId="8" applyNumberFormat="1" applyFont="1" applyFill="1" applyBorder="1"/>
    <xf numFmtId="168" fontId="37" fillId="0" borderId="0" xfId="8" applyNumberFormat="1" applyFont="1" applyFill="1" applyBorder="1"/>
    <xf numFmtId="168" fontId="65" fillId="0" borderId="0" xfId="8" applyNumberFormat="1" applyFont="1" applyFill="1" applyBorder="1"/>
    <xf numFmtId="167" fontId="65" fillId="0" borderId="0" xfId="29" applyFont="1"/>
    <xf numFmtId="172" fontId="36" fillId="0" borderId="1" xfId="16" applyNumberFormat="1" applyFont="1" applyFill="1" applyBorder="1"/>
    <xf numFmtId="172" fontId="9" fillId="0" borderId="0" xfId="29" applyNumberFormat="1" applyFont="1" applyFill="1" applyBorder="1"/>
    <xf numFmtId="168" fontId="9" fillId="0" borderId="0" xfId="8" applyNumberFormat="1" applyFont="1" applyFill="1" applyBorder="1" applyAlignment="1">
      <alignment vertical="top"/>
    </xf>
    <xf numFmtId="167" fontId="9" fillId="0" borderId="0" xfId="29" applyFont="1" applyAlignment="1">
      <alignment vertical="top"/>
    </xf>
    <xf numFmtId="168" fontId="65" fillId="0" borderId="0" xfId="8" applyNumberFormat="1" applyFont="1" applyFill="1" applyBorder="1" applyAlignment="1">
      <alignment vertical="top"/>
    </xf>
    <xf numFmtId="167" fontId="65" fillId="0" borderId="0" xfId="29" applyFont="1" applyAlignment="1">
      <alignment vertical="top"/>
    </xf>
    <xf numFmtId="172" fontId="63" fillId="0" borderId="0" xfId="16" applyNumberFormat="1" applyFont="1" applyFill="1" applyBorder="1"/>
    <xf numFmtId="168" fontId="46" fillId="0" borderId="0" xfId="8" applyNumberFormat="1" applyFont="1" applyFill="1" applyBorder="1"/>
    <xf numFmtId="168" fontId="9" fillId="0" borderId="0" xfId="8" applyNumberFormat="1" applyFont="1" applyFill="1" applyBorder="1" applyAlignment="1"/>
    <xf numFmtId="167" fontId="9" fillId="0" borderId="0" xfId="29" applyFont="1" applyAlignment="1"/>
    <xf numFmtId="167" fontId="63" fillId="15" borderId="0" xfId="29" applyFont="1" applyFill="1" applyBorder="1" applyAlignment="1">
      <alignment horizontal="center" vertical="center" wrapText="1"/>
    </xf>
    <xf numFmtId="172" fontId="68" fillId="14" borderId="1" xfId="16" applyNumberFormat="1" applyFont="1" applyFill="1" applyBorder="1" applyAlignment="1"/>
    <xf numFmtId="167" fontId="9" fillId="15" borderId="0" xfId="29" applyFont="1" applyFill="1" applyBorder="1"/>
    <xf numFmtId="10" fontId="69" fillId="14" borderId="13" xfId="5" applyNumberFormat="1" applyFont="1" applyFill="1" applyBorder="1" applyAlignment="1">
      <alignment vertical="top"/>
    </xf>
    <xf numFmtId="10" fontId="48" fillId="0" borderId="0" xfId="5" applyNumberFormat="1" applyFont="1" applyFill="1" applyAlignment="1">
      <alignment horizontal="center"/>
    </xf>
    <xf numFmtId="10" fontId="70" fillId="0" borderId="0" xfId="5" applyNumberFormat="1" applyFont="1" applyFill="1" applyAlignment="1">
      <alignment horizontal="center"/>
    </xf>
    <xf numFmtId="10" fontId="36" fillId="0" borderId="0" xfId="5" applyNumberFormat="1" applyFont="1" applyFill="1" applyAlignment="1">
      <alignment horizontal="center"/>
    </xf>
    <xf numFmtId="166" fontId="36" fillId="0" borderId="0" xfId="5" applyNumberFormat="1" applyFont="1" applyFill="1" applyAlignment="1">
      <alignment horizontal="center"/>
    </xf>
    <xf numFmtId="44" fontId="36" fillId="0" borderId="0" xfId="16" applyFont="1" applyFill="1" applyAlignment="1">
      <alignment horizontal="center"/>
    </xf>
    <xf numFmtId="172" fontId="36" fillId="0" borderId="0" xfId="16" applyNumberFormat="1" applyFont="1" applyFill="1" applyAlignment="1">
      <alignment horizontal="center"/>
    </xf>
    <xf numFmtId="168" fontId="36" fillId="0" borderId="0" xfId="8" applyNumberFormat="1" applyFont="1" applyFill="1" applyAlignment="1">
      <alignment horizontal="center"/>
    </xf>
    <xf numFmtId="43" fontId="74" fillId="0" borderId="0" xfId="8" applyFont="1" applyFill="1" applyAlignment="1">
      <alignment horizontal="center"/>
    </xf>
    <xf numFmtId="172" fontId="52" fillId="0" borderId="0" xfId="16" applyNumberFormat="1" applyFont="1" applyFill="1" applyAlignment="1">
      <alignment horizontal="center"/>
    </xf>
    <xf numFmtId="168" fontId="48" fillId="0" borderId="0" xfId="8" applyNumberFormat="1" applyFont="1" applyFill="1" applyAlignment="1">
      <alignment horizontal="center"/>
    </xf>
    <xf numFmtId="168" fontId="48" fillId="0" borderId="0" xfId="8" applyNumberFormat="1" applyFont="1" applyFill="1" applyAlignment="1">
      <alignment horizontal="center" vertical="top"/>
    </xf>
    <xf numFmtId="9" fontId="71" fillId="0" borderId="0" xfId="5" applyFont="1" applyFill="1" applyAlignment="1">
      <alignment horizontal="center"/>
    </xf>
    <xf numFmtId="168" fontId="78" fillId="0" borderId="0" xfId="8" applyNumberFormat="1" applyFont="1" applyFill="1" applyAlignment="1">
      <alignment horizontal="center" vertical="top"/>
    </xf>
    <xf numFmtId="10" fontId="80" fillId="0" borderId="0" xfId="5" applyNumberFormat="1" applyFont="1" applyFill="1" applyAlignment="1">
      <alignment horizontal="center"/>
    </xf>
    <xf numFmtId="10" fontId="47" fillId="0" borderId="0" xfId="5" applyNumberFormat="1" applyFont="1" applyFill="1" applyAlignment="1">
      <alignment horizontal="center"/>
    </xf>
    <xf numFmtId="166" fontId="47" fillId="0" borderId="0" xfId="5" applyNumberFormat="1" applyFont="1" applyFill="1" applyAlignment="1">
      <alignment horizontal="center"/>
    </xf>
    <xf numFmtId="173" fontId="47" fillId="0" borderId="0" xfId="5" applyNumberFormat="1" applyFont="1" applyFill="1" applyAlignment="1">
      <alignment horizontal="center"/>
    </xf>
    <xf numFmtId="167" fontId="9" fillId="0" borderId="0" xfId="29" applyFont="1" applyFill="1" applyBorder="1"/>
    <xf numFmtId="10" fontId="36" fillId="0" borderId="0" xfId="5" applyNumberFormat="1" applyFont="1" applyFill="1" applyBorder="1" applyAlignment="1">
      <alignment horizontal="center"/>
    </xf>
    <xf numFmtId="10" fontId="48" fillId="0" borderId="0" xfId="5" applyNumberFormat="1" applyFont="1" applyFill="1" applyBorder="1" applyAlignment="1">
      <alignment horizontal="center"/>
    </xf>
    <xf numFmtId="43" fontId="34" fillId="0" borderId="0" xfId="8" applyFont="1" applyFill="1"/>
    <xf numFmtId="43" fontId="0" fillId="0" borderId="2" xfId="1" applyFont="1" applyBorder="1" applyAlignment="1">
      <alignment horizontal="center"/>
    </xf>
    <xf numFmtId="43" fontId="2" fillId="0" borderId="0" xfId="1" applyFont="1" applyBorder="1" applyAlignment="1">
      <alignment horizontal="right"/>
    </xf>
    <xf numFmtId="43" fontId="0" fillId="0" borderId="2" xfId="1" applyFont="1" applyBorder="1" applyAlignment="1">
      <alignment horizontal="left"/>
    </xf>
    <xf numFmtId="43" fontId="3" fillId="0" borderId="0" xfId="1" applyFont="1" applyAlignment="1">
      <alignment horizontal="left"/>
    </xf>
    <xf numFmtId="43" fontId="14" fillId="0" borderId="0" xfId="1" applyFont="1" applyFill="1" applyAlignment="1">
      <alignment horizontal="center"/>
    </xf>
    <xf numFmtId="43" fontId="15" fillId="0" borderId="0" xfId="1" applyFont="1"/>
    <xf numFmtId="43" fontId="14" fillId="4" borderId="0" xfId="1" applyFont="1" applyFill="1" applyAlignment="1">
      <alignment horizontal="center"/>
    </xf>
    <xf numFmtId="43" fontId="0" fillId="0" borderId="0" xfId="1" applyFont="1" applyFill="1" applyBorder="1" applyAlignment="1">
      <alignment horizontal="left"/>
    </xf>
    <xf numFmtId="43" fontId="0" fillId="0" borderId="0" xfId="1" applyFont="1" applyAlignment="1">
      <alignment horizontal="right" vertical="top"/>
    </xf>
    <xf numFmtId="43" fontId="0" fillId="0" borderId="0" xfId="1" applyFont="1" applyBorder="1" applyAlignment="1">
      <alignment horizontal="left" vertical="top"/>
    </xf>
    <xf numFmtId="43" fontId="0" fillId="0" borderId="0" xfId="1" applyFont="1" applyBorder="1" applyAlignment="1">
      <alignment vertical="top" wrapText="1"/>
    </xf>
    <xf numFmtId="43" fontId="6" fillId="0" borderId="1" xfId="1" applyFont="1" applyBorder="1" applyAlignment="1">
      <alignment horizontal="center"/>
    </xf>
    <xf numFmtId="43" fontId="2" fillId="0" borderId="3" xfId="1" applyFont="1" applyBorder="1" applyAlignment="1">
      <alignment horizontal="right"/>
    </xf>
    <xf numFmtId="43" fontId="6" fillId="0" borderId="3" xfId="1" applyFont="1" applyBorder="1"/>
    <xf numFmtId="43" fontId="6" fillId="0" borderId="3" xfId="1" applyFont="1" applyBorder="1" applyAlignment="1">
      <alignment horizontal="center"/>
    </xf>
    <xf numFmtId="43" fontId="0" fillId="0" borderId="3" xfId="1" applyFont="1" applyBorder="1" applyAlignment="1">
      <alignment horizontal="left"/>
    </xf>
    <xf numFmtId="43" fontId="0" fillId="0" borderId="3" xfId="1" applyFont="1" applyFill="1" applyBorder="1"/>
    <xf numFmtId="43" fontId="2" fillId="0" borderId="3" xfId="1" applyFont="1" applyBorder="1" applyAlignment="1">
      <alignment horizontal="left"/>
    </xf>
    <xf numFmtId="43" fontId="2" fillId="0" borderId="0" xfId="1" applyFont="1" applyAlignment="1">
      <alignment horizontal="right" wrapText="1"/>
    </xf>
    <xf numFmtId="43" fontId="0" fillId="0" borderId="0" xfId="1" applyFont="1" applyFill="1" applyAlignment="1">
      <alignment horizontal="center"/>
    </xf>
    <xf numFmtId="43" fontId="2" fillId="0" borderId="0" xfId="1" applyFont="1" applyFill="1" applyAlignment="1">
      <alignment horizontal="right" wrapText="1"/>
    </xf>
    <xf numFmtId="43" fontId="17" fillId="0" borderId="0" xfId="1" applyFont="1" applyFill="1" applyBorder="1" applyAlignment="1">
      <alignment horizontal="left"/>
    </xf>
    <xf numFmtId="43" fontId="5" fillId="0" borderId="0" xfId="1" applyFont="1"/>
    <xf numFmtId="43" fontId="5" fillId="0" borderId="0" xfId="1" applyFont="1" applyBorder="1"/>
    <xf numFmtId="10" fontId="32" fillId="0" borderId="0" xfId="5" applyNumberFormat="1" applyFont="1" applyFill="1" applyAlignment="1">
      <alignment horizontal="center"/>
    </xf>
    <xf numFmtId="172" fontId="73" fillId="0" borderId="0" xfId="16" applyNumberFormat="1" applyFont="1" applyFill="1" applyAlignment="1">
      <alignment horizontal="center"/>
    </xf>
    <xf numFmtId="172" fontId="42" fillId="0" borderId="0" xfId="16" applyNumberFormat="1" applyFont="1" applyFill="1" applyAlignment="1">
      <alignment horizontal="center"/>
    </xf>
    <xf numFmtId="172" fontId="9" fillId="0" borderId="0" xfId="16" applyNumberFormat="1" applyFont="1" applyFill="1" applyBorder="1" applyAlignment="1">
      <alignment horizontal="center"/>
    </xf>
    <xf numFmtId="44" fontId="9" fillId="0" borderId="0" xfId="16" applyFont="1" applyFill="1" applyBorder="1" applyAlignment="1">
      <alignment horizontal="center"/>
    </xf>
    <xf numFmtId="172" fontId="74" fillId="0" borderId="0" xfId="16" applyNumberFormat="1" applyFont="1" applyFill="1" applyAlignment="1">
      <alignment horizontal="center"/>
    </xf>
    <xf numFmtId="172" fontId="75" fillId="0" borderId="0" xfId="16" quotePrefix="1" applyNumberFormat="1" applyFont="1" applyFill="1" applyBorder="1" applyAlignment="1">
      <alignment horizontal="center"/>
    </xf>
    <xf numFmtId="172" fontId="63" fillId="0" borderId="0" xfId="16" applyNumberFormat="1" applyFont="1" applyFill="1" applyBorder="1" applyAlignment="1">
      <alignment horizontal="center"/>
    </xf>
    <xf numFmtId="167" fontId="63" fillId="0" borderId="0" xfId="29" applyFont="1" applyFill="1"/>
    <xf numFmtId="168" fontId="9" fillId="0" borderId="0" xfId="8" applyNumberFormat="1" applyFont="1" applyFill="1" applyBorder="1" applyAlignment="1">
      <alignment horizontal="center"/>
    </xf>
    <xf numFmtId="167" fontId="9" fillId="0" borderId="0" xfId="29" applyFont="1" applyFill="1" applyBorder="1" applyAlignment="1"/>
    <xf numFmtId="167" fontId="9" fillId="0" borderId="0" xfId="29" applyFont="1" applyFill="1" applyAlignment="1"/>
    <xf numFmtId="167" fontId="9" fillId="0" borderId="0" xfId="29" applyFont="1" applyFill="1" applyBorder="1" applyAlignment="1">
      <alignment vertical="top"/>
    </xf>
    <xf numFmtId="167" fontId="9" fillId="0" borderId="0" xfId="29" applyFont="1" applyFill="1" applyAlignment="1">
      <alignment vertical="top"/>
    </xf>
    <xf numFmtId="9" fontId="77" fillId="0" borderId="0" xfId="5" applyFont="1" applyFill="1" applyAlignment="1">
      <alignment horizontal="center"/>
    </xf>
    <xf numFmtId="10" fontId="79" fillId="0" borderId="0" xfId="5" applyNumberFormat="1" applyFont="1" applyFill="1" applyAlignment="1">
      <alignment horizontal="center"/>
    </xf>
    <xf numFmtId="169" fontId="47" fillId="0" borderId="0" xfId="5" applyNumberFormat="1" applyFont="1" applyFill="1" applyAlignment="1">
      <alignment horizontal="center"/>
    </xf>
    <xf numFmtId="166" fontId="48" fillId="0" borderId="0" xfId="5" applyNumberFormat="1" applyFont="1" applyFill="1" applyAlignment="1">
      <alignment horizontal="center"/>
    </xf>
    <xf numFmtId="14" fontId="2" fillId="5" borderId="0" xfId="1" applyNumberFormat="1" applyFont="1" applyFill="1" applyAlignment="1">
      <alignment horizontal="left"/>
    </xf>
    <xf numFmtId="43" fontId="0" fillId="0" borderId="4" xfId="1" applyFont="1" applyBorder="1"/>
    <xf numFmtId="43" fontId="7" fillId="0" borderId="1" xfId="1" applyFont="1" applyBorder="1"/>
    <xf numFmtId="43" fontId="14" fillId="3" borderId="0" xfId="1" applyFont="1" applyFill="1" applyAlignment="1">
      <alignment horizontal="right"/>
    </xf>
    <xf numFmtId="43" fontId="14" fillId="0" borderId="0" xfId="1" applyFont="1" applyFill="1" applyBorder="1" applyAlignment="1">
      <alignment horizontal="center"/>
    </xf>
    <xf numFmtId="43" fontId="15" fillId="0" borderId="0" xfId="1" applyFont="1" applyAlignment="1">
      <alignment horizontal="right"/>
    </xf>
    <xf numFmtId="43" fontId="15" fillId="0" borderId="4" xfId="1" applyFont="1" applyBorder="1" applyAlignment="1">
      <alignment horizontal="right"/>
    </xf>
    <xf numFmtId="43" fontId="18" fillId="0" borderId="0" xfId="1" applyFont="1"/>
    <xf numFmtId="43" fontId="2" fillId="0" borderId="4" xfId="1" applyFont="1" applyBorder="1"/>
    <xf numFmtId="43" fontId="24" fillId="0" borderId="0" xfId="1" applyFont="1" applyFill="1"/>
    <xf numFmtId="43" fontId="24" fillId="0" borderId="4" xfId="1" applyFont="1" applyBorder="1"/>
    <xf numFmtId="49" fontId="0" fillId="0" borderId="0" xfId="1" applyNumberFormat="1" applyFont="1"/>
    <xf numFmtId="49" fontId="2" fillId="0" borderId="0" xfId="1" applyNumberFormat="1" applyFont="1"/>
    <xf numFmtId="49" fontId="2" fillId="0" borderId="0" xfId="1" applyNumberFormat="1" applyFont="1" applyBorder="1"/>
    <xf numFmtId="49" fontId="0" fillId="0" borderId="0" xfId="1" applyNumberFormat="1" applyFont="1" applyBorder="1"/>
    <xf numFmtId="49" fontId="11" fillId="0" borderId="0" xfId="0" applyNumberFormat="1" applyFont="1" applyBorder="1"/>
    <xf numFmtId="49" fontId="11" fillId="0" borderId="0" xfId="0" applyNumberFormat="1" applyFont="1" applyBorder="1" applyAlignment="1">
      <alignment horizontal="left"/>
    </xf>
    <xf numFmtId="49" fontId="0" fillId="0" borderId="0" xfId="0" applyNumberFormat="1" applyFont="1"/>
    <xf numFmtId="49" fontId="15" fillId="0" borderId="0" xfId="0" applyNumberFormat="1" applyFont="1"/>
    <xf numFmtId="49" fontId="2" fillId="0" borderId="0" xfId="0" applyNumberFormat="1" applyFont="1"/>
    <xf numFmtId="49" fontId="2" fillId="0" borderId="0" xfId="0" applyNumberFormat="1" applyFont="1" applyBorder="1"/>
    <xf numFmtId="49" fontId="0" fillId="0" borderId="0" xfId="0" applyNumberFormat="1" applyFont="1" applyAlignment="1">
      <alignment horizontal="left"/>
    </xf>
    <xf numFmtId="49" fontId="0" fillId="0" borderId="0" xfId="0" applyNumberFormat="1" applyFont="1" applyBorder="1"/>
    <xf numFmtId="49" fontId="26" fillId="0" borderId="0" xfId="2" applyNumberFormat="1" applyFont="1" applyAlignment="1">
      <alignment horizontal="right"/>
    </xf>
    <xf numFmtId="49" fontId="24" fillId="0" borderId="0" xfId="0" applyNumberFormat="1" applyFont="1" applyAlignment="1">
      <alignment horizontal="right"/>
    </xf>
    <xf numFmtId="49" fontId="2" fillId="0" borderId="0" xfId="0" applyNumberFormat="1" applyFont="1" applyBorder="1" applyAlignment="1">
      <alignment wrapText="1"/>
    </xf>
    <xf numFmtId="49" fontId="19" fillId="0" borderId="0" xfId="1" applyNumberFormat="1" applyFont="1" applyFill="1" applyBorder="1" applyAlignment="1">
      <alignment horizontal="left"/>
    </xf>
    <xf numFmtId="49" fontId="5" fillId="0" borderId="0" xfId="1" applyNumberFormat="1" applyFont="1" applyBorder="1" applyAlignment="1">
      <alignment horizontal="left"/>
    </xf>
    <xf numFmtId="49" fontId="24" fillId="0" borderId="0" xfId="1" applyNumberFormat="1" applyFont="1"/>
    <xf numFmtId="49" fontId="6" fillId="0" borderId="0" xfId="0" applyNumberFormat="1" applyFont="1" applyBorder="1" applyAlignment="1">
      <alignment horizontal="left"/>
    </xf>
    <xf numFmtId="49" fontId="6" fillId="0" borderId="0" xfId="0" applyNumberFormat="1" applyFont="1"/>
    <xf numFmtId="49" fontId="14" fillId="4" borderId="0" xfId="0" applyNumberFormat="1" applyFont="1" applyFill="1" applyAlignment="1">
      <alignment horizontal="center"/>
    </xf>
    <xf numFmtId="49" fontId="18" fillId="0" borderId="0" xfId="0" applyNumberFormat="1" applyFont="1"/>
    <xf numFmtId="49" fontId="0" fillId="0" borderId="0" xfId="2" applyNumberFormat="1" applyFont="1" applyBorder="1"/>
    <xf numFmtId="49" fontId="24" fillId="0" borderId="0" xfId="0" applyNumberFormat="1" applyFont="1"/>
    <xf numFmtId="49" fontId="24" fillId="0" borderId="0" xfId="0" applyNumberFormat="1" applyFont="1" applyBorder="1"/>
    <xf numFmtId="49" fontId="2" fillId="0" borderId="0" xfId="1" applyNumberFormat="1" applyFont="1" applyBorder="1" applyAlignment="1">
      <alignment horizontal="center"/>
    </xf>
    <xf numFmtId="49" fontId="24" fillId="0" borderId="0" xfId="1" applyNumberFormat="1" applyFont="1" applyBorder="1" applyAlignment="1">
      <alignment horizontal="center"/>
    </xf>
    <xf numFmtId="49" fontId="6" fillId="0" borderId="0" xfId="0" applyNumberFormat="1" applyFont="1" applyBorder="1"/>
    <xf numFmtId="49" fontId="14" fillId="3" borderId="0" xfId="0" applyNumberFormat="1" applyFont="1" applyFill="1" applyAlignment="1"/>
    <xf numFmtId="49" fontId="26" fillId="0" borderId="0" xfId="0" applyNumberFormat="1" applyFont="1" applyAlignment="1">
      <alignment horizontal="left"/>
    </xf>
    <xf numFmtId="49" fontId="14" fillId="2" borderId="0" xfId="0" applyNumberFormat="1" applyFont="1" applyFill="1" applyAlignment="1">
      <alignment horizontal="right"/>
    </xf>
    <xf numFmtId="49" fontId="7" fillId="0" borderId="0" xfId="0" applyNumberFormat="1" applyFont="1" applyAlignment="1">
      <alignment horizontal="left"/>
    </xf>
    <xf numFmtId="49" fontId="6" fillId="0" borderId="0" xfId="0" applyNumberFormat="1" applyFont="1" applyAlignment="1">
      <alignment horizontal="left"/>
    </xf>
    <xf numFmtId="49" fontId="7" fillId="0" borderId="0" xfId="0" applyNumberFormat="1" applyFont="1" applyBorder="1" applyAlignment="1">
      <alignment horizontal="left"/>
    </xf>
    <xf numFmtId="9" fontId="6" fillId="0" borderId="0" xfId="2" applyFont="1" applyAlignment="1">
      <alignment horizontal="left"/>
    </xf>
    <xf numFmtId="10" fontId="6" fillId="0" borderId="0" xfId="2" applyNumberFormat="1" applyFont="1" applyBorder="1" applyAlignment="1">
      <alignment horizontal="left"/>
    </xf>
    <xf numFmtId="10" fontId="6" fillId="0" borderId="0" xfId="2" applyNumberFormat="1" applyFont="1"/>
    <xf numFmtId="10" fontId="14" fillId="3" borderId="0" xfId="2" applyNumberFormat="1" applyFont="1" applyFill="1" applyAlignment="1">
      <alignment horizontal="right"/>
    </xf>
    <xf numFmtId="10" fontId="2" fillId="0" borderId="0" xfId="2" applyNumberFormat="1" applyFont="1" applyAlignment="1">
      <alignment horizontal="right"/>
    </xf>
    <xf numFmtId="10" fontId="2" fillId="0" borderId="0" xfId="2" applyNumberFormat="1" applyFont="1" applyBorder="1" applyAlignment="1">
      <alignment horizontal="right"/>
    </xf>
    <xf numFmtId="10" fontId="0" fillId="0" borderId="0" xfId="2" applyNumberFormat="1" applyFont="1" applyBorder="1" applyAlignment="1">
      <alignment horizontal="right"/>
    </xf>
    <xf numFmtId="10" fontId="24" fillId="0" borderId="0" xfId="2" applyNumberFormat="1" applyFont="1" applyAlignment="1">
      <alignment horizontal="right"/>
    </xf>
    <xf numFmtId="10" fontId="2" fillId="0" borderId="0" xfId="2" applyNumberFormat="1" applyFont="1" applyBorder="1" applyAlignment="1">
      <alignment wrapText="1"/>
    </xf>
    <xf numFmtId="10" fontId="0" fillId="0" borderId="0" xfId="2" applyNumberFormat="1" applyFont="1"/>
    <xf numFmtId="10" fontId="14" fillId="2" borderId="0" xfId="2" applyNumberFormat="1" applyFont="1" applyFill="1" applyAlignment="1"/>
    <xf numFmtId="10" fontId="2" fillId="0" borderId="0" xfId="2" applyNumberFormat="1" applyFont="1"/>
    <xf numFmtId="10" fontId="2" fillId="0" borderId="0" xfId="2" applyNumberFormat="1" applyFont="1" applyBorder="1"/>
    <xf numFmtId="10" fontId="14" fillId="2" borderId="0" xfId="2" applyNumberFormat="1" applyFont="1" applyFill="1" applyAlignment="1">
      <alignment horizontal="right"/>
    </xf>
    <xf numFmtId="10" fontId="0" fillId="0" borderId="0" xfId="2" applyNumberFormat="1" applyFont="1" applyBorder="1"/>
    <xf numFmtId="43" fontId="27" fillId="0" borderId="0" xfId="1" applyFont="1" applyAlignment="1">
      <alignment horizontal="center"/>
    </xf>
    <xf numFmtId="43" fontId="22" fillId="0" borderId="0" xfId="1" applyFont="1" applyFill="1"/>
    <xf numFmtId="43" fontId="22" fillId="0" borderId="0" xfId="1" applyFont="1"/>
    <xf numFmtId="43" fontId="22" fillId="0" borderId="0" xfId="1" applyFont="1" applyFill="1" applyBorder="1" applyAlignment="1">
      <alignment horizontal="center"/>
    </xf>
    <xf numFmtId="43" fontId="14" fillId="4" borderId="0" xfId="1" applyFont="1" applyFill="1" applyAlignment="1"/>
    <xf numFmtId="167" fontId="1" fillId="3" borderId="14" xfId="30" applyFont="1" applyFill="1" applyBorder="1"/>
    <xf numFmtId="167" fontId="1" fillId="3" borderId="15" xfId="30" applyFont="1" applyFill="1" applyBorder="1"/>
    <xf numFmtId="167" fontId="1" fillId="3" borderId="0" xfId="30" applyFont="1" applyFill="1"/>
    <xf numFmtId="167" fontId="2" fillId="3" borderId="0" xfId="30" applyFont="1" applyFill="1" applyAlignment="1">
      <alignment horizontal="right"/>
    </xf>
    <xf numFmtId="167" fontId="2" fillId="0" borderId="0" xfId="30" applyFont="1" applyBorder="1"/>
    <xf numFmtId="167" fontId="2" fillId="0" borderId="0" xfId="30" applyFont="1" applyBorder="1" applyAlignment="1">
      <alignment horizontal="right"/>
    </xf>
    <xf numFmtId="167" fontId="2" fillId="0" borderId="16" xfId="30" applyFont="1" applyBorder="1"/>
    <xf numFmtId="167" fontId="2" fillId="0" borderId="0" xfId="30" applyFont="1"/>
    <xf numFmtId="167" fontId="2" fillId="0" borderId="0" xfId="30" applyFont="1" applyAlignment="1">
      <alignment horizontal="right"/>
    </xf>
    <xf numFmtId="167" fontId="1" fillId="0" borderId="0" xfId="30" applyFont="1"/>
    <xf numFmtId="167" fontId="3" fillId="0" borderId="0" xfId="30" applyFont="1" applyBorder="1" applyAlignment="1">
      <alignment horizontal="right"/>
    </xf>
    <xf numFmtId="167" fontId="3" fillId="0" borderId="16" xfId="30" applyFont="1" applyBorder="1" applyAlignment="1">
      <alignment horizontal="right"/>
    </xf>
    <xf numFmtId="167" fontId="3" fillId="0" borderId="0" xfId="30" applyFont="1" applyAlignment="1">
      <alignment horizontal="right"/>
    </xf>
    <xf numFmtId="167" fontId="11" fillId="0" borderId="0" xfId="30" applyFont="1" applyAlignment="1">
      <alignment horizontal="right"/>
    </xf>
    <xf numFmtId="43" fontId="22" fillId="0" borderId="0" xfId="13" applyFont="1" applyBorder="1"/>
    <xf numFmtId="43" fontId="22" fillId="0" borderId="16" xfId="13" applyFont="1" applyBorder="1"/>
    <xf numFmtId="167" fontId="1" fillId="0" borderId="0" xfId="30" applyFont="1" applyAlignment="1">
      <alignment horizontal="right"/>
    </xf>
    <xf numFmtId="43" fontId="1" fillId="0" borderId="0" xfId="30" applyNumberFormat="1" applyFont="1"/>
    <xf numFmtId="43" fontId="1" fillId="0" borderId="0" xfId="30" applyNumberFormat="1" applyFont="1" applyAlignment="1">
      <alignment horizontal="center"/>
    </xf>
    <xf numFmtId="169" fontId="1" fillId="0" borderId="0" xfId="30" applyNumberFormat="1" applyFont="1" applyAlignment="1">
      <alignment horizontal="right"/>
    </xf>
    <xf numFmtId="10" fontId="1" fillId="0" borderId="0" xfId="30" applyNumberFormat="1" applyFont="1" applyAlignment="1">
      <alignment horizontal="right"/>
    </xf>
    <xf numFmtId="10" fontId="1" fillId="0" borderId="0" xfId="9" applyNumberFormat="1" applyFont="1"/>
    <xf numFmtId="10" fontId="22" fillId="10" borderId="0" xfId="9" applyNumberFormat="1" applyFont="1" applyFill="1" applyBorder="1"/>
    <xf numFmtId="10" fontId="22" fillId="10" borderId="16" xfId="9" applyNumberFormat="1" applyFont="1" applyFill="1" applyBorder="1"/>
    <xf numFmtId="166" fontId="1" fillId="0" borderId="0" xfId="9" applyNumberFormat="1" applyFont="1"/>
    <xf numFmtId="167" fontId="2" fillId="0" borderId="0" xfId="30" applyFont="1" applyBorder="1" applyAlignment="1">
      <alignment horizontal="center" wrapText="1"/>
    </xf>
    <xf numFmtId="43" fontId="22" fillId="0" borderId="0" xfId="13" applyFont="1" applyBorder="1" applyAlignment="1">
      <alignment horizontal="center"/>
    </xf>
    <xf numFmtId="173" fontId="22" fillId="0" borderId="0" xfId="9" applyNumberFormat="1" applyFont="1" applyBorder="1"/>
    <xf numFmtId="173" fontId="22" fillId="0" borderId="16" xfId="9" applyNumberFormat="1" applyFont="1" applyBorder="1"/>
    <xf numFmtId="166" fontId="11" fillId="0" borderId="0" xfId="9" applyNumberFormat="1" applyFont="1"/>
    <xf numFmtId="43" fontId="11" fillId="0" borderId="0" xfId="30" applyNumberFormat="1" applyFont="1"/>
    <xf numFmtId="167" fontId="1" fillId="0" borderId="0" xfId="30" applyFont="1" applyBorder="1" applyAlignment="1">
      <alignment horizontal="center"/>
    </xf>
    <xf numFmtId="43" fontId="1" fillId="0" borderId="0" xfId="30" applyNumberFormat="1" applyFont="1" applyBorder="1"/>
    <xf numFmtId="43" fontId="1" fillId="0" borderId="16" xfId="30" applyNumberFormat="1" applyFont="1" applyBorder="1"/>
    <xf numFmtId="169" fontId="1" fillId="0" borderId="0" xfId="30" applyNumberFormat="1" applyFont="1"/>
    <xf numFmtId="167" fontId="1" fillId="0" borderId="0" xfId="30" applyFont="1" applyBorder="1"/>
    <xf numFmtId="167" fontId="1" fillId="0" borderId="16" xfId="30" applyFont="1" applyBorder="1"/>
    <xf numFmtId="43" fontId="1" fillId="16" borderId="16" xfId="30" applyNumberFormat="1" applyFont="1" applyFill="1" applyBorder="1"/>
    <xf numFmtId="167" fontId="1" fillId="0" borderId="0" xfId="30" applyFont="1" applyAlignment="1">
      <alignment horizontal="center"/>
    </xf>
    <xf numFmtId="167" fontId="1" fillId="7" borderId="0" xfId="30" applyFont="1" applyFill="1"/>
    <xf numFmtId="10" fontId="22" fillId="0" borderId="0" xfId="9" applyNumberFormat="1" applyFont="1"/>
    <xf numFmtId="167" fontId="1" fillId="3" borderId="0" xfId="30" applyFont="1" applyFill="1" applyBorder="1"/>
    <xf numFmtId="167" fontId="1" fillId="3" borderId="16" xfId="30" applyFont="1" applyFill="1" applyBorder="1"/>
    <xf numFmtId="166" fontId="1" fillId="0" borderId="0" xfId="30" applyNumberFormat="1" applyFont="1" applyAlignment="1">
      <alignment horizontal="right"/>
    </xf>
    <xf numFmtId="169" fontId="22" fillId="10" borderId="0" xfId="9" applyNumberFormat="1" applyFont="1" applyFill="1" applyBorder="1"/>
    <xf numFmtId="166" fontId="22" fillId="10" borderId="0" xfId="9" applyNumberFormat="1" applyFont="1" applyFill="1" applyBorder="1"/>
    <xf numFmtId="166" fontId="22" fillId="10" borderId="16" xfId="9" applyNumberFormat="1" applyFont="1" applyFill="1" applyBorder="1"/>
    <xf numFmtId="43" fontId="1" fillId="6" borderId="16" xfId="30" applyNumberFormat="1" applyFont="1" applyFill="1" applyBorder="1"/>
    <xf numFmtId="167" fontId="1" fillId="0" borderId="17" xfId="30" applyFont="1" applyBorder="1"/>
    <xf numFmtId="43" fontId="1" fillId="6" borderId="18" xfId="30" applyNumberFormat="1" applyFont="1" applyFill="1" applyBorder="1"/>
    <xf numFmtId="167" fontId="2" fillId="3" borderId="0" xfId="30" applyFont="1" applyFill="1" applyAlignment="1">
      <alignment horizontal="left"/>
    </xf>
    <xf numFmtId="167" fontId="2" fillId="3" borderId="0" xfId="30" applyFont="1" applyFill="1"/>
    <xf numFmtId="43" fontId="22" fillId="0" borderId="0" xfId="13" applyFont="1"/>
    <xf numFmtId="9" fontId="1" fillId="10" borderId="0" xfId="30" applyNumberFormat="1" applyFont="1" applyFill="1"/>
    <xf numFmtId="9" fontId="1" fillId="0" borderId="0" xfId="30" applyNumberFormat="1" applyFont="1"/>
    <xf numFmtId="172" fontId="2" fillId="9" borderId="0" xfId="18" applyNumberFormat="1" applyFont="1" applyFill="1" applyAlignment="1">
      <alignment horizontal="right"/>
    </xf>
    <xf numFmtId="172" fontId="2" fillId="9" borderId="0" xfId="18" applyNumberFormat="1" applyFont="1" applyFill="1"/>
    <xf numFmtId="172" fontId="22" fillId="9" borderId="0" xfId="18" applyNumberFormat="1" applyFont="1" applyFill="1"/>
    <xf numFmtId="170" fontId="2" fillId="9" borderId="0" xfId="18" applyNumberFormat="1" applyFont="1" applyFill="1"/>
    <xf numFmtId="170" fontId="2" fillId="9" borderId="0" xfId="18" applyNumberFormat="1" applyFont="1" applyFill="1" applyAlignment="1">
      <alignment horizontal="right"/>
    </xf>
    <xf numFmtId="167" fontId="82" fillId="0" borderId="0" xfId="31" applyFont="1"/>
    <xf numFmtId="172" fontId="82" fillId="0" borderId="0" xfId="32" applyNumberFormat="1" applyFont="1"/>
    <xf numFmtId="174" fontId="82" fillId="0" borderId="0" xfId="33" applyNumberFormat="1" applyFont="1"/>
    <xf numFmtId="172" fontId="83" fillId="0" borderId="12" xfId="32" applyNumberFormat="1" applyFont="1" applyBorder="1"/>
    <xf numFmtId="172" fontId="82" fillId="0" borderId="19" xfId="32" applyNumberFormat="1" applyFont="1" applyBorder="1"/>
    <xf numFmtId="172" fontId="83" fillId="0" borderId="0" xfId="31" applyNumberFormat="1" applyFont="1"/>
    <xf numFmtId="172" fontId="83" fillId="0" borderId="20" xfId="32" applyNumberFormat="1" applyFont="1" applyBorder="1"/>
    <xf numFmtId="172" fontId="83" fillId="0" borderId="0" xfId="32" applyNumberFormat="1" applyFont="1"/>
    <xf numFmtId="172" fontId="82" fillId="0" borderId="2" xfId="31" applyNumberFormat="1" applyFont="1" applyFill="1" applyBorder="1"/>
    <xf numFmtId="172" fontId="82" fillId="10" borderId="21" xfId="32" applyNumberFormat="1" applyFont="1" applyFill="1" applyBorder="1"/>
    <xf numFmtId="172" fontId="82" fillId="10" borderId="2" xfId="32" applyNumberFormat="1" applyFont="1" applyFill="1" applyBorder="1"/>
    <xf numFmtId="167" fontId="84" fillId="0" borderId="0" xfId="31" applyFont="1" applyAlignment="1">
      <alignment horizontal="left" indent="1"/>
    </xf>
    <xf numFmtId="172" fontId="82" fillId="0" borderId="0" xfId="31" applyNumberFormat="1" applyFont="1" applyFill="1" applyBorder="1"/>
    <xf numFmtId="172" fontId="82" fillId="10" borderId="23" xfId="32" applyNumberFormat="1" applyFont="1" applyFill="1" applyBorder="1"/>
    <xf numFmtId="172" fontId="82" fillId="10" borderId="0" xfId="32" applyNumberFormat="1" applyFont="1" applyFill="1" applyBorder="1"/>
    <xf numFmtId="167" fontId="82" fillId="4" borderId="0" xfId="31" applyFont="1" applyFill="1"/>
    <xf numFmtId="172" fontId="82" fillId="4" borderId="23" xfId="32" applyNumberFormat="1" applyFont="1" applyFill="1" applyBorder="1"/>
    <xf numFmtId="172" fontId="82" fillId="4" borderId="0" xfId="32" applyNumberFormat="1" applyFont="1" applyFill="1"/>
    <xf numFmtId="167" fontId="85" fillId="4" borderId="0" xfId="31" applyFont="1" applyFill="1" applyAlignment="1">
      <alignment horizontal="left"/>
    </xf>
    <xf numFmtId="168" fontId="82" fillId="0" borderId="0" xfId="33" applyNumberFormat="1" applyFont="1" applyAlignment="1">
      <alignment vertical="top"/>
    </xf>
    <xf numFmtId="168" fontId="82" fillId="0" borderId="23" xfId="33" applyNumberFormat="1" applyFont="1" applyBorder="1" applyAlignment="1">
      <alignment vertical="top"/>
    </xf>
    <xf numFmtId="172" fontId="83" fillId="0" borderId="23" xfId="32" applyNumberFormat="1" applyFont="1" applyBorder="1"/>
    <xf numFmtId="172" fontId="82" fillId="0" borderId="0" xfId="31" applyNumberFormat="1" applyFont="1" applyFill="1"/>
    <xf numFmtId="168" fontId="82" fillId="0" borderId="0" xfId="33" applyNumberFormat="1" applyFont="1"/>
    <xf numFmtId="168" fontId="82" fillId="0" borderId="23" xfId="33" applyNumberFormat="1" applyFont="1" applyBorder="1"/>
    <xf numFmtId="167" fontId="83" fillId="0" borderId="0" xfId="31" applyFont="1"/>
    <xf numFmtId="167" fontId="85" fillId="0" borderId="0" xfId="31" applyFont="1" applyAlignment="1">
      <alignment horizontal="left" indent="1"/>
    </xf>
    <xf numFmtId="172" fontId="82" fillId="0" borderId="23" xfId="32" applyNumberFormat="1" applyFont="1" applyBorder="1"/>
    <xf numFmtId="167" fontId="82" fillId="0" borderId="0" xfId="31" applyFont="1" applyBorder="1"/>
    <xf numFmtId="172" fontId="82" fillId="0" borderId="24" xfId="31" applyNumberFormat="1" applyFont="1" applyFill="1" applyBorder="1"/>
    <xf numFmtId="172" fontId="82" fillId="10" borderId="25" xfId="32" applyNumberFormat="1" applyFont="1" applyFill="1" applyBorder="1"/>
    <xf numFmtId="167" fontId="84" fillId="0" borderId="0" xfId="31" applyFont="1" applyBorder="1" applyAlignment="1">
      <alignment horizontal="left" indent="1"/>
    </xf>
    <xf numFmtId="167" fontId="82" fillId="2" borderId="0" xfId="31" applyFont="1" applyFill="1" applyBorder="1"/>
    <xf numFmtId="172" fontId="82" fillId="2" borderId="27" xfId="32" applyNumberFormat="1" applyFont="1" applyFill="1" applyBorder="1"/>
    <xf numFmtId="172" fontId="82" fillId="2" borderId="0" xfId="32" applyNumberFormat="1" applyFont="1" applyFill="1" applyBorder="1"/>
    <xf numFmtId="167" fontId="85" fillId="2" borderId="0" xfId="31" applyFont="1" applyFill="1" applyBorder="1" applyAlignment="1">
      <alignment horizontal="left"/>
    </xf>
    <xf numFmtId="172" fontId="82" fillId="0" borderId="0" xfId="32" applyNumberFormat="1" applyFont="1" applyFill="1" applyBorder="1"/>
    <xf numFmtId="172" fontId="82" fillId="0" borderId="0" xfId="32" applyNumberFormat="1" applyFont="1" applyFill="1"/>
    <xf numFmtId="167" fontId="82" fillId="0" borderId="0" xfId="31" applyFont="1" applyFill="1"/>
    <xf numFmtId="172" fontId="82" fillId="0" borderId="25" xfId="32" applyNumberFormat="1" applyFont="1" applyFill="1" applyBorder="1"/>
    <xf numFmtId="167" fontId="84" fillId="0" borderId="0" xfId="31" applyFont="1" applyFill="1" applyAlignment="1">
      <alignment horizontal="left" indent="1"/>
    </xf>
    <xf numFmtId="172" fontId="82" fillId="0" borderId="0" xfId="31" applyNumberFormat="1" applyFont="1"/>
    <xf numFmtId="167" fontId="88" fillId="2" borderId="0" xfId="31" applyFont="1" applyFill="1" applyBorder="1"/>
    <xf numFmtId="167" fontId="82" fillId="2" borderId="0" xfId="31" applyFont="1" applyFill="1"/>
    <xf numFmtId="172" fontId="82" fillId="2" borderId="25" xfId="32" applyNumberFormat="1" applyFont="1" applyFill="1" applyBorder="1"/>
    <xf numFmtId="172" fontId="82" fillId="2" borderId="26" xfId="32" applyNumberFormat="1" applyFont="1" applyFill="1" applyBorder="1"/>
    <xf numFmtId="167" fontId="88" fillId="2" borderId="0" xfId="31" applyFont="1" applyFill="1"/>
    <xf numFmtId="167" fontId="83" fillId="0" borderId="2" xfId="31" applyFont="1" applyBorder="1" applyAlignment="1">
      <alignment horizontal="center"/>
    </xf>
    <xf numFmtId="172" fontId="83" fillId="0" borderId="28" xfId="32" applyNumberFormat="1" applyFont="1" applyBorder="1" applyAlignment="1">
      <alignment horizontal="center"/>
    </xf>
    <xf numFmtId="167" fontId="85" fillId="0" borderId="2" xfId="31" applyFont="1" applyBorder="1"/>
    <xf numFmtId="49" fontId="84" fillId="0" borderId="0" xfId="31" applyNumberFormat="1" applyFont="1" applyBorder="1" applyAlignment="1">
      <alignment horizontal="left" indent="1"/>
    </xf>
    <xf numFmtId="43" fontId="22" fillId="0" borderId="0" xfId="1" applyFont="1" applyFill="1" applyBorder="1"/>
    <xf numFmtId="10" fontId="81" fillId="0" borderId="0" xfId="2" applyNumberFormat="1" applyFont="1" applyFill="1" applyAlignment="1">
      <alignment horizontal="right"/>
    </xf>
    <xf numFmtId="167" fontId="22" fillId="0" borderId="0" xfId="0" applyFont="1" applyFill="1"/>
    <xf numFmtId="43" fontId="28" fillId="0" borderId="1" xfId="1" applyFont="1" applyFill="1" applyBorder="1" applyAlignment="1">
      <alignment horizontal="center"/>
    </xf>
    <xf numFmtId="43" fontId="28" fillId="0" borderId="0" xfId="1" applyFont="1" applyFill="1" applyBorder="1" applyAlignment="1">
      <alignment horizontal="center"/>
    </xf>
    <xf numFmtId="43" fontId="28" fillId="0" borderId="0" xfId="1" applyFont="1" applyFill="1" applyBorder="1"/>
    <xf numFmtId="167" fontId="28" fillId="0" borderId="0" xfId="0" applyFont="1" applyFill="1" applyBorder="1"/>
    <xf numFmtId="43" fontId="46" fillId="0" borderId="0" xfId="1" applyFont="1" applyFill="1"/>
    <xf numFmtId="43" fontId="46" fillId="0" borderId="0" xfId="1" applyFont="1" applyFill="1" applyBorder="1"/>
    <xf numFmtId="43" fontId="46" fillId="0" borderId="0" xfId="8" applyFont="1" applyBorder="1" applyAlignment="1">
      <alignment horizontal="right"/>
    </xf>
    <xf numFmtId="43" fontId="92" fillId="0" borderId="0" xfId="8" applyFont="1" applyBorder="1" applyAlignment="1">
      <alignment horizontal="right"/>
    </xf>
    <xf numFmtId="167" fontId="33" fillId="0" borderId="0" xfId="29" applyFont="1" applyFill="1" applyBorder="1" applyAlignment="1">
      <alignment vertical="top"/>
    </xf>
    <xf numFmtId="167" fontId="85" fillId="0" borderId="2" xfId="31" applyNumberFormat="1" applyFont="1" applyBorder="1" applyAlignment="1">
      <alignment horizontal="center"/>
    </xf>
    <xf numFmtId="167" fontId="82" fillId="2" borderId="0" xfId="31" applyNumberFormat="1" applyFont="1" applyFill="1" applyAlignment="1">
      <alignment horizontal="center"/>
    </xf>
    <xf numFmtId="167" fontId="82" fillId="0" borderId="0" xfId="31" applyNumberFormat="1" applyFont="1" applyFill="1" applyAlignment="1">
      <alignment horizontal="center"/>
    </xf>
    <xf numFmtId="167" fontId="82" fillId="2" borderId="0" xfId="31" applyNumberFormat="1" applyFont="1" applyFill="1" applyBorder="1" applyAlignment="1">
      <alignment horizontal="center"/>
    </xf>
    <xf numFmtId="167" fontId="82" fillId="0" borderId="0" xfId="31" applyNumberFormat="1" applyFont="1" applyFill="1" applyBorder="1" applyAlignment="1">
      <alignment horizontal="center"/>
    </xf>
    <xf numFmtId="167" fontId="82" fillId="2" borderId="0" xfId="31" applyNumberFormat="1" applyFont="1" applyFill="1" applyBorder="1"/>
    <xf numFmtId="167" fontId="82" fillId="0" borderId="0" xfId="31" applyNumberFormat="1" applyFont="1" applyBorder="1" applyAlignment="1">
      <alignment horizontal="center"/>
    </xf>
    <xf numFmtId="167" fontId="82" fillId="0" borderId="24" xfId="31" applyNumberFormat="1" applyFont="1" applyBorder="1" applyAlignment="1">
      <alignment horizontal="center"/>
    </xf>
    <xf numFmtId="167" fontId="82" fillId="0" borderId="0" xfId="31" applyNumberFormat="1" applyFont="1"/>
    <xf numFmtId="167" fontId="83" fillId="4" borderId="0" xfId="31" applyNumberFormat="1" applyFont="1" applyFill="1"/>
    <xf numFmtId="167" fontId="82" fillId="4" borderId="0" xfId="31" applyNumberFormat="1" applyFont="1" applyFill="1"/>
    <xf numFmtId="167" fontId="82" fillId="0" borderId="22" xfId="31" applyNumberFormat="1" applyFont="1" applyBorder="1" applyAlignment="1">
      <alignment horizontal="left"/>
    </xf>
    <xf numFmtId="167" fontId="83" fillId="0" borderId="0" xfId="31" applyNumberFormat="1" applyFont="1"/>
    <xf numFmtId="167" fontId="83" fillId="0" borderId="0" xfId="31" applyNumberFormat="1" applyFont="1" applyAlignment="1">
      <alignment horizontal="right"/>
    </xf>
    <xf numFmtId="167" fontId="82" fillId="0" borderId="0" xfId="31" applyNumberFormat="1" applyFont="1" applyAlignment="1">
      <alignment horizontal="right"/>
    </xf>
    <xf numFmtId="167" fontId="2" fillId="3" borderId="5" xfId="30" applyFont="1" applyFill="1" applyBorder="1" applyAlignment="1">
      <alignment horizontal="left"/>
    </xf>
    <xf numFmtId="167" fontId="2" fillId="3" borderId="1" xfId="30" applyFont="1" applyFill="1" applyBorder="1"/>
    <xf numFmtId="167" fontId="1" fillId="3" borderId="1" xfId="30" applyFont="1" applyFill="1" applyBorder="1"/>
    <xf numFmtId="167" fontId="1" fillId="3" borderId="6" xfId="30" applyFont="1" applyFill="1" applyBorder="1"/>
    <xf numFmtId="167" fontId="2" fillId="0" borderId="7" xfId="30" applyFont="1" applyBorder="1" applyAlignment="1">
      <alignment horizontal="right"/>
    </xf>
    <xf numFmtId="167" fontId="2" fillId="0" borderId="8" xfId="30" applyFont="1" applyBorder="1"/>
    <xf numFmtId="167" fontId="3" fillId="0" borderId="7" xfId="30" applyFont="1" applyBorder="1" applyAlignment="1">
      <alignment horizontal="right"/>
    </xf>
    <xf numFmtId="167" fontId="3" fillId="0" borderId="8" xfId="30" applyFont="1" applyBorder="1" applyAlignment="1">
      <alignment horizontal="right"/>
    </xf>
    <xf numFmtId="43" fontId="22" fillId="0" borderId="8" xfId="13" applyFont="1" applyBorder="1"/>
    <xf numFmtId="10" fontId="22" fillId="10" borderId="8" xfId="9" applyNumberFormat="1" applyFont="1" applyFill="1" applyBorder="1"/>
    <xf numFmtId="173" fontId="22" fillId="0" borderId="8" xfId="9" applyNumberFormat="1" applyFont="1" applyBorder="1"/>
    <xf numFmtId="43" fontId="1" fillId="0" borderId="8" xfId="30" applyNumberFormat="1" applyFont="1" applyBorder="1"/>
    <xf numFmtId="167" fontId="1" fillId="0" borderId="8" xfId="30" applyFont="1" applyBorder="1"/>
    <xf numFmtId="167" fontId="0" fillId="0" borderId="8" xfId="30" applyFont="1" applyBorder="1"/>
    <xf numFmtId="167" fontId="1" fillId="3" borderId="8" xfId="30" applyFont="1" applyFill="1" applyBorder="1"/>
    <xf numFmtId="166" fontId="22" fillId="10" borderId="8" xfId="9" applyNumberFormat="1" applyFont="1" applyFill="1" applyBorder="1"/>
    <xf numFmtId="167" fontId="2" fillId="0" borderId="9" xfId="30" applyFont="1" applyBorder="1" applyAlignment="1">
      <alignment horizontal="right"/>
    </xf>
    <xf numFmtId="167" fontId="2" fillId="0" borderId="2" xfId="30" applyFont="1" applyBorder="1"/>
    <xf numFmtId="167" fontId="1" fillId="0" borderId="2" xfId="30" applyFont="1" applyBorder="1"/>
    <xf numFmtId="167" fontId="1" fillId="0" borderId="10" xfId="30" applyFont="1" applyBorder="1"/>
    <xf numFmtId="167" fontId="95" fillId="0" borderId="0" xfId="30" applyFont="1" applyFill="1"/>
    <xf numFmtId="167" fontId="96" fillId="0" borderId="0" xfId="30" applyFont="1" applyFill="1"/>
    <xf numFmtId="167" fontId="97" fillId="0" borderId="0" xfId="30" applyFont="1" applyFill="1" applyAlignment="1">
      <alignment horizontal="right"/>
    </xf>
    <xf numFmtId="172" fontId="95" fillId="0" borderId="0" xfId="18" applyNumberFormat="1" applyFont="1" applyFill="1"/>
    <xf numFmtId="167" fontId="1" fillId="0" borderId="0" xfId="30" applyFont="1" applyFill="1"/>
    <xf numFmtId="167" fontId="2" fillId="0" borderId="0" xfId="30" applyFont="1" applyFill="1"/>
    <xf numFmtId="167" fontId="3" fillId="0" borderId="0" xfId="30" applyFont="1" applyFill="1" applyAlignment="1">
      <alignment horizontal="right"/>
    </xf>
    <xf numFmtId="172" fontId="22" fillId="0" borderId="0" xfId="18" applyNumberFormat="1" applyFont="1" applyFill="1"/>
    <xf numFmtId="167" fontId="1" fillId="0" borderId="0" xfId="30" applyNumberFormat="1" applyFont="1" applyFill="1"/>
    <xf numFmtId="167" fontId="2" fillId="0" borderId="0" xfId="30" applyNumberFormat="1" applyFont="1" applyFill="1"/>
    <xf numFmtId="167" fontId="3" fillId="0" borderId="0" xfId="30" applyNumberFormat="1" applyFont="1" applyFill="1" applyAlignment="1">
      <alignment horizontal="right"/>
    </xf>
    <xf numFmtId="167" fontId="22" fillId="0" borderId="0" xfId="18" applyNumberFormat="1" applyFont="1" applyFill="1"/>
    <xf numFmtId="43" fontId="1" fillId="0" borderId="0" xfId="1" applyFont="1" applyFill="1"/>
    <xf numFmtId="43" fontId="2" fillId="0" borderId="0" xfId="1" applyFont="1" applyFill="1"/>
    <xf numFmtId="43" fontId="3" fillId="0" borderId="0" xfId="1" applyFont="1" applyFill="1" applyAlignment="1">
      <alignment horizontal="right"/>
    </xf>
    <xf numFmtId="167" fontId="2" fillId="0" borderId="5" xfId="30" applyFont="1" applyBorder="1" applyAlignment="1">
      <alignment horizontal="right"/>
    </xf>
    <xf numFmtId="167" fontId="2" fillId="0" borderId="1" xfId="30" applyFont="1" applyBorder="1"/>
    <xf numFmtId="167" fontId="2" fillId="0" borderId="1" xfId="30" applyFont="1" applyBorder="1" applyAlignment="1">
      <alignment horizontal="right"/>
    </xf>
    <xf numFmtId="167" fontId="2" fillId="0" borderId="6" xfId="30" applyFont="1" applyBorder="1"/>
    <xf numFmtId="167" fontId="1" fillId="0" borderId="8" xfId="30" applyFont="1" applyFill="1" applyBorder="1"/>
    <xf numFmtId="167" fontId="1" fillId="0" borderId="1" xfId="30" applyFont="1" applyBorder="1"/>
    <xf numFmtId="168" fontId="22" fillId="10" borderId="0" xfId="13" applyNumberFormat="1" applyFont="1" applyFill="1" applyBorder="1"/>
    <xf numFmtId="168" fontId="22" fillId="0" borderId="0" xfId="13" applyNumberFormat="1" applyFont="1" applyBorder="1"/>
    <xf numFmtId="168" fontId="22" fillId="0" borderId="8" xfId="13" applyNumberFormat="1" applyFont="1" applyBorder="1"/>
    <xf numFmtId="44" fontId="2" fillId="8" borderId="8" xfId="44" applyFont="1" applyFill="1" applyBorder="1"/>
    <xf numFmtId="44" fontId="2" fillId="8" borderId="8" xfId="44" applyFont="1" applyFill="1" applyBorder="1" applyAlignment="1">
      <alignment horizontal="right"/>
    </xf>
    <xf numFmtId="167" fontId="98" fillId="0" borderId="0" xfId="4" applyFont="1" applyFill="1"/>
    <xf numFmtId="167" fontId="99" fillId="0" borderId="0" xfId="4" applyFont="1" applyAlignment="1">
      <alignment horizontal="left"/>
    </xf>
    <xf numFmtId="167" fontId="99" fillId="0" borderId="0" xfId="4" applyFont="1"/>
    <xf numFmtId="167" fontId="98" fillId="0" borderId="0" xfId="4" applyFont="1"/>
    <xf numFmtId="167" fontId="100" fillId="0" borderId="0" xfId="4" applyFont="1" applyFill="1" applyAlignment="1">
      <alignment horizontal="center"/>
    </xf>
    <xf numFmtId="167" fontId="98" fillId="0" borderId="0" xfId="4" applyFont="1" applyFill="1" applyAlignment="1">
      <alignment horizontal="justify" vertical="top" wrapText="1"/>
    </xf>
    <xf numFmtId="167" fontId="98" fillId="0" borderId="0" xfId="4" applyFont="1" applyAlignment="1">
      <alignment horizontal="left"/>
    </xf>
    <xf numFmtId="167" fontId="99" fillId="9" borderId="0" xfId="4" applyFont="1" applyFill="1" applyAlignment="1">
      <alignment horizontal="left"/>
    </xf>
    <xf numFmtId="167" fontId="98" fillId="9" borderId="0" xfId="4" applyFont="1" applyFill="1"/>
    <xf numFmtId="167" fontId="98" fillId="0" borderId="0" xfId="4" applyFont="1" applyFill="1" applyAlignment="1"/>
    <xf numFmtId="167" fontId="98" fillId="0" borderId="0" xfId="4" applyFont="1" applyFill="1" applyAlignment="1">
      <alignment horizontal="left"/>
    </xf>
    <xf numFmtId="167" fontId="101" fillId="0" borderId="0" xfId="4" applyFont="1" applyFill="1" applyAlignment="1"/>
    <xf numFmtId="167" fontId="99" fillId="0" borderId="0" xfId="4" applyFont="1" applyFill="1"/>
    <xf numFmtId="167" fontId="100" fillId="0" borderId="0" xfId="4" applyFont="1" applyAlignment="1">
      <alignment horizontal="right"/>
    </xf>
    <xf numFmtId="167" fontId="102" fillId="0" borderId="0" xfId="4" applyFont="1" applyAlignment="1">
      <alignment horizontal="right"/>
    </xf>
    <xf numFmtId="167" fontId="98" fillId="0" borderId="0" xfId="4" applyFont="1" applyAlignment="1">
      <alignment horizontal="right"/>
    </xf>
    <xf numFmtId="10" fontId="103" fillId="0" borderId="0" xfId="5" applyNumberFormat="1" applyFont="1"/>
    <xf numFmtId="167" fontId="98" fillId="0" borderId="0" xfId="4" applyFont="1" applyFill="1" applyAlignment="1">
      <alignment vertical="center"/>
    </xf>
    <xf numFmtId="167" fontId="98" fillId="0" borderId="0" xfId="4" applyFont="1" applyAlignment="1">
      <alignment vertical="center"/>
    </xf>
    <xf numFmtId="167" fontId="98" fillId="0" borderId="0" xfId="4" applyFont="1" applyAlignment="1">
      <alignment horizontal="right" vertical="center"/>
    </xf>
    <xf numFmtId="10" fontId="103" fillId="0" borderId="0" xfId="5" applyNumberFormat="1" applyFont="1" applyAlignment="1">
      <alignment vertical="center"/>
    </xf>
    <xf numFmtId="167" fontId="98" fillId="0" borderId="0" xfId="4" applyFont="1" applyAlignment="1"/>
    <xf numFmtId="167" fontId="101" fillId="0" borderId="0" xfId="4" applyFont="1"/>
    <xf numFmtId="167" fontId="98" fillId="0" borderId="0" xfId="4" applyFont="1" applyAlignment="1">
      <alignment horizontal="right" wrapText="1"/>
    </xf>
    <xf numFmtId="167" fontId="104" fillId="0" borderId="0" xfId="6" applyFont="1" applyFill="1" applyAlignment="1">
      <alignment horizontal="right"/>
    </xf>
    <xf numFmtId="167" fontId="101" fillId="9" borderId="0" xfId="4" applyFont="1" applyFill="1"/>
    <xf numFmtId="167" fontId="104" fillId="9" borderId="0" xfId="6" applyFont="1" applyFill="1" applyAlignment="1">
      <alignment horizontal="right"/>
    </xf>
    <xf numFmtId="167" fontId="100" fillId="0" borderId="0" xfId="4" applyFont="1" applyFill="1" applyAlignment="1">
      <alignment horizontal="right"/>
    </xf>
    <xf numFmtId="168" fontId="98" fillId="0" borderId="0" xfId="8" applyNumberFormat="1" applyFont="1" applyFill="1"/>
    <xf numFmtId="168" fontId="98" fillId="0" borderId="0" xfId="8" applyNumberFormat="1" applyFont="1"/>
    <xf numFmtId="168" fontId="103" fillId="0" borderId="0" xfId="8" applyNumberFormat="1" applyFont="1"/>
    <xf numFmtId="167" fontId="98" fillId="0" borderId="0" xfId="4" applyFont="1" applyAlignment="1">
      <alignment vertical="top"/>
    </xf>
    <xf numFmtId="167" fontId="99" fillId="9" borderId="0" xfId="4" applyFont="1" applyFill="1" applyAlignment="1">
      <alignment horizontal="right"/>
    </xf>
    <xf numFmtId="167" fontId="98" fillId="0" borderId="0" xfId="4" applyFont="1" applyFill="1" applyAlignment="1">
      <alignment horizontal="left" wrapText="1"/>
    </xf>
    <xf numFmtId="167" fontId="103" fillId="0" borderId="0" xfId="4" applyFont="1"/>
    <xf numFmtId="167" fontId="105" fillId="0" borderId="0" xfId="4" applyFont="1" applyFill="1"/>
    <xf numFmtId="167" fontId="105" fillId="0" borderId="0" xfId="4" applyFont="1" applyAlignment="1">
      <alignment horizontal="right"/>
    </xf>
    <xf numFmtId="167" fontId="98" fillId="0" borderId="0" xfId="4" applyNumberFormat="1" applyFont="1" applyAlignment="1">
      <alignment horizontal="right"/>
    </xf>
    <xf numFmtId="10" fontId="98" fillId="0" borderId="0" xfId="2" applyNumberFormat="1" applyFont="1"/>
    <xf numFmtId="167" fontId="102" fillId="0" borderId="0" xfId="4" applyFont="1" applyFill="1" applyAlignment="1">
      <alignment horizontal="right"/>
    </xf>
    <xf numFmtId="167" fontId="98" fillId="0" borderId="0" xfId="4" applyFont="1" applyFill="1" applyAlignment="1">
      <alignment vertical="top"/>
    </xf>
    <xf numFmtId="167" fontId="98" fillId="0" borderId="0" xfId="4" applyFont="1" applyAlignment="1">
      <alignment vertical="top" wrapText="1"/>
    </xf>
    <xf numFmtId="170" fontId="98" fillId="0" borderId="0" xfId="4" applyNumberFormat="1" applyFont="1" applyAlignment="1">
      <alignment vertical="top"/>
    </xf>
    <xf numFmtId="170" fontId="98" fillId="0" borderId="0" xfId="4" applyNumberFormat="1" applyFont="1" applyFill="1" applyAlignment="1">
      <alignment vertical="top"/>
    </xf>
    <xf numFmtId="170" fontId="103" fillId="0" borderId="0" xfId="4" applyNumberFormat="1" applyFont="1" applyFill="1" applyAlignment="1">
      <alignment vertical="top"/>
    </xf>
    <xf numFmtId="10" fontId="103" fillId="0" borderId="0" xfId="4" applyNumberFormat="1" applyFont="1" applyAlignment="1">
      <alignment horizontal="right"/>
    </xf>
    <xf numFmtId="167" fontId="99" fillId="0" borderId="0" xfId="4" applyFont="1" applyFill="1" applyAlignment="1">
      <alignment horizontal="left"/>
    </xf>
    <xf numFmtId="167" fontId="99" fillId="0" borderId="0" xfId="4" applyFont="1" applyFill="1" applyAlignment="1">
      <alignment horizontal="right"/>
    </xf>
    <xf numFmtId="167" fontId="101" fillId="0" borderId="0" xfId="4" applyFont="1" applyFill="1"/>
    <xf numFmtId="43" fontId="106" fillId="0" borderId="0" xfId="1" applyFont="1"/>
    <xf numFmtId="43" fontId="108" fillId="0" borderId="0" xfId="1" applyFont="1" applyAlignment="1">
      <alignment horizontal="center"/>
    </xf>
    <xf numFmtId="167" fontId="108" fillId="0" borderId="0" xfId="0" applyFont="1" applyBorder="1" applyAlignment="1">
      <alignment horizontal="left"/>
    </xf>
    <xf numFmtId="43" fontId="108" fillId="0" borderId="0" xfId="1" applyFont="1"/>
    <xf numFmtId="167" fontId="109" fillId="0" borderId="0" xfId="0" applyFont="1" applyFill="1" applyBorder="1"/>
    <xf numFmtId="43" fontId="108" fillId="0" borderId="0" xfId="1" applyFont="1" applyBorder="1" applyAlignment="1">
      <alignment horizontal="left"/>
    </xf>
    <xf numFmtId="167" fontId="109" fillId="0" borderId="0" xfId="0" applyFont="1"/>
    <xf numFmtId="167" fontId="109" fillId="0" borderId="4" xfId="0" applyFont="1" applyBorder="1"/>
    <xf numFmtId="43" fontId="108" fillId="0" borderId="0" xfId="2" applyNumberFormat="1" applyFont="1" applyBorder="1" applyAlignment="1">
      <alignment horizontal="left"/>
    </xf>
    <xf numFmtId="167" fontId="109" fillId="0" borderId="0" xfId="0" applyFont="1" applyBorder="1"/>
    <xf numFmtId="167" fontId="22" fillId="0" borderId="0" xfId="0" applyFont="1"/>
    <xf numFmtId="43" fontId="110" fillId="0" borderId="0" xfId="1" applyFont="1" applyBorder="1" applyAlignment="1">
      <alignment horizontal="left"/>
    </xf>
    <xf numFmtId="43" fontId="108" fillId="0" borderId="1" xfId="1" applyFont="1" applyBorder="1"/>
    <xf numFmtId="167" fontId="108" fillId="0" borderId="0" xfId="0" applyFont="1"/>
    <xf numFmtId="43" fontId="81" fillId="0" borderId="0" xfId="1" applyFont="1" applyBorder="1" applyAlignment="1">
      <alignment horizontal="left"/>
    </xf>
    <xf numFmtId="167" fontId="22" fillId="0" borderId="0" xfId="0" applyFont="1" applyFill="1" applyBorder="1"/>
    <xf numFmtId="167" fontId="22" fillId="0" borderId="4" xfId="0" applyFont="1" applyBorder="1"/>
    <xf numFmtId="43" fontId="81" fillId="0" borderId="0" xfId="2" applyNumberFormat="1" applyFont="1" applyBorder="1" applyAlignment="1">
      <alignment horizontal="left"/>
    </xf>
    <xf numFmtId="167" fontId="22" fillId="0" borderId="0" xfId="0" applyFont="1" applyBorder="1"/>
    <xf numFmtId="43" fontId="81" fillId="0" borderId="0" xfId="1" applyFont="1" applyAlignment="1">
      <alignment horizontal="left"/>
    </xf>
    <xf numFmtId="167" fontId="81" fillId="0" borderId="0" xfId="0" applyFont="1" applyAlignment="1">
      <alignment horizontal="left"/>
    </xf>
    <xf numFmtId="167" fontId="112" fillId="0" borderId="0" xfId="0" applyFont="1" applyFill="1" applyBorder="1" applyAlignment="1">
      <alignment horizontal="center"/>
    </xf>
    <xf numFmtId="43" fontId="22" fillId="0" borderId="0" xfId="0" applyNumberFormat="1" applyFont="1" applyFill="1" applyBorder="1"/>
    <xf numFmtId="43" fontId="28" fillId="0" borderId="1" xfId="1" applyFont="1" applyBorder="1" applyAlignment="1">
      <alignment horizontal="center"/>
    </xf>
    <xf numFmtId="43" fontId="22" fillId="0" borderId="0" xfId="0" applyNumberFormat="1" applyFont="1" applyFill="1" applyBorder="1" applyAlignment="1">
      <alignment horizontal="center"/>
    </xf>
    <xf numFmtId="167" fontId="22" fillId="0" borderId="0" xfId="0" applyFont="1" applyFill="1" applyBorder="1" applyAlignment="1">
      <alignment horizontal="center"/>
    </xf>
    <xf numFmtId="43" fontId="22" fillId="0" borderId="0" xfId="1" applyNumberFormat="1" applyFont="1" applyFill="1" applyBorder="1" applyAlignment="1">
      <alignment horizontal="center"/>
    </xf>
    <xf numFmtId="9" fontId="28" fillId="0" borderId="0" xfId="2" applyFont="1" applyFill="1" applyBorder="1" applyAlignment="1">
      <alignment horizontal="center"/>
    </xf>
    <xf numFmtId="9" fontId="22" fillId="0" borderId="0" xfId="2" applyFont="1" applyBorder="1"/>
    <xf numFmtId="10" fontId="28" fillId="0" borderId="0" xfId="2" applyNumberFormat="1" applyFont="1" applyFill="1"/>
    <xf numFmtId="43" fontId="30" fillId="0" borderId="0" xfId="1" applyFont="1" applyFill="1" applyBorder="1" applyAlignment="1">
      <alignment horizontal="center"/>
    </xf>
    <xf numFmtId="167" fontId="30" fillId="0" borderId="0" xfId="0" applyFont="1" applyFill="1" applyBorder="1"/>
    <xf numFmtId="43" fontId="17" fillId="0" borderId="0" xfId="1" applyFont="1" applyAlignment="1">
      <alignment horizontal="right"/>
    </xf>
    <xf numFmtId="43" fontId="17" fillId="0" borderId="0" xfId="1" applyFont="1"/>
    <xf numFmtId="43" fontId="23" fillId="0" borderId="0" xfId="1" applyFont="1" applyAlignment="1">
      <alignment horizontal="right"/>
    </xf>
    <xf numFmtId="43" fontId="23" fillId="0" borderId="0" xfId="1" applyFont="1"/>
    <xf numFmtId="43" fontId="23" fillId="0" borderId="1" xfId="1" applyFont="1" applyBorder="1"/>
    <xf numFmtId="43" fontId="27" fillId="0" borderId="0" xfId="1" applyFont="1" applyAlignment="1">
      <alignment horizontal="center" vertical="center"/>
    </xf>
    <xf numFmtId="43" fontId="17" fillId="0" borderId="0" xfId="1" applyFont="1" applyFill="1" applyAlignment="1">
      <alignment horizontal="right" wrapText="1"/>
    </xf>
    <xf numFmtId="43" fontId="17" fillId="0" borderId="0" xfId="1" applyFont="1" applyAlignment="1">
      <alignment horizontal="right" wrapText="1"/>
    </xf>
    <xf numFmtId="172" fontId="38" fillId="0" borderId="45" xfId="16" applyNumberFormat="1" applyFont="1" applyFill="1" applyBorder="1"/>
    <xf numFmtId="172" fontId="36" fillId="0" borderId="45" xfId="16" applyNumberFormat="1" applyFont="1" applyFill="1" applyBorder="1"/>
    <xf numFmtId="168" fontId="36" fillId="0" borderId="46" xfId="8" applyNumberFormat="1" applyFont="1" applyFill="1" applyBorder="1"/>
    <xf numFmtId="168" fontId="37" fillId="0" borderId="46" xfId="8" applyNumberFormat="1" applyFont="1" applyFill="1" applyBorder="1"/>
    <xf numFmtId="168" fontId="36" fillId="0" borderId="46" xfId="8" applyNumberFormat="1" applyFont="1" applyFill="1" applyBorder="1" applyAlignment="1">
      <alignment vertical="top"/>
    </xf>
    <xf numFmtId="168" fontId="37" fillId="0" borderId="46" xfId="8" applyNumberFormat="1" applyFont="1" applyFill="1" applyBorder="1" applyAlignment="1">
      <alignment vertical="top"/>
    </xf>
    <xf numFmtId="168" fontId="36" fillId="0" borderId="47" xfId="8" applyNumberFormat="1" applyFont="1" applyFill="1" applyBorder="1"/>
    <xf numFmtId="172" fontId="36" fillId="0" borderId="12" xfId="16" applyNumberFormat="1" applyFont="1" applyFill="1" applyBorder="1"/>
    <xf numFmtId="168" fontId="36" fillId="0" borderId="48" xfId="8" applyNumberFormat="1" applyFont="1" applyFill="1" applyBorder="1"/>
    <xf numFmtId="172" fontId="36" fillId="0" borderId="46" xfId="16" applyNumberFormat="1" applyFont="1" applyFill="1" applyBorder="1"/>
    <xf numFmtId="43" fontId="45" fillId="0" borderId="0" xfId="1" applyFont="1" applyFill="1" applyBorder="1"/>
    <xf numFmtId="43" fontId="116" fillId="0" borderId="0" xfId="1" applyFont="1" applyFill="1" applyBorder="1"/>
    <xf numFmtId="43" fontId="9" fillId="0" borderId="0" xfId="1" applyFont="1" applyFill="1"/>
    <xf numFmtId="168" fontId="118" fillId="18" borderId="46" xfId="8" applyNumberFormat="1" applyFont="1" applyFill="1" applyBorder="1"/>
    <xf numFmtId="43" fontId="90" fillId="0" borderId="0" xfId="1" applyFont="1" applyFill="1" applyBorder="1"/>
    <xf numFmtId="43" fontId="119" fillId="0" borderId="0" xfId="1" applyFont="1" applyFill="1" applyBorder="1"/>
    <xf numFmtId="43" fontId="4" fillId="0" borderId="0" xfId="1" applyFont="1" applyFill="1" applyBorder="1"/>
    <xf numFmtId="43" fontId="4" fillId="0" borderId="0" xfId="1" applyFont="1" applyFill="1"/>
    <xf numFmtId="44" fontId="36" fillId="0" borderId="12" xfId="29" applyNumberFormat="1" applyFont="1" applyFill="1" applyBorder="1"/>
    <xf numFmtId="43" fontId="90" fillId="0" borderId="0" xfId="1" applyFont="1" applyFill="1" applyBorder="1" applyAlignment="1">
      <alignment vertical="center"/>
    </xf>
    <xf numFmtId="168" fontId="52" fillId="0" borderId="46" xfId="8" applyNumberFormat="1" applyFont="1" applyFill="1" applyBorder="1"/>
    <xf numFmtId="3" fontId="53" fillId="0" borderId="46" xfId="8" applyNumberFormat="1" applyFont="1" applyFill="1" applyBorder="1" applyAlignment="1">
      <alignment horizontal="right"/>
    </xf>
    <xf numFmtId="10" fontId="55" fillId="0" borderId="46" xfId="5" applyNumberFormat="1" applyFont="1" applyFill="1" applyBorder="1" applyAlignment="1">
      <alignment vertical="top"/>
    </xf>
    <xf numFmtId="172" fontId="32" fillId="0" borderId="12" xfId="8" applyNumberFormat="1" applyFont="1" applyFill="1" applyBorder="1"/>
    <xf numFmtId="172" fontId="32" fillId="0" borderId="12" xfId="16" applyNumberFormat="1" applyFont="1" applyFill="1" applyBorder="1"/>
    <xf numFmtId="10" fontId="49" fillId="5" borderId="13" xfId="5" applyNumberFormat="1" applyFont="1" applyFill="1" applyBorder="1" applyAlignment="1">
      <alignment vertical="top"/>
    </xf>
    <xf numFmtId="172" fontId="47" fillId="5" borderId="1" xfId="16" applyNumberFormat="1" applyFont="1" applyFill="1" applyBorder="1" applyAlignment="1"/>
    <xf numFmtId="10" fontId="61" fillId="5" borderId="13" xfId="5" applyNumberFormat="1" applyFont="1" applyFill="1" applyBorder="1" applyAlignment="1">
      <alignment vertical="top"/>
    </xf>
    <xf numFmtId="43" fontId="45" fillId="0" borderId="0" xfId="1" applyFont="1" applyFill="1" applyBorder="1" applyAlignment="1"/>
    <xf numFmtId="172" fontId="36" fillId="0" borderId="52" xfId="16" applyNumberFormat="1" applyFont="1" applyFill="1" applyBorder="1"/>
    <xf numFmtId="168" fontId="36" fillId="0" borderId="52" xfId="8" applyNumberFormat="1" applyFont="1" applyFill="1" applyBorder="1"/>
    <xf numFmtId="168" fontId="37" fillId="0" borderId="52" xfId="8" applyNumberFormat="1" applyFont="1" applyFill="1" applyBorder="1"/>
    <xf numFmtId="168" fontId="36" fillId="0" borderId="53" xfId="8" applyNumberFormat="1" applyFont="1" applyFill="1" applyBorder="1"/>
    <xf numFmtId="172" fontId="32" fillId="0" borderId="49" xfId="8" applyNumberFormat="1" applyFont="1" applyFill="1" applyBorder="1"/>
    <xf numFmtId="44" fontId="36" fillId="0" borderId="54" xfId="29" applyNumberFormat="1" applyFont="1" applyFill="1" applyBorder="1"/>
    <xf numFmtId="44" fontId="36" fillId="0" borderId="51" xfId="29" applyNumberFormat="1" applyFont="1" applyFill="1" applyBorder="1"/>
    <xf numFmtId="168" fontId="36" fillId="0" borderId="55" xfId="8" applyNumberFormat="1" applyFont="1" applyFill="1" applyBorder="1"/>
    <xf numFmtId="172" fontId="32" fillId="0" borderId="49" xfId="16" applyNumberFormat="1" applyFont="1" applyFill="1" applyBorder="1"/>
    <xf numFmtId="172" fontId="36" fillId="0" borderId="54" xfId="16" applyNumberFormat="1" applyFont="1" applyFill="1" applyBorder="1"/>
    <xf numFmtId="168" fontId="36" fillId="0" borderId="52" xfId="8" applyNumberFormat="1" applyFont="1" applyFill="1" applyBorder="1" applyAlignment="1">
      <alignment vertical="top"/>
    </xf>
    <xf numFmtId="168" fontId="37" fillId="0" borderId="52" xfId="8" applyNumberFormat="1" applyFont="1" applyFill="1" applyBorder="1" applyAlignment="1">
      <alignment vertical="top"/>
    </xf>
    <xf numFmtId="172" fontId="36" fillId="0" borderId="51" xfId="29" applyNumberFormat="1" applyFont="1" applyFill="1" applyBorder="1"/>
    <xf numFmtId="168" fontId="36" fillId="0" borderId="45" xfId="8" applyNumberFormat="1" applyFont="1" applyFill="1" applyBorder="1"/>
    <xf numFmtId="44" fontId="36" fillId="0" borderId="61" xfId="44" applyFont="1" applyFill="1" applyBorder="1"/>
    <xf numFmtId="44" fontId="36" fillId="0" borderId="2" xfId="29" applyNumberFormat="1" applyFont="1" applyFill="1" applyBorder="1"/>
    <xf numFmtId="44" fontId="36" fillId="0" borderId="62" xfId="29" applyNumberFormat="1" applyFont="1" applyFill="1" applyBorder="1"/>
    <xf numFmtId="172" fontId="36" fillId="0" borderId="61" xfId="16" applyNumberFormat="1" applyFont="1" applyFill="1" applyBorder="1"/>
    <xf numFmtId="172" fontId="36" fillId="0" borderId="63" xfId="16" applyNumberFormat="1" applyFont="1" applyFill="1" applyBorder="1"/>
    <xf numFmtId="167" fontId="36" fillId="0" borderId="2" xfId="29" applyFont="1" applyFill="1" applyBorder="1" applyAlignment="1">
      <alignment horizontal="center"/>
    </xf>
    <xf numFmtId="167" fontId="36" fillId="0" borderId="62" xfId="29" applyFont="1" applyFill="1" applyBorder="1" applyAlignment="1">
      <alignment horizontal="center"/>
    </xf>
    <xf numFmtId="172" fontId="36" fillId="0" borderId="2" xfId="29" applyNumberFormat="1" applyFont="1" applyFill="1" applyBorder="1" applyAlignment="1"/>
    <xf numFmtId="172" fontId="36" fillId="0" borderId="62" xfId="29" applyNumberFormat="1" applyFont="1" applyFill="1" applyBorder="1" applyAlignment="1"/>
    <xf numFmtId="168" fontId="37" fillId="0" borderId="51" xfId="8" applyNumberFormat="1" applyFont="1" applyFill="1" applyBorder="1"/>
    <xf numFmtId="172" fontId="32" fillId="0" borderId="49" xfId="29" applyNumberFormat="1" applyFont="1" applyFill="1" applyBorder="1"/>
    <xf numFmtId="168" fontId="118" fillId="18" borderId="52" xfId="8" applyNumberFormat="1" applyFont="1" applyFill="1" applyBorder="1"/>
    <xf numFmtId="172" fontId="47" fillId="5" borderId="63" xfId="16" applyNumberFormat="1" applyFont="1" applyFill="1" applyBorder="1" applyAlignment="1"/>
    <xf numFmtId="10" fontId="49" fillId="5" borderId="64" xfId="5" applyNumberFormat="1" applyFont="1" applyFill="1" applyBorder="1" applyAlignment="1">
      <alignment vertical="top"/>
    </xf>
    <xf numFmtId="168" fontId="52" fillId="0" borderId="52" xfId="8" applyNumberFormat="1" applyFont="1" applyFill="1" applyBorder="1"/>
    <xf numFmtId="3" fontId="53" fillId="0" borderId="52" xfId="8" applyNumberFormat="1" applyFont="1" applyFill="1" applyBorder="1" applyAlignment="1">
      <alignment horizontal="right"/>
    </xf>
    <xf numFmtId="10" fontId="55" fillId="0" borderId="52" xfId="5" applyNumberFormat="1" applyFont="1" applyFill="1" applyBorder="1" applyAlignment="1">
      <alignment vertical="top"/>
    </xf>
    <xf numFmtId="172" fontId="58" fillId="0" borderId="51" xfId="16" applyNumberFormat="1" applyFont="1" applyFill="1" applyBorder="1"/>
    <xf numFmtId="10" fontId="60" fillId="0" borderId="51" xfId="5" applyNumberFormat="1" applyFont="1" applyFill="1" applyBorder="1" applyAlignment="1">
      <alignment vertical="top"/>
    </xf>
    <xf numFmtId="10" fontId="61" fillId="5" borderId="64" xfId="5" applyNumberFormat="1" applyFont="1" applyFill="1" applyBorder="1" applyAlignment="1">
      <alignment vertical="top"/>
    </xf>
    <xf numFmtId="172" fontId="52" fillId="0" borderId="45" xfId="8" applyNumberFormat="1" applyFont="1" applyFill="1" applyBorder="1"/>
    <xf numFmtId="172" fontId="52" fillId="0" borderId="61" xfId="8" applyNumberFormat="1" applyFont="1" applyFill="1" applyBorder="1"/>
    <xf numFmtId="44" fontId="32" fillId="5" borderId="11" xfId="16" applyNumberFormat="1" applyFont="1" applyFill="1" applyBorder="1"/>
    <xf numFmtId="44" fontId="36" fillId="0" borderId="71" xfId="29" applyNumberFormat="1" applyFont="1" applyFill="1" applyBorder="1"/>
    <xf numFmtId="44" fontId="32" fillId="5" borderId="11" xfId="29" applyNumberFormat="1" applyFont="1" applyFill="1" applyBorder="1" applyAlignment="1">
      <alignment vertical="center"/>
    </xf>
    <xf numFmtId="172" fontId="32" fillId="5" borderId="50" xfId="8" applyNumberFormat="1" applyFont="1" applyFill="1" applyBorder="1" applyAlignment="1">
      <alignment vertical="center"/>
    </xf>
    <xf numFmtId="44" fontId="36" fillId="0" borderId="1" xfId="29" applyNumberFormat="1" applyFont="1" applyFill="1" applyBorder="1"/>
    <xf numFmtId="44" fontId="36" fillId="0" borderId="63" xfId="29" applyNumberFormat="1" applyFont="1" applyFill="1" applyBorder="1"/>
    <xf numFmtId="168" fontId="42" fillId="0" borderId="45" xfId="8" applyNumberFormat="1" applyFont="1" applyFill="1" applyBorder="1"/>
    <xf numFmtId="172" fontId="42" fillId="0" borderId="61" xfId="44" applyNumberFormat="1" applyFont="1" applyFill="1" applyBorder="1"/>
    <xf numFmtId="172" fontId="36" fillId="0" borderId="71" xfId="29" applyNumberFormat="1" applyFont="1" applyFill="1" applyBorder="1"/>
    <xf numFmtId="172" fontId="36" fillId="0" borderId="54" xfId="29" applyNumberFormat="1" applyFont="1" applyFill="1" applyBorder="1"/>
    <xf numFmtId="44" fontId="36" fillId="0" borderId="11" xfId="29" applyNumberFormat="1" applyFont="1" applyFill="1" applyBorder="1" applyAlignment="1">
      <alignment vertical="center"/>
    </xf>
    <xf numFmtId="172" fontId="32" fillId="5" borderId="50" xfId="29" applyNumberFormat="1" applyFont="1" applyFill="1" applyBorder="1" applyAlignment="1">
      <alignment vertical="center"/>
    </xf>
    <xf numFmtId="172" fontId="32" fillId="5" borderId="11" xfId="16" applyNumberFormat="1" applyFont="1" applyFill="1" applyBorder="1" applyAlignment="1">
      <alignment vertical="center"/>
    </xf>
    <xf numFmtId="172" fontId="32" fillId="5" borderId="50" xfId="16" applyNumberFormat="1" applyFont="1" applyFill="1" applyBorder="1" applyAlignment="1">
      <alignment vertical="center"/>
    </xf>
    <xf numFmtId="172" fontId="36" fillId="0" borderId="67" xfId="16" applyNumberFormat="1" applyFont="1" applyFill="1" applyBorder="1"/>
    <xf numFmtId="167" fontId="32" fillId="0" borderId="51" xfId="29" applyFont="1" applyFill="1" applyBorder="1"/>
    <xf numFmtId="167" fontId="64" fillId="0" borderId="51" xfId="29" applyFont="1" applyFill="1" applyBorder="1" applyAlignment="1"/>
    <xf numFmtId="172" fontId="36" fillId="0" borderId="72" xfId="16" applyNumberFormat="1" applyFont="1" applyFill="1" applyBorder="1"/>
    <xf numFmtId="168" fontId="36" fillId="0" borderId="51" xfId="8" applyNumberFormat="1" applyFont="1" applyFill="1" applyBorder="1"/>
    <xf numFmtId="172" fontId="68" fillId="14" borderId="63" xfId="16" applyNumberFormat="1" applyFont="1" applyFill="1" applyBorder="1" applyAlignment="1"/>
    <xf numFmtId="10" fontId="69" fillId="14" borderId="64" xfId="5" applyNumberFormat="1" applyFont="1" applyFill="1" applyBorder="1" applyAlignment="1">
      <alignment vertical="top"/>
    </xf>
    <xf numFmtId="44" fontId="32" fillId="14" borderId="11" xfId="16" applyNumberFormat="1" applyFont="1" applyFill="1" applyBorder="1"/>
    <xf numFmtId="167" fontId="9" fillId="15" borderId="0" xfId="29" applyFont="1" applyFill="1" applyBorder="1" applyAlignment="1"/>
    <xf numFmtId="10" fontId="56" fillId="0" borderId="2" xfId="5" applyNumberFormat="1" applyFont="1" applyFill="1" applyBorder="1" applyAlignment="1">
      <alignment vertical="top"/>
    </xf>
    <xf numFmtId="10" fontId="56" fillId="0" borderId="62" xfId="5" applyNumberFormat="1" applyFont="1" applyFill="1" applyBorder="1" applyAlignment="1">
      <alignment vertical="top"/>
    </xf>
    <xf numFmtId="172" fontId="52" fillId="0" borderId="67" xfId="8" applyNumberFormat="1" applyFont="1" applyFill="1" applyBorder="1"/>
    <xf numFmtId="172" fontId="52" fillId="0" borderId="72" xfId="8" applyNumberFormat="1" applyFont="1" applyFill="1" applyBorder="1"/>
    <xf numFmtId="167" fontId="52" fillId="0" borderId="46" xfId="29" applyNumberFormat="1" applyFont="1" applyFill="1" applyBorder="1"/>
    <xf numFmtId="167" fontId="48" fillId="0" borderId="46" xfId="29" applyNumberFormat="1" applyFont="1" applyFill="1" applyBorder="1"/>
    <xf numFmtId="168" fontId="52" fillId="0" borderId="48" xfId="8" applyNumberFormat="1" applyFont="1" applyFill="1" applyBorder="1"/>
    <xf numFmtId="168" fontId="52" fillId="0" borderId="53" xfId="8" applyNumberFormat="1" applyFont="1" applyFill="1" applyBorder="1"/>
    <xf numFmtId="172" fontId="32" fillId="0" borderId="45" xfId="16" applyNumberFormat="1" applyFont="1" applyFill="1" applyBorder="1" applyAlignment="1">
      <alignment vertical="center"/>
    </xf>
    <xf numFmtId="172" fontId="32" fillId="0" borderId="61" xfId="16" applyNumberFormat="1" applyFont="1" applyFill="1" applyBorder="1" applyAlignment="1">
      <alignment vertical="center"/>
    </xf>
    <xf numFmtId="168" fontId="32" fillId="0" borderId="46" xfId="8" applyNumberFormat="1" applyFont="1" applyFill="1" applyBorder="1" applyAlignment="1">
      <alignment vertical="center"/>
    </xf>
    <xf numFmtId="168" fontId="32" fillId="0" borderId="52" xfId="8" applyNumberFormat="1" applyFont="1" applyFill="1" applyBorder="1" applyAlignment="1">
      <alignment vertical="center"/>
    </xf>
    <xf numFmtId="168" fontId="32" fillId="0" borderId="48" xfId="8" applyNumberFormat="1" applyFont="1" applyFill="1" applyBorder="1" applyAlignment="1">
      <alignment vertical="center"/>
    </xf>
    <xf numFmtId="168" fontId="32" fillId="0" borderId="53" xfId="8" applyNumberFormat="1" applyFont="1" applyFill="1" applyBorder="1" applyAlignment="1">
      <alignment vertical="center"/>
    </xf>
    <xf numFmtId="172" fontId="36" fillId="14" borderId="11" xfId="16" applyNumberFormat="1" applyFont="1" applyFill="1" applyBorder="1" applyAlignment="1">
      <alignment vertical="center"/>
    </xf>
    <xf numFmtId="172" fontId="36" fillId="14" borderId="50" xfId="16" applyNumberFormat="1" applyFont="1" applyFill="1" applyBorder="1" applyAlignment="1">
      <alignment vertical="center"/>
    </xf>
    <xf numFmtId="172" fontId="9" fillId="0" borderId="0" xfId="16" applyNumberFormat="1" applyFont="1" applyFill="1" applyBorder="1" applyAlignment="1">
      <alignment vertical="center"/>
    </xf>
    <xf numFmtId="167" fontId="9" fillId="0" borderId="0" xfId="29" applyFont="1" applyAlignment="1">
      <alignment vertical="center"/>
    </xf>
    <xf numFmtId="168" fontId="36" fillId="14" borderId="11" xfId="8" applyNumberFormat="1" applyFont="1" applyFill="1" applyBorder="1" applyAlignment="1">
      <alignment vertical="center"/>
    </xf>
    <xf numFmtId="168" fontId="36" fillId="14" borderId="50" xfId="8" applyNumberFormat="1" applyFont="1" applyFill="1" applyBorder="1" applyAlignment="1">
      <alignment vertical="center"/>
    </xf>
    <xf numFmtId="168" fontId="37" fillId="0" borderId="47" xfId="8" applyNumberFormat="1" applyFont="1" applyFill="1" applyBorder="1"/>
    <xf numFmtId="168" fontId="37" fillId="0" borderId="55" xfId="8" applyNumberFormat="1" applyFont="1" applyFill="1" applyBorder="1"/>
    <xf numFmtId="168" fontId="36" fillId="0" borderId="13" xfId="8" applyNumberFormat="1" applyFont="1" applyFill="1" applyBorder="1"/>
    <xf numFmtId="172" fontId="32" fillId="0" borderId="64" xfId="44" applyNumberFormat="1" applyFont="1" applyFill="1" applyBorder="1"/>
    <xf numFmtId="44" fontId="36" fillId="0" borderId="45" xfId="29" applyNumberFormat="1" applyFont="1" applyFill="1" applyBorder="1"/>
    <xf numFmtId="44" fontId="36" fillId="0" borderId="61" xfId="29" applyNumberFormat="1" applyFont="1" applyFill="1" applyBorder="1"/>
    <xf numFmtId="167" fontId="36" fillId="0" borderId="46" xfId="29" applyNumberFormat="1" applyFont="1" applyFill="1" applyBorder="1"/>
    <xf numFmtId="167" fontId="118" fillId="18" borderId="46" xfId="29" applyNumberFormat="1" applyFont="1" applyFill="1" applyBorder="1"/>
    <xf numFmtId="167" fontId="37" fillId="18" borderId="46" xfId="29" applyNumberFormat="1" applyFont="1" applyFill="1" applyBorder="1"/>
    <xf numFmtId="168" fontId="37" fillId="18" borderId="46" xfId="8" applyNumberFormat="1" applyFont="1" applyFill="1" applyBorder="1"/>
    <xf numFmtId="168" fontId="36" fillId="0" borderId="67" xfId="8" applyNumberFormat="1" applyFont="1" applyFill="1" applyBorder="1"/>
    <xf numFmtId="172" fontId="36" fillId="0" borderId="72" xfId="44" applyNumberFormat="1" applyFont="1" applyFill="1" applyBorder="1"/>
    <xf numFmtId="172" fontId="32" fillId="14" borderId="50" xfId="44" applyNumberFormat="1" applyFont="1" applyFill="1" applyBorder="1" applyAlignment="1">
      <alignment vertical="center"/>
    </xf>
    <xf numFmtId="168" fontId="9" fillId="0" borderId="0" xfId="8" applyNumberFormat="1" applyFont="1" applyFill="1" applyBorder="1" applyAlignment="1">
      <alignment vertical="center"/>
    </xf>
    <xf numFmtId="167" fontId="36" fillId="0" borderId="45" xfId="29" applyNumberFormat="1" applyFont="1" applyFill="1" applyBorder="1"/>
    <xf numFmtId="44" fontId="36" fillId="14" borderId="11" xfId="29" applyNumberFormat="1" applyFont="1" applyFill="1" applyBorder="1" applyAlignment="1">
      <alignment vertical="center"/>
    </xf>
    <xf numFmtId="172" fontId="32" fillId="14" borderId="50" xfId="29" applyNumberFormat="1" applyFont="1" applyFill="1" applyBorder="1" applyAlignment="1">
      <alignment vertical="center"/>
    </xf>
    <xf numFmtId="167" fontId="52" fillId="0" borderId="57" xfId="29" applyNumberFormat="1" applyFont="1" applyFill="1" applyBorder="1"/>
    <xf numFmtId="44" fontId="32" fillId="0" borderId="71" xfId="16" applyNumberFormat="1" applyFont="1" applyFill="1" applyBorder="1"/>
    <xf numFmtId="44" fontId="32" fillId="0" borderId="74" xfId="16" applyNumberFormat="1" applyFont="1" applyFill="1" applyBorder="1"/>
    <xf numFmtId="44" fontId="32" fillId="14" borderId="41" xfId="16" applyNumberFormat="1" applyFont="1" applyFill="1" applyBorder="1"/>
    <xf numFmtId="44" fontId="36" fillId="0" borderId="6" xfId="29" applyNumberFormat="1" applyFont="1" applyFill="1" applyBorder="1"/>
    <xf numFmtId="172" fontId="36" fillId="0" borderId="75" xfId="16" applyNumberFormat="1" applyFont="1" applyFill="1" applyBorder="1"/>
    <xf numFmtId="172" fontId="36" fillId="0" borderId="8" xfId="16" applyNumberFormat="1" applyFont="1" applyFill="1" applyBorder="1"/>
    <xf numFmtId="44" fontId="36" fillId="0" borderId="10" xfId="29" applyNumberFormat="1" applyFont="1" applyFill="1" applyBorder="1"/>
    <xf numFmtId="44" fontId="32" fillId="0" borderId="10" xfId="16" applyNumberFormat="1" applyFont="1" applyFill="1" applyBorder="1"/>
    <xf numFmtId="44" fontId="36" fillId="0" borderId="2" xfId="29" applyNumberFormat="1" applyFont="1" applyFill="1" applyBorder="1" applyAlignment="1">
      <alignment vertical="center"/>
    </xf>
    <xf numFmtId="172" fontId="32" fillId="0" borderId="2" xfId="29" applyNumberFormat="1" applyFont="1" applyFill="1" applyBorder="1" applyAlignment="1">
      <alignment vertical="center"/>
    </xf>
    <xf numFmtId="172" fontId="32" fillId="0" borderId="10" xfId="29" applyNumberFormat="1" applyFont="1" applyFill="1" applyBorder="1" applyAlignment="1">
      <alignment vertical="center"/>
    </xf>
    <xf numFmtId="10" fontId="49" fillId="0" borderId="2" xfId="5" applyNumberFormat="1" applyFont="1" applyFill="1" applyBorder="1" applyAlignment="1">
      <alignment vertical="top"/>
    </xf>
    <xf numFmtId="10" fontId="49" fillId="0" borderId="10" xfId="5" applyNumberFormat="1" applyFont="1" applyFill="1" applyBorder="1" applyAlignment="1">
      <alignment vertical="top"/>
    </xf>
    <xf numFmtId="44" fontId="32" fillId="5" borderId="41" xfId="16" applyNumberFormat="1" applyFont="1" applyFill="1" applyBorder="1"/>
    <xf numFmtId="43" fontId="2" fillId="0" borderId="0" xfId="1" applyFont="1" applyAlignment="1">
      <alignment horizontal="right" wrapText="1"/>
    </xf>
    <xf numFmtId="43" fontId="17" fillId="0" borderId="0" xfId="1" applyFont="1" applyAlignment="1">
      <alignment horizontal="right" wrapText="1"/>
    </xf>
    <xf numFmtId="43" fontId="23" fillId="0" borderId="0" xfId="1" applyFont="1" applyAlignment="1">
      <alignment horizontal="left"/>
    </xf>
    <xf numFmtId="43" fontId="106" fillId="0" borderId="0" xfId="1" applyFont="1" applyAlignment="1">
      <alignment horizontal="center"/>
    </xf>
    <xf numFmtId="43" fontId="106" fillId="0" borderId="0" xfId="1" applyFont="1" applyBorder="1" applyAlignment="1">
      <alignment horizontal="left"/>
    </xf>
    <xf numFmtId="43" fontId="106" fillId="0" borderId="0" xfId="1" applyFont="1" applyBorder="1"/>
    <xf numFmtId="43" fontId="106" fillId="0" borderId="0" xfId="1" applyFont="1" applyFill="1" applyBorder="1"/>
    <xf numFmtId="43" fontId="106" fillId="0" borderId="1" xfId="1" applyFont="1" applyBorder="1" applyAlignment="1">
      <alignment horizontal="center"/>
    </xf>
    <xf numFmtId="43" fontId="23" fillId="0" borderId="1" xfId="1" applyFont="1" applyBorder="1" applyAlignment="1">
      <alignment horizontal="center"/>
    </xf>
    <xf numFmtId="43" fontId="122" fillId="0" borderId="0" xfId="1" applyFont="1"/>
    <xf numFmtId="43" fontId="17" fillId="0" borderId="50" xfId="1" applyFont="1" applyFill="1" applyBorder="1" applyAlignment="1">
      <alignment horizontal="right" wrapText="1"/>
    </xf>
    <xf numFmtId="43" fontId="22" fillId="0" borderId="50" xfId="1" applyFont="1" applyFill="1" applyBorder="1" applyAlignment="1">
      <alignment horizontal="center"/>
    </xf>
    <xf numFmtId="43" fontId="17" fillId="0" borderId="50" xfId="1" applyFont="1" applyBorder="1" applyAlignment="1">
      <alignment horizontal="right" wrapText="1"/>
    </xf>
    <xf numFmtId="43" fontId="22" fillId="0" borderId="50" xfId="1" applyFont="1" applyFill="1" applyBorder="1" applyAlignment="1"/>
    <xf numFmtId="43" fontId="23" fillId="3" borderId="0" xfId="1" applyFont="1" applyFill="1" applyAlignment="1">
      <alignment horizontal="center"/>
    </xf>
    <xf numFmtId="43" fontId="23" fillId="3" borderId="0" xfId="1" applyFont="1" applyFill="1" applyBorder="1" applyAlignment="1">
      <alignment horizontal="left"/>
    </xf>
    <xf numFmtId="43" fontId="23" fillId="3" borderId="0" xfId="1" applyFont="1" applyFill="1" applyBorder="1"/>
    <xf numFmtId="43" fontId="124" fillId="0" borderId="0" xfId="1" applyFont="1" applyAlignment="1">
      <alignment horizontal="center"/>
    </xf>
    <xf numFmtId="43" fontId="127" fillId="0" borderId="0" xfId="8" applyFont="1" applyBorder="1" applyAlignment="1">
      <alignment horizontal="right"/>
    </xf>
    <xf numFmtId="43" fontId="128" fillId="0" borderId="0" xfId="8" applyFont="1" applyBorder="1" applyAlignment="1">
      <alignment horizontal="left"/>
    </xf>
    <xf numFmtId="44" fontId="127" fillId="0" borderId="0" xfId="29" applyNumberFormat="1" applyFont="1" applyFill="1" applyBorder="1"/>
    <xf numFmtId="167" fontId="127" fillId="0" borderId="0" xfId="29" applyFont="1" applyFill="1" applyBorder="1"/>
    <xf numFmtId="43" fontId="128" fillId="0" borderId="0" xfId="8" applyFont="1" applyBorder="1" applyAlignment="1">
      <alignment horizontal="right"/>
    </xf>
    <xf numFmtId="43" fontId="127" fillId="0" borderId="0" xfId="1" applyFont="1" applyFill="1" applyBorder="1"/>
    <xf numFmtId="167" fontId="127" fillId="0" borderId="0" xfId="29" applyFont="1" applyFill="1" applyBorder="1" applyAlignment="1">
      <alignment vertical="top"/>
    </xf>
    <xf numFmtId="168" fontId="127" fillId="0" borderId="0" xfId="29" applyNumberFormat="1" applyFont="1" applyFill="1" applyBorder="1" applyAlignment="1">
      <alignment vertical="top"/>
    </xf>
    <xf numFmtId="167" fontId="41" fillId="0" borderId="0" xfId="29" applyFont="1" applyFill="1" applyBorder="1"/>
    <xf numFmtId="43" fontId="93" fillId="0" borderId="0" xfId="1" applyFont="1" applyFill="1" applyBorder="1"/>
    <xf numFmtId="10" fontId="94" fillId="0" borderId="0" xfId="2" applyNumberFormat="1" applyFont="1" applyFill="1" applyBorder="1"/>
    <xf numFmtId="43" fontId="63" fillId="0" borderId="0" xfId="8" applyFont="1" applyBorder="1" applyAlignment="1">
      <alignment horizontal="left"/>
    </xf>
    <xf numFmtId="167" fontId="63" fillId="0" borderId="0" xfId="8" applyNumberFormat="1" applyFont="1" applyBorder="1" applyAlignment="1"/>
    <xf numFmtId="175" fontId="63" fillId="0" borderId="0" xfId="8" applyNumberFormat="1" applyFont="1" applyBorder="1" applyAlignment="1">
      <alignment horizontal="right"/>
    </xf>
    <xf numFmtId="43" fontId="129" fillId="0" borderId="0" xfId="8" applyFont="1" applyBorder="1"/>
    <xf numFmtId="43" fontId="9" fillId="0" borderId="0" xfId="1" applyFont="1"/>
    <xf numFmtId="43" fontId="65" fillId="0" borderId="0" xfId="1" applyFont="1"/>
    <xf numFmtId="43" fontId="9" fillId="0" borderId="0" xfId="1" applyFont="1" applyAlignment="1">
      <alignment vertical="center"/>
    </xf>
    <xf numFmtId="43" fontId="9" fillId="0" borderId="0" xfId="1" applyFont="1" applyAlignment="1">
      <alignment vertical="top"/>
    </xf>
    <xf numFmtId="43" fontId="65" fillId="0" borderId="0" xfId="1" applyFont="1" applyAlignment="1">
      <alignment vertical="top"/>
    </xf>
    <xf numFmtId="43" fontId="33" fillId="0" borderId="0" xfId="1" applyFont="1" applyFill="1"/>
    <xf numFmtId="43" fontId="63" fillId="0" borderId="0" xfId="1" applyFont="1" applyFill="1"/>
    <xf numFmtId="43" fontId="9" fillId="0" borderId="0" xfId="1" applyFont="1" applyFill="1" applyAlignment="1"/>
    <xf numFmtId="43" fontId="9" fillId="0" borderId="0" xfId="1" applyFont="1" applyFill="1" applyAlignment="1">
      <alignment vertical="top"/>
    </xf>
    <xf numFmtId="167" fontId="131" fillId="0" borderId="0" xfId="29" applyFont="1" applyFill="1" applyBorder="1"/>
    <xf numFmtId="175" fontId="130" fillId="0" borderId="0" xfId="8" applyNumberFormat="1" applyFont="1" applyFill="1" applyBorder="1" applyAlignment="1">
      <alignment horizontal="left"/>
    </xf>
    <xf numFmtId="10" fontId="61" fillId="0" borderId="0" xfId="5" applyNumberFormat="1" applyFont="1" applyFill="1" applyBorder="1" applyAlignment="1">
      <alignment vertical="top"/>
    </xf>
    <xf numFmtId="43" fontId="17" fillId="0" borderId="0" xfId="1" applyFont="1" applyAlignment="1">
      <alignment horizontal="center"/>
    </xf>
    <xf numFmtId="43" fontId="133" fillId="0" borderId="0" xfId="1" applyFont="1" applyBorder="1" applyAlignment="1">
      <alignment horizontal="center"/>
    </xf>
    <xf numFmtId="43" fontId="27" fillId="0" borderId="0" xfId="1" applyFont="1" applyBorder="1" applyAlignment="1">
      <alignment horizontal="center" vertical="top"/>
    </xf>
    <xf numFmtId="43" fontId="27" fillId="0" borderId="0" xfId="1" applyFont="1" applyAlignment="1">
      <alignment vertical="top"/>
    </xf>
    <xf numFmtId="43" fontId="27" fillId="0" borderId="0" xfId="1" applyFont="1" applyBorder="1" applyAlignment="1">
      <alignment vertical="top"/>
    </xf>
    <xf numFmtId="43" fontId="27" fillId="0" borderId="0" xfId="1" applyFont="1" applyBorder="1"/>
    <xf numFmtId="43" fontId="17" fillId="0" borderId="1" xfId="1" applyFont="1" applyBorder="1" applyAlignment="1">
      <alignment horizontal="center"/>
    </xf>
    <xf numFmtId="43" fontId="17" fillId="0" borderId="0" xfId="1" applyFont="1" applyBorder="1"/>
    <xf numFmtId="43" fontId="27" fillId="0" borderId="3" xfId="1" applyFont="1" applyBorder="1"/>
    <xf numFmtId="43" fontId="27" fillId="0" borderId="1" xfId="1" applyFont="1" applyBorder="1" applyAlignment="1">
      <alignment horizontal="center"/>
    </xf>
    <xf numFmtId="43" fontId="17" fillId="3" borderId="0" xfId="1" applyFont="1" applyFill="1" applyAlignment="1">
      <alignment horizontal="center"/>
    </xf>
    <xf numFmtId="43" fontId="17" fillId="0" borderId="1" xfId="1" applyFont="1" applyBorder="1"/>
    <xf numFmtId="43" fontId="27" fillId="0" borderId="0" xfId="1" applyFont="1" applyFill="1" applyAlignment="1">
      <alignment horizontal="center"/>
    </xf>
    <xf numFmtId="43" fontId="2" fillId="0" borderId="0" xfId="1" applyFont="1" applyAlignment="1">
      <alignment horizontal="right" wrapText="1"/>
    </xf>
    <xf numFmtId="43" fontId="17" fillId="0" borderId="0" xfId="1" applyFont="1" applyAlignment="1">
      <alignment horizontal="right" wrapText="1"/>
    </xf>
    <xf numFmtId="43" fontId="0" fillId="19" borderId="0" xfId="1" applyFont="1" applyFill="1"/>
    <xf numFmtId="43" fontId="96" fillId="14" borderId="0" xfId="1" applyFont="1" applyFill="1"/>
    <xf numFmtId="43" fontId="17" fillId="0" borderId="0" xfId="1" applyFont="1" applyBorder="1" applyAlignment="1">
      <alignment horizontal="right" wrapText="1"/>
    </xf>
    <xf numFmtId="43" fontId="22" fillId="0" borderId="0" xfId="1" applyFont="1" applyFill="1" applyBorder="1" applyAlignment="1"/>
    <xf numFmtId="43" fontId="2" fillId="0" borderId="3" xfId="1" applyFont="1" applyBorder="1" applyAlignment="1">
      <alignment horizontal="right" wrapText="1"/>
    </xf>
    <xf numFmtId="43" fontId="17" fillId="0" borderId="3" xfId="1" applyFont="1" applyBorder="1" applyAlignment="1">
      <alignment horizontal="right" wrapText="1"/>
    </xf>
    <xf numFmtId="43" fontId="22" fillId="0" borderId="3" xfId="1" applyFont="1" applyFill="1" applyBorder="1" applyAlignment="1"/>
    <xf numFmtId="167" fontId="3" fillId="0" borderId="0" xfId="1" applyNumberFormat="1" applyFont="1"/>
    <xf numFmtId="43" fontId="2" fillId="0" borderId="0" xfId="1" applyFont="1" applyFill="1" applyAlignment="1">
      <alignment horizontal="left"/>
    </xf>
    <xf numFmtId="43" fontId="2" fillId="0" borderId="0" xfId="1" applyFont="1" applyFill="1" applyAlignment="1">
      <alignment horizontal="center"/>
    </xf>
    <xf numFmtId="43" fontId="22" fillId="0" borderId="1" xfId="1" applyFont="1" applyBorder="1"/>
    <xf numFmtId="43" fontId="17" fillId="6" borderId="0" xfId="1" applyFont="1" applyFill="1"/>
    <xf numFmtId="43" fontId="17" fillId="14" borderId="0" xfId="1" applyFont="1" applyFill="1"/>
    <xf numFmtId="43" fontId="134" fillId="0" borderId="0" xfId="1" applyFont="1"/>
    <xf numFmtId="43" fontId="134" fillId="0" borderId="0" xfId="1" applyFont="1" applyFill="1"/>
    <xf numFmtId="43" fontId="2" fillId="0" borderId="0" xfId="1" applyFont="1" applyAlignment="1">
      <alignment wrapText="1"/>
    </xf>
    <xf numFmtId="43" fontId="22" fillId="0" borderId="0" xfId="1" applyFont="1" applyFill="1" applyAlignment="1">
      <alignment horizontal="center"/>
    </xf>
    <xf numFmtId="43" fontId="23" fillId="0" borderId="0" xfId="1" applyFont="1" applyAlignment="1">
      <alignment wrapText="1"/>
    </xf>
    <xf numFmtId="43" fontId="17" fillId="6" borderId="0" xfId="1" applyFont="1" applyFill="1" applyBorder="1" applyAlignment="1">
      <alignment horizontal="left" vertical="top"/>
    </xf>
    <xf numFmtId="43" fontId="17" fillId="0" borderId="0" xfId="1" applyFont="1" applyFill="1"/>
    <xf numFmtId="43" fontId="5" fillId="0" borderId="0" xfId="1" applyFont="1" applyAlignment="1">
      <alignment horizontal="center"/>
    </xf>
    <xf numFmtId="43" fontId="5" fillId="0" borderId="0" xfId="1" applyFont="1" applyFill="1" applyAlignment="1">
      <alignment horizontal="center"/>
    </xf>
    <xf numFmtId="169" fontId="98" fillId="0" borderId="0" xfId="2" applyNumberFormat="1" applyFont="1"/>
    <xf numFmtId="166" fontId="98" fillId="0" borderId="0" xfId="2" applyNumberFormat="1" applyFont="1"/>
    <xf numFmtId="167" fontId="0" fillId="0" borderId="0" xfId="2" applyNumberFormat="1" applyFont="1" applyBorder="1"/>
    <xf numFmtId="167" fontId="6" fillId="0" borderId="0" xfId="0" applyNumberFormat="1" applyFont="1" applyBorder="1" applyAlignment="1">
      <alignment horizontal="left"/>
    </xf>
    <xf numFmtId="167" fontId="6" fillId="0" borderId="0" xfId="0" applyNumberFormat="1" applyFont="1"/>
    <xf numFmtId="167" fontId="0" fillId="0" borderId="0" xfId="0" applyNumberFormat="1" applyFont="1"/>
    <xf numFmtId="167" fontId="14" fillId="4" borderId="0" xfId="0" applyNumberFormat="1" applyFont="1" applyFill="1" applyAlignment="1">
      <alignment horizontal="center"/>
    </xf>
    <xf numFmtId="167" fontId="5" fillId="0" borderId="0" xfId="1" applyNumberFormat="1" applyFont="1" applyBorder="1" applyAlignment="1">
      <alignment horizontal="left"/>
    </xf>
    <xf numFmtId="167" fontId="2" fillId="0" borderId="0" xfId="1" applyNumberFormat="1" applyFont="1"/>
    <xf numFmtId="167" fontId="0" fillId="0" borderId="0" xfId="1" applyNumberFormat="1" applyFont="1"/>
    <xf numFmtId="167" fontId="2" fillId="0" borderId="0" xfId="1" applyNumberFormat="1" applyFont="1" applyBorder="1"/>
    <xf numFmtId="167" fontId="24" fillId="0" borderId="0" xfId="0" applyNumberFormat="1" applyFont="1"/>
    <xf numFmtId="167" fontId="24" fillId="0" borderId="0" xfId="1" applyNumberFormat="1" applyFont="1"/>
    <xf numFmtId="167" fontId="6" fillId="0" borderId="0" xfId="0" applyNumberFormat="1" applyFont="1" applyBorder="1"/>
    <xf numFmtId="167" fontId="0" fillId="0" borderId="0" xfId="0" applyNumberFormat="1" applyFont="1" applyBorder="1"/>
    <xf numFmtId="167" fontId="14" fillId="3" borderId="0" xfId="0" applyNumberFormat="1" applyFont="1" applyFill="1" applyAlignment="1"/>
    <xf numFmtId="167" fontId="2" fillId="0" borderId="0" xfId="2" applyNumberFormat="1" applyFont="1" applyAlignment="1">
      <alignment horizontal="left"/>
    </xf>
    <xf numFmtId="167" fontId="0" fillId="0" borderId="0" xfId="1" applyNumberFormat="1" applyFont="1" applyBorder="1"/>
    <xf numFmtId="167" fontId="2" fillId="0" borderId="0" xfId="1" applyNumberFormat="1" applyFont="1" applyBorder="1" applyAlignment="1">
      <alignment horizontal="center"/>
    </xf>
    <xf numFmtId="167" fontId="2" fillId="0" borderId="0" xfId="0" applyNumberFormat="1" applyFont="1" applyBorder="1"/>
    <xf numFmtId="167" fontId="24" fillId="0" borderId="0" xfId="1" applyNumberFormat="1" applyFont="1" applyBorder="1" applyAlignment="1">
      <alignment horizontal="center"/>
    </xf>
    <xf numFmtId="167" fontId="24" fillId="0" borderId="0" xfId="0" applyNumberFormat="1" applyFont="1" applyBorder="1"/>
    <xf numFmtId="167" fontId="108" fillId="0" borderId="0" xfId="0" applyNumberFormat="1" applyFont="1" applyBorder="1" applyAlignment="1">
      <alignment horizontal="left"/>
    </xf>
    <xf numFmtId="167" fontId="22" fillId="0" borderId="0" xfId="0" applyNumberFormat="1" applyFont="1"/>
    <xf numFmtId="167" fontId="22" fillId="0" borderId="0" xfId="1" applyNumberFormat="1" applyFont="1"/>
    <xf numFmtId="167" fontId="22" fillId="0" borderId="0" xfId="1" applyNumberFormat="1" applyFont="1" applyBorder="1"/>
    <xf numFmtId="167" fontId="22" fillId="0" borderId="0" xfId="0" applyNumberFormat="1" applyFont="1" applyBorder="1"/>
    <xf numFmtId="167" fontId="108" fillId="0" borderId="0" xfId="0" applyNumberFormat="1" applyFont="1" applyBorder="1"/>
    <xf numFmtId="167" fontId="108" fillId="0" borderId="0" xfId="1" applyNumberFormat="1" applyFont="1" applyBorder="1"/>
    <xf numFmtId="167" fontId="28" fillId="0" borderId="0" xfId="1" applyNumberFormat="1" applyFont="1" applyFill="1" applyBorder="1"/>
    <xf numFmtId="167" fontId="109" fillId="0" borderId="0" xfId="0" applyNumberFormat="1" applyFont="1" applyBorder="1"/>
    <xf numFmtId="167" fontId="18" fillId="0" borderId="0" xfId="0" applyNumberFormat="1" applyFont="1"/>
    <xf numFmtId="167" fontId="19" fillId="0" borderId="0" xfId="1" applyNumberFormat="1" applyFont="1" applyFill="1" applyBorder="1" applyAlignment="1">
      <alignment horizontal="left"/>
    </xf>
    <xf numFmtId="167" fontId="2" fillId="0" borderId="0" xfId="0" applyNumberFormat="1" applyFont="1" applyAlignment="1">
      <alignment horizontal="right"/>
    </xf>
    <xf numFmtId="167" fontId="11" fillId="0" borderId="0" xfId="0" applyNumberFormat="1" applyFont="1" applyBorder="1"/>
    <xf numFmtId="167" fontId="2" fillId="0" borderId="0" xfId="0" applyNumberFormat="1" applyFont="1" applyBorder="1" applyAlignment="1">
      <alignment horizontal="right"/>
    </xf>
    <xf numFmtId="167" fontId="11" fillId="0" borderId="0" xfId="0" applyNumberFormat="1" applyFont="1" applyBorder="1" applyAlignment="1">
      <alignment horizontal="left"/>
    </xf>
    <xf numFmtId="167" fontId="16" fillId="0" borderId="0" xfId="0" applyNumberFormat="1" applyFont="1" applyAlignment="1">
      <alignment horizontal="left"/>
    </xf>
    <xf numFmtId="167" fontId="15" fillId="0" borderId="0" xfId="0" applyNumberFormat="1" applyFont="1"/>
    <xf numFmtId="167" fontId="2" fillId="0" borderId="0" xfId="0" applyNumberFormat="1" applyFont="1" applyAlignment="1">
      <alignment horizontal="left"/>
    </xf>
    <xf numFmtId="167" fontId="0" fillId="0" borderId="0" xfId="2" applyNumberFormat="1" applyFont="1" applyAlignment="1">
      <alignment horizontal="right"/>
    </xf>
    <xf numFmtId="167" fontId="2" fillId="0" borderId="0" xfId="0" applyNumberFormat="1" applyFont="1"/>
    <xf numFmtId="167" fontId="0" fillId="0" borderId="0" xfId="0" applyNumberFormat="1" applyFont="1" applyAlignment="1">
      <alignment horizontal="right"/>
    </xf>
    <xf numFmtId="167" fontId="2" fillId="0" borderId="0" xfId="0" applyNumberFormat="1" applyFont="1" applyBorder="1" applyAlignment="1">
      <alignment horizontal="left"/>
    </xf>
    <xf numFmtId="167" fontId="0" fillId="0" borderId="0" xfId="0" applyNumberFormat="1" applyFont="1" applyAlignment="1">
      <alignment horizontal="left"/>
    </xf>
    <xf numFmtId="167" fontId="25" fillId="0" borderId="0" xfId="0" applyNumberFormat="1" applyFont="1" applyBorder="1" applyAlignment="1">
      <alignment horizontal="right"/>
    </xf>
    <xf numFmtId="167" fontId="26" fillId="0" borderId="0" xfId="2" applyNumberFormat="1" applyFont="1" applyAlignment="1">
      <alignment horizontal="right"/>
    </xf>
    <xf numFmtId="167" fontId="24" fillId="0" borderId="0" xfId="0" applyNumberFormat="1" applyFont="1" applyAlignment="1">
      <alignment horizontal="right"/>
    </xf>
    <xf numFmtId="167" fontId="2" fillId="0" borderId="0" xfId="0" applyNumberFormat="1" applyFont="1" applyBorder="1" applyAlignment="1">
      <alignment wrapText="1"/>
    </xf>
    <xf numFmtId="167" fontId="14" fillId="2" borderId="0" xfId="0" applyNumberFormat="1" applyFont="1" applyFill="1" applyAlignment="1">
      <alignment horizontal="right"/>
    </xf>
    <xf numFmtId="167" fontId="7" fillId="0" borderId="0" xfId="0" applyNumberFormat="1" applyFont="1" applyAlignment="1">
      <alignment horizontal="left"/>
    </xf>
    <xf numFmtId="167" fontId="6" fillId="0" borderId="0" xfId="0" applyNumberFormat="1" applyFont="1" applyAlignment="1">
      <alignment horizontal="left"/>
    </xf>
    <xf numFmtId="167" fontId="6" fillId="0" borderId="0" xfId="2" applyNumberFormat="1" applyFont="1" applyAlignment="1">
      <alignment horizontal="left"/>
    </xf>
    <xf numFmtId="167" fontId="7" fillId="0" borderId="0" xfId="0" applyNumberFormat="1" applyFont="1" applyBorder="1" applyAlignment="1">
      <alignment horizontal="left"/>
    </xf>
    <xf numFmtId="167" fontId="26" fillId="0" borderId="0" xfId="0" applyNumberFormat="1" applyFont="1" applyAlignment="1">
      <alignment horizontal="left"/>
    </xf>
    <xf numFmtId="167" fontId="0" fillId="0" borderId="0" xfId="1" applyNumberFormat="1" applyFont="1" applyFill="1"/>
    <xf numFmtId="167" fontId="0" fillId="0" borderId="0" xfId="2" applyNumberFormat="1" applyFont="1" applyFill="1" applyBorder="1"/>
    <xf numFmtId="167" fontId="0" fillId="0" borderId="0" xfId="1" applyNumberFormat="1" applyFont="1" applyFill="1" applyBorder="1"/>
    <xf numFmtId="167" fontId="22" fillId="0" borderId="0" xfId="1" applyNumberFormat="1" applyFont="1" applyFill="1" applyBorder="1"/>
    <xf numFmtId="167" fontId="28" fillId="0" borderId="0" xfId="1" applyNumberFormat="1" applyFont="1" applyFill="1" applyBorder="1" applyAlignment="1">
      <alignment horizontal="center"/>
    </xf>
    <xf numFmtId="167" fontId="22" fillId="0" borderId="0" xfId="2" applyNumberFormat="1" applyFont="1" applyFill="1" applyBorder="1"/>
    <xf numFmtId="167" fontId="28" fillId="0" borderId="0" xfId="0" applyNumberFormat="1" applyFont="1" applyFill="1" applyBorder="1"/>
    <xf numFmtId="167" fontId="81" fillId="0" borderId="0" xfId="0" applyNumberFormat="1" applyFont="1" applyFill="1" applyAlignment="1">
      <alignment horizontal="left"/>
    </xf>
    <xf numFmtId="167" fontId="89" fillId="0" borderId="0" xfId="0" applyNumberFormat="1" applyFont="1" applyFill="1" applyBorder="1" applyAlignment="1">
      <alignment horizontal="left"/>
    </xf>
    <xf numFmtId="167" fontId="106" fillId="0" borderId="0" xfId="1" applyNumberFormat="1" applyFont="1" applyBorder="1"/>
    <xf numFmtId="167" fontId="6" fillId="0" borderId="0" xfId="1" applyNumberFormat="1" applyFont="1" applyBorder="1" applyAlignment="1">
      <alignment horizontal="left"/>
    </xf>
    <xf numFmtId="167" fontId="6" fillId="0" borderId="0" xfId="1" applyNumberFormat="1" applyFont="1"/>
    <xf numFmtId="167" fontId="14" fillId="4" borderId="0" xfId="1" applyNumberFormat="1" applyFont="1" applyFill="1" applyAlignment="1">
      <alignment horizontal="center"/>
    </xf>
    <xf numFmtId="167" fontId="2" fillId="0" borderId="0" xfId="1" applyNumberFormat="1" applyFont="1" applyAlignment="1">
      <alignment horizontal="right"/>
    </xf>
    <xf numFmtId="167" fontId="2" fillId="0" borderId="0" xfId="1" applyNumberFormat="1" applyFont="1" applyBorder="1" applyAlignment="1">
      <alignment horizontal="right"/>
    </xf>
    <xf numFmtId="167" fontId="15" fillId="0" borderId="0" xfId="1" applyNumberFormat="1" applyFont="1"/>
    <xf numFmtId="167" fontId="33" fillId="0" borderId="0" xfId="0" applyNumberFormat="1" applyFont="1" applyFill="1"/>
    <xf numFmtId="167" fontId="26" fillId="0" borderId="0" xfId="1" applyNumberFormat="1" applyFont="1" applyAlignment="1">
      <alignment horizontal="right"/>
    </xf>
    <xf numFmtId="167" fontId="2" fillId="0" borderId="0" xfId="1" applyNumberFormat="1" applyFont="1" applyBorder="1" applyAlignment="1">
      <alignment wrapText="1"/>
    </xf>
    <xf numFmtId="167" fontId="6" fillId="0" borderId="0" xfId="1" applyNumberFormat="1" applyFont="1" applyBorder="1"/>
    <xf numFmtId="167" fontId="14" fillId="3" borderId="0" xfId="1" applyNumberFormat="1" applyFont="1" applyFill="1" applyAlignment="1"/>
    <xf numFmtId="167" fontId="24" fillId="0" borderId="0" xfId="1" applyNumberFormat="1" applyFont="1" applyBorder="1"/>
    <xf numFmtId="167" fontId="6" fillId="0" borderId="0" xfId="1" applyNumberFormat="1" applyFont="1" applyAlignment="1">
      <alignment horizontal="left"/>
    </xf>
    <xf numFmtId="167" fontId="7" fillId="0" borderId="0" xfId="1" applyNumberFormat="1" applyFont="1" applyBorder="1" applyAlignment="1">
      <alignment horizontal="left"/>
    </xf>
    <xf numFmtId="167" fontId="26" fillId="0" borderId="0" xfId="1" applyNumberFormat="1" applyFont="1" applyAlignment="1">
      <alignment horizontal="left"/>
    </xf>
    <xf numFmtId="43" fontId="135" fillId="0" borderId="0" xfId="1" applyFont="1"/>
    <xf numFmtId="167" fontId="135" fillId="0" borderId="0" xfId="0" applyNumberFormat="1" applyFont="1" applyBorder="1" applyAlignment="1">
      <alignment horizontal="left"/>
    </xf>
    <xf numFmtId="43" fontId="136" fillId="0" borderId="0" xfId="1" applyFont="1"/>
    <xf numFmtId="167" fontId="136" fillId="0" borderId="0" xfId="0" applyNumberFormat="1" applyFont="1" applyBorder="1"/>
    <xf numFmtId="43" fontId="137" fillId="0" borderId="0" xfId="1" applyFont="1"/>
    <xf numFmtId="167" fontId="137" fillId="0" borderId="0" xfId="0" applyNumberFormat="1" applyFont="1" applyBorder="1"/>
    <xf numFmtId="43" fontId="14" fillId="4" borderId="0" xfId="1" applyFont="1" applyFill="1" applyAlignment="1">
      <alignment horizontal="center"/>
    </xf>
    <xf numFmtId="43" fontId="24" fillId="0" borderId="0" xfId="1" applyFont="1" applyBorder="1"/>
    <xf numFmtId="167" fontId="26" fillId="0" borderId="0" xfId="1" applyNumberFormat="1" applyFont="1" applyBorder="1" applyAlignment="1">
      <alignment horizontal="left"/>
    </xf>
    <xf numFmtId="167" fontId="24" fillId="0" borderId="0" xfId="1" applyNumberFormat="1" applyFont="1" applyBorder="1" applyAlignment="1">
      <alignment horizontal="right"/>
    </xf>
    <xf numFmtId="43" fontId="24" fillId="0" borderId="0" xfId="1" applyFont="1" applyBorder="1" applyAlignment="1">
      <alignment horizontal="right"/>
    </xf>
    <xf numFmtId="167" fontId="11" fillId="0" borderId="0" xfId="0" quotePrefix="1" applyNumberFormat="1" applyFont="1" applyBorder="1" applyAlignment="1">
      <alignment horizontal="left"/>
    </xf>
    <xf numFmtId="167" fontId="0" fillId="0" borderId="0" xfId="0" applyNumberFormat="1" applyFont="1" applyFill="1"/>
    <xf numFmtId="167" fontId="0" fillId="0" borderId="0" xfId="0" applyNumberFormat="1" applyFont="1" applyFill="1" applyBorder="1"/>
    <xf numFmtId="43" fontId="6" fillId="0" borderId="0" xfId="1" applyFont="1" applyBorder="1" applyAlignment="1">
      <alignment horizontal="center"/>
    </xf>
    <xf numFmtId="43" fontId="6" fillId="0" borderId="0" xfId="1" applyFont="1" applyBorder="1"/>
    <xf numFmtId="43" fontId="7" fillId="0" borderId="0" xfId="1" applyFont="1" applyBorder="1"/>
    <xf numFmtId="167" fontId="6" fillId="0" borderId="0" xfId="0" applyFont="1" applyBorder="1"/>
    <xf numFmtId="43" fontId="1" fillId="0" borderId="0" xfId="1" applyFont="1" applyBorder="1" applyAlignment="1">
      <alignment horizontal="center"/>
    </xf>
    <xf numFmtId="167" fontId="0" fillId="0" borderId="0" xfId="0" applyNumberFormat="1" applyFont="1" applyBorder="1" applyAlignment="1">
      <alignment horizontal="left"/>
    </xf>
    <xf numFmtId="43" fontId="1" fillId="0" borderId="0" xfId="1" applyFont="1" applyBorder="1"/>
    <xf numFmtId="43" fontId="1" fillId="0" borderId="0" xfId="1" applyFont="1" applyBorder="1" applyAlignment="1">
      <alignment horizontal="left"/>
    </xf>
    <xf numFmtId="43" fontId="138" fillId="0" borderId="0" xfId="1" applyFont="1" applyBorder="1" applyAlignment="1">
      <alignment horizontal="left"/>
    </xf>
    <xf numFmtId="43" fontId="113" fillId="0" borderId="0" xfId="1" applyFont="1" applyFill="1"/>
    <xf numFmtId="167" fontId="6" fillId="0" borderId="0" xfId="0" applyNumberFormat="1" applyFont="1" applyFill="1" applyBorder="1" applyAlignment="1">
      <alignment horizontal="left"/>
    </xf>
    <xf numFmtId="167" fontId="6" fillId="0" borderId="0" xfId="0" applyFont="1" applyFill="1" applyBorder="1" applyAlignment="1">
      <alignment horizontal="left"/>
    </xf>
    <xf numFmtId="43" fontId="6" fillId="0" borderId="0" xfId="1" applyFont="1" applyFill="1" applyBorder="1" applyAlignment="1">
      <alignment horizontal="left"/>
    </xf>
    <xf numFmtId="43" fontId="13" fillId="0" borderId="0" xfId="1" applyFont="1" applyFill="1" applyBorder="1" applyAlignment="1">
      <alignment horizontal="left"/>
    </xf>
    <xf numFmtId="167" fontId="6" fillId="0" borderId="0" xfId="0" applyNumberFormat="1" applyFont="1" applyFill="1" applyBorder="1"/>
    <xf numFmtId="43" fontId="6" fillId="0" borderId="0" xfId="1" applyFont="1" applyFill="1" applyBorder="1" applyAlignment="1">
      <alignment horizontal="center"/>
    </xf>
    <xf numFmtId="43" fontId="6" fillId="0" borderId="0" xfId="1" applyFont="1" applyFill="1" applyBorder="1"/>
    <xf numFmtId="43" fontId="7" fillId="0" borderId="0" xfId="1" applyFont="1" applyFill="1" applyBorder="1"/>
    <xf numFmtId="167" fontId="6" fillId="0" borderId="0" xfId="0" applyFont="1" applyFill="1" applyBorder="1"/>
    <xf numFmtId="167" fontId="22" fillId="0" borderId="4" xfId="0" applyFont="1" applyFill="1" applyBorder="1"/>
    <xf numFmtId="9" fontId="22" fillId="0" borderId="0" xfId="2" applyFont="1" applyFill="1" applyBorder="1"/>
    <xf numFmtId="43" fontId="0" fillId="0" borderId="0" xfId="1" applyNumberFormat="1" applyFont="1" applyBorder="1"/>
    <xf numFmtId="9" fontId="140" fillId="0" borderId="0" xfId="27" applyNumberFormat="1" applyFont="1" applyAlignment="1">
      <alignment horizontal="left"/>
    </xf>
    <xf numFmtId="167" fontId="0" fillId="0" borderId="0" xfId="1" applyNumberFormat="1" applyFont="1" applyBorder="1" applyAlignment="1">
      <alignment horizontal="left"/>
    </xf>
    <xf numFmtId="167" fontId="0" fillId="0" borderId="0" xfId="1" applyNumberFormat="1" applyFont="1" applyAlignment="1">
      <alignment horizontal="left"/>
    </xf>
    <xf numFmtId="167" fontId="14" fillId="2" borderId="0" xfId="1" applyNumberFormat="1" applyFont="1" applyFill="1" applyAlignment="1">
      <alignment horizontal="left"/>
    </xf>
    <xf numFmtId="167" fontId="24" fillId="0" borderId="0" xfId="1" applyNumberFormat="1" applyFont="1" applyBorder="1" applyAlignment="1">
      <alignment horizontal="left"/>
    </xf>
    <xf numFmtId="41" fontId="53" fillId="0" borderId="52" xfId="8" applyNumberFormat="1" applyFont="1" applyFill="1" applyBorder="1" applyAlignment="1">
      <alignment horizontal="right"/>
    </xf>
    <xf numFmtId="172" fontId="37" fillId="0" borderId="45" xfId="16" applyNumberFormat="1" applyFont="1" applyFill="1" applyBorder="1"/>
    <xf numFmtId="167" fontId="36" fillId="11" borderId="9" xfId="29" applyFont="1" applyFill="1" applyBorder="1"/>
    <xf numFmtId="172" fontId="36" fillId="11" borderId="60" xfId="16" applyNumberFormat="1" applyFont="1" applyFill="1" applyBorder="1"/>
    <xf numFmtId="168" fontId="37" fillId="11" borderId="97" xfId="1" applyNumberFormat="1" applyFont="1" applyFill="1" applyBorder="1"/>
    <xf numFmtId="168" fontId="36" fillId="11" borderId="97" xfId="1" applyNumberFormat="1" applyFont="1" applyFill="1" applyBorder="1"/>
    <xf numFmtId="168" fontId="37" fillId="11" borderId="7" xfId="1" applyNumberFormat="1" applyFont="1" applyFill="1" applyBorder="1"/>
    <xf numFmtId="172" fontId="32" fillId="11" borderId="56" xfId="16" applyNumberFormat="1" applyFont="1" applyFill="1" applyBorder="1"/>
    <xf numFmtId="44" fontId="36" fillId="11" borderId="70" xfId="8" applyNumberFormat="1" applyFont="1" applyFill="1" applyBorder="1"/>
    <xf numFmtId="44" fontId="36" fillId="11" borderId="9" xfId="8" applyNumberFormat="1" applyFont="1" applyFill="1" applyBorder="1"/>
    <xf numFmtId="168" fontId="36" fillId="11" borderId="97" xfId="8" applyNumberFormat="1" applyFont="1" applyFill="1" applyBorder="1"/>
    <xf numFmtId="168" fontId="36" fillId="11" borderId="98" xfId="8" applyNumberFormat="1" applyFont="1" applyFill="1" applyBorder="1"/>
    <xf numFmtId="172" fontId="32" fillId="11" borderId="56" xfId="8" applyNumberFormat="1" applyFont="1" applyFill="1" applyBorder="1"/>
    <xf numFmtId="44" fontId="36" fillId="11" borderId="7" xfId="8" applyNumberFormat="1" applyFont="1" applyFill="1" applyBorder="1"/>
    <xf numFmtId="172" fontId="32" fillId="5" borderId="39" xfId="8" applyNumberFormat="1" applyFont="1" applyFill="1" applyBorder="1" applyAlignment="1">
      <alignment vertical="center"/>
    </xf>
    <xf numFmtId="44" fontId="36" fillId="11" borderId="5" xfId="8" applyNumberFormat="1" applyFont="1" applyFill="1" applyBorder="1"/>
    <xf numFmtId="172" fontId="42" fillId="5" borderId="60" xfId="16" applyNumberFormat="1" applyFont="1" applyFill="1" applyBorder="1"/>
    <xf numFmtId="168" fontId="42" fillId="5" borderId="97" xfId="8" applyNumberFormat="1" applyFont="1" applyFill="1" applyBorder="1"/>
    <xf numFmtId="168" fontId="37" fillId="5" borderId="97" xfId="8" applyNumberFormat="1" applyFont="1" applyFill="1" applyBorder="1"/>
    <xf numFmtId="168" fontId="36" fillId="5" borderId="97" xfId="8" applyNumberFormat="1" applyFont="1" applyFill="1" applyBorder="1"/>
    <xf numFmtId="168" fontId="37" fillId="11" borderId="97" xfId="8" applyNumberFormat="1" applyFont="1" applyFill="1" applyBorder="1" applyAlignment="1">
      <alignment vertical="top"/>
    </xf>
    <xf numFmtId="172" fontId="36" fillId="11" borderId="70" xfId="29" applyNumberFormat="1" applyFont="1" applyFill="1" applyBorder="1"/>
    <xf numFmtId="44" fontId="36" fillId="11" borderId="9" xfId="29" applyNumberFormat="1" applyFont="1" applyFill="1" applyBorder="1"/>
    <xf numFmtId="172" fontId="36" fillId="11" borderId="60" xfId="44" applyNumberFormat="1" applyFont="1" applyFill="1" applyBorder="1"/>
    <xf numFmtId="44" fontId="36" fillId="5" borderId="7" xfId="29" applyNumberFormat="1" applyFont="1" applyFill="1" applyBorder="1"/>
    <xf numFmtId="172" fontId="32" fillId="5" borderId="39" xfId="29" applyNumberFormat="1" applyFont="1" applyFill="1" applyBorder="1" applyAlignment="1">
      <alignment vertical="center"/>
    </xf>
    <xf numFmtId="172" fontId="32" fillId="5" borderId="39" xfId="16" applyNumberFormat="1" applyFont="1" applyFill="1" applyBorder="1" applyAlignment="1">
      <alignment vertical="center"/>
    </xf>
    <xf numFmtId="172" fontId="47" fillId="5" borderId="5" xfId="16" applyNumberFormat="1" applyFont="1" applyFill="1" applyBorder="1" applyAlignment="1"/>
    <xf numFmtId="10" fontId="49" fillId="5" borderId="65" xfId="5" applyNumberFormat="1" applyFont="1" applyFill="1" applyBorder="1" applyAlignment="1">
      <alignment vertical="top"/>
    </xf>
    <xf numFmtId="172" fontId="52" fillId="11" borderId="60" xfId="8" applyNumberFormat="1" applyFont="1" applyFill="1" applyBorder="1"/>
    <xf numFmtId="168" fontId="52" fillId="11" borderId="97" xfId="8" applyNumberFormat="1" applyFont="1" applyFill="1" applyBorder="1"/>
    <xf numFmtId="3" fontId="53" fillId="11" borderId="97" xfId="8" applyNumberFormat="1" applyFont="1" applyFill="1" applyBorder="1" applyAlignment="1">
      <alignment horizontal="right"/>
    </xf>
    <xf numFmtId="10" fontId="55" fillId="11" borderId="97" xfId="5" applyNumberFormat="1" applyFont="1" applyFill="1" applyBorder="1" applyAlignment="1">
      <alignment vertical="top"/>
    </xf>
    <xf numFmtId="168" fontId="52" fillId="11" borderId="98" xfId="8" applyNumberFormat="1" applyFont="1" applyFill="1" applyBorder="1"/>
    <xf numFmtId="10" fontId="56" fillId="11" borderId="9" xfId="5" applyNumberFormat="1" applyFont="1" applyFill="1" applyBorder="1" applyAlignment="1">
      <alignment vertical="top"/>
    </xf>
    <xf numFmtId="172" fontId="57" fillId="11" borderId="7" xfId="16" applyNumberFormat="1" applyFont="1" applyFill="1" applyBorder="1"/>
    <xf numFmtId="10" fontId="59" fillId="11" borderId="7" xfId="5" applyNumberFormat="1" applyFont="1" applyFill="1" applyBorder="1" applyAlignment="1">
      <alignment vertical="top"/>
    </xf>
    <xf numFmtId="10" fontId="61" fillId="5" borderId="65" xfId="5" applyNumberFormat="1" applyFont="1" applyFill="1" applyBorder="1" applyAlignment="1">
      <alignment vertical="top"/>
    </xf>
    <xf numFmtId="167" fontId="36" fillId="11" borderId="10" xfId="29" applyFont="1" applyFill="1" applyBorder="1" applyAlignment="1"/>
    <xf numFmtId="172" fontId="36" fillId="11" borderId="69" xfId="16" applyNumberFormat="1" applyFont="1" applyFill="1" applyBorder="1"/>
    <xf numFmtId="168" fontId="37" fillId="11" borderId="93" xfId="8" applyNumberFormat="1" applyFont="1" applyFill="1" applyBorder="1"/>
    <xf numFmtId="168" fontId="36" fillId="11" borderId="93" xfId="8" applyNumberFormat="1" applyFont="1" applyFill="1" applyBorder="1"/>
    <xf numFmtId="172" fontId="32" fillId="11" borderId="99" xfId="16" applyNumberFormat="1" applyFont="1" applyFill="1" applyBorder="1"/>
    <xf numFmtId="44" fontId="36" fillId="11" borderId="74" xfId="29" applyNumberFormat="1" applyFont="1" applyFill="1" applyBorder="1"/>
    <xf numFmtId="44" fontId="36" fillId="11" borderId="10" xfId="29" applyNumberFormat="1" applyFont="1" applyFill="1" applyBorder="1"/>
    <xf numFmtId="168" fontId="36" fillId="11" borderId="94" xfId="8" applyNumberFormat="1" applyFont="1" applyFill="1" applyBorder="1"/>
    <xf numFmtId="172" fontId="32" fillId="11" borderId="99" xfId="29" applyNumberFormat="1" applyFont="1" applyFill="1" applyBorder="1"/>
    <xf numFmtId="44" fontId="36" fillId="11" borderId="8" xfId="29" applyNumberFormat="1" applyFont="1" applyFill="1" applyBorder="1"/>
    <xf numFmtId="172" fontId="32" fillId="5" borderId="41" xfId="8" applyNumberFormat="1" applyFont="1" applyFill="1" applyBorder="1" applyAlignment="1">
      <alignment vertical="center"/>
    </xf>
    <xf numFmtId="44" fontId="36" fillId="11" borderId="6" xfId="29" applyNumberFormat="1" applyFont="1" applyFill="1" applyBorder="1"/>
    <xf numFmtId="168" fontId="118" fillId="18" borderId="93" xfId="8" applyNumberFormat="1" applyFont="1" applyFill="1" applyBorder="1"/>
    <xf numFmtId="168" fontId="36" fillId="11" borderId="93" xfId="8" applyNumberFormat="1" applyFont="1" applyFill="1" applyBorder="1" applyAlignment="1">
      <alignment vertical="top"/>
    </xf>
    <xf numFmtId="168" fontId="37" fillId="11" borderId="93" xfId="8" applyNumberFormat="1" applyFont="1" applyFill="1" applyBorder="1" applyAlignment="1">
      <alignment vertical="top"/>
    </xf>
    <xf numFmtId="172" fontId="36" fillId="11" borderId="74" xfId="29" applyNumberFormat="1" applyFont="1" applyFill="1" applyBorder="1"/>
    <xf numFmtId="172" fontId="36" fillId="11" borderId="69" xfId="44" applyNumberFormat="1" applyFont="1" applyFill="1" applyBorder="1"/>
    <xf numFmtId="44" fontId="36" fillId="5" borderId="8" xfId="29" applyNumberFormat="1" applyFont="1" applyFill="1" applyBorder="1"/>
    <xf numFmtId="172" fontId="32" fillId="5" borderId="41" xfId="29" applyNumberFormat="1" applyFont="1" applyFill="1" applyBorder="1" applyAlignment="1">
      <alignment vertical="center"/>
    </xf>
    <xf numFmtId="172" fontId="32" fillId="5" borderId="41" xfId="16" applyNumberFormat="1" applyFont="1" applyFill="1" applyBorder="1" applyAlignment="1">
      <alignment vertical="center"/>
    </xf>
    <xf numFmtId="172" fontId="47" fillId="5" borderId="6" xfId="16" applyNumberFormat="1" applyFont="1" applyFill="1" applyBorder="1" applyAlignment="1"/>
    <xf numFmtId="10" fontId="49" fillId="5" borderId="100" xfId="5" applyNumberFormat="1" applyFont="1" applyFill="1" applyBorder="1" applyAlignment="1">
      <alignment vertical="top"/>
    </xf>
    <xf numFmtId="172" fontId="52" fillId="11" borderId="69" xfId="8" applyNumberFormat="1" applyFont="1" applyFill="1" applyBorder="1"/>
    <xf numFmtId="168" fontId="52" fillId="11" borderId="93" xfId="8" applyNumberFormat="1" applyFont="1" applyFill="1" applyBorder="1"/>
    <xf numFmtId="3" fontId="53" fillId="11" borderId="93" xfId="8" applyNumberFormat="1" applyFont="1" applyFill="1" applyBorder="1" applyAlignment="1">
      <alignment horizontal="right"/>
    </xf>
    <xf numFmtId="10" fontId="55" fillId="11" borderId="93" xfId="5" applyNumberFormat="1" applyFont="1" applyFill="1" applyBorder="1" applyAlignment="1">
      <alignment vertical="top"/>
    </xf>
    <xf numFmtId="168" fontId="52" fillId="11" borderId="94" xfId="8" applyNumberFormat="1" applyFont="1" applyFill="1" applyBorder="1"/>
    <xf numFmtId="10" fontId="56" fillId="11" borderId="10" xfId="5" applyNumberFormat="1" applyFont="1" applyFill="1" applyBorder="1" applyAlignment="1">
      <alignment vertical="top"/>
    </xf>
    <xf numFmtId="172" fontId="57" fillId="11" borderId="8" xfId="16" applyNumberFormat="1" applyFont="1" applyFill="1" applyBorder="1"/>
    <xf numFmtId="10" fontId="60" fillId="11" borderId="8" xfId="5" applyNumberFormat="1" applyFont="1" applyFill="1" applyBorder="1" applyAlignment="1">
      <alignment vertical="top"/>
    </xf>
    <xf numFmtId="10" fontId="61" fillId="5" borderId="100" xfId="5" applyNumberFormat="1" applyFont="1" applyFill="1" applyBorder="1" applyAlignment="1">
      <alignment vertical="top"/>
    </xf>
    <xf numFmtId="172" fontId="36" fillId="0" borderId="30" xfId="29" applyNumberFormat="1" applyFont="1" applyFill="1" applyBorder="1" applyAlignment="1"/>
    <xf numFmtId="172" fontId="36" fillId="0" borderId="101" xfId="16" applyNumberFormat="1" applyFont="1" applyFill="1" applyBorder="1"/>
    <xf numFmtId="168" fontId="37" fillId="0" borderId="102" xfId="8" applyNumberFormat="1" applyFont="1" applyFill="1" applyBorder="1"/>
    <xf numFmtId="168" fontId="36" fillId="0" borderId="102" xfId="8" applyNumberFormat="1" applyFont="1" applyFill="1" applyBorder="1"/>
    <xf numFmtId="168" fontId="37" fillId="0" borderId="42" xfId="8" applyNumberFormat="1" applyFont="1" applyFill="1" applyBorder="1"/>
    <xf numFmtId="172" fontId="32" fillId="0" borderId="103" xfId="16" applyNumberFormat="1" applyFont="1" applyFill="1" applyBorder="1"/>
    <xf numFmtId="44" fontId="36" fillId="0" borderId="104" xfId="29" applyNumberFormat="1" applyFont="1" applyFill="1" applyBorder="1"/>
    <xf numFmtId="44" fontId="36" fillId="0" borderId="30" xfId="29" applyNumberFormat="1" applyFont="1" applyFill="1" applyBorder="1"/>
    <xf numFmtId="168" fontId="36" fillId="0" borderId="105" xfId="8" applyNumberFormat="1" applyFont="1" applyFill="1" applyBorder="1"/>
    <xf numFmtId="172" fontId="32" fillId="0" borderId="103" xfId="29" applyNumberFormat="1" applyFont="1" applyFill="1" applyBorder="1"/>
    <xf numFmtId="44" fontId="36" fillId="0" borderId="42" xfId="29" applyNumberFormat="1" applyFont="1" applyFill="1" applyBorder="1"/>
    <xf numFmtId="172" fontId="32" fillId="5" borderId="40" xfId="8" applyNumberFormat="1" applyFont="1" applyFill="1" applyBorder="1" applyAlignment="1">
      <alignment vertical="center"/>
    </xf>
    <xf numFmtId="44" fontId="36" fillId="0" borderId="29" xfId="29" applyNumberFormat="1" applyFont="1" applyFill="1" applyBorder="1"/>
    <xf numFmtId="168" fontId="118" fillId="18" borderId="102" xfId="8" applyNumberFormat="1" applyFont="1" applyFill="1" applyBorder="1"/>
    <xf numFmtId="168" fontId="36" fillId="0" borderId="102" xfId="8" applyNumberFormat="1" applyFont="1" applyFill="1" applyBorder="1" applyAlignment="1">
      <alignment vertical="top"/>
    </xf>
    <xf numFmtId="168" fontId="37" fillId="0" borderId="102" xfId="8" applyNumberFormat="1" applyFont="1" applyFill="1" applyBorder="1" applyAlignment="1">
      <alignment vertical="top"/>
    </xf>
    <xf numFmtId="172" fontId="36" fillId="0" borderId="104" xfId="29" applyNumberFormat="1" applyFont="1" applyFill="1" applyBorder="1"/>
    <xf numFmtId="172" fontId="42" fillId="0" borderId="101" xfId="44" applyNumberFormat="1" applyFont="1" applyFill="1" applyBorder="1"/>
    <xf numFmtId="172" fontId="32" fillId="5" borderId="40" xfId="29" applyNumberFormat="1" applyFont="1" applyFill="1" applyBorder="1" applyAlignment="1">
      <alignment vertical="center"/>
    </xf>
    <xf numFmtId="172" fontId="32" fillId="0" borderId="30" xfId="29" applyNumberFormat="1" applyFont="1" applyFill="1" applyBorder="1" applyAlignment="1">
      <alignment vertical="center"/>
    </xf>
    <xf numFmtId="172" fontId="32" fillId="5" borderId="40" xfId="16" applyNumberFormat="1" applyFont="1" applyFill="1" applyBorder="1" applyAlignment="1">
      <alignment vertical="center"/>
    </xf>
    <xf numFmtId="172" fontId="47" fillId="5" borderId="29" xfId="16" applyNumberFormat="1" applyFont="1" applyFill="1" applyBorder="1" applyAlignment="1"/>
    <xf numFmtId="10" fontId="49" fillId="5" borderId="106" xfId="5" applyNumberFormat="1" applyFont="1" applyFill="1" applyBorder="1" applyAlignment="1">
      <alignment vertical="top"/>
    </xf>
    <xf numFmtId="10" fontId="49" fillId="0" borderId="30" xfId="5" applyNumberFormat="1" applyFont="1" applyFill="1" applyBorder="1" applyAlignment="1">
      <alignment vertical="top"/>
    </xf>
    <xf numFmtId="44" fontId="32" fillId="5" borderId="40" xfId="16" applyNumberFormat="1" applyFont="1" applyFill="1" applyBorder="1"/>
    <xf numFmtId="172" fontId="52" fillId="0" borderId="101" xfId="8" applyNumberFormat="1" applyFont="1" applyFill="1" applyBorder="1"/>
    <xf numFmtId="168" fontId="52" fillId="0" borderId="102" xfId="8" applyNumberFormat="1" applyFont="1" applyFill="1" applyBorder="1"/>
    <xf numFmtId="3" fontId="53" fillId="0" borderId="102" xfId="8" applyNumberFormat="1" applyFont="1" applyFill="1" applyBorder="1" applyAlignment="1">
      <alignment horizontal="right"/>
    </xf>
    <xf numFmtId="10" fontId="55" fillId="0" borderId="102" xfId="5" applyNumberFormat="1" applyFont="1" applyFill="1" applyBorder="1" applyAlignment="1">
      <alignment vertical="top"/>
    </xf>
    <xf numFmtId="168" fontId="52" fillId="0" borderId="105" xfId="8" applyNumberFormat="1" applyFont="1" applyFill="1" applyBorder="1"/>
    <xf numFmtId="10" fontId="56" fillId="0" borderId="30" xfId="5" applyNumberFormat="1" applyFont="1" applyFill="1" applyBorder="1" applyAlignment="1">
      <alignment vertical="top"/>
    </xf>
    <xf numFmtId="172" fontId="58" fillId="0" borderId="42" xfId="16" applyNumberFormat="1" applyFont="1" applyFill="1" applyBorder="1"/>
    <xf numFmtId="10" fontId="60" fillId="0" borderId="42" xfId="5" applyNumberFormat="1" applyFont="1" applyFill="1" applyBorder="1" applyAlignment="1">
      <alignment vertical="top"/>
    </xf>
    <xf numFmtId="10" fontId="61" fillId="5" borderId="106" xfId="5" applyNumberFormat="1" applyFont="1" applyFill="1" applyBorder="1" applyAlignment="1">
      <alignment vertical="top"/>
    </xf>
    <xf numFmtId="167" fontId="41" fillId="0" borderId="107" xfId="29" applyFont="1" applyFill="1" applyBorder="1"/>
    <xf numFmtId="167" fontId="36" fillId="0" borderId="107" xfId="29" applyFont="1" applyFill="1" applyBorder="1"/>
    <xf numFmtId="167" fontId="32" fillId="13" borderId="7" xfId="29" applyFont="1" applyFill="1" applyBorder="1"/>
    <xf numFmtId="172" fontId="36" fillId="13" borderId="66" xfId="16" applyNumberFormat="1" applyFont="1" applyFill="1" applyBorder="1"/>
    <xf numFmtId="168" fontId="36" fillId="13" borderId="97" xfId="8" applyNumberFormat="1" applyFont="1" applyFill="1" applyBorder="1"/>
    <xf numFmtId="168" fontId="37" fillId="13" borderId="97" xfId="8" applyNumberFormat="1" applyFont="1" applyFill="1" applyBorder="1"/>
    <xf numFmtId="168" fontId="37" fillId="13" borderId="108" xfId="8" applyNumberFormat="1" applyFont="1" applyFill="1" applyBorder="1"/>
    <xf numFmtId="172" fontId="32" fillId="13" borderId="56" xfId="16" applyNumberFormat="1" applyFont="1" applyFill="1" applyBorder="1"/>
    <xf numFmtId="44" fontId="36" fillId="13" borderId="7" xfId="29" applyNumberFormat="1" applyFont="1" applyFill="1" applyBorder="1"/>
    <xf numFmtId="44" fontId="36" fillId="13" borderId="60" xfId="29" applyNumberFormat="1" applyFont="1" applyFill="1" applyBorder="1"/>
    <xf numFmtId="172" fontId="36" fillId="13" borderId="97" xfId="16" applyNumberFormat="1" applyFont="1" applyFill="1" applyBorder="1"/>
    <xf numFmtId="168" fontId="36" fillId="13" borderId="108" xfId="8" applyNumberFormat="1" applyFont="1" applyFill="1" applyBorder="1"/>
    <xf numFmtId="172" fontId="32" fillId="13" borderId="65" xfId="44" applyNumberFormat="1" applyFont="1" applyFill="1" applyBorder="1"/>
    <xf numFmtId="168" fontId="36" fillId="13" borderId="7" xfId="8" applyNumberFormat="1" applyFont="1" applyFill="1" applyBorder="1"/>
    <xf numFmtId="172" fontId="32" fillId="14" borderId="39" xfId="44" applyNumberFormat="1" applyFont="1" applyFill="1" applyBorder="1" applyAlignment="1">
      <alignment vertical="center"/>
    </xf>
    <xf numFmtId="44" fontId="36" fillId="13" borderId="9" xfId="29" applyNumberFormat="1" applyFont="1" applyFill="1" applyBorder="1"/>
    <xf numFmtId="172" fontId="42" fillId="14" borderId="60" xfId="16" applyNumberFormat="1" applyFont="1" applyFill="1" applyBorder="1"/>
    <xf numFmtId="168" fontId="42" fillId="14" borderId="97" xfId="8" applyNumberFormat="1" applyFont="1" applyFill="1" applyBorder="1"/>
    <xf numFmtId="168" fontId="37" fillId="14" borderId="97" xfId="8" applyNumberFormat="1" applyFont="1" applyFill="1" applyBorder="1"/>
    <xf numFmtId="168" fontId="37" fillId="13" borderId="97" xfId="8" applyNumberFormat="1" applyFont="1" applyFill="1" applyBorder="1" applyAlignment="1">
      <alignment vertical="top"/>
    </xf>
    <xf numFmtId="172" fontId="36" fillId="13" borderId="66" xfId="44" applyNumberFormat="1" applyFont="1" applyFill="1" applyBorder="1"/>
    <xf numFmtId="172" fontId="36" fillId="13" borderId="110" xfId="16" applyNumberFormat="1" applyFont="1" applyFill="1" applyBorder="1"/>
    <xf numFmtId="172" fontId="32" fillId="14" borderId="39" xfId="29" applyNumberFormat="1" applyFont="1" applyFill="1" applyBorder="1" applyAlignment="1">
      <alignment vertical="center"/>
    </xf>
    <xf numFmtId="172" fontId="36" fillId="14" borderId="39" xfId="16" applyNumberFormat="1" applyFont="1" applyFill="1" applyBorder="1" applyAlignment="1">
      <alignment vertical="center"/>
    </xf>
    <xf numFmtId="168" fontId="36" fillId="14" borderId="39" xfId="8" applyNumberFormat="1" applyFont="1" applyFill="1" applyBorder="1" applyAlignment="1">
      <alignment vertical="center"/>
    </xf>
    <xf numFmtId="172" fontId="68" fillId="14" borderId="5" xfId="16" applyNumberFormat="1" applyFont="1" applyFill="1" applyBorder="1" applyAlignment="1"/>
    <xf numFmtId="10" fontId="69" fillId="14" borderId="65" xfId="5" applyNumberFormat="1" applyFont="1" applyFill="1" applyBorder="1" applyAlignment="1">
      <alignment vertical="top"/>
    </xf>
    <xf numFmtId="172" fontId="52" fillId="14" borderId="66" xfId="8" applyNumberFormat="1" applyFont="1" applyFill="1" applyBorder="1"/>
    <xf numFmtId="168" fontId="52" fillId="14" borderId="97" xfId="8" applyNumberFormat="1" applyFont="1" applyFill="1" applyBorder="1"/>
    <xf numFmtId="3" fontId="53" fillId="14" borderId="97" xfId="8" applyNumberFormat="1" applyFont="1" applyFill="1" applyBorder="1" applyAlignment="1">
      <alignment horizontal="right"/>
    </xf>
    <xf numFmtId="10" fontId="55" fillId="14" borderId="97" xfId="5" applyNumberFormat="1" applyFont="1" applyFill="1" applyBorder="1" applyAlignment="1">
      <alignment vertical="top"/>
    </xf>
    <xf numFmtId="168" fontId="52" fillId="14" borderId="98" xfId="8" applyNumberFormat="1" applyFont="1" applyFill="1" applyBorder="1"/>
    <xf numFmtId="10" fontId="56" fillId="14" borderId="9" xfId="5" applyNumberFormat="1" applyFont="1" applyFill="1" applyBorder="1" applyAlignment="1">
      <alignment vertical="top"/>
    </xf>
    <xf numFmtId="172" fontId="57" fillId="14" borderId="7" xfId="16" applyNumberFormat="1" applyFont="1" applyFill="1" applyBorder="1"/>
    <xf numFmtId="10" fontId="59" fillId="14" borderId="7" xfId="5" applyNumberFormat="1" applyFont="1" applyFill="1" applyBorder="1" applyAlignment="1">
      <alignment vertical="top"/>
    </xf>
    <xf numFmtId="167" fontId="32" fillId="13" borderId="8" xfId="29" applyFont="1" applyFill="1" applyBorder="1"/>
    <xf numFmtId="172" fontId="36" fillId="13" borderId="95" xfId="16" applyNumberFormat="1" applyFont="1" applyFill="1" applyBorder="1"/>
    <xf numFmtId="168" fontId="36" fillId="13" borderId="93" xfId="8" applyNumberFormat="1" applyFont="1" applyFill="1" applyBorder="1"/>
    <xf numFmtId="168" fontId="37" fillId="13" borderId="93" xfId="8" applyNumberFormat="1" applyFont="1" applyFill="1" applyBorder="1"/>
    <xf numFmtId="168" fontId="37" fillId="13" borderId="109" xfId="8" applyNumberFormat="1" applyFont="1" applyFill="1" applyBorder="1"/>
    <xf numFmtId="172" fontId="32" fillId="13" borderId="99" xfId="16" applyNumberFormat="1" applyFont="1" applyFill="1" applyBorder="1"/>
    <xf numFmtId="44" fontId="36" fillId="13" borderId="8" xfId="29" applyNumberFormat="1" applyFont="1" applyFill="1" applyBorder="1"/>
    <xf numFmtId="44" fontId="36" fillId="13" borderId="69" xfId="29" applyNumberFormat="1" applyFont="1" applyFill="1" applyBorder="1"/>
    <xf numFmtId="172" fontId="36" fillId="13" borderId="93" xfId="16" applyNumberFormat="1" applyFont="1" applyFill="1" applyBorder="1"/>
    <xf numFmtId="168" fontId="36" fillId="13" borderId="109" xfId="8" applyNumberFormat="1" applyFont="1" applyFill="1" applyBorder="1"/>
    <xf numFmtId="172" fontId="32" fillId="13" borderId="100" xfId="44" applyNumberFormat="1" applyFont="1" applyFill="1" applyBorder="1"/>
    <xf numFmtId="168" fontId="36" fillId="13" borderId="8" xfId="8" applyNumberFormat="1" applyFont="1" applyFill="1" applyBorder="1"/>
    <xf numFmtId="172" fontId="32" fillId="14" borderId="41" xfId="44" applyNumberFormat="1" applyFont="1" applyFill="1" applyBorder="1" applyAlignment="1">
      <alignment vertical="center"/>
    </xf>
    <xf numFmtId="44" fontId="36" fillId="13" borderId="10" xfId="29" applyNumberFormat="1" applyFont="1" applyFill="1" applyBorder="1"/>
    <xf numFmtId="172" fontId="36" fillId="13" borderId="69" xfId="16" applyNumberFormat="1" applyFont="1" applyFill="1" applyBorder="1"/>
    <xf numFmtId="171" fontId="36" fillId="13" borderId="93" xfId="8" applyNumberFormat="1" applyFont="1" applyFill="1" applyBorder="1"/>
    <xf numFmtId="168" fontId="36" fillId="13" borderId="93" xfId="8" applyNumberFormat="1" applyFont="1" applyFill="1" applyBorder="1" applyAlignment="1">
      <alignment vertical="top"/>
    </xf>
    <xf numFmtId="168" fontId="37" fillId="13" borderId="93" xfId="8" applyNumberFormat="1" applyFont="1" applyFill="1" applyBorder="1" applyAlignment="1">
      <alignment vertical="top"/>
    </xf>
    <xf numFmtId="172" fontId="36" fillId="13" borderId="95" xfId="44" applyNumberFormat="1" applyFont="1" applyFill="1" applyBorder="1"/>
    <xf numFmtId="172" fontId="36" fillId="13" borderId="111" xfId="16" applyNumberFormat="1" applyFont="1" applyFill="1" applyBorder="1"/>
    <xf numFmtId="172" fontId="32" fillId="14" borderId="41" xfId="29" applyNumberFormat="1" applyFont="1" applyFill="1" applyBorder="1" applyAlignment="1">
      <alignment vertical="center"/>
    </xf>
    <xf numFmtId="172" fontId="36" fillId="14" borderId="41" xfId="16" applyNumberFormat="1" applyFont="1" applyFill="1" applyBorder="1" applyAlignment="1">
      <alignment vertical="center"/>
    </xf>
    <xf numFmtId="168" fontId="36" fillId="14" borderId="41" xfId="8" applyNumberFormat="1" applyFont="1" applyFill="1" applyBorder="1" applyAlignment="1">
      <alignment vertical="center"/>
    </xf>
    <xf numFmtId="172" fontId="68" fillId="14" borderId="6" xfId="16" applyNumberFormat="1" applyFont="1" applyFill="1" applyBorder="1" applyAlignment="1"/>
    <xf numFmtId="10" fontId="69" fillId="14" borderId="100" xfId="5" applyNumberFormat="1" applyFont="1" applyFill="1" applyBorder="1" applyAlignment="1">
      <alignment vertical="top"/>
    </xf>
    <xf numFmtId="172" fontId="52" fillId="14" borderId="95" xfId="8" applyNumberFormat="1" applyFont="1" applyFill="1" applyBorder="1"/>
    <xf numFmtId="168" fontId="52" fillId="14" borderId="93" xfId="8" applyNumberFormat="1" applyFont="1" applyFill="1" applyBorder="1"/>
    <xf numFmtId="3" fontId="53" fillId="14" borderId="93" xfId="8" applyNumberFormat="1" applyFont="1" applyFill="1" applyBorder="1" applyAlignment="1">
      <alignment horizontal="right"/>
    </xf>
    <xf numFmtId="10" fontId="55" fillId="14" borderId="93" xfId="5" applyNumberFormat="1" applyFont="1" applyFill="1" applyBorder="1" applyAlignment="1">
      <alignment vertical="top"/>
    </xf>
    <xf numFmtId="168" fontId="52" fillId="14" borderId="94" xfId="8" applyNumberFormat="1" applyFont="1" applyFill="1" applyBorder="1"/>
    <xf numFmtId="10" fontId="56" fillId="14" borderId="10" xfId="5" applyNumberFormat="1" applyFont="1" applyFill="1" applyBorder="1" applyAlignment="1">
      <alignment vertical="top"/>
    </xf>
    <xf numFmtId="172" fontId="57" fillId="14" borderId="8" xfId="16" applyNumberFormat="1" applyFont="1" applyFill="1" applyBorder="1"/>
    <xf numFmtId="10" fontId="60" fillId="14" borderId="8" xfId="5" applyNumberFormat="1" applyFont="1" applyFill="1" applyBorder="1" applyAlignment="1">
      <alignment vertical="top"/>
    </xf>
    <xf numFmtId="172" fontId="32" fillId="14" borderId="40" xfId="44" applyNumberFormat="1" applyFont="1" applyFill="1" applyBorder="1" applyAlignment="1">
      <alignment vertical="center"/>
    </xf>
    <xf numFmtId="172" fontId="32" fillId="14" borderId="40" xfId="29" applyNumberFormat="1" applyFont="1" applyFill="1" applyBorder="1" applyAlignment="1">
      <alignment vertical="center"/>
    </xf>
    <xf numFmtId="172" fontId="36" fillId="14" borderId="40" xfId="16" applyNumberFormat="1" applyFont="1" applyFill="1" applyBorder="1" applyAlignment="1">
      <alignment vertical="center"/>
    </xf>
    <xf numFmtId="168" fontId="36" fillId="14" borderId="40" xfId="8" applyNumberFormat="1" applyFont="1" applyFill="1" applyBorder="1" applyAlignment="1">
      <alignment vertical="center"/>
    </xf>
    <xf numFmtId="172" fontId="68" fillId="14" borderId="29" xfId="16" applyNumberFormat="1" applyFont="1" applyFill="1" applyBorder="1" applyAlignment="1"/>
    <xf numFmtId="10" fontId="69" fillId="14" borderId="106" xfId="5" applyNumberFormat="1" applyFont="1" applyFill="1" applyBorder="1" applyAlignment="1">
      <alignment vertical="top"/>
    </xf>
    <xf numFmtId="44" fontId="32" fillId="14" borderId="40" xfId="16" applyNumberFormat="1" applyFont="1" applyFill="1" applyBorder="1"/>
    <xf numFmtId="8" fontId="81" fillId="0" borderId="0" xfId="1" applyNumberFormat="1" applyFont="1" applyBorder="1" applyAlignment="1">
      <alignment horizontal="left"/>
    </xf>
    <xf numFmtId="167" fontId="33" fillId="0" borderId="0" xfId="29" applyNumberFormat="1" applyFont="1" applyFill="1" applyAlignment="1">
      <alignment vertical="center"/>
    </xf>
    <xf numFmtId="167" fontId="33" fillId="0" borderId="0" xfId="29" applyNumberFormat="1" applyFont="1" applyFill="1"/>
    <xf numFmtId="167" fontId="33" fillId="0" borderId="0" xfId="29" applyNumberFormat="1" applyFont="1" applyFill="1" applyBorder="1"/>
    <xf numFmtId="167" fontId="43" fillId="0" borderId="0" xfId="29" applyNumberFormat="1" applyFont="1" applyFill="1" applyBorder="1" applyAlignment="1">
      <alignment vertical="center"/>
    </xf>
    <xf numFmtId="167" fontId="43" fillId="0" borderId="0" xfId="29" applyNumberFormat="1" applyFont="1" applyFill="1" applyAlignment="1">
      <alignment vertical="center"/>
    </xf>
    <xf numFmtId="167" fontId="33" fillId="0" borderId="0" xfId="1" applyNumberFormat="1" applyFont="1" applyFill="1"/>
    <xf numFmtId="167" fontId="33" fillId="0" borderId="0" xfId="1" applyNumberFormat="1" applyFont="1" applyFill="1" applyBorder="1"/>
    <xf numFmtId="167" fontId="33" fillId="0" borderId="0" xfId="29" applyNumberFormat="1" applyFont="1" applyFill="1" applyBorder="1" applyAlignment="1">
      <alignment vertical="top"/>
    </xf>
    <xf numFmtId="167" fontId="33" fillId="0" borderId="0" xfId="29" applyNumberFormat="1" applyFont="1" applyFill="1" applyAlignment="1">
      <alignment vertical="top"/>
    </xf>
    <xf numFmtId="167" fontId="46" fillId="0" borderId="0" xfId="8" applyNumberFormat="1" applyFont="1" applyBorder="1" applyAlignment="1">
      <alignment horizontal="right"/>
    </xf>
    <xf numFmtId="167" fontId="46" fillId="0" borderId="0" xfId="29" applyNumberFormat="1" applyFont="1" applyFill="1" applyBorder="1" applyAlignment="1">
      <alignment horizontal="right"/>
    </xf>
    <xf numFmtId="167" fontId="46" fillId="0" borderId="0" xfId="1" applyNumberFormat="1" applyFont="1" applyFill="1" applyBorder="1"/>
    <xf numFmtId="167" fontId="45" fillId="0" borderId="0" xfId="29" applyNumberFormat="1" applyFont="1" applyFill="1" applyBorder="1"/>
    <xf numFmtId="167" fontId="45" fillId="0" borderId="0" xfId="29" applyNumberFormat="1" applyFont="1" applyFill="1"/>
    <xf numFmtId="167" fontId="45" fillId="0" borderId="0" xfId="29" applyNumberFormat="1" applyFont="1" applyFill="1" applyBorder="1" applyAlignment="1">
      <alignment vertical="center"/>
    </xf>
    <xf numFmtId="167" fontId="45" fillId="0" borderId="0" xfId="29" applyNumberFormat="1" applyFont="1" applyFill="1" applyAlignment="1">
      <alignment vertical="center"/>
    </xf>
    <xf numFmtId="167" fontId="45" fillId="0" borderId="0" xfId="29" applyNumberFormat="1" applyFont="1" applyFill="1" applyBorder="1" applyAlignment="1"/>
    <xf numFmtId="167" fontId="45" fillId="0" borderId="0" xfId="29" applyNumberFormat="1" applyFont="1" applyFill="1" applyAlignment="1"/>
    <xf numFmtId="167" fontId="54" fillId="0" borderId="0" xfId="29" applyNumberFormat="1" applyFont="1" applyFill="1" applyBorder="1" applyAlignment="1">
      <alignment vertical="center"/>
    </xf>
    <xf numFmtId="167" fontId="54" fillId="0" borderId="0" xfId="29" applyNumberFormat="1" applyFont="1" applyFill="1" applyAlignment="1">
      <alignment vertical="center"/>
    </xf>
    <xf numFmtId="167" fontId="9" fillId="0" borderId="0" xfId="29" applyNumberFormat="1" applyFont="1" applyFill="1" applyBorder="1"/>
    <xf numFmtId="167" fontId="9" fillId="0" borderId="0" xfId="29" applyNumberFormat="1" applyFont="1" applyFill="1"/>
    <xf numFmtId="167" fontId="43" fillId="0" borderId="0" xfId="29" applyNumberFormat="1" applyFont="1" applyFill="1"/>
    <xf numFmtId="167" fontId="33" fillId="0" borderId="0" xfId="29" applyNumberFormat="1" applyFont="1" applyAlignment="1">
      <alignment horizontal="center" vertical="center"/>
    </xf>
    <xf numFmtId="167" fontId="33" fillId="0" borderId="0" xfId="29" applyNumberFormat="1" applyFont="1"/>
    <xf numFmtId="167" fontId="33" fillId="0" borderId="0" xfId="29" applyNumberFormat="1" applyFont="1" applyAlignment="1">
      <alignment vertical="center"/>
    </xf>
    <xf numFmtId="167" fontId="33" fillId="0" borderId="0" xfId="8" applyNumberFormat="1" applyFont="1" applyAlignment="1">
      <alignment vertical="center"/>
    </xf>
    <xf numFmtId="167" fontId="90" fillId="0" borderId="0" xfId="1" applyNumberFormat="1" applyFont="1" applyFill="1" applyBorder="1" applyAlignment="1">
      <alignment vertical="center"/>
    </xf>
    <xf numFmtId="167" fontId="33" fillId="0" borderId="0" xfId="5" applyNumberFormat="1" applyFont="1" applyFill="1"/>
    <xf numFmtId="167" fontId="33" fillId="0" borderId="0" xfId="5" applyNumberFormat="1" applyFont="1" applyFill="1" applyAlignment="1">
      <alignment vertical="top"/>
    </xf>
    <xf numFmtId="167" fontId="33" fillId="0" borderId="0" xfId="29" applyNumberFormat="1" applyFont="1" applyAlignment="1">
      <alignment vertical="top"/>
    </xf>
    <xf numFmtId="167" fontId="46" fillId="0" borderId="0" xfId="29" applyNumberFormat="1" applyFont="1" applyFill="1" applyBorder="1" applyAlignment="1">
      <alignment horizontal="right" vertical="center"/>
    </xf>
    <xf numFmtId="167" fontId="46" fillId="0" borderId="0" xfId="8" applyNumberFormat="1" applyFont="1" applyBorder="1" applyAlignment="1">
      <alignment horizontal="right" vertical="center"/>
    </xf>
    <xf numFmtId="167" fontId="36" fillId="0" borderId="9" xfId="29" applyNumberFormat="1" applyFont="1" applyFill="1" applyBorder="1"/>
    <xf numFmtId="167" fontId="32" fillId="0" borderId="2" xfId="29" applyNumberFormat="1" applyFont="1" applyFill="1" applyBorder="1"/>
    <xf numFmtId="167" fontId="36" fillId="0" borderId="2" xfId="29" applyNumberFormat="1" applyFont="1" applyFill="1" applyBorder="1"/>
    <xf numFmtId="167" fontId="36" fillId="0" borderId="60" xfId="29" applyNumberFormat="1" applyFont="1" applyFill="1" applyBorder="1"/>
    <xf numFmtId="167" fontId="32" fillId="0" borderId="45" xfId="29" applyNumberFormat="1" applyFont="1" applyFill="1" applyBorder="1"/>
    <xf numFmtId="167" fontId="36" fillId="0" borderId="57" xfId="29" applyNumberFormat="1" applyFont="1" applyFill="1" applyBorder="1"/>
    <xf numFmtId="167" fontId="32" fillId="0" borderId="46" xfId="29" applyNumberFormat="1" applyFont="1" applyFill="1" applyBorder="1"/>
    <xf numFmtId="167" fontId="37" fillId="0" borderId="46" xfId="29" applyNumberFormat="1" applyFont="1" applyFill="1" applyBorder="1"/>
    <xf numFmtId="167" fontId="36" fillId="0" borderId="58" xfId="29" applyNumberFormat="1" applyFont="1" applyFill="1" applyBorder="1"/>
    <xf numFmtId="167" fontId="32" fillId="0" borderId="48" xfId="29" applyNumberFormat="1" applyFont="1" applyFill="1" applyBorder="1"/>
    <xf numFmtId="167" fontId="36" fillId="0" borderId="48" xfId="29" applyNumberFormat="1" applyFont="1" applyFill="1" applyBorder="1"/>
    <xf numFmtId="167" fontId="32" fillId="0" borderId="56" xfId="29" applyNumberFormat="1" applyFont="1" applyFill="1" applyBorder="1"/>
    <xf numFmtId="167" fontId="32" fillId="0" borderId="12" xfId="29" applyNumberFormat="1" applyFont="1" applyFill="1" applyBorder="1"/>
    <xf numFmtId="167" fontId="36" fillId="0" borderId="7" xfId="29" applyNumberFormat="1" applyFont="1" applyFill="1" applyBorder="1"/>
    <xf numFmtId="167" fontId="32" fillId="0" borderId="0" xfId="29" applyNumberFormat="1" applyFont="1" applyFill="1"/>
    <xf numFmtId="167" fontId="36" fillId="0" borderId="0" xfId="29" applyNumberFormat="1" applyFont="1" applyFill="1"/>
    <xf numFmtId="167" fontId="36" fillId="0" borderId="59" xfId="29" applyNumberFormat="1" applyFont="1" applyFill="1" applyBorder="1"/>
    <xf numFmtId="167" fontId="32" fillId="0" borderId="47" xfId="29" applyNumberFormat="1" applyFont="1" applyFill="1" applyBorder="1"/>
    <xf numFmtId="167" fontId="36" fillId="0" borderId="47" xfId="29" applyNumberFormat="1" applyFont="1" applyFill="1" applyBorder="1"/>
    <xf numFmtId="167" fontId="36" fillId="0" borderId="56" xfId="29" applyNumberFormat="1" applyFont="1" applyFill="1" applyBorder="1"/>
    <xf numFmtId="167" fontId="36" fillId="0" borderId="12" xfId="29" applyNumberFormat="1" applyFont="1" applyFill="1" applyBorder="1"/>
    <xf numFmtId="167" fontId="32" fillId="0" borderId="0" xfId="29" applyNumberFormat="1" applyFont="1" applyFill="1" applyBorder="1"/>
    <xf numFmtId="167" fontId="36" fillId="0" borderId="0" xfId="29" applyNumberFormat="1" applyFont="1" applyFill="1" applyBorder="1"/>
    <xf numFmtId="167" fontId="36" fillId="0" borderId="5" xfId="29" applyNumberFormat="1" applyFont="1" applyFill="1" applyBorder="1"/>
    <xf numFmtId="167" fontId="32" fillId="0" borderId="1" xfId="29" applyNumberFormat="1" applyFont="1" applyFill="1" applyBorder="1"/>
    <xf numFmtId="167" fontId="36" fillId="0" borderId="1" xfId="29" applyNumberFormat="1" applyFont="1" applyFill="1" applyBorder="1"/>
    <xf numFmtId="167" fontId="36" fillId="0" borderId="57" xfId="29" applyNumberFormat="1" applyFont="1" applyFill="1" applyBorder="1" applyAlignment="1">
      <alignment vertical="top"/>
    </xf>
    <xf numFmtId="167" fontId="32" fillId="0" borderId="46" xfId="29" applyNumberFormat="1" applyFont="1" applyFill="1" applyBorder="1" applyAlignment="1">
      <alignment vertical="top"/>
    </xf>
    <xf numFmtId="167" fontId="36" fillId="0" borderId="46" xfId="29" applyNumberFormat="1" applyFont="1" applyFill="1" applyBorder="1" applyAlignment="1">
      <alignment vertical="top"/>
    </xf>
    <xf numFmtId="167" fontId="37" fillId="0" borderId="57" xfId="29" applyNumberFormat="1" applyFont="1" applyFill="1" applyBorder="1" applyAlignment="1">
      <alignment vertical="top"/>
    </xf>
    <xf numFmtId="167" fontId="118" fillId="0" borderId="46" xfId="29" applyNumberFormat="1" applyFont="1" applyFill="1" applyBorder="1" applyAlignment="1">
      <alignment vertical="top"/>
    </xf>
    <xf numFmtId="167" fontId="37" fillId="0" borderId="46" xfId="29" applyNumberFormat="1" applyFont="1" applyFill="1" applyBorder="1" applyAlignment="1">
      <alignment vertical="top"/>
    </xf>
    <xf numFmtId="167" fontId="37" fillId="0" borderId="46" xfId="29" applyNumberFormat="1" applyFont="1" applyFill="1" applyBorder="1" applyAlignment="1">
      <alignment vertical="top" wrapText="1"/>
    </xf>
    <xf numFmtId="167" fontId="32" fillId="0" borderId="60" xfId="29" applyNumberFormat="1" applyFont="1" applyFill="1" applyBorder="1" applyAlignment="1">
      <alignment vertical="center"/>
    </xf>
    <xf numFmtId="167" fontId="32" fillId="0" borderId="45" xfId="29" applyNumberFormat="1" applyFont="1" applyFill="1" applyBorder="1" applyAlignment="1">
      <alignment vertical="center"/>
    </xf>
    <xf numFmtId="167" fontId="32" fillId="0" borderId="57" xfId="29" applyNumberFormat="1" applyFont="1" applyFill="1" applyBorder="1" applyAlignment="1">
      <alignment vertical="center"/>
    </xf>
    <xf numFmtId="167" fontId="32" fillId="0" borderId="46" xfId="29" applyNumberFormat="1" applyFont="1" applyFill="1" applyBorder="1" applyAlignment="1">
      <alignment vertical="center"/>
    </xf>
    <xf numFmtId="167" fontId="32" fillId="0" borderId="58" xfId="29" applyNumberFormat="1" applyFont="1" applyFill="1" applyBorder="1" applyAlignment="1">
      <alignment vertical="center"/>
    </xf>
    <xf numFmtId="167" fontId="32" fillId="0" borderId="48" xfId="29" applyNumberFormat="1" applyFont="1" applyFill="1" applyBorder="1" applyAlignment="1">
      <alignment vertical="center"/>
    </xf>
    <xf numFmtId="167" fontId="34" fillId="0" borderId="0" xfId="29" applyNumberFormat="1" applyFont="1"/>
    <xf numFmtId="167" fontId="35" fillId="0" borderId="0" xfId="29" applyNumberFormat="1" applyFont="1"/>
    <xf numFmtId="167" fontId="41" fillId="0" borderId="0" xfId="29" applyNumberFormat="1" applyFont="1"/>
    <xf numFmtId="167" fontId="121" fillId="0" borderId="0" xfId="29" applyNumberFormat="1" applyFont="1"/>
    <xf numFmtId="167" fontId="32" fillId="0" borderId="9" xfId="29" applyNumberFormat="1" applyFont="1" applyFill="1" applyBorder="1"/>
    <xf numFmtId="167" fontId="32" fillId="0" borderId="60" xfId="29" applyNumberFormat="1" applyFont="1" applyFill="1" applyBorder="1"/>
    <xf numFmtId="167" fontId="37" fillId="0" borderId="45" xfId="29" applyNumberFormat="1" applyFont="1" applyFill="1" applyBorder="1"/>
    <xf numFmtId="167" fontId="32" fillId="0" borderId="57" xfId="29" applyNumberFormat="1" applyFont="1" applyFill="1" applyBorder="1"/>
    <xf numFmtId="167" fontId="121" fillId="0" borderId="57" xfId="29" applyNumberFormat="1" applyFont="1" applyBorder="1"/>
    <xf numFmtId="167" fontId="121" fillId="0" borderId="46" xfId="29" applyNumberFormat="1" applyFont="1" applyBorder="1"/>
    <xf numFmtId="167" fontId="41" fillId="0" borderId="46" xfId="29" applyNumberFormat="1" applyFont="1" applyBorder="1"/>
    <xf numFmtId="167" fontId="121" fillId="0" borderId="58" xfId="29" applyNumberFormat="1" applyFont="1" applyBorder="1"/>
    <xf numFmtId="167" fontId="121" fillId="0" borderId="48" xfId="29" applyNumberFormat="1" applyFont="1" applyBorder="1"/>
    <xf numFmtId="167" fontId="41" fillId="0" borderId="48" xfId="29" applyNumberFormat="1" applyFont="1" applyBorder="1"/>
    <xf numFmtId="167" fontId="37" fillId="0" borderId="48" xfId="29" applyNumberFormat="1" applyFont="1" applyFill="1" applyBorder="1"/>
    <xf numFmtId="167" fontId="32" fillId="0" borderId="70" xfId="29" applyNumberFormat="1" applyFont="1" applyFill="1" applyBorder="1"/>
    <xf numFmtId="167" fontId="32" fillId="0" borderId="71" xfId="29" applyNumberFormat="1" applyFont="1" applyFill="1" applyBorder="1"/>
    <xf numFmtId="167" fontId="36" fillId="0" borderId="71" xfId="29" applyNumberFormat="1" applyFont="1" applyFill="1" applyBorder="1"/>
    <xf numFmtId="167" fontId="32" fillId="0" borderId="58" xfId="29" applyNumberFormat="1" applyFont="1" applyFill="1" applyBorder="1"/>
    <xf numFmtId="167" fontId="32" fillId="0" borderId="7" xfId="29" applyNumberFormat="1" applyFont="1" applyFill="1" applyBorder="1"/>
    <xf numFmtId="167" fontId="32" fillId="5" borderId="39" xfId="29" applyNumberFormat="1" applyFont="1" applyFill="1" applyBorder="1" applyAlignment="1">
      <alignment vertical="center"/>
    </xf>
    <xf numFmtId="167" fontId="32" fillId="5" borderId="11" xfId="29" applyNumberFormat="1" applyFont="1" applyFill="1" applyBorder="1" applyAlignment="1">
      <alignment vertical="center"/>
    </xf>
    <xf numFmtId="167" fontId="32" fillId="0" borderId="5" xfId="29" applyNumberFormat="1" applyFont="1" applyFill="1" applyBorder="1"/>
    <xf numFmtId="167" fontId="118" fillId="18" borderId="57" xfId="29" applyNumberFormat="1" applyFont="1" applyFill="1" applyBorder="1"/>
    <xf numFmtId="167" fontId="32" fillId="0" borderId="57" xfId="29" applyNumberFormat="1" applyFont="1" applyFill="1" applyBorder="1" applyAlignment="1">
      <alignment vertical="top"/>
    </xf>
    <xf numFmtId="167" fontId="36" fillId="5" borderId="11" xfId="29" applyNumberFormat="1" applyFont="1" applyFill="1" applyBorder="1" applyAlignment="1">
      <alignment vertical="center"/>
    </xf>
    <xf numFmtId="167" fontId="32" fillId="0" borderId="7" xfId="29" applyNumberFormat="1" applyFont="1" applyFill="1" applyBorder="1" applyAlignment="1">
      <alignment vertical="center"/>
    </xf>
    <xf numFmtId="167" fontId="32" fillId="0" borderId="0" xfId="29" applyNumberFormat="1" applyFont="1" applyFill="1" applyBorder="1" applyAlignment="1">
      <alignment vertical="center"/>
    </xf>
    <xf numFmtId="167" fontId="36" fillId="0" borderId="0" xfId="29" applyNumberFormat="1" applyFont="1" applyFill="1" applyAlignment="1">
      <alignment vertical="center"/>
    </xf>
    <xf numFmtId="167" fontId="36" fillId="0" borderId="2" xfId="29" applyNumberFormat="1" applyFont="1" applyFill="1" applyBorder="1" applyAlignment="1">
      <alignment vertical="center"/>
    </xf>
    <xf numFmtId="167" fontId="47" fillId="5" borderId="5" xfId="29" applyNumberFormat="1" applyFont="1" applyFill="1" applyBorder="1" applyAlignment="1"/>
    <xf numFmtId="167" fontId="47" fillId="5" borderId="1" xfId="29" applyNumberFormat="1" applyFont="1" applyFill="1" applyBorder="1" applyAlignment="1"/>
    <xf numFmtId="167" fontId="38" fillId="5" borderId="1" xfId="29" applyNumberFormat="1" applyFont="1" applyFill="1" applyBorder="1" applyAlignment="1"/>
    <xf numFmtId="167" fontId="32" fillId="5" borderId="65" xfId="29" applyNumberFormat="1" applyFont="1" applyFill="1" applyBorder="1"/>
    <xf numFmtId="167" fontId="32" fillId="5" borderId="13" xfId="29" applyNumberFormat="1" applyFont="1" applyFill="1" applyBorder="1"/>
    <xf numFmtId="167" fontId="36" fillId="5" borderId="13" xfId="29" applyNumberFormat="1" applyFont="1" applyFill="1" applyBorder="1"/>
    <xf numFmtId="167" fontId="68" fillId="5" borderId="39" xfId="29" applyNumberFormat="1" applyFont="1" applyFill="1" applyBorder="1" applyAlignment="1">
      <alignment vertical="center"/>
    </xf>
    <xf numFmtId="167" fontId="68" fillId="5" borderId="11" xfId="29" applyNumberFormat="1" applyFont="1" applyFill="1" applyBorder="1"/>
    <xf numFmtId="167" fontId="51" fillId="5" borderId="11" xfId="29" applyNumberFormat="1" applyFont="1" applyFill="1" applyBorder="1"/>
    <xf numFmtId="167" fontId="52" fillId="0" borderId="60" xfId="29" applyNumberFormat="1" applyFont="1" applyFill="1" applyBorder="1"/>
    <xf numFmtId="167" fontId="52" fillId="0" borderId="45" xfId="29" applyNumberFormat="1" applyFont="1" applyFill="1" applyBorder="1"/>
    <xf numFmtId="167" fontId="48" fillId="0" borderId="45" xfId="29" applyNumberFormat="1" applyFont="1" applyFill="1" applyBorder="1"/>
    <xf numFmtId="167" fontId="48" fillId="0" borderId="69" xfId="29" applyNumberFormat="1" applyFont="1" applyFill="1" applyBorder="1"/>
    <xf numFmtId="167" fontId="48" fillId="0" borderId="68" xfId="29" applyNumberFormat="1" applyFont="1" applyFill="1" applyBorder="1"/>
    <xf numFmtId="167" fontId="52" fillId="0" borderId="58" xfId="29" applyNumberFormat="1" applyFont="1" applyFill="1" applyBorder="1"/>
    <xf numFmtId="167" fontId="52" fillId="0" borderId="48" xfId="29" applyNumberFormat="1" applyFont="1" applyFill="1" applyBorder="1"/>
    <xf numFmtId="167" fontId="48" fillId="0" borderId="73" xfId="29" applyNumberFormat="1" applyFont="1" applyFill="1" applyBorder="1"/>
    <xf numFmtId="167" fontId="52" fillId="0" borderId="9" xfId="16" applyNumberFormat="1" applyFont="1" applyFill="1" applyBorder="1" applyAlignment="1">
      <alignment horizontal="left"/>
    </xf>
    <xf numFmtId="167" fontId="52" fillId="0" borderId="2" xfId="16" applyNumberFormat="1" applyFont="1" applyFill="1" applyBorder="1" applyAlignment="1">
      <alignment horizontal="left"/>
    </xf>
    <xf numFmtId="167" fontId="45" fillId="0" borderId="10" xfId="29" applyNumberFormat="1" applyFont="1" applyFill="1" applyBorder="1"/>
    <xf numFmtId="167" fontId="57" fillId="0" borderId="7" xfId="29" applyNumberFormat="1" applyFont="1" applyFill="1" applyBorder="1"/>
    <xf numFmtId="167" fontId="57" fillId="0" borderId="0" xfId="29" applyNumberFormat="1" applyFont="1" applyFill="1" applyBorder="1"/>
    <xf numFmtId="167" fontId="57" fillId="0" borderId="8" xfId="29" applyNumberFormat="1" applyFont="1" applyFill="1" applyBorder="1"/>
    <xf numFmtId="167" fontId="36" fillId="0" borderId="10" xfId="29" applyNumberFormat="1" applyFont="1" applyFill="1" applyBorder="1"/>
    <xf numFmtId="167" fontId="47" fillId="5" borderId="1" xfId="29" applyNumberFormat="1" applyFont="1" applyFill="1" applyBorder="1" applyAlignment="1">
      <alignment vertical="center"/>
    </xf>
    <xf numFmtId="167" fontId="47" fillId="5" borderId="65" xfId="29" applyNumberFormat="1" applyFont="1" applyFill="1" applyBorder="1" applyAlignment="1">
      <alignment vertical="center"/>
    </xf>
    <xf numFmtId="167" fontId="47" fillId="5" borderId="13" xfId="29" applyNumberFormat="1" applyFont="1" applyFill="1" applyBorder="1" applyAlignment="1">
      <alignment vertical="center"/>
    </xf>
    <xf numFmtId="167" fontId="121" fillId="0" borderId="0" xfId="29" applyNumberFormat="1" applyFont="1" applyFill="1"/>
    <xf numFmtId="167" fontId="47" fillId="0" borderId="0" xfId="29" applyNumberFormat="1" applyFont="1" applyFill="1" applyBorder="1" applyAlignment="1">
      <alignment vertical="center"/>
    </xf>
    <xf numFmtId="167" fontId="125" fillId="0" borderId="0" xfId="8" applyNumberFormat="1" applyFont="1" applyBorder="1"/>
    <xf numFmtId="167" fontId="63" fillId="0" borderId="0" xfId="8" applyNumberFormat="1" applyFont="1" applyBorder="1" applyAlignment="1">
      <alignment horizontal="right"/>
    </xf>
    <xf numFmtId="167" fontId="129" fillId="0" borderId="0" xfId="8" applyNumberFormat="1" applyFont="1" applyBorder="1" applyAlignment="1">
      <alignment horizontal="right"/>
    </xf>
    <xf numFmtId="167" fontId="41" fillId="0" borderId="0" xfId="29" applyNumberFormat="1" applyFont="1" applyBorder="1"/>
    <xf numFmtId="167" fontId="63" fillId="0" borderId="0" xfId="8" applyNumberFormat="1" applyFont="1" applyBorder="1" applyAlignment="1">
      <alignment horizontal="center"/>
    </xf>
    <xf numFmtId="167" fontId="130" fillId="0" borderId="0" xfId="8" applyNumberFormat="1" applyFont="1" applyFill="1" applyBorder="1" applyAlignment="1">
      <alignment horizontal="right"/>
    </xf>
    <xf numFmtId="167" fontId="130" fillId="0" borderId="0" xfId="8" applyNumberFormat="1" applyFont="1" applyFill="1" applyBorder="1" applyAlignment="1">
      <alignment horizontal="left"/>
    </xf>
    <xf numFmtId="167" fontId="36" fillId="0" borderId="66" xfId="29" applyNumberFormat="1" applyFont="1" applyFill="1" applyBorder="1"/>
    <xf numFmtId="167" fontId="36" fillId="0" borderId="67" xfId="29" applyNumberFormat="1" applyFont="1" applyFill="1" applyBorder="1"/>
    <xf numFmtId="167" fontId="37" fillId="0" borderId="57" xfId="29" applyNumberFormat="1" applyFont="1" applyFill="1" applyBorder="1"/>
    <xf numFmtId="167" fontId="37" fillId="0" borderId="59" xfId="29" applyNumberFormat="1" applyFont="1" applyFill="1" applyBorder="1"/>
    <xf numFmtId="167" fontId="37" fillId="0" borderId="47" xfId="29" applyNumberFormat="1" applyFont="1" applyFill="1" applyBorder="1"/>
    <xf numFmtId="167" fontId="32" fillId="0" borderId="13" xfId="29" applyNumberFormat="1" applyFont="1" applyFill="1" applyBorder="1"/>
    <xf numFmtId="167" fontId="36" fillId="0" borderId="13" xfId="29" applyNumberFormat="1" applyFont="1" applyFill="1" applyBorder="1"/>
    <xf numFmtId="167" fontId="36" fillId="14" borderId="39" xfId="29" applyNumberFormat="1" applyFont="1" applyFill="1" applyBorder="1" applyAlignment="1">
      <alignment vertical="center"/>
    </xf>
    <xf numFmtId="167" fontId="32" fillId="14" borderId="11" xfId="29" applyNumberFormat="1" applyFont="1" applyFill="1" applyBorder="1" applyAlignment="1">
      <alignment vertical="center"/>
    </xf>
    <xf numFmtId="167" fontId="36" fillId="14" borderId="11" xfId="29" applyNumberFormat="1" applyFont="1" applyFill="1" applyBorder="1" applyAlignment="1">
      <alignment vertical="center"/>
    </xf>
    <xf numFmtId="167" fontId="36" fillId="18" borderId="57" xfId="29" applyNumberFormat="1" applyFont="1" applyFill="1" applyBorder="1"/>
    <xf numFmtId="167" fontId="36" fillId="18" borderId="46" xfId="29" applyNumberFormat="1" applyFont="1" applyFill="1" applyBorder="1"/>
    <xf numFmtId="167" fontId="36" fillId="0" borderId="75" xfId="29" applyNumberFormat="1" applyFont="1" applyFill="1" applyBorder="1"/>
    <xf numFmtId="167" fontId="32" fillId="14" borderId="39" xfId="29" applyNumberFormat="1" applyFont="1" applyFill="1" applyBorder="1" applyAlignment="1">
      <alignment vertical="center"/>
    </xf>
    <xf numFmtId="167" fontId="68" fillId="14" borderId="5" xfId="29" applyNumberFormat="1" applyFont="1" applyFill="1" applyBorder="1" applyAlignment="1"/>
    <xf numFmtId="167" fontId="68" fillId="14" borderId="1" xfId="29" applyNumberFormat="1" applyFont="1" applyFill="1" applyBorder="1" applyAlignment="1"/>
    <xf numFmtId="167" fontId="36" fillId="14" borderId="65" xfId="29" applyNumberFormat="1" applyFont="1" applyFill="1" applyBorder="1"/>
    <xf numFmtId="167" fontId="68" fillId="14" borderId="13" xfId="29" applyNumberFormat="1" applyFont="1" applyFill="1" applyBorder="1" applyAlignment="1">
      <alignment vertical="center"/>
    </xf>
    <xf numFmtId="167" fontId="50" fillId="14" borderId="39" xfId="29" applyNumberFormat="1" applyFont="1" applyFill="1" applyBorder="1" applyAlignment="1">
      <alignment vertical="center"/>
    </xf>
    <xf numFmtId="167" fontId="9" fillId="14" borderId="11" xfId="29" applyNumberFormat="1" applyFont="1" applyFill="1" applyBorder="1"/>
    <xf numFmtId="167" fontId="51" fillId="14" borderId="11" xfId="29" applyNumberFormat="1" applyFont="1" applyFill="1" applyBorder="1"/>
    <xf numFmtId="167" fontId="52" fillId="0" borderId="66" xfId="29" applyNumberFormat="1" applyFont="1" applyFill="1" applyBorder="1"/>
    <xf numFmtId="167" fontId="52" fillId="0" borderId="67" xfId="29" applyNumberFormat="1" applyFont="1" applyFill="1" applyBorder="1"/>
    <xf numFmtId="167" fontId="48" fillId="0" borderId="67" xfId="29" applyNumberFormat="1" applyFont="1" applyFill="1" applyBorder="1"/>
    <xf numFmtId="167" fontId="48" fillId="0" borderId="58" xfId="29" applyNumberFormat="1" applyFont="1" applyFill="1" applyBorder="1"/>
    <xf numFmtId="167" fontId="48" fillId="0" borderId="48" xfId="29" applyNumberFormat="1" applyFont="1" applyFill="1" applyBorder="1"/>
    <xf numFmtId="167" fontId="48" fillId="0" borderId="9" xfId="29" applyNumberFormat="1" applyFont="1" applyFill="1" applyBorder="1"/>
    <xf numFmtId="167" fontId="48" fillId="0" borderId="2" xfId="29" applyNumberFormat="1" applyFont="1" applyFill="1" applyBorder="1"/>
    <xf numFmtId="167" fontId="45" fillId="0" borderId="2" xfId="29" applyNumberFormat="1" applyFont="1" applyFill="1" applyBorder="1"/>
    <xf numFmtId="167" fontId="48" fillId="0" borderId="0" xfId="29" applyNumberFormat="1" applyFont="1" applyFill="1" applyBorder="1"/>
    <xf numFmtId="167" fontId="9" fillId="14" borderId="1" xfId="29" applyNumberFormat="1" applyFont="1" applyFill="1" applyBorder="1" applyAlignment="1"/>
    <xf numFmtId="167" fontId="64" fillId="0" borderId="0" xfId="29" applyNumberFormat="1" applyFont="1" applyFill="1"/>
    <xf numFmtId="167" fontId="62" fillId="0" borderId="0" xfId="29" applyNumberFormat="1" applyFont="1" applyFill="1"/>
    <xf numFmtId="167" fontId="71" fillId="0" borderId="0" xfId="29" applyNumberFormat="1" applyFont="1" applyFill="1"/>
    <xf numFmtId="167" fontId="72" fillId="0" borderId="0" xfId="29" applyNumberFormat="1" applyFont="1" applyFill="1"/>
    <xf numFmtId="167" fontId="36" fillId="0" borderId="0" xfId="29" applyNumberFormat="1" applyFont="1" applyFill="1" applyAlignment="1">
      <alignment horizontal="right"/>
    </xf>
    <xf numFmtId="167" fontId="36" fillId="0" borderId="0" xfId="29" applyNumberFormat="1" applyFont="1" applyFill="1" applyAlignment="1"/>
    <xf numFmtId="167" fontId="67" fillId="0" borderId="0" xfId="29" applyNumberFormat="1" applyFont="1" applyFill="1" applyAlignment="1"/>
    <xf numFmtId="167" fontId="76" fillId="0" borderId="0" xfId="29" applyNumberFormat="1" applyFont="1" applyFill="1" applyAlignment="1"/>
    <xf numFmtId="167" fontId="36" fillId="0" borderId="0" xfId="29" applyNumberFormat="1" applyFont="1" applyFill="1" applyAlignment="1">
      <alignment vertical="top"/>
    </xf>
    <xf numFmtId="167" fontId="76" fillId="0" borderId="0" xfId="29" applyNumberFormat="1" applyFont="1" applyFill="1" applyAlignment="1">
      <alignment vertical="top"/>
    </xf>
    <xf numFmtId="167" fontId="32" fillId="0" borderId="0" xfId="29" applyNumberFormat="1" applyFont="1" applyFill="1" applyAlignment="1"/>
    <xf numFmtId="167" fontId="32" fillId="0" borderId="0" xfId="16" applyNumberFormat="1" applyFont="1" applyFill="1" applyAlignment="1">
      <alignment horizontal="center"/>
    </xf>
    <xf numFmtId="167" fontId="32" fillId="0" borderId="0" xfId="16" applyNumberFormat="1" applyFont="1" applyFill="1" applyBorder="1" applyAlignment="1">
      <alignment horizontal="center"/>
    </xf>
    <xf numFmtId="167" fontId="36" fillId="0" borderId="0" xfId="8" applyNumberFormat="1" applyFont="1" applyFill="1" applyAlignment="1">
      <alignment horizontal="center"/>
    </xf>
    <xf numFmtId="167" fontId="34" fillId="0" borderId="0" xfId="29" applyNumberFormat="1" applyFont="1" applyFill="1"/>
    <xf numFmtId="167" fontId="34" fillId="0" borderId="0" xfId="29" applyNumberFormat="1" applyFont="1" applyFill="1" applyAlignment="1">
      <alignment horizontal="right"/>
    </xf>
    <xf numFmtId="167" fontId="0" fillId="0" borderId="0" xfId="0" applyBorder="1"/>
    <xf numFmtId="167" fontId="3" fillId="0" borderId="0" xfId="0" applyFont="1" applyBorder="1" applyAlignment="1">
      <alignment horizontal="right"/>
    </xf>
    <xf numFmtId="167" fontId="0" fillId="0" borderId="0" xfId="0" applyBorder="1" applyAlignment="1">
      <alignment horizontal="right"/>
    </xf>
    <xf numFmtId="168" fontId="0" fillId="0" borderId="0" xfId="1" applyNumberFormat="1" applyFont="1" applyBorder="1"/>
    <xf numFmtId="168" fontId="2" fillId="0" borderId="0" xfId="1" applyNumberFormat="1" applyFont="1" applyBorder="1"/>
    <xf numFmtId="168" fontId="36" fillId="13" borderId="60" xfId="1" applyNumberFormat="1" applyFont="1" applyFill="1" applyBorder="1"/>
    <xf numFmtId="168" fontId="36" fillId="13" borderId="69" xfId="1" applyNumberFormat="1" applyFont="1" applyFill="1" applyBorder="1"/>
    <xf numFmtId="167" fontId="32" fillId="0" borderId="97" xfId="29" applyNumberFormat="1" applyFont="1" applyFill="1" applyBorder="1"/>
    <xf numFmtId="167" fontId="32" fillId="0" borderId="96" xfId="29" applyNumberFormat="1" applyFont="1" applyFill="1" applyBorder="1"/>
    <xf numFmtId="167" fontId="36" fillId="0" borderId="96" xfId="29" applyNumberFormat="1" applyFont="1" applyFill="1" applyBorder="1"/>
    <xf numFmtId="168" fontId="36" fillId="0" borderId="96" xfId="8" applyNumberFormat="1" applyFont="1" applyFill="1" applyBorder="1"/>
    <xf numFmtId="167" fontId="36" fillId="0" borderId="70" xfId="29" applyNumberFormat="1" applyFont="1" applyFill="1" applyBorder="1"/>
    <xf numFmtId="167" fontId="36" fillId="0" borderId="97" xfId="29" applyNumberFormat="1" applyFont="1" applyFill="1" applyBorder="1"/>
    <xf numFmtId="167" fontId="36" fillId="18" borderId="97" xfId="29" applyNumberFormat="1" applyFont="1" applyFill="1" applyBorder="1"/>
    <xf numFmtId="167" fontId="32" fillId="18" borderId="96" xfId="29" applyNumberFormat="1" applyFont="1" applyFill="1" applyBorder="1"/>
    <xf numFmtId="167" fontId="36" fillId="18" borderId="96" xfId="29" applyNumberFormat="1" applyFont="1" applyFill="1" applyBorder="1"/>
    <xf numFmtId="167" fontId="36" fillId="12" borderId="7" xfId="29" applyNumberFormat="1" applyFont="1" applyFill="1" applyBorder="1" applyAlignment="1">
      <alignment vertical="center"/>
    </xf>
    <xf numFmtId="167" fontId="32" fillId="12" borderId="0" xfId="29" applyNumberFormat="1" applyFont="1" applyFill="1" applyBorder="1" applyAlignment="1">
      <alignment vertical="center"/>
    </xf>
    <xf numFmtId="167" fontId="36" fillId="12" borderId="0" xfId="29" applyNumberFormat="1" applyFont="1" applyFill="1" applyBorder="1" applyAlignment="1">
      <alignment vertical="center"/>
    </xf>
    <xf numFmtId="172" fontId="32" fillId="12" borderId="0" xfId="16" applyNumberFormat="1" applyFont="1" applyFill="1" applyBorder="1" applyAlignment="1">
      <alignment vertical="center"/>
    </xf>
    <xf numFmtId="172" fontId="32" fillId="12" borderId="8" xfId="16" applyNumberFormat="1" applyFont="1" applyFill="1" applyBorder="1" applyAlignment="1">
      <alignment vertical="center"/>
    </xf>
    <xf numFmtId="167" fontId="32" fillId="0" borderId="98" xfId="29" applyNumberFormat="1" applyFont="1" applyFill="1" applyBorder="1" applyAlignment="1">
      <alignment vertical="center"/>
    </xf>
    <xf numFmtId="167" fontId="52" fillId="0" borderId="45" xfId="29" applyNumberFormat="1" applyFont="1" applyFill="1" applyBorder="1" applyAlignment="1">
      <alignment vertical="center"/>
    </xf>
    <xf numFmtId="167" fontId="52" fillId="0" borderId="46" xfId="29" applyNumberFormat="1" applyFont="1" applyFill="1" applyBorder="1" applyAlignment="1">
      <alignment vertical="center"/>
    </xf>
    <xf numFmtId="43" fontId="36" fillId="0" borderId="0" xfId="1" applyFont="1" applyFill="1"/>
    <xf numFmtId="167" fontId="118" fillId="18" borderId="96" xfId="29" applyFont="1" applyFill="1" applyBorder="1"/>
    <xf numFmtId="168" fontId="117" fillId="18" borderId="96" xfId="8" applyNumberFormat="1" applyFont="1" applyFill="1" applyBorder="1"/>
    <xf numFmtId="3" fontId="118" fillId="18" borderId="52" xfId="8" applyNumberFormat="1" applyFont="1" applyFill="1" applyBorder="1" applyAlignment="1">
      <alignment horizontal="right"/>
    </xf>
    <xf numFmtId="167" fontId="32" fillId="12" borderId="1" xfId="29" applyFont="1" applyFill="1" applyBorder="1" applyAlignment="1">
      <alignment horizontal="center" vertical="center" wrapText="1"/>
    </xf>
    <xf numFmtId="167" fontId="32" fillId="5" borderId="1" xfId="29" applyFont="1" applyFill="1" applyBorder="1" applyAlignment="1">
      <alignment horizontal="center" vertical="center" wrapText="1"/>
    </xf>
    <xf numFmtId="167" fontId="34" fillId="0" borderId="7" xfId="29" applyNumberFormat="1" applyFont="1" applyFill="1" applyBorder="1" applyAlignment="1">
      <alignment horizontal="center"/>
    </xf>
    <xf numFmtId="167" fontId="35" fillId="0" borderId="0" xfId="29" applyNumberFormat="1" applyFont="1" applyFill="1" applyBorder="1" applyAlignment="1">
      <alignment horizontal="center"/>
    </xf>
    <xf numFmtId="167" fontId="34" fillId="0" borderId="0" xfId="29" applyNumberFormat="1" applyFont="1" applyFill="1" applyBorder="1" applyAlignment="1">
      <alignment horizontal="center"/>
    </xf>
    <xf numFmtId="167" fontId="35" fillId="0" borderId="51" xfId="29" applyFont="1" applyFill="1" applyBorder="1" applyAlignment="1">
      <alignment horizontal="center"/>
    </xf>
    <xf numFmtId="167" fontId="35" fillId="0" borderId="7" xfId="29" applyNumberFormat="1" applyFont="1" applyFill="1" applyBorder="1"/>
    <xf numFmtId="167" fontId="35" fillId="0" borderId="0" xfId="29" applyNumberFormat="1" applyFont="1" applyFill="1" applyBorder="1"/>
    <xf numFmtId="167" fontId="34" fillId="0" borderId="0" xfId="29" applyNumberFormat="1" applyFont="1" applyFill="1" applyBorder="1"/>
    <xf numFmtId="167" fontId="35" fillId="11" borderId="7" xfId="29" applyFont="1" applyFill="1" applyBorder="1"/>
    <xf numFmtId="167" fontId="35" fillId="0" borderId="42" xfId="29" applyFont="1" applyFill="1" applyBorder="1"/>
    <xf numFmtId="167" fontId="35" fillId="11" borderId="8" xfId="29" applyFont="1" applyFill="1" applyBorder="1"/>
    <xf numFmtId="167" fontId="35" fillId="0" borderId="51" xfId="29" applyFont="1" applyFill="1" applyBorder="1"/>
    <xf numFmtId="167" fontId="32" fillId="12" borderId="2" xfId="29" applyFont="1" applyFill="1" applyBorder="1" applyAlignment="1">
      <alignment horizontal="center" vertical="center" wrapText="1"/>
    </xf>
    <xf numFmtId="167" fontId="32" fillId="5" borderId="2" xfId="29" applyFont="1" applyFill="1" applyBorder="1" applyAlignment="1">
      <alignment horizontal="center" vertical="center" wrapText="1"/>
    </xf>
    <xf numFmtId="167" fontId="121" fillId="5" borderId="62" xfId="29" applyFont="1" applyFill="1" applyBorder="1" applyAlignment="1">
      <alignment horizontal="center" vertical="center" wrapText="1"/>
    </xf>
    <xf numFmtId="167" fontId="32" fillId="14" borderId="5" xfId="29" applyFont="1" applyFill="1" applyBorder="1" applyAlignment="1">
      <alignment horizontal="center" wrapText="1"/>
    </xf>
    <xf numFmtId="167" fontId="32" fillId="5" borderId="5" xfId="29" applyFont="1" applyFill="1" applyBorder="1" applyAlignment="1">
      <alignment horizontal="center" wrapText="1"/>
    </xf>
    <xf numFmtId="167" fontId="32" fillId="5" borderId="114" xfId="29" applyFont="1" applyFill="1" applyBorder="1" applyAlignment="1">
      <alignment horizontal="center" wrapText="1"/>
    </xf>
    <xf numFmtId="167" fontId="32" fillId="5" borderId="6" xfId="29" applyFont="1" applyFill="1" applyBorder="1" applyAlignment="1">
      <alignment horizontal="center" wrapText="1"/>
    </xf>
    <xf numFmtId="167" fontId="32" fillId="5" borderId="63" xfId="29" applyFont="1" applyFill="1" applyBorder="1" applyAlignment="1">
      <alignment horizontal="center" wrapText="1"/>
    </xf>
    <xf numFmtId="167" fontId="32" fillId="14" borderId="1" xfId="29" applyFont="1" applyFill="1" applyBorder="1" applyAlignment="1">
      <alignment horizontal="center" vertical="center" wrapText="1"/>
    </xf>
    <xf numFmtId="167" fontId="32" fillId="14" borderId="114" xfId="29" applyFont="1" applyFill="1" applyBorder="1" applyAlignment="1">
      <alignment horizontal="center" wrapText="1"/>
    </xf>
    <xf numFmtId="167" fontId="32" fillId="14" borderId="6" xfId="29" applyFont="1" applyFill="1" applyBorder="1" applyAlignment="1">
      <alignment horizontal="center" wrapText="1"/>
    </xf>
    <xf numFmtId="167" fontId="32" fillId="14" borderId="63" xfId="29" applyFont="1" applyFill="1" applyBorder="1" applyAlignment="1">
      <alignment horizontal="center" wrapText="1"/>
    </xf>
    <xf numFmtId="167" fontId="32" fillId="14" borderId="2" xfId="29" applyFont="1" applyFill="1" applyBorder="1" applyAlignment="1">
      <alignment horizontal="center" vertical="center" wrapText="1"/>
    </xf>
    <xf numFmtId="167" fontId="121" fillId="14" borderId="62" xfId="29" applyFont="1" applyFill="1" applyBorder="1" applyAlignment="1">
      <alignment horizontal="center" vertical="center" wrapText="1"/>
    </xf>
    <xf numFmtId="172" fontId="83" fillId="0" borderId="2" xfId="32" applyNumberFormat="1" applyFont="1" applyBorder="1" applyAlignment="1">
      <alignment horizontal="center"/>
    </xf>
    <xf numFmtId="172" fontId="87" fillId="10" borderId="0" xfId="32" applyNumberFormat="1" applyFont="1" applyFill="1" applyBorder="1"/>
    <xf numFmtId="172" fontId="82" fillId="0" borderId="0" xfId="32" applyNumberFormat="1" applyFont="1" applyBorder="1"/>
    <xf numFmtId="172" fontId="83" fillId="0" borderId="115" xfId="32" applyNumberFormat="1" applyFont="1" applyBorder="1" applyAlignment="1">
      <alignment horizontal="center"/>
    </xf>
    <xf numFmtId="172" fontId="82" fillId="2" borderId="116" xfId="32" applyNumberFormat="1" applyFont="1" applyFill="1" applyBorder="1"/>
    <xf numFmtId="172" fontId="82" fillId="10" borderId="116" xfId="32" applyNumberFormat="1" applyFont="1" applyFill="1" applyBorder="1"/>
    <xf numFmtId="172" fontId="82" fillId="0" borderId="116" xfId="32" applyNumberFormat="1" applyFont="1" applyFill="1" applyBorder="1"/>
    <xf numFmtId="172" fontId="82" fillId="0" borderId="117" xfId="32" applyNumberFormat="1" applyFont="1" applyBorder="1"/>
    <xf numFmtId="172" fontId="82" fillId="4" borderId="117" xfId="32" applyNumberFormat="1" applyFont="1" applyFill="1" applyBorder="1"/>
    <xf numFmtId="172" fontId="82" fillId="10" borderId="117" xfId="32" applyNumberFormat="1" applyFont="1" applyFill="1" applyBorder="1"/>
    <xf numFmtId="172" fontId="82" fillId="10" borderId="118" xfId="32" applyNumberFormat="1" applyFont="1" applyFill="1" applyBorder="1"/>
    <xf numFmtId="172" fontId="83" fillId="0" borderId="117" xfId="32" applyNumberFormat="1" applyFont="1" applyBorder="1"/>
    <xf numFmtId="168" fontId="82" fillId="0" borderId="117" xfId="33" applyNumberFormat="1" applyFont="1" applyBorder="1"/>
    <xf numFmtId="168" fontId="82" fillId="0" borderId="117" xfId="33" applyNumberFormat="1" applyFont="1" applyBorder="1" applyAlignment="1">
      <alignment vertical="top"/>
    </xf>
    <xf numFmtId="172" fontId="83" fillId="0" borderId="119" xfId="32" applyNumberFormat="1" applyFont="1" applyBorder="1"/>
    <xf numFmtId="43" fontId="141" fillId="0" borderId="0" xfId="1" applyFont="1"/>
    <xf numFmtId="43" fontId="141" fillId="18" borderId="0" xfId="1" applyFont="1" applyFill="1"/>
    <xf numFmtId="43" fontId="141" fillId="0" borderId="0" xfId="1" applyFont="1" applyFill="1"/>
    <xf numFmtId="43" fontId="142" fillId="0" borderId="0" xfId="1" applyFont="1" applyFill="1"/>
    <xf numFmtId="43" fontId="143" fillId="0" borderId="0" xfId="1" applyFont="1" applyFill="1"/>
    <xf numFmtId="43" fontId="141" fillId="0" borderId="0" xfId="1" applyFont="1" applyFill="1" applyAlignment="1"/>
    <xf numFmtId="43" fontId="141" fillId="0" borderId="0" xfId="1" applyFont="1" applyFill="1" applyAlignment="1">
      <alignment vertical="top"/>
    </xf>
    <xf numFmtId="43" fontId="142" fillId="0" borderId="0" xfId="1" applyFont="1" applyFill="1" applyAlignment="1">
      <alignment horizontal="left"/>
    </xf>
    <xf numFmtId="43" fontId="142" fillId="0" borderId="0" xfId="1" applyFont="1" applyFill="1" applyBorder="1" applyAlignment="1">
      <alignment horizontal="left"/>
    </xf>
    <xf numFmtId="43" fontId="141" fillId="0" borderId="0" xfId="1" applyFont="1" applyFill="1" applyBorder="1" applyAlignment="1">
      <alignment vertical="center"/>
    </xf>
    <xf numFmtId="43" fontId="142" fillId="0" borderId="0" xfId="1" applyFont="1" applyFill="1" applyAlignment="1">
      <alignment vertical="top"/>
    </xf>
    <xf numFmtId="43" fontId="132" fillId="0" borderId="0" xfId="1" applyFont="1"/>
    <xf numFmtId="167" fontId="32" fillId="5" borderId="9" xfId="29" applyFont="1" applyFill="1" applyBorder="1" applyAlignment="1">
      <alignment horizontal="center" vertical="center" wrapText="1"/>
    </xf>
    <xf numFmtId="43" fontId="135" fillId="0" borderId="0" xfId="1" applyFont="1" applyFill="1"/>
    <xf numFmtId="167" fontId="153" fillId="17" borderId="5" xfId="42" applyFont="1" applyFill="1" applyBorder="1"/>
    <xf numFmtId="167" fontId="154" fillId="17" borderId="1" xfId="42" applyFont="1" applyFill="1" applyBorder="1"/>
    <xf numFmtId="172" fontId="153" fillId="17" borderId="80" xfId="44" applyNumberFormat="1" applyFont="1" applyFill="1" applyBorder="1" applyAlignment="1">
      <alignment horizontal="center"/>
    </xf>
    <xf numFmtId="172" fontId="153" fillId="17" borderId="89" xfId="44" applyNumberFormat="1" applyFont="1" applyFill="1" applyBorder="1" applyAlignment="1">
      <alignment horizontal="center"/>
    </xf>
    <xf numFmtId="172" fontId="153" fillId="17" borderId="29" xfId="44" applyNumberFormat="1" applyFont="1" applyFill="1" applyBorder="1" applyAlignment="1">
      <alignment horizontal="center"/>
    </xf>
    <xf numFmtId="172" fontId="153" fillId="17" borderId="63" xfId="44" applyNumberFormat="1" applyFont="1" applyFill="1" applyBorder="1" applyAlignment="1">
      <alignment horizontal="center"/>
    </xf>
    <xf numFmtId="172" fontId="154" fillId="0" borderId="0" xfId="44" applyNumberFormat="1" applyFont="1" applyFill="1"/>
    <xf numFmtId="167" fontId="154" fillId="0" borderId="0" xfId="42" applyFont="1" applyFill="1"/>
    <xf numFmtId="167" fontId="155" fillId="17" borderId="9" xfId="42" applyFont="1" applyFill="1" applyBorder="1" applyAlignment="1">
      <alignment wrapText="1"/>
    </xf>
    <xf numFmtId="167" fontId="153" fillId="17" borderId="2" xfId="42" applyFont="1" applyFill="1" applyBorder="1" applyAlignment="1">
      <alignment wrapText="1"/>
    </xf>
    <xf numFmtId="172" fontId="153" fillId="17" borderId="81" xfId="44" applyNumberFormat="1" applyFont="1" applyFill="1" applyBorder="1" applyAlignment="1">
      <alignment horizontal="center" wrapText="1"/>
    </xf>
    <xf numFmtId="172" fontId="153" fillId="17" borderId="90" xfId="44" applyNumberFormat="1" applyFont="1" applyFill="1" applyBorder="1" applyAlignment="1">
      <alignment horizontal="center" wrapText="1"/>
    </xf>
    <xf numFmtId="172" fontId="153" fillId="17" borderId="30" xfId="44" applyNumberFormat="1" applyFont="1" applyFill="1" applyBorder="1" applyAlignment="1">
      <alignment horizontal="center" wrapText="1"/>
    </xf>
    <xf numFmtId="172" fontId="153" fillId="17" borderId="62" xfId="44" applyNumberFormat="1" applyFont="1" applyFill="1" applyBorder="1" applyAlignment="1">
      <alignment horizontal="center" wrapText="1"/>
    </xf>
    <xf numFmtId="167" fontId="154" fillId="0" borderId="0" xfId="42" applyFont="1" applyFill="1" applyAlignment="1">
      <alignment wrapText="1"/>
    </xf>
    <xf numFmtId="167" fontId="154" fillId="0" borderId="31" xfId="42" applyFont="1" applyFill="1" applyBorder="1"/>
    <xf numFmtId="167" fontId="154" fillId="0" borderId="32" xfId="42" applyFont="1" applyFill="1" applyBorder="1"/>
    <xf numFmtId="172" fontId="154" fillId="0" borderId="82" xfId="44" applyNumberFormat="1" applyFont="1" applyFill="1" applyBorder="1"/>
    <xf numFmtId="172" fontId="154" fillId="0" borderId="91" xfId="44" applyNumberFormat="1" applyFont="1" applyFill="1" applyBorder="1"/>
    <xf numFmtId="172" fontId="154" fillId="0" borderId="33" xfId="44" applyNumberFormat="1" applyFont="1" applyFill="1" applyBorder="1"/>
    <xf numFmtId="172" fontId="154" fillId="0" borderId="76" xfId="44" applyNumberFormat="1" applyFont="1" applyFill="1" applyBorder="1"/>
    <xf numFmtId="167" fontId="154" fillId="0" borderId="34" xfId="42" applyFont="1" applyFill="1" applyBorder="1"/>
    <xf numFmtId="167" fontId="154" fillId="0" borderId="35" xfId="42" applyFont="1" applyFill="1" applyBorder="1"/>
    <xf numFmtId="172" fontId="154" fillId="0" borderId="83" xfId="44" applyNumberFormat="1" applyFont="1" applyFill="1" applyBorder="1"/>
    <xf numFmtId="172" fontId="154" fillId="0" borderId="36" xfId="44" applyNumberFormat="1" applyFont="1" applyFill="1" applyBorder="1"/>
    <xf numFmtId="172" fontId="154" fillId="0" borderId="77" xfId="44" applyNumberFormat="1" applyFont="1" applyFill="1" applyBorder="1"/>
    <xf numFmtId="167" fontId="154" fillId="0" borderId="34" xfId="42" applyFont="1" applyFill="1" applyBorder="1" applyAlignment="1">
      <alignment horizontal="left"/>
    </xf>
    <xf numFmtId="167" fontId="153" fillId="0" borderId="7" xfId="42" applyFont="1" applyFill="1" applyBorder="1" applyAlignment="1">
      <alignment horizontal="left"/>
    </xf>
    <xf numFmtId="167" fontId="154" fillId="0" borderId="2" xfId="42" applyFont="1" applyFill="1" applyBorder="1"/>
    <xf numFmtId="172" fontId="154" fillId="0" borderId="84" xfId="44" applyNumberFormat="1" applyFont="1" applyFill="1" applyBorder="1"/>
    <xf numFmtId="172" fontId="154" fillId="0" borderId="38" xfId="44" applyNumberFormat="1" applyFont="1" applyFill="1" applyBorder="1"/>
    <xf numFmtId="172" fontId="154" fillId="0" borderId="78" xfId="44" applyNumberFormat="1" applyFont="1" applyFill="1" applyBorder="1"/>
    <xf numFmtId="167" fontId="153" fillId="0" borderId="39" xfId="42" applyFont="1" applyFill="1" applyBorder="1" applyAlignment="1">
      <alignment horizontal="left"/>
    </xf>
    <xf numFmtId="167" fontId="154" fillId="0" borderId="11" xfId="42" applyFont="1" applyFill="1" applyBorder="1"/>
    <xf numFmtId="172" fontId="154" fillId="0" borderId="2" xfId="44" applyNumberFormat="1" applyFont="1" applyFill="1" applyBorder="1"/>
    <xf numFmtId="172" fontId="154" fillId="0" borderId="79" xfId="44" applyNumberFormat="1" applyFont="1" applyFill="1" applyBorder="1"/>
    <xf numFmtId="172" fontId="154" fillId="0" borderId="40" xfId="44" applyNumberFormat="1" applyFont="1" applyFill="1" applyBorder="1"/>
    <xf numFmtId="172" fontId="154" fillId="0" borderId="50" xfId="44" applyNumberFormat="1" applyFont="1" applyFill="1" applyBorder="1"/>
    <xf numFmtId="167" fontId="155" fillId="17" borderId="9" xfId="42" applyFont="1" applyFill="1" applyBorder="1"/>
    <xf numFmtId="14" fontId="153" fillId="17" borderId="2" xfId="42" applyNumberFormat="1" applyFont="1" applyFill="1" applyBorder="1" applyAlignment="1">
      <alignment horizontal="right"/>
    </xf>
    <xf numFmtId="172" fontId="153" fillId="17" borderId="81" xfId="44" applyNumberFormat="1" applyFont="1" applyFill="1" applyBorder="1" applyAlignment="1">
      <alignment horizontal="center"/>
    </xf>
    <xf numFmtId="172" fontId="153" fillId="17" borderId="62" xfId="44" applyNumberFormat="1" applyFont="1" applyFill="1" applyBorder="1" applyAlignment="1">
      <alignment horizontal="center"/>
    </xf>
    <xf numFmtId="167" fontId="154" fillId="0" borderId="7" xfId="42" applyFont="1" applyFill="1" applyBorder="1"/>
    <xf numFmtId="167" fontId="154" fillId="0" borderId="0" xfId="42" applyFont="1" applyFill="1" applyBorder="1"/>
    <xf numFmtId="172" fontId="154" fillId="0" borderId="85" xfId="44" applyNumberFormat="1" applyFont="1" applyFill="1" applyBorder="1"/>
    <xf numFmtId="172" fontId="154" fillId="0" borderId="92" xfId="44" applyNumberFormat="1" applyFont="1" applyFill="1" applyBorder="1"/>
    <xf numFmtId="172" fontId="154" fillId="0" borderId="42" xfId="44" applyNumberFormat="1" applyFont="1" applyFill="1" applyBorder="1"/>
    <xf numFmtId="172" fontId="154" fillId="0" borderId="51" xfId="44" applyNumberFormat="1" applyFont="1" applyFill="1" applyBorder="1"/>
    <xf numFmtId="167" fontId="154" fillId="0" borderId="39" xfId="42" applyFont="1" applyFill="1" applyBorder="1"/>
    <xf numFmtId="172" fontId="154" fillId="0" borderId="11" xfId="44" applyNumberFormat="1" applyFont="1" applyFill="1" applyBorder="1"/>
    <xf numFmtId="172" fontId="154" fillId="0" borderId="80" xfId="44" applyNumberFormat="1" applyFont="1" applyFill="1" applyBorder="1"/>
    <xf numFmtId="172" fontId="154" fillId="0" borderId="89" xfId="44" applyNumberFormat="1" applyFont="1" applyFill="1" applyBorder="1"/>
    <xf numFmtId="172" fontId="154" fillId="0" borderId="29" xfId="44" applyNumberFormat="1" applyFont="1" applyFill="1" applyBorder="1"/>
    <xf numFmtId="172" fontId="154" fillId="0" borderId="63" xfId="44" applyNumberFormat="1" applyFont="1" applyFill="1" applyBorder="1"/>
    <xf numFmtId="167" fontId="153" fillId="20" borderId="5" xfId="42" applyFont="1" applyFill="1" applyBorder="1"/>
    <xf numFmtId="167" fontId="154" fillId="20" borderId="1" xfId="42" applyFont="1" applyFill="1" applyBorder="1"/>
    <xf numFmtId="172" fontId="153" fillId="20" borderId="80" xfId="44" applyNumberFormat="1" applyFont="1" applyFill="1" applyBorder="1" applyAlignment="1">
      <alignment horizontal="center"/>
    </xf>
    <xf numFmtId="172" fontId="153" fillId="20" borderId="89" xfId="44" applyNumberFormat="1" applyFont="1" applyFill="1" applyBorder="1" applyAlignment="1">
      <alignment horizontal="center"/>
    </xf>
    <xf numFmtId="172" fontId="153" fillId="20" borderId="29" xfId="44" applyNumberFormat="1" applyFont="1" applyFill="1" applyBorder="1" applyAlignment="1">
      <alignment horizontal="center"/>
    </xf>
    <xf numFmtId="172" fontId="153" fillId="20" borderId="63" xfId="44" applyNumberFormat="1" applyFont="1" applyFill="1" applyBorder="1" applyAlignment="1">
      <alignment horizontal="center"/>
    </xf>
    <xf numFmtId="167" fontId="155" fillId="20" borderId="9" xfId="42" applyFont="1" applyFill="1" applyBorder="1"/>
    <xf numFmtId="14" fontId="153" fillId="20" borderId="2" xfId="42" applyNumberFormat="1" applyFont="1" applyFill="1" applyBorder="1" applyAlignment="1">
      <alignment horizontal="right"/>
    </xf>
    <xf numFmtId="172" fontId="153" fillId="20" borderId="81" xfId="44" applyNumberFormat="1" applyFont="1" applyFill="1" applyBorder="1" applyAlignment="1">
      <alignment horizontal="center"/>
    </xf>
    <xf numFmtId="172" fontId="153" fillId="20" borderId="90" xfId="44" applyNumberFormat="1" applyFont="1" applyFill="1" applyBorder="1" applyAlignment="1">
      <alignment horizontal="center" wrapText="1"/>
    </xf>
    <xf numFmtId="172" fontId="153" fillId="20" borderId="62" xfId="44" applyNumberFormat="1" applyFont="1" applyFill="1" applyBorder="1" applyAlignment="1">
      <alignment horizontal="center"/>
    </xf>
    <xf numFmtId="172" fontId="154" fillId="0" borderId="86" xfId="44" applyNumberFormat="1" applyFont="1" applyFill="1" applyBorder="1"/>
    <xf numFmtId="172" fontId="154" fillId="0" borderId="87" xfId="44" applyNumberFormat="1" applyFont="1" applyFill="1" applyBorder="1"/>
    <xf numFmtId="172" fontId="154" fillId="0" borderId="88" xfId="44" applyNumberFormat="1" applyFont="1" applyFill="1" applyBorder="1"/>
    <xf numFmtId="172" fontId="154" fillId="0" borderId="44" xfId="44" applyNumberFormat="1" applyFont="1" applyFill="1" applyBorder="1"/>
    <xf numFmtId="167" fontId="32" fillId="3" borderId="5" xfId="29" applyFont="1" applyFill="1" applyBorder="1" applyAlignment="1">
      <alignment horizontal="center" wrapText="1"/>
    </xf>
    <xf numFmtId="167" fontId="32" fillId="3" borderId="114" xfId="29" applyFont="1" applyFill="1" applyBorder="1" applyAlignment="1">
      <alignment horizontal="center" wrapText="1"/>
    </xf>
    <xf numFmtId="167" fontId="32" fillId="3" borderId="6" xfId="29" applyFont="1" applyFill="1" applyBorder="1" applyAlignment="1">
      <alignment horizontal="center" wrapText="1"/>
    </xf>
    <xf numFmtId="167" fontId="32" fillId="3" borderId="63" xfId="29" applyFont="1" applyFill="1" applyBorder="1" applyAlignment="1">
      <alignment horizontal="center" wrapText="1"/>
    </xf>
    <xf numFmtId="167" fontId="35" fillId="3" borderId="7" xfId="29" applyFont="1" applyFill="1" applyBorder="1" applyAlignment="1">
      <alignment horizontal="center"/>
    </xf>
    <xf numFmtId="167" fontId="36" fillId="3" borderId="9" xfId="29" applyFont="1" applyFill="1" applyBorder="1" applyAlignment="1">
      <alignment horizontal="center"/>
    </xf>
    <xf numFmtId="172" fontId="36" fillId="3" borderId="60" xfId="16" applyNumberFormat="1" applyFont="1" applyFill="1" applyBorder="1"/>
    <xf numFmtId="168" fontId="36" fillId="3" borderId="97" xfId="8" applyNumberFormat="1" applyFont="1" applyFill="1" applyBorder="1"/>
    <xf numFmtId="168" fontId="37" fillId="3" borderId="97" xfId="8" applyNumberFormat="1" applyFont="1" applyFill="1" applyBorder="1"/>
    <xf numFmtId="168" fontId="36" fillId="3" borderId="98" xfId="8" applyNumberFormat="1" applyFont="1" applyFill="1" applyBorder="1"/>
    <xf numFmtId="168" fontId="36" fillId="3" borderId="7" xfId="8" applyNumberFormat="1" applyFont="1" applyFill="1" applyBorder="1"/>
    <xf numFmtId="172" fontId="32" fillId="3" borderId="56" xfId="8" applyNumberFormat="1" applyFont="1" applyFill="1" applyBorder="1"/>
    <xf numFmtId="44" fontId="36" fillId="3" borderId="70" xfId="29" applyNumberFormat="1" applyFont="1" applyFill="1" applyBorder="1"/>
    <xf numFmtId="44" fontId="36" fillId="3" borderId="7" xfId="29" applyNumberFormat="1" applyFont="1" applyFill="1" applyBorder="1"/>
    <xf numFmtId="172" fontId="36" fillId="3" borderId="97" xfId="16" applyNumberFormat="1" applyFont="1" applyFill="1" applyBorder="1"/>
    <xf numFmtId="168" fontId="36" fillId="3" borderId="108" xfId="8" applyNumberFormat="1" applyFont="1" applyFill="1" applyBorder="1"/>
    <xf numFmtId="172" fontId="32" fillId="3" borderId="56" xfId="16" applyNumberFormat="1" applyFont="1" applyFill="1" applyBorder="1"/>
    <xf numFmtId="172" fontId="36" fillId="3" borderId="70" xfId="16" applyNumberFormat="1" applyFont="1" applyFill="1" applyBorder="1"/>
    <xf numFmtId="172" fontId="32" fillId="3" borderId="39" xfId="8" applyNumberFormat="1" applyFont="1" applyFill="1" applyBorder="1" applyAlignment="1">
      <alignment vertical="center"/>
    </xf>
    <xf numFmtId="172" fontId="36" fillId="3" borderId="5" xfId="16" applyNumberFormat="1" applyFont="1" applyFill="1" applyBorder="1"/>
    <xf numFmtId="44" fontId="42" fillId="3" borderId="9" xfId="29" applyNumberFormat="1" applyFont="1" applyFill="1" applyBorder="1"/>
    <xf numFmtId="172" fontId="42" fillId="3" borderId="60" xfId="16" applyNumberFormat="1" applyFont="1" applyFill="1" applyBorder="1"/>
    <xf numFmtId="168" fontId="42" fillId="3" borderId="97" xfId="8" applyNumberFormat="1" applyFont="1" applyFill="1" applyBorder="1"/>
    <xf numFmtId="168" fontId="37" fillId="3" borderId="97" xfId="8" applyNumberFormat="1" applyFont="1" applyFill="1" applyBorder="1" applyAlignment="1">
      <alignment vertical="top"/>
    </xf>
    <xf numFmtId="44" fontId="36" fillId="3" borderId="9" xfId="29" applyNumberFormat="1" applyFont="1" applyFill="1" applyBorder="1"/>
    <xf numFmtId="44" fontId="36" fillId="3" borderId="60" xfId="44" applyFont="1" applyFill="1" applyBorder="1"/>
    <xf numFmtId="172" fontId="32" fillId="3" borderId="39" xfId="29" applyNumberFormat="1" applyFont="1" applyFill="1" applyBorder="1" applyAlignment="1">
      <alignment vertical="center"/>
    </xf>
    <xf numFmtId="172" fontId="32" fillId="3" borderId="39" xfId="16" applyNumberFormat="1" applyFont="1" applyFill="1" applyBorder="1" applyAlignment="1">
      <alignment vertical="center"/>
    </xf>
    <xf numFmtId="172" fontId="32" fillId="3" borderId="9" xfId="16" applyNumberFormat="1" applyFont="1" applyFill="1" applyBorder="1" applyAlignment="1">
      <alignment vertical="center"/>
    </xf>
    <xf numFmtId="172" fontId="32" fillId="3" borderId="56" xfId="16" applyNumberFormat="1" applyFont="1" applyFill="1" applyBorder="1" applyAlignment="1">
      <alignment vertical="center"/>
    </xf>
    <xf numFmtId="172" fontId="32" fillId="3" borderId="0" xfId="16" applyNumberFormat="1" applyFont="1" applyFill="1" applyBorder="1" applyAlignment="1">
      <alignment vertical="center"/>
    </xf>
    <xf numFmtId="44" fontId="32" fillId="3" borderId="11" xfId="16" applyNumberFormat="1" applyFont="1" applyFill="1" applyBorder="1"/>
    <xf numFmtId="172" fontId="32" fillId="3" borderId="60" xfId="16" applyNumberFormat="1" applyFont="1" applyFill="1" applyBorder="1" applyAlignment="1">
      <alignment horizontal="left" vertical="center"/>
    </xf>
    <xf numFmtId="168" fontId="32" fillId="3" borderId="97" xfId="8" applyNumberFormat="1" applyFont="1" applyFill="1" applyBorder="1" applyAlignment="1">
      <alignment vertical="center"/>
    </xf>
    <xf numFmtId="168" fontId="32" fillId="3" borderId="98" xfId="8" applyNumberFormat="1" applyFont="1" applyFill="1" applyBorder="1" applyAlignment="1">
      <alignment vertical="center"/>
    </xf>
    <xf numFmtId="167" fontId="35" fillId="3" borderId="8" xfId="29" applyFont="1" applyFill="1" applyBorder="1" applyAlignment="1">
      <alignment horizontal="center"/>
    </xf>
    <xf numFmtId="167" fontId="36" fillId="3" borderId="10" xfId="29" applyFont="1" applyFill="1" applyBorder="1" applyAlignment="1">
      <alignment horizontal="center"/>
    </xf>
    <xf numFmtId="172" fontId="36" fillId="3" borderId="69" xfId="16" applyNumberFormat="1" applyFont="1" applyFill="1" applyBorder="1"/>
    <xf numFmtId="168" fontId="36" fillId="3" borderId="93" xfId="8" applyNumberFormat="1" applyFont="1" applyFill="1" applyBorder="1"/>
    <xf numFmtId="168" fontId="37" fillId="3" borderId="93" xfId="8" applyNumberFormat="1" applyFont="1" applyFill="1" applyBorder="1"/>
    <xf numFmtId="168" fontId="36" fillId="3" borderId="94" xfId="8" applyNumberFormat="1" applyFont="1" applyFill="1" applyBorder="1"/>
    <xf numFmtId="168" fontId="36" fillId="3" borderId="8" xfId="8" applyNumberFormat="1" applyFont="1" applyFill="1" applyBorder="1"/>
    <xf numFmtId="172" fontId="32" fillId="3" borderId="99" xfId="8" applyNumberFormat="1" applyFont="1" applyFill="1" applyBorder="1"/>
    <xf numFmtId="44" fontId="36" fillId="3" borderId="74" xfId="29" applyNumberFormat="1" applyFont="1" applyFill="1" applyBorder="1"/>
    <xf numFmtId="44" fontId="36" fillId="3" borderId="8" xfId="29" applyNumberFormat="1" applyFont="1" applyFill="1" applyBorder="1"/>
    <xf numFmtId="172" fontId="36" fillId="3" borderId="93" xfId="16" applyNumberFormat="1" applyFont="1" applyFill="1" applyBorder="1"/>
    <xf numFmtId="168" fontId="36" fillId="3" borderId="109" xfId="8" applyNumberFormat="1" applyFont="1" applyFill="1" applyBorder="1"/>
    <xf numFmtId="172" fontId="32" fillId="3" borderId="99" xfId="16" applyNumberFormat="1" applyFont="1" applyFill="1" applyBorder="1"/>
    <xf numFmtId="172" fontId="36" fillId="3" borderId="74" xfId="16" applyNumberFormat="1" applyFont="1" applyFill="1" applyBorder="1"/>
    <xf numFmtId="172" fontId="32" fillId="3" borderId="41" xfId="8" applyNumberFormat="1" applyFont="1" applyFill="1" applyBorder="1" applyAlignment="1">
      <alignment vertical="center"/>
    </xf>
    <xf numFmtId="172" fontId="36" fillId="3" borderId="6" xfId="16" applyNumberFormat="1" applyFont="1" applyFill="1" applyBorder="1"/>
    <xf numFmtId="44" fontId="36" fillId="3" borderId="10" xfId="29" applyNumberFormat="1" applyFont="1" applyFill="1" applyBorder="1"/>
    <xf numFmtId="168" fontId="36" fillId="3" borderId="93" xfId="8" applyNumberFormat="1" applyFont="1" applyFill="1" applyBorder="1" applyAlignment="1">
      <alignment vertical="top"/>
    </xf>
    <xf numFmtId="168" fontId="37" fillId="3" borderId="93" xfId="8" applyNumberFormat="1" applyFont="1" applyFill="1" applyBorder="1" applyAlignment="1">
      <alignment vertical="top"/>
    </xf>
    <xf numFmtId="44" fontId="36" fillId="3" borderId="69" xfId="44" applyFont="1" applyFill="1" applyBorder="1"/>
    <xf numFmtId="172" fontId="32" fillId="3" borderId="41" xfId="29" applyNumberFormat="1" applyFont="1" applyFill="1" applyBorder="1" applyAlignment="1">
      <alignment vertical="center"/>
    </xf>
    <xf numFmtId="172" fontId="32" fillId="3" borderId="41" xfId="16" applyNumberFormat="1" applyFont="1" applyFill="1" applyBorder="1" applyAlignment="1">
      <alignment vertical="center"/>
    </xf>
    <xf numFmtId="172" fontId="32" fillId="3" borderId="10" xfId="16" applyNumberFormat="1" applyFont="1" applyFill="1" applyBorder="1" applyAlignment="1">
      <alignment vertical="center"/>
    </xf>
    <xf numFmtId="172" fontId="32" fillId="3" borderId="99" xfId="16" applyNumberFormat="1" applyFont="1" applyFill="1" applyBorder="1" applyAlignment="1">
      <alignment vertical="center"/>
    </xf>
    <xf numFmtId="172" fontId="32" fillId="3" borderId="69" xfId="16" applyNumberFormat="1" applyFont="1" applyFill="1" applyBorder="1" applyAlignment="1">
      <alignment vertical="center"/>
    </xf>
    <xf numFmtId="168" fontId="32" fillId="3" borderId="93" xfId="8" applyNumberFormat="1" applyFont="1" applyFill="1" applyBorder="1" applyAlignment="1">
      <alignment vertical="center"/>
    </xf>
    <xf numFmtId="168" fontId="32" fillId="3" borderId="94" xfId="8" applyNumberFormat="1" applyFont="1" applyFill="1" applyBorder="1" applyAlignment="1">
      <alignment vertical="center"/>
    </xf>
    <xf numFmtId="167" fontId="36" fillId="3" borderId="39" xfId="29" applyNumberFormat="1" applyFont="1" applyFill="1" applyBorder="1" applyAlignment="1">
      <alignment vertical="center"/>
    </xf>
    <xf numFmtId="167" fontId="32" fillId="3" borderId="11" xfId="29" applyNumberFormat="1" applyFont="1" applyFill="1" applyBorder="1" applyAlignment="1">
      <alignment vertical="center"/>
    </xf>
    <xf numFmtId="167" fontId="36" fillId="3" borderId="11" xfId="29" applyNumberFormat="1" applyFont="1" applyFill="1" applyBorder="1" applyAlignment="1">
      <alignment vertical="center"/>
    </xf>
    <xf numFmtId="44" fontId="36" fillId="3" borderId="11" xfId="29" applyNumberFormat="1" applyFont="1" applyFill="1" applyBorder="1" applyAlignment="1">
      <alignment vertical="center"/>
    </xf>
    <xf numFmtId="172" fontId="32" fillId="3" borderId="40" xfId="29" applyNumberFormat="1" applyFont="1" applyFill="1" applyBorder="1" applyAlignment="1">
      <alignment vertical="center"/>
    </xf>
    <xf numFmtId="172" fontId="32" fillId="3" borderId="50" xfId="29" applyNumberFormat="1" applyFont="1" applyFill="1" applyBorder="1" applyAlignment="1">
      <alignment vertical="center"/>
    </xf>
    <xf numFmtId="172" fontId="36" fillId="3" borderId="11" xfId="16" applyNumberFormat="1" applyFont="1" applyFill="1" applyBorder="1" applyAlignment="1">
      <alignment vertical="center"/>
    </xf>
    <xf numFmtId="172" fontId="32" fillId="3" borderId="40" xfId="16" applyNumberFormat="1" applyFont="1" applyFill="1" applyBorder="1" applyAlignment="1">
      <alignment vertical="center"/>
    </xf>
    <xf numFmtId="172" fontId="32" fillId="3" borderId="50" xfId="16" applyNumberFormat="1" applyFont="1" applyFill="1" applyBorder="1" applyAlignment="1">
      <alignment vertical="center"/>
    </xf>
    <xf numFmtId="167" fontId="36" fillId="3" borderId="9" xfId="29" applyNumberFormat="1" applyFont="1" applyFill="1" applyBorder="1" applyAlignment="1">
      <alignment vertical="center"/>
    </xf>
    <xf numFmtId="167" fontId="32" fillId="3" borderId="2" xfId="29" applyNumberFormat="1" applyFont="1" applyFill="1" applyBorder="1" applyAlignment="1">
      <alignment vertical="center"/>
    </xf>
    <xf numFmtId="167" fontId="36" fillId="3" borderId="2" xfId="29" applyNumberFormat="1" applyFont="1" applyFill="1" applyBorder="1" applyAlignment="1">
      <alignment vertical="center"/>
    </xf>
    <xf numFmtId="172" fontId="32" fillId="3" borderId="2" xfId="16" applyNumberFormat="1" applyFont="1" applyFill="1" applyBorder="1" applyAlignment="1">
      <alignment vertical="center"/>
    </xf>
    <xf numFmtId="172" fontId="32" fillId="3" borderId="30" xfId="16" applyNumberFormat="1" applyFont="1" applyFill="1" applyBorder="1" applyAlignment="1">
      <alignment vertical="center"/>
    </xf>
    <xf numFmtId="172" fontId="32" fillId="3" borderId="62" xfId="16" applyNumberFormat="1" applyFont="1" applyFill="1" applyBorder="1" applyAlignment="1">
      <alignment vertical="center"/>
    </xf>
    <xf numFmtId="167" fontId="36" fillId="3" borderId="56" xfId="29" applyNumberFormat="1" applyFont="1" applyFill="1" applyBorder="1" applyAlignment="1">
      <alignment vertical="center"/>
    </xf>
    <xf numFmtId="167" fontId="32" fillId="3" borderId="12" xfId="29" applyNumberFormat="1" applyFont="1" applyFill="1" applyBorder="1" applyAlignment="1">
      <alignment vertical="center"/>
    </xf>
    <xf numFmtId="167" fontId="36" fillId="3" borderId="12" xfId="29" applyNumberFormat="1" applyFont="1" applyFill="1" applyBorder="1" applyAlignment="1">
      <alignment vertical="center"/>
    </xf>
    <xf numFmtId="172" fontId="32" fillId="3" borderId="12" xfId="16" applyNumberFormat="1" applyFont="1" applyFill="1" applyBorder="1" applyAlignment="1">
      <alignment vertical="center"/>
    </xf>
    <xf numFmtId="172" fontId="32" fillId="3" borderId="103" xfId="16" applyNumberFormat="1" applyFont="1" applyFill="1" applyBorder="1" applyAlignment="1">
      <alignment vertical="center"/>
    </xf>
    <xf numFmtId="172" fontId="32" fillId="3" borderId="49" xfId="16" applyNumberFormat="1" applyFont="1" applyFill="1" applyBorder="1" applyAlignment="1">
      <alignment vertical="center"/>
    </xf>
    <xf numFmtId="167" fontId="36" fillId="3" borderId="11" xfId="29" applyNumberFormat="1" applyFont="1" applyFill="1" applyBorder="1"/>
    <xf numFmtId="44" fontId="32" fillId="3" borderId="40" xfId="16" applyNumberFormat="1" applyFont="1" applyFill="1" applyBorder="1"/>
    <xf numFmtId="44" fontId="32" fillId="3" borderId="41" xfId="16" applyNumberFormat="1" applyFont="1" applyFill="1" applyBorder="1"/>
    <xf numFmtId="172" fontId="36" fillId="0" borderId="7" xfId="29" applyNumberFormat="1" applyFont="1" applyFill="1" applyBorder="1"/>
    <xf numFmtId="172" fontId="36" fillId="0" borderId="8" xfId="29" applyNumberFormat="1" applyFont="1" applyFill="1" applyBorder="1"/>
    <xf numFmtId="167" fontId="32" fillId="3" borderId="39" xfId="29" applyNumberFormat="1" applyFont="1" applyFill="1" applyBorder="1" applyAlignment="1">
      <alignment vertical="center"/>
    </xf>
    <xf numFmtId="44" fontId="32" fillId="3" borderId="11" xfId="29" applyNumberFormat="1" applyFont="1" applyFill="1" applyBorder="1" applyAlignment="1">
      <alignment vertical="center"/>
    </xf>
    <xf numFmtId="172" fontId="32" fillId="3" borderId="40" xfId="8" applyNumberFormat="1" applyFont="1" applyFill="1" applyBorder="1" applyAlignment="1">
      <alignment vertical="center"/>
    </xf>
    <xf numFmtId="172" fontId="32" fillId="3" borderId="50" xfId="8" applyNumberFormat="1" applyFont="1" applyFill="1" applyBorder="1" applyAlignment="1">
      <alignment vertical="center"/>
    </xf>
    <xf numFmtId="167" fontId="35" fillId="5" borderId="10" xfId="29" applyFont="1" applyFill="1" applyBorder="1" applyAlignment="1">
      <alignment horizontal="center" vertical="center" wrapText="1"/>
    </xf>
    <xf numFmtId="167" fontId="35" fillId="5" borderId="62" xfId="29" applyFont="1" applyFill="1" applyBorder="1" applyAlignment="1">
      <alignment horizontal="center" vertical="center" wrapText="1"/>
    </xf>
    <xf numFmtId="167" fontId="32" fillId="3" borderId="9" xfId="29" applyFont="1" applyFill="1" applyBorder="1" applyAlignment="1">
      <alignment horizontal="center" vertical="center" wrapText="1"/>
    </xf>
    <xf numFmtId="167" fontId="35" fillId="3" borderId="62" xfId="29" applyFont="1" applyFill="1" applyBorder="1" applyAlignment="1">
      <alignment horizontal="center" vertical="center" wrapText="1"/>
    </xf>
    <xf numFmtId="167" fontId="32" fillId="14" borderId="9" xfId="29" applyFont="1" applyFill="1" applyBorder="1" applyAlignment="1">
      <alignment horizontal="center" vertical="center" wrapText="1"/>
    </xf>
    <xf numFmtId="167" fontId="35" fillId="14" borderId="10" xfId="29" applyFont="1" applyFill="1" applyBorder="1" applyAlignment="1">
      <alignment horizontal="center" vertical="center" wrapText="1"/>
    </xf>
    <xf numFmtId="10" fontId="141" fillId="18" borderId="0" xfId="1" applyNumberFormat="1" applyFont="1" applyFill="1"/>
    <xf numFmtId="167" fontId="141" fillId="18" borderId="0" xfId="1" applyNumberFormat="1" applyFont="1" applyFill="1"/>
    <xf numFmtId="167" fontId="40" fillId="0" borderId="0" xfId="29" applyNumberFormat="1" applyFont="1" applyFill="1" applyAlignment="1">
      <alignment horizontal="right"/>
    </xf>
    <xf numFmtId="167" fontId="46" fillId="0" borderId="0" xfId="1" applyNumberFormat="1" applyFont="1" applyFill="1"/>
    <xf numFmtId="167" fontId="126" fillId="0" borderId="0" xfId="29" applyNumberFormat="1" applyFont="1" applyFill="1"/>
    <xf numFmtId="167" fontId="46" fillId="0" borderId="0" xfId="8" applyNumberFormat="1" applyFont="1" applyAlignment="1"/>
    <xf numFmtId="167" fontId="46" fillId="0" borderId="0" xfId="2" applyNumberFormat="1" applyFont="1" applyFill="1"/>
    <xf numFmtId="167" fontId="90" fillId="0" borderId="0" xfId="1" applyNumberFormat="1" applyFont="1" applyFill="1" applyBorder="1"/>
    <xf numFmtId="167" fontId="9" fillId="0" borderId="0" xfId="2" applyNumberFormat="1" applyFont="1" applyFill="1" applyBorder="1" applyAlignment="1">
      <alignment vertical="center"/>
    </xf>
    <xf numFmtId="167" fontId="150" fillId="0" borderId="0" xfId="29" applyNumberFormat="1" applyFont="1" applyFill="1"/>
    <xf numFmtId="167" fontId="33" fillId="0" borderId="0" xfId="8" applyNumberFormat="1" applyFont="1" applyBorder="1"/>
    <xf numFmtId="167" fontId="91" fillId="0" borderId="0" xfId="8" applyNumberFormat="1" applyFont="1" applyBorder="1" applyAlignment="1">
      <alignment horizontal="right"/>
    </xf>
    <xf numFmtId="167" fontId="39" fillId="0" borderId="0" xfId="8" applyNumberFormat="1" applyFont="1" applyBorder="1"/>
    <xf numFmtId="167" fontId="46" fillId="0" borderId="0" xfId="29" applyNumberFormat="1" applyFont="1" applyBorder="1" applyAlignment="1">
      <alignment horizontal="right"/>
    </xf>
    <xf numFmtId="167" fontId="151" fillId="0" borderId="0" xfId="29" applyNumberFormat="1" applyFont="1" applyFill="1"/>
    <xf numFmtId="167" fontId="45" fillId="0" borderId="0" xfId="1" applyNumberFormat="1" applyFont="1" applyFill="1" applyBorder="1" applyAlignment="1"/>
    <xf numFmtId="167" fontId="119" fillId="0" borderId="0" xfId="29" applyNumberFormat="1" applyFont="1" applyFill="1" applyBorder="1" applyAlignment="1"/>
    <xf numFmtId="167" fontId="45" fillId="0" borderId="0" xfId="1" applyNumberFormat="1" applyFont="1" applyFill="1" applyBorder="1"/>
    <xf numFmtId="167" fontId="119" fillId="0" borderId="0" xfId="29" applyNumberFormat="1" applyFont="1" applyFill="1" applyBorder="1"/>
    <xf numFmtId="167" fontId="116" fillId="0" borderId="0" xfId="1" applyNumberFormat="1" applyFont="1" applyFill="1" applyBorder="1"/>
    <xf numFmtId="167" fontId="116" fillId="0" borderId="0" xfId="29" applyNumberFormat="1" applyFont="1" applyFill="1" applyBorder="1"/>
    <xf numFmtId="167" fontId="119" fillId="0" borderId="0" xfId="1" applyNumberFormat="1" applyFont="1" applyFill="1" applyBorder="1"/>
    <xf numFmtId="167" fontId="4" fillId="0" borderId="0" xfId="1" applyNumberFormat="1" applyFont="1" applyFill="1" applyBorder="1"/>
    <xf numFmtId="167" fontId="4" fillId="0" borderId="0" xfId="29" applyNumberFormat="1" applyFont="1" applyFill="1" applyBorder="1"/>
    <xf numFmtId="167" fontId="152" fillId="0" borderId="0" xfId="29" applyNumberFormat="1" applyFont="1" applyFill="1" applyAlignment="1">
      <alignment vertical="center"/>
    </xf>
    <xf numFmtId="167" fontId="4" fillId="0" borderId="0" xfId="1" applyNumberFormat="1" applyFont="1" applyFill="1"/>
    <xf numFmtId="167" fontId="4" fillId="0" borderId="0" xfId="29" applyNumberFormat="1" applyFont="1" applyFill="1"/>
    <xf numFmtId="167" fontId="120" fillId="0" borderId="0" xfId="29" applyNumberFormat="1" applyFont="1" applyFill="1" applyBorder="1" applyAlignment="1">
      <alignment vertical="center"/>
    </xf>
    <xf numFmtId="167" fontId="141" fillId="0" borderId="0" xfId="29" applyNumberFormat="1" applyFont="1" applyFill="1"/>
    <xf numFmtId="167" fontId="9" fillId="0" borderId="0" xfId="1" applyNumberFormat="1" applyFont="1" applyFill="1"/>
    <xf numFmtId="167" fontId="43" fillId="0" borderId="0" xfId="29" applyNumberFormat="1" applyFont="1" applyFill="1" applyBorder="1"/>
    <xf numFmtId="43" fontId="144" fillId="0" borderId="0" xfId="1" applyFont="1" applyFill="1" applyAlignment="1">
      <alignment horizontal="right"/>
    </xf>
    <xf numFmtId="43" fontId="144" fillId="0" borderId="0" xfId="1" applyFont="1" applyAlignment="1">
      <alignment horizontal="right"/>
    </xf>
    <xf numFmtId="43" fontId="145" fillId="0" borderId="0" xfId="1" applyFont="1" applyAlignment="1">
      <alignment horizontal="center"/>
    </xf>
    <xf numFmtId="43" fontId="146" fillId="0" borderId="0" xfId="1" applyFont="1" applyAlignment="1">
      <alignment horizontal="right"/>
    </xf>
    <xf numFmtId="43" fontId="144" fillId="0" borderId="0" xfId="1" applyFont="1" applyAlignment="1">
      <alignment horizontal="right" vertical="top"/>
    </xf>
    <xf numFmtId="43" fontId="144" fillId="0" borderId="0" xfId="1" applyFont="1" applyAlignment="1">
      <alignment horizontal="right" vertical="center"/>
    </xf>
    <xf numFmtId="43" fontId="142" fillId="0" borderId="0" xfId="1" applyFont="1" applyFill="1" applyBorder="1"/>
    <xf numFmtId="43" fontId="144" fillId="0" borderId="0" xfId="1" applyFont="1" applyFill="1" applyBorder="1" applyAlignment="1">
      <alignment horizontal="right" vertical="center"/>
    </xf>
    <xf numFmtId="43" fontId="145" fillId="0" borderId="0" xfId="1" applyFont="1" applyFill="1" applyAlignment="1">
      <alignment horizontal="right"/>
    </xf>
    <xf numFmtId="43" fontId="40" fillId="0" borderId="0" xfId="1" applyFont="1" applyFill="1" applyAlignment="1">
      <alignment horizontal="right"/>
    </xf>
    <xf numFmtId="43" fontId="46" fillId="0" borderId="0" xfId="1" applyFont="1" applyBorder="1" applyAlignment="1">
      <alignment horizontal="right"/>
    </xf>
    <xf numFmtId="43" fontId="46" fillId="0" borderId="0" xfId="1" applyFont="1" applyFill="1" applyBorder="1" applyAlignment="1">
      <alignment horizontal="right"/>
    </xf>
    <xf numFmtId="43" fontId="9" fillId="0" borderId="0" xfId="1" applyFont="1" applyFill="1" applyBorder="1" applyAlignment="1">
      <alignment vertical="center"/>
    </xf>
    <xf numFmtId="43" fontId="33" fillId="0" borderId="0" xfId="1" applyFont="1" applyFill="1" applyBorder="1"/>
    <xf numFmtId="43" fontId="91" fillId="0" borderId="0" xfId="1" applyFont="1" applyBorder="1" applyAlignment="1">
      <alignment horizontal="right"/>
    </xf>
    <xf numFmtId="43" fontId="144" fillId="0" borderId="0" xfId="1" applyFont="1" applyBorder="1" applyAlignment="1">
      <alignment horizontal="right" vertical="center"/>
    </xf>
    <xf numFmtId="43" fontId="46" fillId="0" borderId="0" xfId="1" applyFont="1" applyBorder="1" applyAlignment="1">
      <alignment horizontal="right" vertical="center"/>
    </xf>
    <xf numFmtId="43" fontId="46" fillId="0" borderId="0" xfId="1" applyFont="1" applyFill="1" applyBorder="1" applyAlignment="1">
      <alignment horizontal="right" vertical="center"/>
    </xf>
    <xf numFmtId="43" fontId="148" fillId="0" borderId="0" xfId="1" applyFont="1" applyFill="1" applyBorder="1"/>
    <xf numFmtId="43" fontId="43" fillId="0" borderId="0" xfId="1" applyFont="1" applyFill="1" applyBorder="1"/>
    <xf numFmtId="167" fontId="156" fillId="0" borderId="0" xfId="29" applyNumberFormat="1" applyFont="1" applyFill="1" applyAlignment="1">
      <alignment horizontal="right"/>
    </xf>
    <xf numFmtId="43" fontId="157" fillId="0" borderId="0" xfId="1" applyFont="1" applyFill="1" applyBorder="1" applyAlignment="1">
      <alignment horizontal="right" vertical="center"/>
    </xf>
    <xf numFmtId="43" fontId="147" fillId="0" borderId="0" xfId="1" applyFont="1" applyFill="1" applyBorder="1" applyAlignment="1">
      <alignment horizontal="right" vertical="center"/>
    </xf>
    <xf numFmtId="167" fontId="158" fillId="0" borderId="0" xfId="1" applyNumberFormat="1" applyFont="1" applyFill="1" applyAlignment="1">
      <alignment horizontal="right"/>
    </xf>
    <xf numFmtId="43" fontId="142" fillId="0" borderId="0" xfId="1" applyFont="1" applyFill="1" applyAlignment="1">
      <alignment horizontal="right" vertical="center"/>
    </xf>
    <xf numFmtId="43" fontId="142" fillId="0" borderId="0" xfId="1" applyFont="1" applyFill="1" applyAlignment="1">
      <alignment horizontal="right"/>
    </xf>
    <xf numFmtId="43" fontId="142" fillId="0" borderId="0" xfId="1" applyFont="1" applyAlignment="1">
      <alignment horizontal="right"/>
    </xf>
    <xf numFmtId="43" fontId="149" fillId="0" borderId="0" xfId="1" applyFont="1" applyAlignment="1">
      <alignment horizontal="right"/>
    </xf>
    <xf numFmtId="43" fontId="142" fillId="0" borderId="0" xfId="1" applyFont="1" applyAlignment="1">
      <alignment horizontal="right" vertical="top"/>
    </xf>
    <xf numFmtId="43" fontId="159" fillId="0" borderId="0" xfId="1" applyFont="1" applyFill="1" applyBorder="1"/>
    <xf numFmtId="43" fontId="142" fillId="0" borderId="0" xfId="1" applyFont="1" applyFill="1" applyBorder="1" applyAlignment="1">
      <alignment horizontal="right"/>
    </xf>
    <xf numFmtId="43" fontId="142" fillId="0" borderId="0" xfId="1" applyFont="1" applyBorder="1" applyAlignment="1">
      <alignment horizontal="right"/>
    </xf>
    <xf numFmtId="43" fontId="142" fillId="0" borderId="0" xfId="1" applyFont="1" applyAlignment="1">
      <alignment horizontal="right" vertical="center"/>
    </xf>
    <xf numFmtId="43" fontId="159" fillId="0" borderId="0" xfId="1" applyFont="1" applyFill="1" applyBorder="1" applyAlignment="1">
      <alignment vertical="center"/>
    </xf>
    <xf numFmtId="43" fontId="145" fillId="0" borderId="0" xfId="1" applyFont="1" applyFill="1" applyBorder="1" applyAlignment="1">
      <alignment vertical="center"/>
    </xf>
    <xf numFmtId="43" fontId="160" fillId="0" borderId="0" xfId="1" applyFont="1" applyFill="1" applyBorder="1" applyAlignment="1">
      <alignment vertical="center"/>
    </xf>
    <xf numFmtId="43" fontId="142" fillId="0" borderId="0" xfId="1" applyFont="1" applyFill="1" applyBorder="1" applyAlignment="1">
      <alignment vertical="center"/>
    </xf>
    <xf numFmtId="43" fontId="161" fillId="6" borderId="0" xfId="1" applyFont="1" applyFill="1" applyBorder="1" applyAlignment="1">
      <alignment vertical="center"/>
    </xf>
    <xf numFmtId="43" fontId="142" fillId="0" borderId="0" xfId="1" applyFont="1" applyFill="1" applyBorder="1" applyAlignment="1">
      <alignment vertical="top"/>
    </xf>
    <xf numFmtId="43" fontId="149" fillId="0" borderId="0" xfId="1" applyFont="1" applyBorder="1" applyAlignment="1">
      <alignment horizontal="right"/>
    </xf>
    <xf numFmtId="43" fontId="142" fillId="0" borderId="0" xfId="1" applyFont="1" applyFill="1" applyBorder="1" applyAlignment="1">
      <alignment horizontal="right" vertical="center"/>
    </xf>
    <xf numFmtId="43" fontId="142" fillId="0" borderId="0" xfId="1" applyFont="1" applyBorder="1" applyAlignment="1">
      <alignment horizontal="right" vertical="center"/>
    </xf>
    <xf numFmtId="43" fontId="142" fillId="0" borderId="0" xfId="1" applyFont="1" applyBorder="1" applyAlignment="1">
      <alignment horizontal="right" vertical="top"/>
    </xf>
    <xf numFmtId="43" fontId="159" fillId="0" borderId="0" xfId="1" applyFont="1" applyFill="1" applyBorder="1" applyAlignment="1">
      <alignment vertical="top"/>
    </xf>
    <xf numFmtId="43" fontId="159" fillId="0" borderId="0" xfId="1" applyFont="1" applyFill="1" applyAlignment="1"/>
    <xf numFmtId="43" fontId="159" fillId="0" borderId="0" xfId="1" applyFont="1" applyFill="1" applyBorder="1" applyAlignment="1"/>
    <xf numFmtId="43" fontId="162" fillId="0" borderId="0" xfId="1" applyFont="1" applyFill="1" applyAlignment="1">
      <alignment vertical="center"/>
    </xf>
    <xf numFmtId="43" fontId="148" fillId="0" borderId="0" xfId="1" applyFont="1" applyFill="1" applyBorder="1" applyAlignment="1">
      <alignment horizontal="right"/>
    </xf>
    <xf numFmtId="167" fontId="163" fillId="0" borderId="0" xfId="29" applyNumberFormat="1" applyFont="1" applyFill="1" applyAlignment="1">
      <alignment horizontal="right"/>
    </xf>
    <xf numFmtId="167" fontId="109" fillId="0" borderId="0" xfId="0" applyNumberFormat="1" applyFont="1"/>
    <xf numFmtId="167" fontId="22" fillId="0" borderId="0" xfId="0" applyNumberFormat="1" applyFont="1" applyFill="1"/>
    <xf numFmtId="43" fontId="109" fillId="0" borderId="0" xfId="1" applyFont="1"/>
    <xf numFmtId="43" fontId="22" fillId="0" borderId="0" xfId="0" applyNumberFormat="1" applyFont="1" applyBorder="1"/>
    <xf numFmtId="10" fontId="24" fillId="0" borderId="0" xfId="2" applyNumberFormat="1" applyFont="1" applyBorder="1" applyAlignment="1">
      <alignment horizontal="right"/>
    </xf>
    <xf numFmtId="10" fontId="1" fillId="0" borderId="0" xfId="2" applyNumberFormat="1" applyFont="1" applyBorder="1"/>
    <xf numFmtId="10" fontId="1" fillId="0" borderId="0" xfId="2" applyNumberFormat="1" applyFont="1" applyBorder="1" applyAlignment="1">
      <alignment horizontal="left"/>
    </xf>
    <xf numFmtId="10" fontId="1" fillId="0" borderId="0" xfId="2" applyNumberFormat="1" applyFont="1" applyBorder="1" applyAlignment="1">
      <alignment horizontal="right"/>
    </xf>
    <xf numFmtId="10" fontId="6" fillId="0" borderId="0" xfId="2" applyNumberFormat="1" applyFont="1" applyBorder="1"/>
    <xf numFmtId="10" fontId="6" fillId="0" borderId="0" xfId="2" applyNumberFormat="1" applyFont="1" applyBorder="1" applyAlignment="1">
      <alignment horizontal="right"/>
    </xf>
    <xf numFmtId="10" fontId="0" fillId="0" borderId="0" xfId="2" applyNumberFormat="1" applyFont="1" applyFill="1" applyBorder="1"/>
    <xf numFmtId="10" fontId="6" fillId="0" borderId="0" xfId="2" applyNumberFormat="1" applyFont="1" applyFill="1" applyAlignment="1">
      <alignment horizontal="right"/>
    </xf>
    <xf numFmtId="10" fontId="0" fillId="0" borderId="0" xfId="2" applyNumberFormat="1" applyFont="1" applyFill="1"/>
    <xf numFmtId="10" fontId="22" fillId="0" borderId="0" xfId="2" applyNumberFormat="1" applyFont="1" applyFill="1"/>
    <xf numFmtId="10" fontId="28" fillId="0" borderId="0" xfId="2" applyNumberFormat="1" applyFont="1" applyFill="1" applyBorder="1"/>
    <xf numFmtId="10" fontId="6" fillId="0" borderId="0" xfId="2" applyNumberFormat="1" applyFont="1" applyFill="1" applyBorder="1" applyAlignment="1">
      <alignment horizontal="left"/>
    </xf>
    <xf numFmtId="10" fontId="6" fillId="0" borderId="0" xfId="2" applyNumberFormat="1" applyFont="1" applyFill="1" applyBorder="1"/>
    <xf numFmtId="10" fontId="6" fillId="0" borderId="0" xfId="2" applyNumberFormat="1" applyFont="1" applyFill="1" applyBorder="1" applyAlignment="1">
      <alignment horizontal="right"/>
    </xf>
    <xf numFmtId="10" fontId="0" fillId="0" borderId="0" xfId="2" applyNumberFormat="1" applyFont="1" applyFill="1" applyBorder="1" applyAlignment="1">
      <alignment horizontal="right"/>
    </xf>
    <xf numFmtId="10" fontId="22" fillId="0" borderId="0" xfId="2" applyNumberFormat="1" applyFont="1" applyBorder="1"/>
    <xf numFmtId="10" fontId="109" fillId="0" borderId="0" xfId="2" applyNumberFormat="1" applyFont="1"/>
    <xf numFmtId="10" fontId="22" fillId="0" borderId="0" xfId="2" applyNumberFormat="1" applyFont="1"/>
    <xf numFmtId="10" fontId="22" fillId="0" borderId="0" xfId="2" applyNumberFormat="1" applyFont="1" applyAlignment="1">
      <alignment horizontal="right"/>
    </xf>
    <xf numFmtId="10" fontId="108" fillId="0" borderId="0" xfId="2" applyNumberFormat="1" applyFont="1" applyBorder="1" applyAlignment="1">
      <alignment horizontal="left"/>
    </xf>
    <xf numFmtId="10" fontId="108" fillId="0" borderId="0" xfId="2" applyNumberFormat="1" applyFont="1"/>
    <xf numFmtId="10" fontId="108" fillId="0" borderId="0" xfId="2" applyNumberFormat="1" applyFont="1" applyAlignment="1">
      <alignment horizontal="right"/>
    </xf>
    <xf numFmtId="166" fontId="98" fillId="0" borderId="0" xfId="4" applyNumberFormat="1" applyFont="1" applyAlignment="1">
      <alignment horizontal="left"/>
    </xf>
    <xf numFmtId="43" fontId="109" fillId="0" borderId="0" xfId="1" applyFont="1" applyBorder="1"/>
    <xf numFmtId="172" fontId="36" fillId="5" borderId="69" xfId="16" applyNumberFormat="1" applyFont="1" applyFill="1" applyBorder="1"/>
    <xf numFmtId="168" fontId="37" fillId="5" borderId="93" xfId="8" applyNumberFormat="1" applyFont="1" applyFill="1" applyBorder="1"/>
    <xf numFmtId="168" fontId="36" fillId="5" borderId="93" xfId="8" applyNumberFormat="1" applyFont="1" applyFill="1" applyBorder="1"/>
    <xf numFmtId="168" fontId="37" fillId="5" borderId="8" xfId="8" applyNumberFormat="1" applyFont="1" applyFill="1" applyBorder="1"/>
    <xf numFmtId="167" fontId="32" fillId="14" borderId="30" xfId="29" applyFont="1" applyFill="1" applyBorder="1" applyAlignment="1">
      <alignment horizontal="center" vertical="center" wrapText="1"/>
    </xf>
    <xf numFmtId="167" fontId="32" fillId="3" borderId="30" xfId="29" applyFont="1" applyFill="1" applyBorder="1" applyAlignment="1">
      <alignment horizontal="center" vertical="center" wrapText="1"/>
    </xf>
    <xf numFmtId="167" fontId="32" fillId="5" borderId="30" xfId="29" applyFont="1" applyFill="1" applyBorder="1" applyAlignment="1">
      <alignment horizontal="center" vertical="center" wrapText="1"/>
    </xf>
    <xf numFmtId="167" fontId="164" fillId="0" borderId="0" xfId="1" applyNumberFormat="1" applyFont="1"/>
    <xf numFmtId="44" fontId="145" fillId="0" borderId="0" xfId="44" applyFont="1" applyFill="1" applyBorder="1" applyAlignment="1">
      <alignment vertical="center"/>
    </xf>
    <xf numFmtId="172" fontId="33" fillId="0" borderId="0" xfId="29" applyNumberFormat="1" applyFont="1" applyAlignment="1">
      <alignment vertical="center"/>
    </xf>
    <xf numFmtId="43" fontId="33" fillId="0" borderId="0" xfId="1" applyFont="1" applyAlignment="1">
      <alignment vertical="center"/>
    </xf>
    <xf numFmtId="44" fontId="33" fillId="0" borderId="0" xfId="29" applyNumberFormat="1" applyFont="1" applyAlignment="1">
      <alignment vertical="center"/>
    </xf>
    <xf numFmtId="166" fontId="151" fillId="0" borderId="0" xfId="2" applyNumberFormat="1" applyFont="1" applyFill="1"/>
    <xf numFmtId="166" fontId="150" fillId="0" borderId="0" xfId="2" applyNumberFormat="1" applyFont="1" applyFill="1"/>
    <xf numFmtId="166" fontId="152" fillId="0" borderId="0" xfId="2" applyNumberFormat="1" applyFont="1" applyFill="1" applyAlignment="1">
      <alignment vertical="center"/>
    </xf>
    <xf numFmtId="166" fontId="141" fillId="0" borderId="0" xfId="2" applyNumberFormat="1" applyFont="1" applyFill="1"/>
    <xf numFmtId="10" fontId="141" fillId="0" borderId="0" xfId="2" applyNumberFormat="1" applyFont="1" applyFill="1" applyAlignment="1">
      <alignment horizontal="left"/>
    </xf>
    <xf numFmtId="166" fontId="151" fillId="0" borderId="0" xfId="2" applyNumberFormat="1" applyFont="1" applyFill="1" applyAlignment="1">
      <alignment horizontal="left"/>
    </xf>
    <xf numFmtId="166" fontId="150" fillId="0" borderId="0" xfId="2" applyNumberFormat="1" applyFont="1" applyFill="1" applyAlignment="1">
      <alignment horizontal="left"/>
    </xf>
    <xf numFmtId="166" fontId="152" fillId="0" borderId="0" xfId="2" applyNumberFormat="1" applyFont="1" applyFill="1" applyAlignment="1">
      <alignment horizontal="left" vertical="center"/>
    </xf>
    <xf numFmtId="166" fontId="141" fillId="0" borderId="0" xfId="2" applyNumberFormat="1" applyFont="1" applyFill="1" applyAlignment="1">
      <alignment horizontal="left"/>
    </xf>
    <xf numFmtId="166" fontId="141" fillId="0" borderId="0" xfId="2" applyNumberFormat="1" applyFont="1" applyFill="1" applyAlignment="1">
      <alignment horizontal="left" vertical="center"/>
    </xf>
    <xf numFmtId="167" fontId="141" fillId="0" borderId="0" xfId="29" applyNumberFormat="1" applyFont="1" applyFill="1" applyAlignment="1">
      <alignment vertical="center"/>
    </xf>
    <xf numFmtId="166" fontId="141" fillId="0" borderId="0" xfId="2" applyNumberFormat="1" applyFont="1" applyFill="1" applyAlignment="1">
      <alignment vertical="center"/>
    </xf>
    <xf numFmtId="166" fontId="141" fillId="0" borderId="0" xfId="2" applyNumberFormat="1" applyFont="1" applyAlignment="1">
      <alignment horizontal="left"/>
    </xf>
    <xf numFmtId="167" fontId="141" fillId="0" borderId="0" xfId="29" applyNumberFormat="1" applyFont="1" applyAlignment="1"/>
    <xf numFmtId="166" fontId="141" fillId="0" borderId="0" xfId="2" applyNumberFormat="1" applyFont="1" applyAlignment="1"/>
    <xf numFmtId="166" fontId="34" fillId="0" borderId="0" xfId="2" applyNumberFormat="1" applyFont="1" applyFill="1" applyBorder="1" applyAlignment="1">
      <alignment horizontal="left"/>
    </xf>
    <xf numFmtId="166" fontId="34" fillId="0" borderId="0" xfId="2" applyNumberFormat="1" applyFont="1" applyFill="1" applyBorder="1"/>
    <xf numFmtId="10" fontId="34" fillId="0" borderId="0" xfId="2" applyNumberFormat="1" applyFont="1" applyFill="1" applyBorder="1"/>
    <xf numFmtId="166" fontId="175" fillId="0" borderId="0" xfId="2" applyNumberFormat="1" applyFont="1" applyFill="1" applyAlignment="1">
      <alignment horizontal="left"/>
    </xf>
    <xf numFmtId="167" fontId="175" fillId="0" borderId="0" xfId="29" applyNumberFormat="1" applyFont="1" applyFill="1"/>
    <xf numFmtId="166" fontId="175" fillId="0" borderId="0" xfId="2" applyNumberFormat="1" applyFont="1" applyFill="1"/>
    <xf numFmtId="166" fontId="141" fillId="0" borderId="0" xfId="2" applyNumberFormat="1" applyFont="1" applyFill="1" applyBorder="1" applyAlignment="1">
      <alignment horizontal="left"/>
    </xf>
    <xf numFmtId="167" fontId="141" fillId="0" borderId="0" xfId="29" applyNumberFormat="1" applyFont="1" applyFill="1" applyBorder="1"/>
    <xf numFmtId="166" fontId="141" fillId="0" borderId="0" xfId="2" applyNumberFormat="1" applyFont="1" applyFill="1" applyBorder="1"/>
    <xf numFmtId="168" fontId="35" fillId="0" borderId="0" xfId="1" applyNumberFormat="1" applyFont="1" applyFill="1" applyBorder="1" applyAlignment="1">
      <alignment horizontal="center" vertical="center" wrapText="1"/>
    </xf>
    <xf numFmtId="168" fontId="35" fillId="0" borderId="0" xfId="1" applyNumberFormat="1" applyFont="1" applyFill="1" applyBorder="1"/>
    <xf numFmtId="168" fontId="165" fillId="0" borderId="0" xfId="1" applyNumberFormat="1" applyFont="1" applyFill="1" applyBorder="1"/>
    <xf numFmtId="168" fontId="34" fillId="0" borderId="0" xfId="1" applyNumberFormat="1" applyFont="1" applyFill="1" applyBorder="1"/>
    <xf numFmtId="168" fontId="166" fillId="0" borderId="0" xfId="1" applyNumberFormat="1" applyFont="1" applyFill="1" applyBorder="1" applyAlignment="1">
      <alignment vertical="top"/>
    </xf>
    <xf numFmtId="168" fontId="167" fillId="0" borderId="0" xfId="1" applyNumberFormat="1" applyFont="1" applyFill="1" applyBorder="1"/>
    <xf numFmtId="168" fontId="168" fillId="0" borderId="0" xfId="1" applyNumberFormat="1" applyFont="1" applyFill="1" applyBorder="1" applyAlignment="1">
      <alignment horizontal="right"/>
    </xf>
    <xf numFmtId="168" fontId="54" fillId="0" borderId="0" xfId="1" applyNumberFormat="1" applyFont="1" applyFill="1" applyAlignment="1">
      <alignment vertical="center"/>
    </xf>
    <xf numFmtId="168" fontId="169" fillId="0" borderId="0" xfId="1" applyNumberFormat="1" applyFont="1" applyFill="1" applyBorder="1" applyAlignment="1">
      <alignment vertical="top"/>
    </xf>
    <xf numFmtId="168" fontId="170" fillId="0" borderId="0" xfId="1" applyNumberFormat="1" applyFont="1" applyFill="1" applyBorder="1" applyAlignment="1">
      <alignment vertical="top"/>
    </xf>
    <xf numFmtId="168" fontId="171" fillId="0" borderId="0" xfId="1" applyNumberFormat="1" applyFont="1" applyFill="1" applyBorder="1"/>
    <xf numFmtId="168" fontId="172" fillId="0" borderId="0" xfId="1" applyNumberFormat="1" applyFont="1" applyFill="1" applyBorder="1" applyAlignment="1">
      <alignment vertical="top"/>
    </xf>
    <xf numFmtId="168" fontId="173" fillId="0" borderId="0" xfId="1" applyNumberFormat="1" applyFont="1" applyFill="1" applyBorder="1" applyAlignment="1"/>
    <xf numFmtId="168" fontId="174" fillId="0" borderId="0" xfId="1" applyNumberFormat="1" applyFont="1" applyFill="1" applyBorder="1" applyAlignment="1">
      <alignment vertical="top"/>
    </xf>
    <xf numFmtId="168" fontId="34" fillId="0" borderId="0" xfId="1" applyNumberFormat="1" applyFont="1" applyFill="1"/>
    <xf numFmtId="168" fontId="141" fillId="0" borderId="0" xfId="1" applyNumberFormat="1" applyFont="1" applyFill="1" applyAlignment="1">
      <alignment vertical="center"/>
    </xf>
    <xf numFmtId="168" fontId="141" fillId="0" borderId="0" xfId="1" applyNumberFormat="1" applyFont="1" applyFill="1"/>
    <xf numFmtId="168" fontId="141" fillId="0" borderId="0" xfId="1" applyNumberFormat="1" applyFont="1" applyAlignment="1"/>
    <xf numFmtId="168" fontId="151" fillId="0" borderId="0" xfId="1" applyNumberFormat="1" applyFont="1" applyFill="1"/>
    <xf numFmtId="168" fontId="150" fillId="0" borderId="0" xfId="1" applyNumberFormat="1" applyFont="1" applyFill="1"/>
    <xf numFmtId="168" fontId="152" fillId="0" borderId="0" xfId="1" applyNumberFormat="1" applyFont="1" applyFill="1" applyAlignment="1">
      <alignment vertical="center"/>
    </xf>
    <xf numFmtId="168" fontId="175" fillId="0" borderId="0" xfId="1" applyNumberFormat="1" applyFont="1" applyFill="1"/>
    <xf numFmtId="168" fontId="141" fillId="0" borderId="0" xfId="1" applyNumberFormat="1" applyFont="1" applyFill="1" applyBorder="1"/>
    <xf numFmtId="168" fontId="118" fillId="7" borderId="97" xfId="8" applyNumberFormat="1" applyFont="1" applyFill="1" applyBorder="1"/>
    <xf numFmtId="167" fontId="36" fillId="22" borderId="46" xfId="29" applyNumberFormat="1" applyFont="1" applyFill="1" applyBorder="1"/>
    <xf numFmtId="3" fontId="154" fillId="22" borderId="96" xfId="8" applyNumberFormat="1" applyFont="1" applyFill="1" applyBorder="1" applyAlignment="1">
      <alignment horizontal="right"/>
    </xf>
    <xf numFmtId="167" fontId="176" fillId="22" borderId="46" xfId="29" applyNumberFormat="1" applyFont="1" applyFill="1" applyBorder="1"/>
    <xf numFmtId="168" fontId="176" fillId="22" borderId="96" xfId="8" applyNumberFormat="1" applyFont="1" applyFill="1" applyBorder="1"/>
    <xf numFmtId="167" fontId="36" fillId="22" borderId="57" xfId="29" applyNumberFormat="1" applyFont="1" applyFill="1" applyBorder="1"/>
    <xf numFmtId="44" fontId="36" fillId="22" borderId="96" xfId="29" applyNumberFormat="1" applyFont="1" applyFill="1" applyBorder="1"/>
    <xf numFmtId="168" fontId="36" fillId="22" borderId="97" xfId="8" applyNumberFormat="1" applyFont="1" applyFill="1" applyBorder="1"/>
    <xf numFmtId="3" fontId="36" fillId="22" borderId="102" xfId="8" applyNumberFormat="1" applyFont="1" applyFill="1" applyBorder="1" applyAlignment="1">
      <alignment horizontal="right"/>
    </xf>
    <xf numFmtId="3" fontId="36" fillId="22" borderId="93" xfId="8" applyNumberFormat="1" applyFont="1" applyFill="1" applyBorder="1" applyAlignment="1">
      <alignment horizontal="right"/>
    </xf>
    <xf numFmtId="3" fontId="36" fillId="22" borderId="52" xfId="8" applyNumberFormat="1" applyFont="1" applyFill="1" applyBorder="1" applyAlignment="1">
      <alignment horizontal="right"/>
    </xf>
    <xf numFmtId="44" fontId="36" fillId="22" borderId="96" xfId="29" applyNumberFormat="1" applyFont="1" applyFill="1" applyBorder="1" applyAlignment="1">
      <alignment horizontal="right"/>
    </xf>
    <xf numFmtId="167" fontId="176" fillId="22" borderId="57" xfId="29" applyNumberFormat="1" applyFont="1" applyFill="1" applyBorder="1"/>
    <xf numFmtId="44" fontId="176" fillId="22" borderId="96" xfId="29" applyNumberFormat="1" applyFont="1" applyFill="1" applyBorder="1"/>
    <xf numFmtId="168" fontId="34" fillId="6" borderId="0" xfId="1" applyNumberFormat="1" applyFont="1" applyFill="1" applyBorder="1"/>
    <xf numFmtId="10" fontId="141" fillId="6" borderId="0" xfId="2" applyNumberFormat="1" applyFont="1" applyFill="1" applyAlignment="1">
      <alignment horizontal="left"/>
    </xf>
    <xf numFmtId="168" fontId="34" fillId="9" borderId="0" xfId="1" applyNumberFormat="1" applyFont="1" applyFill="1" applyBorder="1"/>
    <xf numFmtId="10" fontId="141" fillId="9" borderId="0" xfId="2" applyNumberFormat="1" applyFont="1" applyFill="1" applyAlignment="1">
      <alignment horizontal="left"/>
    </xf>
    <xf numFmtId="10" fontId="177" fillId="0" borderId="0" xfId="2" applyNumberFormat="1" applyFont="1" applyAlignment="1">
      <alignment horizontal="right"/>
    </xf>
    <xf numFmtId="10" fontId="178" fillId="5" borderId="65" xfId="5" applyNumberFormat="1" applyFont="1" applyFill="1" applyBorder="1" applyAlignment="1">
      <alignment vertical="top"/>
    </xf>
    <xf numFmtId="10" fontId="178" fillId="5" borderId="106" xfId="5" applyNumberFormat="1" applyFont="1" applyFill="1" applyBorder="1" applyAlignment="1">
      <alignment vertical="top"/>
    </xf>
    <xf numFmtId="10" fontId="178" fillId="5" borderId="100" xfId="5" applyNumberFormat="1" applyFont="1" applyFill="1" applyBorder="1" applyAlignment="1">
      <alignment vertical="top"/>
    </xf>
    <xf numFmtId="10" fontId="1" fillId="0" borderId="8" xfId="2" applyNumberFormat="1" applyFont="1" applyBorder="1"/>
    <xf numFmtId="10" fontId="22" fillId="0" borderId="8" xfId="2" applyNumberFormat="1" applyFont="1" applyBorder="1"/>
    <xf numFmtId="43" fontId="179" fillId="0" borderId="0" xfId="1" applyFont="1" applyFill="1" applyBorder="1" applyAlignment="1"/>
    <xf numFmtId="10" fontId="105" fillId="0" borderId="0" xfId="9" applyNumberFormat="1" applyFont="1" applyFill="1" applyBorder="1"/>
    <xf numFmtId="10" fontId="105" fillId="0" borderId="0" xfId="2" applyNumberFormat="1" applyFont="1" applyFill="1" applyBorder="1"/>
    <xf numFmtId="169" fontId="105" fillId="0" borderId="0" xfId="9" applyNumberFormat="1" applyFont="1" applyFill="1" applyBorder="1"/>
    <xf numFmtId="169" fontId="105" fillId="0" borderId="0" xfId="2" applyNumberFormat="1" applyFont="1" applyFill="1" applyBorder="1"/>
    <xf numFmtId="166" fontId="105" fillId="0" borderId="0" xfId="9" applyNumberFormat="1" applyFont="1" applyFill="1" applyBorder="1"/>
    <xf numFmtId="166" fontId="101" fillId="0" borderId="0" xfId="9" applyNumberFormat="1" applyFont="1" applyFill="1" applyBorder="1"/>
    <xf numFmtId="10" fontId="101" fillId="0" borderId="0" xfId="9" applyNumberFormat="1" applyFont="1" applyFill="1" applyBorder="1"/>
    <xf numFmtId="170" fontId="98" fillId="0" borderId="0" xfId="4" applyNumberFormat="1" applyFont="1" applyFill="1"/>
    <xf numFmtId="167" fontId="101" fillId="0" borderId="0" xfId="6" applyFont="1" applyFill="1"/>
    <xf numFmtId="168" fontId="1" fillId="0" borderId="0" xfId="1" applyNumberFormat="1" applyFont="1" applyBorder="1" applyAlignment="1">
      <alignment horizontal="center"/>
    </xf>
    <xf numFmtId="168" fontId="1" fillId="0" borderId="0" xfId="1" applyNumberFormat="1" applyFont="1" applyBorder="1"/>
    <xf numFmtId="168" fontId="1" fillId="0" borderId="8" xfId="1" applyNumberFormat="1" applyFont="1" applyBorder="1"/>
    <xf numFmtId="168" fontId="1" fillId="0" borderId="0" xfId="2" applyNumberFormat="1" applyFont="1" applyBorder="1"/>
    <xf numFmtId="168" fontId="1" fillId="0" borderId="8" xfId="2" applyNumberFormat="1" applyFont="1" applyBorder="1"/>
    <xf numFmtId="10" fontId="22" fillId="14" borderId="0" xfId="9" applyNumberFormat="1" applyFont="1" applyFill="1" applyBorder="1"/>
    <xf numFmtId="10" fontId="22" fillId="14" borderId="8" xfId="9" applyNumberFormat="1" applyFont="1" applyFill="1" applyBorder="1"/>
    <xf numFmtId="168" fontId="22" fillId="0" borderId="0" xfId="13" applyNumberFormat="1" applyFont="1" applyFill="1" applyBorder="1"/>
    <xf numFmtId="10" fontId="2" fillId="0" borderId="1" xfId="9" applyNumberFormat="1" applyFont="1" applyFill="1" applyBorder="1" applyAlignment="1">
      <alignment horizontal="center"/>
    </xf>
    <xf numFmtId="167" fontId="2" fillId="0" borderId="0" xfId="30" applyFont="1" applyFill="1" applyBorder="1" applyAlignment="1">
      <alignment horizontal="right"/>
    </xf>
    <xf numFmtId="10" fontId="2" fillId="0" borderId="0" xfId="9" applyNumberFormat="1" applyFont="1" applyFill="1" applyBorder="1" applyAlignment="1">
      <alignment horizontal="center"/>
    </xf>
    <xf numFmtId="167" fontId="2" fillId="0" borderId="0" xfId="30" applyFont="1" applyFill="1" applyBorder="1"/>
    <xf numFmtId="167" fontId="106" fillId="0" borderId="0" xfId="30" applyFont="1" applyBorder="1" applyAlignment="1">
      <alignment horizontal="center"/>
    </xf>
    <xf numFmtId="10" fontId="106" fillId="0" borderId="0" xfId="2" applyNumberFormat="1" applyFont="1" applyBorder="1"/>
    <xf numFmtId="10" fontId="106" fillId="0" borderId="8" xfId="2" applyNumberFormat="1" applyFont="1" applyBorder="1"/>
    <xf numFmtId="167" fontId="106" fillId="0" borderId="0" xfId="30" applyFont="1" applyFill="1"/>
    <xf numFmtId="43" fontId="106" fillId="0" borderId="8" xfId="1" applyFont="1" applyFill="1" applyBorder="1" applyAlignment="1">
      <alignment horizontal="right"/>
    </xf>
    <xf numFmtId="167" fontId="2" fillId="23" borderId="39" xfId="30" applyFont="1" applyFill="1" applyBorder="1" applyAlignment="1">
      <alignment horizontal="left"/>
    </xf>
    <xf numFmtId="167" fontId="2" fillId="23" borderId="11" xfId="30" applyFont="1" applyFill="1" applyBorder="1"/>
    <xf numFmtId="167" fontId="1" fillId="23" borderId="11" xfId="30" applyFont="1" applyFill="1" applyBorder="1"/>
    <xf numFmtId="167" fontId="1" fillId="23" borderId="41" xfId="30" applyFont="1" applyFill="1" applyBorder="1"/>
    <xf numFmtId="167" fontId="2" fillId="0" borderId="7" xfId="30" applyFont="1" applyBorder="1" applyAlignment="1">
      <alignment horizontal="right" wrapText="1"/>
    </xf>
    <xf numFmtId="167" fontId="2" fillId="0" borderId="7" xfId="30" applyFont="1" applyFill="1" applyBorder="1" applyAlignment="1">
      <alignment horizontal="right"/>
    </xf>
    <xf numFmtId="169" fontId="22" fillId="0" borderId="0" xfId="9" applyNumberFormat="1" applyFont="1" applyFill="1" applyBorder="1"/>
    <xf numFmtId="166" fontId="22" fillId="0" borderId="0" xfId="9" applyNumberFormat="1" applyFont="1" applyFill="1" applyBorder="1"/>
    <xf numFmtId="166" fontId="22" fillId="0" borderId="8" xfId="9" applyNumberFormat="1" applyFont="1" applyFill="1" applyBorder="1"/>
    <xf numFmtId="166" fontId="22" fillId="0" borderId="16" xfId="9" applyNumberFormat="1" applyFont="1" applyFill="1" applyBorder="1"/>
    <xf numFmtId="167" fontId="2" fillId="0" borderId="0" xfId="30" applyFont="1" applyFill="1" applyAlignment="1">
      <alignment horizontal="right"/>
    </xf>
    <xf numFmtId="166" fontId="1" fillId="0" borderId="0" xfId="9" applyNumberFormat="1" applyFont="1" applyFill="1"/>
    <xf numFmtId="43" fontId="1" fillId="0" borderId="0" xfId="30" applyNumberFormat="1" applyFont="1" applyFill="1"/>
    <xf numFmtId="176" fontId="22" fillId="0" borderId="0" xfId="9" applyNumberFormat="1" applyFont="1" applyFill="1" applyBorder="1"/>
    <xf numFmtId="169" fontId="22" fillId="0" borderId="8" xfId="9" applyNumberFormat="1" applyFont="1" applyFill="1" applyBorder="1" applyAlignment="1">
      <alignment horizontal="right"/>
    </xf>
    <xf numFmtId="169" fontId="22" fillId="14" borderId="0" xfId="9" applyNumberFormat="1" applyFont="1" applyFill="1" applyBorder="1"/>
    <xf numFmtId="169" fontId="22" fillId="14" borderId="8" xfId="9" applyNumberFormat="1" applyFont="1" applyFill="1" applyBorder="1"/>
    <xf numFmtId="43" fontId="106" fillId="0" borderId="0" xfId="1" applyFont="1" applyBorder="1" applyAlignment="1">
      <alignment horizontal="center"/>
    </xf>
    <xf numFmtId="43" fontId="180" fillId="0" borderId="0" xfId="1" applyFont="1" applyFill="1" applyBorder="1" applyAlignment="1">
      <alignment vertical="center"/>
    </xf>
    <xf numFmtId="167" fontId="173" fillId="0" borderId="0" xfId="29" applyNumberFormat="1" applyFont="1"/>
    <xf numFmtId="167" fontId="121" fillId="0" borderId="0" xfId="29" applyNumberFormat="1" applyFont="1" applyAlignment="1">
      <alignment vertical="top"/>
    </xf>
    <xf numFmtId="167" fontId="41" fillId="0" borderId="0" xfId="29" applyNumberFormat="1" applyFont="1" applyAlignment="1">
      <alignment vertical="top"/>
    </xf>
    <xf numFmtId="167" fontId="41" fillId="0" borderId="0" xfId="29" applyFont="1" applyFill="1" applyAlignment="1">
      <alignment vertical="top"/>
    </xf>
    <xf numFmtId="168" fontId="141" fillId="0" borderId="0" xfId="1" applyNumberFormat="1" applyFont="1" applyFill="1" applyAlignment="1">
      <alignment vertical="top"/>
    </xf>
    <xf numFmtId="166" fontId="141" fillId="0" borderId="0" xfId="2" applyNumberFormat="1" applyFont="1" applyFill="1" applyAlignment="1">
      <alignment vertical="top"/>
    </xf>
    <xf numFmtId="167" fontId="141" fillId="0" borderId="0" xfId="29" applyNumberFormat="1" applyFont="1" applyFill="1" applyAlignment="1">
      <alignment vertical="top"/>
    </xf>
    <xf numFmtId="43" fontId="142" fillId="0" borderId="0" xfId="1" applyFont="1" applyFill="1" applyAlignment="1">
      <alignment horizontal="right" vertical="top"/>
    </xf>
    <xf numFmtId="43" fontId="33" fillId="0" borderId="0" xfId="1" applyFont="1" applyFill="1" applyAlignment="1">
      <alignment vertical="top"/>
    </xf>
    <xf numFmtId="167" fontId="173" fillId="0" borderId="0" xfId="29" applyNumberFormat="1" applyFont="1" applyAlignment="1">
      <alignment vertical="top"/>
    </xf>
    <xf numFmtId="167" fontId="173" fillId="0" borderId="0" xfId="29" applyNumberFormat="1" applyFont="1" applyAlignment="1">
      <alignment horizontal="right"/>
    </xf>
    <xf numFmtId="167" fontId="181" fillId="0" borderId="0" xfId="29" applyNumberFormat="1" applyFont="1" applyFill="1"/>
    <xf numFmtId="167" fontId="182" fillId="11" borderId="7" xfId="29" applyFont="1" applyFill="1" applyBorder="1" applyAlignment="1">
      <alignment horizontal="center"/>
    </xf>
    <xf numFmtId="10" fontId="183" fillId="11" borderId="9" xfId="2" applyNumberFormat="1" applyFont="1" applyFill="1" applyBorder="1" applyAlignment="1">
      <alignment horizontal="center"/>
    </xf>
    <xf numFmtId="167" fontId="32" fillId="5" borderId="10" xfId="29" applyFont="1" applyFill="1" applyBorder="1" applyAlignment="1">
      <alignment horizontal="center" vertical="center" wrapText="1"/>
    </xf>
    <xf numFmtId="167" fontId="32" fillId="5" borderId="62" xfId="29" applyFont="1" applyFill="1" applyBorder="1" applyAlignment="1">
      <alignment horizontal="center" vertical="center" wrapText="1"/>
    </xf>
    <xf numFmtId="43" fontId="145" fillId="0" borderId="0" xfId="1" applyFont="1" applyFill="1" applyBorder="1" applyAlignment="1">
      <alignment horizontal="center"/>
    </xf>
    <xf numFmtId="43" fontId="142" fillId="0" borderId="0" xfId="1" applyFont="1" applyFill="1" applyBorder="1" applyAlignment="1">
      <alignment horizontal="right" vertical="top"/>
    </xf>
    <xf numFmtId="167" fontId="98" fillId="0" borderId="0" xfId="4" applyFont="1" applyAlignment="1">
      <alignment vertical="top" wrapText="1"/>
    </xf>
    <xf numFmtId="43" fontId="14" fillId="4" borderId="0" xfId="1" applyFont="1" applyFill="1" applyAlignment="1">
      <alignment horizontal="center"/>
    </xf>
    <xf numFmtId="43" fontId="14" fillId="4" borderId="0" xfId="1" applyFont="1" applyFill="1" applyAlignment="1">
      <alignment horizontal="center"/>
    </xf>
    <xf numFmtId="167" fontId="98" fillId="0" borderId="0" xfId="4" applyFont="1" applyAlignment="1">
      <alignment wrapText="1"/>
    </xf>
    <xf numFmtId="167" fontId="98" fillId="0" borderId="0" xfId="4" applyFont="1" applyFill="1"/>
    <xf numFmtId="167" fontId="98" fillId="0" borderId="0" xfId="4" applyFont="1"/>
    <xf numFmtId="167" fontId="98" fillId="0" borderId="0" xfId="4" applyFont="1" applyAlignment="1">
      <alignment horizontal="left"/>
    </xf>
    <xf numFmtId="167" fontId="98" fillId="0" borderId="0" xfId="4" applyFont="1" applyFill="1" applyAlignment="1">
      <alignment horizontal="left"/>
    </xf>
    <xf numFmtId="167" fontId="100" fillId="0" borderId="0" xfId="4" applyFont="1" applyAlignment="1">
      <alignment horizontal="right"/>
    </xf>
    <xf numFmtId="10" fontId="98" fillId="0" borderId="0" xfId="5" applyNumberFormat="1" applyFont="1" applyFill="1"/>
    <xf numFmtId="10" fontId="101" fillId="0" borderId="0" xfId="5" applyNumberFormat="1" applyFont="1" applyFill="1"/>
    <xf numFmtId="10" fontId="103" fillId="0" borderId="0" xfId="5" applyNumberFormat="1" applyFont="1"/>
    <xf numFmtId="168" fontId="98" fillId="0" borderId="0" xfId="8" applyNumberFormat="1" applyFont="1" applyFill="1"/>
    <xf numFmtId="168" fontId="103" fillId="0" borderId="0" xfId="8" applyNumberFormat="1" applyFont="1"/>
    <xf numFmtId="168" fontId="101" fillId="0" borderId="0" xfId="4" applyNumberFormat="1" applyFont="1" applyFill="1" applyAlignment="1">
      <alignment vertical="top"/>
    </xf>
    <xf numFmtId="167" fontId="98" fillId="0" borderId="0" xfId="4" applyFont="1" applyAlignment="1">
      <alignment horizontal="left" vertical="top"/>
    </xf>
    <xf numFmtId="167" fontId="98" fillId="0" borderId="0" xfId="4" applyFont="1" applyAlignment="1">
      <alignment horizontal="right" vertical="top" wrapText="1"/>
    </xf>
    <xf numFmtId="168" fontId="101" fillId="0" borderId="0" xfId="4" applyNumberFormat="1" applyFont="1" applyAlignment="1">
      <alignment vertical="top"/>
    </xf>
    <xf numFmtId="168" fontId="103" fillId="0" borderId="0" xfId="4" applyNumberFormat="1" applyFont="1" applyAlignment="1">
      <alignment vertical="top"/>
    </xf>
    <xf numFmtId="167" fontId="98" fillId="0" borderId="0" xfId="4" applyFont="1" applyAlignment="1">
      <alignment vertical="top"/>
    </xf>
    <xf numFmtId="167" fontId="105" fillId="0" borderId="0" xfId="4" applyFont="1" applyFill="1"/>
    <xf numFmtId="166" fontId="105" fillId="0" borderId="0" xfId="9" applyNumberFormat="1" applyFont="1" applyFill="1" applyBorder="1"/>
    <xf numFmtId="169" fontId="98" fillId="0" borderId="0" xfId="2" applyNumberFormat="1" applyFont="1"/>
    <xf numFmtId="166" fontId="98" fillId="0" borderId="0" xfId="2" applyNumberFormat="1" applyFont="1"/>
    <xf numFmtId="167" fontId="99" fillId="0" borderId="0" xfId="4" applyFont="1" applyAlignment="1">
      <alignment horizontal="right"/>
    </xf>
    <xf numFmtId="10" fontId="98" fillId="0" borderId="0" xfId="5" applyNumberFormat="1" applyFont="1" applyFill="1" applyAlignment="1">
      <alignment vertical="center"/>
    </xf>
    <xf numFmtId="168" fontId="184" fillId="0" borderId="0" xfId="8" applyNumberFormat="1" applyFont="1" applyFill="1" applyAlignment="1">
      <alignment horizontal="right" vertical="top"/>
    </xf>
    <xf numFmtId="168" fontId="98" fillId="0" borderId="0" xfId="8" applyNumberFormat="1" applyFont="1" applyAlignment="1">
      <alignment vertical="top"/>
    </xf>
    <xf numFmtId="168" fontId="98" fillId="0" borderId="0" xfId="8" applyNumberFormat="1" applyFont="1" applyFill="1" applyAlignment="1">
      <alignment vertical="top"/>
    </xf>
    <xf numFmtId="168" fontId="184" fillId="0" borderId="0" xfId="8" applyNumberFormat="1" applyFont="1" applyFill="1" applyAlignment="1">
      <alignment vertical="top"/>
    </xf>
    <xf numFmtId="10" fontId="184" fillId="0" borderId="0" xfId="2" applyNumberFormat="1" applyFont="1" applyFill="1" applyAlignment="1">
      <alignment vertical="top"/>
    </xf>
    <xf numFmtId="167" fontId="100" fillId="0" borderId="0" xfId="4" applyFont="1" applyAlignment="1"/>
    <xf numFmtId="43" fontId="184" fillId="0" borderId="0" xfId="1" applyFont="1" applyFill="1" applyAlignment="1">
      <alignment vertical="top"/>
    </xf>
    <xf numFmtId="177" fontId="11" fillId="0" borderId="0" xfId="0" quotePrefix="1" applyNumberFormat="1" applyFont="1" applyBorder="1" applyAlignment="1">
      <alignment horizontal="left"/>
    </xf>
    <xf numFmtId="167" fontId="2" fillId="0" borderId="0" xfId="2" applyNumberFormat="1" applyFont="1" applyFill="1" applyBorder="1"/>
    <xf numFmtId="167" fontId="0" fillId="0" borderId="0" xfId="1" applyNumberFormat="1" applyFont="1" applyFill="1" applyBorder="1" applyAlignment="1">
      <alignment horizontal="left"/>
    </xf>
    <xf numFmtId="43" fontId="28" fillId="0" borderId="0" xfId="1" applyFont="1" applyFill="1"/>
    <xf numFmtId="167" fontId="28" fillId="0" borderId="0" xfId="1" applyNumberFormat="1" applyFont="1" applyFill="1" applyBorder="1" applyAlignment="1">
      <alignment horizontal="left"/>
    </xf>
    <xf numFmtId="43" fontId="0" fillId="22" borderId="0" xfId="1" applyFont="1" applyFill="1"/>
    <xf numFmtId="167" fontId="142" fillId="0" borderId="0" xfId="1" applyNumberFormat="1" applyFont="1" applyFill="1" applyBorder="1"/>
    <xf numFmtId="43" fontId="23" fillId="0" borderId="0" xfId="1" applyFont="1" applyFill="1"/>
    <xf numFmtId="167" fontId="101" fillId="0" borderId="0" xfId="4" applyFont="1" applyAlignment="1">
      <alignment vertical="top"/>
    </xf>
    <xf numFmtId="167" fontId="101" fillId="0" borderId="0" xfId="4" applyFont="1" applyAlignment="1">
      <alignment horizontal="left" vertical="top"/>
    </xf>
    <xf numFmtId="167" fontId="185" fillId="0" borderId="0" xfId="4" applyFont="1" applyAlignment="1">
      <alignment horizontal="right"/>
    </xf>
    <xf numFmtId="167" fontId="101" fillId="0" borderId="0" xfId="4" applyFont="1" applyAlignment="1">
      <alignment horizontal="right" vertical="top"/>
    </xf>
    <xf numFmtId="167" fontId="101" fillId="0" borderId="0" xfId="4" applyFont="1" applyFill="1" applyAlignment="1">
      <alignment horizontal="left" vertical="top"/>
    </xf>
    <xf numFmtId="167" fontId="101" fillId="0" borderId="0" xfId="4" applyFont="1" applyAlignment="1">
      <alignment horizontal="left"/>
    </xf>
    <xf numFmtId="167" fontId="101" fillId="0" borderId="0" xfId="4" applyFont="1" applyAlignment="1">
      <alignment horizontal="right"/>
    </xf>
    <xf numFmtId="167" fontId="101" fillId="0" borderId="0" xfId="4" applyFont="1" applyFill="1" applyAlignment="1">
      <alignment horizontal="left"/>
    </xf>
    <xf numFmtId="167" fontId="101" fillId="0" borderId="0" xfId="4" applyFont="1" applyAlignment="1"/>
    <xf numFmtId="170" fontId="101" fillId="0" borderId="0" xfId="4" applyNumberFormat="1" applyFont="1"/>
    <xf numFmtId="10" fontId="101" fillId="0" borderId="0" xfId="4" applyNumberFormat="1" applyFont="1" applyFill="1"/>
    <xf numFmtId="10" fontId="101" fillId="0" borderId="0" xfId="5" applyNumberFormat="1" applyFont="1"/>
    <xf numFmtId="168" fontId="54" fillId="0" borderId="0" xfId="29" applyNumberFormat="1" applyFont="1" applyFill="1" applyAlignment="1">
      <alignment vertical="center"/>
    </xf>
    <xf numFmtId="168" fontId="54" fillId="0" borderId="0" xfId="29" applyNumberFormat="1" applyFont="1" applyFill="1" applyBorder="1" applyAlignment="1">
      <alignment vertical="center"/>
    </xf>
    <xf numFmtId="168" fontId="54" fillId="0" borderId="0" xfId="1" applyNumberFormat="1" applyFont="1" applyFill="1" applyBorder="1" applyAlignment="1">
      <alignment vertical="center"/>
    </xf>
    <xf numFmtId="167" fontId="32" fillId="3" borderId="10" xfId="29" applyFont="1" applyFill="1" applyBorder="1" applyAlignment="1">
      <alignment horizontal="center" vertical="center" wrapText="1"/>
    </xf>
    <xf numFmtId="167" fontId="32" fillId="14" borderId="10" xfId="29" applyFont="1" applyFill="1" applyBorder="1" applyAlignment="1">
      <alignment horizontal="center" vertical="center" wrapText="1"/>
    </xf>
    <xf numFmtId="168" fontId="118" fillId="18" borderId="121" xfId="8" applyNumberFormat="1" applyFont="1" applyFill="1" applyBorder="1"/>
    <xf numFmtId="167" fontId="182" fillId="0" borderId="7" xfId="29" applyFont="1" applyFill="1" applyBorder="1" applyAlignment="1">
      <alignment horizontal="center"/>
    </xf>
    <xf numFmtId="10" fontId="183" fillId="0" borderId="9" xfId="2" applyNumberFormat="1" applyFont="1" applyFill="1" applyBorder="1" applyAlignment="1">
      <alignment horizontal="center"/>
    </xf>
    <xf numFmtId="172" fontId="36" fillId="0" borderId="60" xfId="16" applyNumberFormat="1" applyFont="1" applyFill="1" applyBorder="1"/>
    <xf numFmtId="168" fontId="37" fillId="0" borderId="122" xfId="8" applyNumberFormat="1" applyFont="1" applyFill="1" applyBorder="1"/>
    <xf numFmtId="168" fontId="36" fillId="0" borderId="122" xfId="8" applyNumberFormat="1" applyFont="1" applyFill="1" applyBorder="1"/>
    <xf numFmtId="172" fontId="32" fillId="0" borderId="56" xfId="16" applyNumberFormat="1" applyFont="1" applyFill="1" applyBorder="1"/>
    <xf numFmtId="44" fontId="36" fillId="0" borderId="5" xfId="29" applyNumberFormat="1" applyFont="1" applyFill="1" applyBorder="1"/>
    <xf numFmtId="44" fontId="36" fillId="0" borderId="9" xfId="29" applyNumberFormat="1" applyFont="1" applyFill="1" applyBorder="1"/>
    <xf numFmtId="168" fontId="36" fillId="0" borderId="123" xfId="8" applyNumberFormat="1" applyFont="1" applyFill="1" applyBorder="1"/>
    <xf numFmtId="172" fontId="32" fillId="0" borderId="56" xfId="29" applyNumberFormat="1" applyFont="1" applyFill="1" applyBorder="1"/>
    <xf numFmtId="168" fontId="118" fillId="18" borderId="122" xfId="8" applyNumberFormat="1" applyFont="1" applyFill="1" applyBorder="1"/>
    <xf numFmtId="168" fontId="37" fillId="0" borderId="122" xfId="8" applyNumberFormat="1" applyFont="1" applyFill="1" applyBorder="1" applyAlignment="1">
      <alignment vertical="top"/>
    </xf>
    <xf numFmtId="172" fontId="36" fillId="0" borderId="70" xfId="29" applyNumberFormat="1" applyFont="1" applyFill="1" applyBorder="1"/>
    <xf numFmtId="172" fontId="42" fillId="0" borderId="60" xfId="44" applyNumberFormat="1" applyFont="1" applyFill="1" applyBorder="1"/>
    <xf numFmtId="44" fontId="32" fillId="5" borderId="39" xfId="16" applyNumberFormat="1" applyFont="1" applyFill="1" applyBorder="1"/>
    <xf numFmtId="172" fontId="52" fillId="0" borderId="60" xfId="8" applyNumberFormat="1" applyFont="1" applyFill="1" applyBorder="1"/>
    <xf numFmtId="168" fontId="52" fillId="0" borderId="122" xfId="8" applyNumberFormat="1" applyFont="1" applyFill="1" applyBorder="1"/>
    <xf numFmtId="3" fontId="53" fillId="0" borderId="122" xfId="8" applyNumberFormat="1" applyFont="1" applyFill="1" applyBorder="1" applyAlignment="1">
      <alignment horizontal="right"/>
    </xf>
    <xf numFmtId="43" fontId="53" fillId="0" borderId="122" xfId="1" applyFont="1" applyFill="1" applyBorder="1" applyAlignment="1">
      <alignment horizontal="right"/>
    </xf>
    <xf numFmtId="168" fontId="53" fillId="0" borderId="122" xfId="1" applyNumberFormat="1" applyFont="1" applyFill="1" applyBorder="1" applyAlignment="1">
      <alignment horizontal="right"/>
    </xf>
    <xf numFmtId="10" fontId="55" fillId="0" borderId="122" xfId="5" applyNumberFormat="1" applyFont="1" applyFill="1" applyBorder="1" applyAlignment="1">
      <alignment vertical="top"/>
    </xf>
    <xf numFmtId="168" fontId="52" fillId="0" borderId="123" xfId="8" applyNumberFormat="1" applyFont="1" applyFill="1" applyBorder="1"/>
    <xf numFmtId="10" fontId="56" fillId="0" borderId="9" xfId="5" applyNumberFormat="1" applyFont="1" applyFill="1" applyBorder="1" applyAlignment="1">
      <alignment vertical="top"/>
    </xf>
    <xf numFmtId="172" fontId="58" fillId="0" borderId="7" xfId="16" applyNumberFormat="1" applyFont="1" applyFill="1" applyBorder="1"/>
    <xf numFmtId="10" fontId="60" fillId="0" borderId="7" xfId="5" applyNumberFormat="1" applyFont="1" applyFill="1" applyBorder="1" applyAlignment="1">
      <alignment vertical="top"/>
    </xf>
    <xf numFmtId="167" fontId="182" fillId="0" borderId="8" xfId="29" applyFont="1" applyFill="1" applyBorder="1" applyAlignment="1">
      <alignment horizontal="center"/>
    </xf>
    <xf numFmtId="10" fontId="183" fillId="0" borderId="10" xfId="2" applyNumberFormat="1" applyFont="1" applyFill="1" applyBorder="1" applyAlignment="1">
      <alignment horizontal="center"/>
    </xf>
    <xf numFmtId="172" fontId="36" fillId="0" borderId="69" xfId="16" applyNumberFormat="1" applyFont="1" applyFill="1" applyBorder="1"/>
    <xf numFmtId="168" fontId="37" fillId="0" borderId="121" xfId="8" applyNumberFormat="1" applyFont="1" applyFill="1" applyBorder="1"/>
    <xf numFmtId="168" fontId="36" fillId="0" borderId="121" xfId="8" applyNumberFormat="1" applyFont="1" applyFill="1" applyBorder="1"/>
    <xf numFmtId="168" fontId="37" fillId="0" borderId="8" xfId="8" applyNumberFormat="1" applyFont="1" applyFill="1" applyBorder="1"/>
    <xf numFmtId="172" fontId="32" fillId="0" borderId="99" xfId="16" applyNumberFormat="1" applyFont="1" applyFill="1" applyBorder="1"/>
    <xf numFmtId="44" fontId="36" fillId="0" borderId="74" xfId="29" applyNumberFormat="1" applyFont="1" applyFill="1" applyBorder="1"/>
    <xf numFmtId="168" fontId="36" fillId="0" borderId="120" xfId="8" applyNumberFormat="1" applyFont="1" applyFill="1" applyBorder="1"/>
    <xf numFmtId="172" fontId="32" fillId="0" borderId="99" xfId="29" applyNumberFormat="1" applyFont="1" applyFill="1" applyBorder="1"/>
    <xf numFmtId="168" fontId="37" fillId="0" borderId="121" xfId="8" applyNumberFormat="1" applyFont="1" applyFill="1" applyBorder="1" applyAlignment="1">
      <alignment vertical="top"/>
    </xf>
    <xf numFmtId="172" fontId="36" fillId="0" borderId="74" xfId="29" applyNumberFormat="1" applyFont="1" applyFill="1" applyBorder="1"/>
    <xf numFmtId="172" fontId="42" fillId="0" borderId="69" xfId="44" applyNumberFormat="1" applyFont="1" applyFill="1" applyBorder="1"/>
    <xf numFmtId="172" fontId="52" fillId="0" borderId="69" xfId="8" applyNumberFormat="1" applyFont="1" applyFill="1" applyBorder="1"/>
    <xf numFmtId="168" fontId="52" fillId="0" borderId="121" xfId="8" applyNumberFormat="1" applyFont="1" applyFill="1" applyBorder="1"/>
    <xf numFmtId="41" fontId="53" fillId="0" borderId="121" xfId="8" applyNumberFormat="1" applyFont="1" applyFill="1" applyBorder="1" applyAlignment="1">
      <alignment horizontal="right"/>
    </xf>
    <xf numFmtId="43" fontId="53" fillId="0" borderId="121" xfId="1" applyFont="1" applyFill="1" applyBorder="1" applyAlignment="1">
      <alignment horizontal="right"/>
    </xf>
    <xf numFmtId="168" fontId="53" fillId="0" borderId="121" xfId="1" applyNumberFormat="1" applyFont="1" applyFill="1" applyBorder="1" applyAlignment="1">
      <alignment horizontal="right"/>
    </xf>
    <xf numFmtId="3" fontId="53" fillId="0" borderId="121" xfId="8" applyNumberFormat="1" applyFont="1" applyFill="1" applyBorder="1" applyAlignment="1">
      <alignment horizontal="right"/>
    </xf>
    <xf numFmtId="10" fontId="55" fillId="0" borderId="121" xfId="5" applyNumberFormat="1" applyFont="1" applyFill="1" applyBorder="1" applyAlignment="1">
      <alignment vertical="top"/>
    </xf>
    <xf numFmtId="168" fontId="52" fillId="0" borderId="120" xfId="8" applyNumberFormat="1" applyFont="1" applyFill="1" applyBorder="1"/>
    <xf numFmtId="10" fontId="56" fillId="0" borderId="10" xfId="5" applyNumberFormat="1" applyFont="1" applyFill="1" applyBorder="1" applyAlignment="1">
      <alignment vertical="top"/>
    </xf>
    <xf numFmtId="172" fontId="58" fillId="0" borderId="8" xfId="16" applyNumberFormat="1" applyFont="1" applyFill="1" applyBorder="1"/>
    <xf numFmtId="10" fontId="60" fillId="0" borderId="8" xfId="5" applyNumberFormat="1" applyFont="1" applyFill="1" applyBorder="1" applyAlignment="1">
      <alignment vertical="top"/>
    </xf>
    <xf numFmtId="167" fontId="182" fillId="11" borderId="42" xfId="29" applyFont="1" applyFill="1" applyBorder="1" applyAlignment="1">
      <alignment horizontal="center"/>
    </xf>
    <xf numFmtId="10" fontId="183" fillId="11" borderId="30" xfId="2" applyNumberFormat="1" applyFont="1" applyFill="1" applyBorder="1" applyAlignment="1">
      <alignment horizontal="center"/>
    </xf>
    <xf numFmtId="172" fontId="36" fillId="11" borderId="101" xfId="16" applyNumberFormat="1" applyFont="1" applyFill="1" applyBorder="1"/>
    <xf numFmtId="168" fontId="37" fillId="5" borderId="124" xfId="8" applyNumberFormat="1" applyFont="1" applyFill="1" applyBorder="1"/>
    <xf numFmtId="168" fontId="36" fillId="5" borderId="124" xfId="8" applyNumberFormat="1" applyFont="1" applyFill="1" applyBorder="1"/>
    <xf numFmtId="168" fontId="37" fillId="5" borderId="42" xfId="8" applyNumberFormat="1" applyFont="1" applyFill="1" applyBorder="1"/>
    <xf numFmtId="172" fontId="32" fillId="11" borderId="103" xfId="16" applyNumberFormat="1" applyFont="1" applyFill="1" applyBorder="1"/>
    <xf numFmtId="44" fontId="36" fillId="11" borderId="104" xfId="29" applyNumberFormat="1" applyFont="1" applyFill="1" applyBorder="1"/>
    <xf numFmtId="44" fontId="36" fillId="11" borderId="30" xfId="29" applyNumberFormat="1" applyFont="1" applyFill="1" applyBorder="1"/>
    <xf numFmtId="168" fontId="36" fillId="11" borderId="124" xfId="8" applyNumberFormat="1" applyFont="1" applyFill="1" applyBorder="1"/>
    <xf numFmtId="168" fontId="36" fillId="11" borderId="125" xfId="8" applyNumberFormat="1" applyFont="1" applyFill="1" applyBorder="1"/>
    <xf numFmtId="172" fontId="32" fillId="11" borderId="103" xfId="29" applyNumberFormat="1" applyFont="1" applyFill="1" applyBorder="1"/>
    <xf numFmtId="44" fontId="36" fillId="11" borderId="29" xfId="29" applyNumberFormat="1" applyFont="1" applyFill="1" applyBorder="1"/>
    <xf numFmtId="168" fontId="118" fillId="18" borderId="124" xfId="8" applyNumberFormat="1" applyFont="1" applyFill="1" applyBorder="1"/>
    <xf numFmtId="168" fontId="37" fillId="11" borderId="124" xfId="8" applyNumberFormat="1" applyFont="1" applyFill="1" applyBorder="1"/>
    <xf numFmtId="168" fontId="37" fillId="5" borderId="124" xfId="8" applyNumberFormat="1" applyFont="1" applyFill="1" applyBorder="1" applyAlignment="1">
      <alignment vertical="top"/>
    </xf>
    <xf numFmtId="168" fontId="37" fillId="11" borderId="124" xfId="8" applyNumberFormat="1" applyFont="1" applyFill="1" applyBorder="1" applyAlignment="1">
      <alignment vertical="top"/>
    </xf>
    <xf numFmtId="172" fontId="36" fillId="11" borderId="104" xfId="29" applyNumberFormat="1" applyFont="1" applyFill="1" applyBorder="1"/>
    <xf numFmtId="172" fontId="36" fillId="11" borderId="101" xfId="44" applyNumberFormat="1" applyFont="1" applyFill="1" applyBorder="1"/>
    <xf numFmtId="167" fontId="173" fillId="0" borderId="42" xfId="29" applyNumberFormat="1" applyFont="1" applyBorder="1"/>
    <xf numFmtId="172" fontId="52" fillId="11" borderId="101" xfId="8" applyNumberFormat="1" applyFont="1" applyFill="1" applyBorder="1"/>
    <xf numFmtId="168" fontId="52" fillId="11" borderId="124" xfId="8" applyNumberFormat="1" applyFont="1" applyFill="1" applyBorder="1"/>
    <xf numFmtId="3" fontId="53" fillId="11" borderId="124" xfId="8" applyNumberFormat="1" applyFont="1" applyFill="1" applyBorder="1" applyAlignment="1">
      <alignment horizontal="right"/>
    </xf>
    <xf numFmtId="43" fontId="53" fillId="11" borderId="124" xfId="1" applyFont="1" applyFill="1" applyBorder="1" applyAlignment="1">
      <alignment horizontal="right"/>
    </xf>
    <xf numFmtId="168" fontId="53" fillId="11" borderId="124" xfId="1" applyNumberFormat="1" applyFont="1" applyFill="1" applyBorder="1" applyAlignment="1">
      <alignment horizontal="right"/>
    </xf>
    <xf numFmtId="10" fontId="55" fillId="11" borderId="124" xfId="5" applyNumberFormat="1" applyFont="1" applyFill="1" applyBorder="1" applyAlignment="1">
      <alignment vertical="top"/>
    </xf>
    <xf numFmtId="168" fontId="52" fillId="11" borderId="125" xfId="8" applyNumberFormat="1" applyFont="1" applyFill="1" applyBorder="1"/>
    <xf numFmtId="10" fontId="56" fillId="11" borderId="30" xfId="5" applyNumberFormat="1" applyFont="1" applyFill="1" applyBorder="1" applyAlignment="1">
      <alignment vertical="top"/>
    </xf>
    <xf numFmtId="172" fontId="57" fillId="11" borderId="42" xfId="16" applyNumberFormat="1" applyFont="1" applyFill="1" applyBorder="1"/>
    <xf numFmtId="10" fontId="60" fillId="11" borderId="42" xfId="5" applyNumberFormat="1" applyFont="1" applyFill="1" applyBorder="1" applyAlignment="1">
      <alignment vertical="top"/>
    </xf>
    <xf numFmtId="10" fontId="61" fillId="0" borderId="107" xfId="5" applyNumberFormat="1" applyFont="1" applyFill="1" applyBorder="1" applyAlignment="1">
      <alignment vertical="top"/>
    </xf>
    <xf numFmtId="167" fontId="36" fillId="3" borderId="39" xfId="29" applyNumberFormat="1" applyFont="1" applyFill="1" applyBorder="1"/>
    <xf numFmtId="167" fontId="36" fillId="5" borderId="42" xfId="29" applyNumberFormat="1" applyFont="1" applyFill="1" applyBorder="1"/>
    <xf numFmtId="167" fontId="36" fillId="5" borderId="110" xfId="29" applyNumberFormat="1" applyFont="1" applyFill="1" applyBorder="1"/>
    <xf numFmtId="167" fontId="36" fillId="0" borderId="126" xfId="29" applyNumberFormat="1" applyFont="1" applyFill="1" applyBorder="1"/>
    <xf numFmtId="167" fontId="36" fillId="0" borderId="127" xfId="29" applyNumberFormat="1" applyFont="1" applyFill="1" applyBorder="1"/>
    <xf numFmtId="167" fontId="36" fillId="5" borderId="128" xfId="29" applyNumberFormat="1" applyFont="1" applyFill="1" applyBorder="1"/>
    <xf numFmtId="167" fontId="36" fillId="5" borderId="111" xfId="29" applyNumberFormat="1" applyFont="1" applyFill="1" applyBorder="1"/>
    <xf numFmtId="172" fontId="36" fillId="3" borderId="7" xfId="29" applyNumberFormat="1" applyFont="1" applyFill="1" applyBorder="1"/>
    <xf numFmtId="172" fontId="36" fillId="3" borderId="8" xfId="29" applyNumberFormat="1" applyFont="1" applyFill="1" applyBorder="1"/>
    <xf numFmtId="167" fontId="36" fillId="0" borderId="40" xfId="29" applyNumberFormat="1" applyFont="1" applyFill="1" applyBorder="1" applyAlignment="1">
      <alignment vertical="center"/>
    </xf>
    <xf numFmtId="167" fontId="47" fillId="3" borderId="13" xfId="29" applyNumberFormat="1" applyFont="1" applyFill="1" applyBorder="1" applyAlignment="1">
      <alignment vertical="center"/>
    </xf>
    <xf numFmtId="10" fontId="61" fillId="3" borderId="13" xfId="5" applyNumberFormat="1" applyFont="1" applyFill="1" applyBorder="1" applyAlignment="1">
      <alignment vertical="top"/>
    </xf>
    <xf numFmtId="10" fontId="61" fillId="3" borderId="65" xfId="5" applyNumberFormat="1" applyFont="1" applyFill="1" applyBorder="1" applyAlignment="1">
      <alignment vertical="top"/>
    </xf>
    <xf numFmtId="10" fontId="61" fillId="3" borderId="106" xfId="5" applyNumberFormat="1" applyFont="1" applyFill="1" applyBorder="1" applyAlignment="1">
      <alignment vertical="top"/>
    </xf>
    <xf numFmtId="10" fontId="61" fillId="3" borderId="100" xfId="5" applyNumberFormat="1" applyFont="1" applyFill="1" applyBorder="1" applyAlignment="1">
      <alignment vertical="top"/>
    </xf>
    <xf numFmtId="10" fontId="61" fillId="3" borderId="64" xfId="5" applyNumberFormat="1" applyFont="1" applyFill="1" applyBorder="1" applyAlignment="1">
      <alignment vertical="top"/>
    </xf>
    <xf numFmtId="167" fontId="47" fillId="3" borderId="65" xfId="29" applyNumberFormat="1" applyFont="1" applyFill="1" applyBorder="1" applyAlignment="1">
      <alignment vertical="center"/>
    </xf>
    <xf numFmtId="167" fontId="36" fillId="3" borderId="5" xfId="29" applyNumberFormat="1" applyFont="1" applyFill="1" applyBorder="1" applyAlignment="1"/>
    <xf numFmtId="167" fontId="32" fillId="3" borderId="1" xfId="29" applyNumberFormat="1" applyFont="1" applyFill="1" applyBorder="1" applyAlignment="1"/>
    <xf numFmtId="167" fontId="36" fillId="3" borderId="1" xfId="29" applyNumberFormat="1" applyFont="1" applyFill="1" applyBorder="1" applyAlignment="1"/>
    <xf numFmtId="172" fontId="32" fillId="3" borderId="1" xfId="16" applyNumberFormat="1" applyFont="1" applyFill="1" applyBorder="1" applyAlignment="1"/>
    <xf numFmtId="172" fontId="32" fillId="3" borderId="5" xfId="16" applyNumberFormat="1" applyFont="1" applyFill="1" applyBorder="1" applyAlignment="1"/>
    <xf numFmtId="172" fontId="32" fillId="3" borderId="6" xfId="16" applyNumberFormat="1" applyFont="1" applyFill="1" applyBorder="1" applyAlignment="1"/>
    <xf numFmtId="172" fontId="32" fillId="3" borderId="49" xfId="16" applyNumberFormat="1" applyFont="1" applyFill="1" applyBorder="1" applyAlignment="1"/>
    <xf numFmtId="168" fontId="141" fillId="0" borderId="0" xfId="1" applyNumberFormat="1" applyFont="1" applyFill="1" applyAlignment="1"/>
    <xf numFmtId="166" fontId="141" fillId="0" borderId="0" xfId="2" applyNumberFormat="1" applyFont="1" applyFill="1" applyAlignment="1"/>
    <xf numFmtId="167" fontId="141" fillId="0" borderId="0" xfId="29" applyNumberFormat="1" applyFont="1" applyFill="1" applyAlignment="1"/>
    <xf numFmtId="167" fontId="33" fillId="0" borderId="0" xfId="29" applyNumberFormat="1" applyFont="1" applyAlignment="1"/>
    <xf numFmtId="167" fontId="35" fillId="0" borderId="7" xfId="29" applyFont="1" applyFill="1" applyBorder="1" applyAlignment="1">
      <alignment horizontal="center"/>
    </xf>
    <xf numFmtId="167" fontId="36" fillId="0" borderId="9" xfId="29" applyFont="1" applyFill="1" applyBorder="1" applyAlignment="1">
      <alignment horizontal="center"/>
    </xf>
    <xf numFmtId="168" fontId="36" fillId="0" borderId="7" xfId="8" applyNumberFormat="1" applyFont="1" applyFill="1" applyBorder="1"/>
    <xf numFmtId="172" fontId="32" fillId="0" borderId="56" xfId="8" applyNumberFormat="1" applyFont="1" applyFill="1" applyBorder="1"/>
    <xf numFmtId="44" fontId="36" fillId="0" borderId="70" xfId="29" applyNumberFormat="1" applyFont="1" applyFill="1" applyBorder="1"/>
    <xf numFmtId="44" fontId="36" fillId="0" borderId="7" xfId="29" applyNumberFormat="1" applyFont="1" applyFill="1" applyBorder="1"/>
    <xf numFmtId="172" fontId="36" fillId="0" borderId="122" xfId="16" applyNumberFormat="1" applyFont="1" applyFill="1" applyBorder="1"/>
    <xf numFmtId="168" fontId="36" fillId="0" borderId="129" xfId="8" applyNumberFormat="1" applyFont="1" applyFill="1" applyBorder="1"/>
    <xf numFmtId="172" fontId="36" fillId="0" borderId="70" xfId="16" applyNumberFormat="1" applyFont="1" applyFill="1" applyBorder="1"/>
    <xf numFmtId="172" fontId="36" fillId="0" borderId="5" xfId="16" applyNumberFormat="1" applyFont="1" applyFill="1" applyBorder="1"/>
    <xf numFmtId="172" fontId="36" fillId="0" borderId="66" xfId="16" applyNumberFormat="1" applyFont="1" applyFill="1" applyBorder="1"/>
    <xf numFmtId="168" fontId="36" fillId="0" borderId="122" xfId="8" applyNumberFormat="1" applyFont="1" applyFill="1" applyBorder="1" applyAlignment="1">
      <alignment vertical="top"/>
    </xf>
    <xf numFmtId="172" fontId="32" fillId="12" borderId="7" xfId="16" applyNumberFormat="1" applyFont="1" applyFill="1" applyBorder="1" applyAlignment="1">
      <alignment vertical="center"/>
    </xf>
    <xf numFmtId="44" fontId="32" fillId="3" borderId="39" xfId="16" applyNumberFormat="1" applyFont="1" applyFill="1" applyBorder="1"/>
    <xf numFmtId="172" fontId="32" fillId="0" borderId="60" xfId="16" applyNumberFormat="1" applyFont="1" applyFill="1" applyBorder="1" applyAlignment="1">
      <alignment vertical="center"/>
    </xf>
    <xf numFmtId="168" fontId="32" fillId="0" borderId="122" xfId="8" applyNumberFormat="1" applyFont="1" applyFill="1" applyBorder="1" applyAlignment="1">
      <alignment vertical="center"/>
    </xf>
    <xf numFmtId="168" fontId="32" fillId="0" borderId="123" xfId="8" applyNumberFormat="1" applyFont="1" applyFill="1" applyBorder="1" applyAlignment="1">
      <alignment vertical="center"/>
    </xf>
    <xf numFmtId="167" fontId="35" fillId="0" borderId="8" xfId="29" applyFont="1" applyFill="1" applyBorder="1" applyAlignment="1">
      <alignment horizontal="center"/>
    </xf>
    <xf numFmtId="167" fontId="36" fillId="0" borderId="10" xfId="29" applyFont="1" applyFill="1" applyBorder="1" applyAlignment="1">
      <alignment horizontal="center"/>
    </xf>
    <xf numFmtId="168" fontId="36" fillId="0" borderId="8" xfId="8" applyNumberFormat="1" applyFont="1" applyFill="1" applyBorder="1"/>
    <xf numFmtId="172" fontId="32" fillId="0" borderId="99" xfId="8" applyNumberFormat="1" applyFont="1" applyFill="1" applyBorder="1"/>
    <xf numFmtId="44" fontId="36" fillId="0" borderId="8" xfId="29" applyNumberFormat="1" applyFont="1" applyFill="1" applyBorder="1"/>
    <xf numFmtId="172" fontId="36" fillId="0" borderId="121" xfId="16" applyNumberFormat="1" applyFont="1" applyFill="1" applyBorder="1"/>
    <xf numFmtId="168" fontId="36" fillId="0" borderId="130" xfId="8" applyNumberFormat="1" applyFont="1" applyFill="1" applyBorder="1"/>
    <xf numFmtId="172" fontId="36" fillId="0" borderId="74" xfId="16" applyNumberFormat="1" applyFont="1" applyFill="1" applyBorder="1"/>
    <xf numFmtId="172" fontId="36" fillId="0" borderId="6" xfId="16" applyNumberFormat="1" applyFont="1" applyFill="1" applyBorder="1"/>
    <xf numFmtId="168" fontId="36" fillId="0" borderId="121" xfId="8" applyNumberFormat="1" applyFont="1" applyFill="1" applyBorder="1" applyAlignment="1">
      <alignment vertical="top"/>
    </xf>
    <xf numFmtId="44" fontId="36" fillId="0" borderId="69" xfId="44" applyFont="1" applyFill="1" applyBorder="1"/>
    <xf numFmtId="172" fontId="32" fillId="0" borderId="69" xfId="16" applyNumberFormat="1" applyFont="1" applyFill="1" applyBorder="1" applyAlignment="1">
      <alignment vertical="center"/>
    </xf>
    <xf numFmtId="168" fontId="32" fillId="0" borderId="121" xfId="8" applyNumberFormat="1" applyFont="1" applyFill="1" applyBorder="1" applyAlignment="1">
      <alignment vertical="center"/>
    </xf>
    <xf numFmtId="168" fontId="32" fillId="0" borderId="120" xfId="8" applyNumberFormat="1" applyFont="1" applyFill="1" applyBorder="1" applyAlignment="1">
      <alignment vertical="center"/>
    </xf>
    <xf numFmtId="167" fontId="35" fillId="3" borderId="42" xfId="29" applyFont="1" applyFill="1" applyBorder="1" applyAlignment="1">
      <alignment horizontal="center"/>
    </xf>
    <xf numFmtId="167" fontId="36" fillId="3" borderId="30" xfId="29" applyFont="1" applyFill="1" applyBorder="1" applyAlignment="1">
      <alignment horizontal="center"/>
    </xf>
    <xf numFmtId="172" fontId="36" fillId="3" borderId="101" xfId="16" applyNumberFormat="1" applyFont="1" applyFill="1" applyBorder="1"/>
    <xf numFmtId="168" fontId="36" fillId="3" borderId="124" xfId="8" applyNumberFormat="1" applyFont="1" applyFill="1" applyBorder="1"/>
    <xf numFmtId="168" fontId="37" fillId="3" borderId="124" xfId="8" applyNumberFormat="1" applyFont="1" applyFill="1" applyBorder="1"/>
    <xf numFmtId="168" fontId="36" fillId="3" borderId="125" xfId="8" applyNumberFormat="1" applyFont="1" applyFill="1" applyBorder="1"/>
    <xf numFmtId="168" fontId="36" fillId="3" borderId="42" xfId="8" applyNumberFormat="1" applyFont="1" applyFill="1" applyBorder="1"/>
    <xf numFmtId="172" fontId="32" fillId="3" borderId="103" xfId="8" applyNumberFormat="1" applyFont="1" applyFill="1" applyBorder="1"/>
    <xf numFmtId="44" fontId="36" fillId="3" borderId="104" xfId="29" applyNumberFormat="1" applyFont="1" applyFill="1" applyBorder="1"/>
    <xf numFmtId="44" fontId="36" fillId="3" borderId="42" xfId="29" applyNumberFormat="1" applyFont="1" applyFill="1" applyBorder="1"/>
    <xf numFmtId="172" fontId="36" fillId="3" borderId="124" xfId="16" applyNumberFormat="1" applyFont="1" applyFill="1" applyBorder="1"/>
    <xf numFmtId="168" fontId="36" fillId="3" borderId="131" xfId="8" applyNumberFormat="1" applyFont="1" applyFill="1" applyBorder="1"/>
    <xf numFmtId="172" fontId="32" fillId="3" borderId="103" xfId="16" applyNumberFormat="1" applyFont="1" applyFill="1" applyBorder="1"/>
    <xf numFmtId="172" fontId="36" fillId="3" borderId="104" xfId="16" applyNumberFormat="1" applyFont="1" applyFill="1" applyBorder="1"/>
    <xf numFmtId="172" fontId="36" fillId="3" borderId="29" xfId="16" applyNumberFormat="1" applyFont="1" applyFill="1" applyBorder="1"/>
    <xf numFmtId="44" fontId="36" fillId="3" borderId="30" xfId="29" applyNumberFormat="1" applyFont="1" applyFill="1" applyBorder="1"/>
    <xf numFmtId="168" fontId="36" fillId="3" borderId="124" xfId="8" applyNumberFormat="1" applyFont="1" applyFill="1" applyBorder="1" applyAlignment="1">
      <alignment vertical="top"/>
    </xf>
    <xf numFmtId="168" fontId="37" fillId="3" borderId="124" xfId="8" applyNumberFormat="1" applyFont="1" applyFill="1" applyBorder="1" applyAlignment="1">
      <alignment vertical="top"/>
    </xf>
    <xf numFmtId="44" fontId="36" fillId="3" borderId="101" xfId="44" applyFont="1" applyFill="1" applyBorder="1"/>
    <xf numFmtId="172" fontId="36" fillId="3" borderId="42" xfId="29" applyNumberFormat="1" applyFont="1" applyFill="1" applyBorder="1"/>
    <xf numFmtId="167" fontId="36" fillId="0" borderId="30" xfId="29" applyNumberFormat="1" applyFont="1" applyFill="1" applyBorder="1"/>
    <xf numFmtId="172" fontId="32" fillId="3" borderId="42" xfId="16" applyNumberFormat="1" applyFont="1" applyFill="1" applyBorder="1" applyAlignment="1">
      <alignment vertical="center"/>
    </xf>
    <xf numFmtId="172" fontId="32" fillId="3" borderId="101" xfId="16" applyNumberFormat="1" applyFont="1" applyFill="1" applyBorder="1" applyAlignment="1">
      <alignment vertical="center"/>
    </xf>
    <xf numFmtId="168" fontId="32" fillId="3" borderId="124" xfId="8" applyNumberFormat="1" applyFont="1" applyFill="1" applyBorder="1" applyAlignment="1">
      <alignment vertical="center"/>
    </xf>
    <xf numFmtId="168" fontId="32" fillId="3" borderId="125" xfId="8" applyNumberFormat="1" applyFont="1" applyFill="1" applyBorder="1" applyAlignment="1">
      <alignment vertical="center"/>
    </xf>
    <xf numFmtId="172" fontId="32" fillId="3" borderId="29" xfId="16" applyNumberFormat="1" applyFont="1" applyFill="1" applyBorder="1" applyAlignment="1"/>
    <xf numFmtId="167" fontId="41" fillId="0" borderId="107" xfId="29" applyFont="1" applyBorder="1"/>
    <xf numFmtId="167" fontId="36" fillId="0" borderId="71" xfId="29" applyFont="1" applyFill="1" applyBorder="1"/>
    <xf numFmtId="167" fontId="32" fillId="0" borderId="7" xfId="29" applyFont="1" applyFill="1" applyBorder="1"/>
    <xf numFmtId="167" fontId="64" fillId="0" borderId="7" xfId="29" applyFont="1" applyFill="1" applyBorder="1" applyAlignment="1"/>
    <xf numFmtId="168" fontId="36" fillId="0" borderId="60" xfId="1" applyNumberFormat="1" applyFont="1" applyFill="1" applyBorder="1"/>
    <xf numFmtId="168" fontId="37" fillId="0" borderId="129" xfId="8" applyNumberFormat="1" applyFont="1" applyFill="1" applyBorder="1"/>
    <xf numFmtId="44" fontId="36" fillId="0" borderId="60" xfId="29" applyNumberFormat="1" applyFont="1" applyFill="1" applyBorder="1"/>
    <xf numFmtId="172" fontId="32" fillId="0" borderId="65" xfId="44" applyNumberFormat="1" applyFont="1" applyFill="1" applyBorder="1"/>
    <xf numFmtId="172" fontId="36" fillId="0" borderId="66" xfId="44" applyNumberFormat="1" applyFont="1" applyFill="1" applyBorder="1"/>
    <xf numFmtId="172" fontId="36" fillId="0" borderId="110" xfId="16" applyNumberFormat="1" applyFont="1" applyFill="1" applyBorder="1"/>
    <xf numFmtId="44" fontId="32" fillId="14" borderId="39" xfId="16" applyNumberFormat="1" applyFont="1" applyFill="1" applyBorder="1"/>
    <xf numFmtId="172" fontId="52" fillId="0" borderId="66" xfId="8" applyNumberFormat="1" applyFont="1" applyFill="1" applyBorder="1"/>
    <xf numFmtId="168" fontId="53" fillId="0" borderId="122" xfId="8" applyNumberFormat="1" applyFont="1" applyFill="1" applyBorder="1" applyAlignment="1">
      <alignment horizontal="right"/>
    </xf>
    <xf numFmtId="167" fontId="32" fillId="0" borderId="8" xfId="29" applyFont="1" applyFill="1" applyBorder="1"/>
    <xf numFmtId="167" fontId="64" fillId="0" borderId="8" xfId="29" applyFont="1" applyFill="1" applyBorder="1" applyAlignment="1"/>
    <xf numFmtId="172" fontId="36" fillId="0" borderId="95" xfId="16" applyNumberFormat="1" applyFont="1" applyFill="1" applyBorder="1"/>
    <xf numFmtId="168" fontId="37" fillId="0" borderId="130" xfId="8" applyNumberFormat="1" applyFont="1" applyFill="1" applyBorder="1"/>
    <xf numFmtId="44" fontId="36" fillId="0" borderId="69" xfId="29" applyNumberFormat="1" applyFont="1" applyFill="1" applyBorder="1"/>
    <xf numFmtId="172" fontId="32" fillId="0" borderId="100" xfId="44" applyNumberFormat="1" applyFont="1" applyFill="1" applyBorder="1"/>
    <xf numFmtId="172" fontId="36" fillId="0" borderId="95" xfId="44" applyNumberFormat="1" applyFont="1" applyFill="1" applyBorder="1"/>
    <xf numFmtId="172" fontId="52" fillId="0" borderId="95" xfId="8" applyNumberFormat="1" applyFont="1" applyFill="1" applyBorder="1"/>
    <xf numFmtId="168" fontId="53" fillId="0" borderId="121" xfId="8" applyNumberFormat="1" applyFont="1" applyFill="1" applyBorder="1" applyAlignment="1">
      <alignment horizontal="right"/>
    </xf>
    <xf numFmtId="167" fontId="32" fillId="13" borderId="42" xfId="29" applyFont="1" applyFill="1" applyBorder="1"/>
    <xf numFmtId="172" fontId="36" fillId="13" borderId="112" xfId="16" applyNumberFormat="1" applyFont="1" applyFill="1" applyBorder="1"/>
    <xf numFmtId="168" fontId="36" fillId="13" borderId="101" xfId="1" applyNumberFormat="1" applyFont="1" applyFill="1" applyBorder="1"/>
    <xf numFmtId="168" fontId="36" fillId="13" borderId="124" xfId="8" applyNumberFormat="1" applyFont="1" applyFill="1" applyBorder="1"/>
    <xf numFmtId="168" fontId="37" fillId="13" borderId="124" xfId="8" applyNumberFormat="1" applyFont="1" applyFill="1" applyBorder="1"/>
    <xf numFmtId="168" fontId="37" fillId="13" borderId="131" xfId="8" applyNumberFormat="1" applyFont="1" applyFill="1" applyBorder="1"/>
    <xf numFmtId="172" fontId="32" fillId="13" borderId="103" xfId="16" applyNumberFormat="1" applyFont="1" applyFill="1" applyBorder="1"/>
    <xf numFmtId="44" fontId="36" fillId="13" borderId="42" xfId="29" applyNumberFormat="1" applyFont="1" applyFill="1" applyBorder="1"/>
    <xf numFmtId="44" fontId="36" fillId="13" borderId="101" xfId="29" applyNumberFormat="1" applyFont="1" applyFill="1" applyBorder="1"/>
    <xf numFmtId="172" fontId="36" fillId="13" borderId="124" xfId="16" applyNumberFormat="1" applyFont="1" applyFill="1" applyBorder="1"/>
    <xf numFmtId="168" fontId="36" fillId="13" borderId="131" xfId="8" applyNumberFormat="1" applyFont="1" applyFill="1" applyBorder="1"/>
    <xf numFmtId="172" fontId="32" fillId="13" borderId="106" xfId="44" applyNumberFormat="1" applyFont="1" applyFill="1" applyBorder="1"/>
    <xf numFmtId="168" fontId="36" fillId="13" borderId="42" xfId="8" applyNumberFormat="1" applyFont="1" applyFill="1" applyBorder="1"/>
    <xf numFmtId="44" fontId="36" fillId="13" borderId="30" xfId="29" applyNumberFormat="1" applyFont="1" applyFill="1" applyBorder="1"/>
    <xf numFmtId="172" fontId="36" fillId="13" borderId="101" xfId="16" applyNumberFormat="1" applyFont="1" applyFill="1" applyBorder="1"/>
    <xf numFmtId="171" fontId="36" fillId="13" borderId="124" xfId="8" applyNumberFormat="1" applyFont="1" applyFill="1" applyBorder="1"/>
    <xf numFmtId="168" fontId="36" fillId="13" borderId="124" xfId="8" applyNumberFormat="1" applyFont="1" applyFill="1" applyBorder="1" applyAlignment="1">
      <alignment vertical="top"/>
    </xf>
    <xf numFmtId="168" fontId="37" fillId="13" borderId="124" xfId="8" applyNumberFormat="1" applyFont="1" applyFill="1" applyBorder="1" applyAlignment="1">
      <alignment vertical="top"/>
    </xf>
    <xf numFmtId="172" fontId="36" fillId="13" borderId="112" xfId="44" applyNumberFormat="1" applyFont="1" applyFill="1" applyBorder="1"/>
    <xf numFmtId="172" fontId="36" fillId="13" borderId="113" xfId="16" applyNumberFormat="1" applyFont="1" applyFill="1" applyBorder="1"/>
    <xf numFmtId="167" fontId="36" fillId="0" borderId="29" xfId="29" applyNumberFormat="1" applyFont="1" applyFill="1" applyBorder="1"/>
    <xf numFmtId="167" fontId="36" fillId="0" borderId="104" xfId="29" applyNumberFormat="1" applyFont="1" applyFill="1" applyBorder="1"/>
    <xf numFmtId="172" fontId="52" fillId="14" borderId="112" xfId="8" applyNumberFormat="1" applyFont="1" applyFill="1" applyBorder="1"/>
    <xf numFmtId="168" fontId="52" fillId="14" borderId="124" xfId="8" applyNumberFormat="1" applyFont="1" applyFill="1" applyBorder="1"/>
    <xf numFmtId="3" fontId="53" fillId="14" borderId="124" xfId="8" applyNumberFormat="1" applyFont="1" applyFill="1" applyBorder="1" applyAlignment="1">
      <alignment horizontal="right"/>
    </xf>
    <xf numFmtId="168" fontId="53" fillId="14" borderId="124" xfId="8" applyNumberFormat="1" applyFont="1" applyFill="1" applyBorder="1" applyAlignment="1">
      <alignment horizontal="right"/>
    </xf>
    <xf numFmtId="10" fontId="55" fillId="14" borderId="124" xfId="5" applyNumberFormat="1" applyFont="1" applyFill="1" applyBorder="1" applyAlignment="1">
      <alignment vertical="top"/>
    </xf>
    <xf numFmtId="168" fontId="52" fillId="14" borderId="125" xfId="8" applyNumberFormat="1" applyFont="1" applyFill="1" applyBorder="1"/>
    <xf numFmtId="10" fontId="56" fillId="14" borderId="30" xfId="5" applyNumberFormat="1" applyFont="1" applyFill="1" applyBorder="1" applyAlignment="1">
      <alignment vertical="top"/>
    </xf>
    <xf numFmtId="172" fontId="57" fillId="14" borderId="42" xfId="16" applyNumberFormat="1" applyFont="1" applyFill="1" applyBorder="1"/>
    <xf numFmtId="10" fontId="60" fillId="14" borderId="42" xfId="5" applyNumberFormat="1" applyFont="1" applyFill="1" applyBorder="1" applyAlignment="1">
      <alignment vertical="top"/>
    </xf>
    <xf numFmtId="167" fontId="28" fillId="0" borderId="0" xfId="28" applyFont="1" applyAlignment="1">
      <alignment horizontal="right"/>
    </xf>
    <xf numFmtId="168" fontId="28" fillId="0" borderId="0" xfId="1" applyNumberFormat="1" applyFont="1" applyFill="1" applyBorder="1"/>
    <xf numFmtId="168" fontId="22" fillId="24" borderId="132" xfId="1" quotePrefix="1" applyNumberFormat="1" applyFont="1" applyFill="1" applyBorder="1" applyAlignment="1">
      <alignment horizontal="center"/>
    </xf>
    <xf numFmtId="168" fontId="22" fillId="24" borderId="132" xfId="1" applyNumberFormat="1" applyFont="1" applyFill="1" applyBorder="1"/>
    <xf numFmtId="168" fontId="22" fillId="24" borderId="133" xfId="1" quotePrefix="1" applyNumberFormat="1" applyFont="1" applyFill="1" applyBorder="1" applyAlignment="1">
      <alignment horizontal="center"/>
    </xf>
    <xf numFmtId="168" fontId="22" fillId="24" borderId="133" xfId="1" applyNumberFormat="1" applyFont="1" applyFill="1" applyBorder="1"/>
    <xf numFmtId="168" fontId="22" fillId="24" borderId="134" xfId="1" quotePrefix="1" applyNumberFormat="1" applyFont="1" applyFill="1" applyBorder="1" applyAlignment="1">
      <alignment horizontal="center"/>
    </xf>
    <xf numFmtId="168" fontId="22" fillId="24" borderId="134" xfId="1" applyNumberFormat="1" applyFont="1" applyFill="1" applyBorder="1"/>
    <xf numFmtId="168" fontId="22" fillId="0" borderId="132" xfId="1" quotePrefix="1" applyNumberFormat="1" applyFont="1" applyBorder="1" applyAlignment="1">
      <alignment horizontal="center"/>
    </xf>
    <xf numFmtId="168" fontId="22" fillId="0" borderId="132" xfId="1" applyNumberFormat="1" applyFont="1" applyBorder="1"/>
    <xf numFmtId="168" fontId="22" fillId="0" borderId="132" xfId="1" quotePrefix="1" applyNumberFormat="1" applyFont="1" applyFill="1" applyBorder="1" applyAlignment="1">
      <alignment horizontal="center"/>
    </xf>
    <xf numFmtId="168" fontId="22" fillId="0" borderId="134" xfId="1" applyNumberFormat="1" applyFont="1" applyBorder="1"/>
    <xf numFmtId="167" fontId="22" fillId="0" borderId="135" xfId="29" applyFont="1" applyBorder="1" applyAlignment="1">
      <alignment horizontal="left"/>
    </xf>
    <xf numFmtId="167" fontId="22" fillId="0" borderId="48" xfId="29" applyFont="1" applyBorder="1"/>
    <xf numFmtId="167" fontId="22" fillId="0" borderId="136" xfId="29" applyFont="1" applyBorder="1" applyAlignment="1">
      <alignment horizontal="left"/>
    </xf>
    <xf numFmtId="167" fontId="28" fillId="0" borderId="45" xfId="29" applyFont="1" applyBorder="1"/>
    <xf numFmtId="167" fontId="22" fillId="0" borderId="137" xfId="29" applyFont="1" applyBorder="1"/>
    <xf numFmtId="167" fontId="22" fillId="0" borderId="134" xfId="29" applyFont="1" applyBorder="1" applyAlignment="1">
      <alignment horizontal="left"/>
    </xf>
    <xf numFmtId="167" fontId="22" fillId="0" borderId="137" xfId="29" applyFont="1" applyFill="1" applyBorder="1"/>
    <xf numFmtId="167" fontId="22" fillId="0" borderId="134" xfId="29" applyFont="1" applyFill="1" applyBorder="1" applyAlignment="1">
      <alignment horizontal="left"/>
    </xf>
    <xf numFmtId="167" fontId="28" fillId="0" borderId="138" xfId="29" applyFont="1" applyBorder="1"/>
    <xf numFmtId="167" fontId="28" fillId="0" borderId="139" xfId="29" applyFont="1" applyBorder="1"/>
    <xf numFmtId="167" fontId="28" fillId="0" borderId="140" xfId="29" applyFont="1" applyBorder="1" applyAlignment="1">
      <alignment horizontal="left"/>
    </xf>
    <xf numFmtId="167" fontId="186" fillId="0" borderId="141" xfId="29" quotePrefix="1" applyFont="1" applyBorder="1" applyAlignment="1">
      <alignment horizontal="right"/>
    </xf>
    <xf numFmtId="167" fontId="186" fillId="19" borderId="142" xfId="29" quotePrefix="1" applyFont="1" applyFill="1" applyBorder="1" applyAlignment="1">
      <alignment horizontal="right"/>
    </xf>
    <xf numFmtId="167" fontId="186" fillId="0" borderId="141" xfId="29" quotePrefix="1" applyFont="1" applyFill="1" applyBorder="1" applyAlignment="1">
      <alignment horizontal="right"/>
    </xf>
    <xf numFmtId="167" fontId="186" fillId="0" borderId="143" xfId="29" applyFont="1" applyFill="1" applyBorder="1" applyAlignment="1">
      <alignment horizontal="right"/>
    </xf>
    <xf numFmtId="167" fontId="28" fillId="0" borderId="144" xfId="29" applyFont="1" applyBorder="1"/>
    <xf numFmtId="168" fontId="22" fillId="0" borderId="145" xfId="1" applyNumberFormat="1" applyFont="1" applyFill="1" applyBorder="1" applyAlignment="1">
      <alignment horizontal="center"/>
    </xf>
    <xf numFmtId="167" fontId="22" fillId="0" borderId="146" xfId="29" applyFont="1" applyBorder="1"/>
    <xf numFmtId="167" fontId="28" fillId="0" borderId="147" xfId="29" applyFont="1" applyBorder="1"/>
    <xf numFmtId="167" fontId="28" fillId="0" borderId="148" xfId="29" applyFont="1" applyBorder="1" applyAlignment="1">
      <alignment horizontal="left"/>
    </xf>
    <xf numFmtId="167" fontId="22" fillId="0" borderId="149" xfId="29" applyFont="1" applyBorder="1"/>
    <xf numFmtId="168" fontId="22" fillId="0" borderId="145" xfId="1" applyNumberFormat="1" applyFont="1" applyBorder="1"/>
    <xf numFmtId="167" fontId="22" fillId="0" borderId="149" xfId="29" applyFont="1" applyFill="1" applyBorder="1"/>
    <xf numFmtId="167" fontId="22" fillId="0" borderId="150" xfId="29" applyFont="1" applyFill="1" applyBorder="1"/>
    <xf numFmtId="167" fontId="22" fillId="0" borderId="151" xfId="29" applyFont="1" applyFill="1" applyBorder="1"/>
    <xf numFmtId="167" fontId="22" fillId="0" borderId="152" xfId="29" applyFont="1" applyFill="1" applyBorder="1" applyAlignment="1">
      <alignment horizontal="left"/>
    </xf>
    <xf numFmtId="168" fontId="22" fillId="0" borderId="152" xfId="1" applyNumberFormat="1" applyFont="1" applyBorder="1"/>
    <xf numFmtId="168" fontId="22" fillId="0" borderId="153" xfId="1" applyNumberFormat="1" applyFont="1" applyBorder="1"/>
    <xf numFmtId="168" fontId="22" fillId="24" borderId="152" xfId="1" applyNumberFormat="1" applyFont="1" applyFill="1" applyBorder="1"/>
    <xf numFmtId="168" fontId="22" fillId="24" borderId="153" xfId="1" applyNumberFormat="1" applyFont="1" applyFill="1" applyBorder="1"/>
    <xf numFmtId="168" fontId="22" fillId="24" borderId="154" xfId="1" applyNumberFormat="1" applyFont="1" applyFill="1" applyBorder="1"/>
    <xf numFmtId="168" fontId="22" fillId="0" borderId="155" xfId="1" applyNumberFormat="1" applyFont="1" applyBorder="1"/>
    <xf numFmtId="168" fontId="22" fillId="0" borderId="156" xfId="1" quotePrefix="1" applyNumberFormat="1" applyFont="1" applyBorder="1" applyAlignment="1">
      <alignment horizontal="center"/>
    </xf>
    <xf numFmtId="168" fontId="22" fillId="24" borderId="156" xfId="1" quotePrefix="1" applyNumberFormat="1" applyFont="1" applyFill="1" applyBorder="1" applyAlignment="1">
      <alignment horizontal="center"/>
    </xf>
    <xf numFmtId="168" fontId="22" fillId="0" borderId="156" xfId="1" quotePrefix="1" applyNumberFormat="1" applyFont="1" applyFill="1" applyBorder="1" applyAlignment="1">
      <alignment horizontal="center"/>
    </xf>
    <xf numFmtId="168" fontId="22" fillId="0" borderId="157" xfId="1" applyNumberFormat="1" applyFont="1" applyFill="1" applyBorder="1" applyAlignment="1">
      <alignment horizontal="center"/>
    </xf>
    <xf numFmtId="168" fontId="22" fillId="0" borderId="158" xfId="1" applyNumberFormat="1" applyFont="1" applyBorder="1"/>
    <xf numFmtId="168" fontId="22" fillId="24" borderId="158" xfId="1" applyNumberFormat="1" applyFont="1" applyFill="1" applyBorder="1"/>
    <xf numFmtId="168" fontId="22" fillId="0" borderId="159" xfId="1" applyNumberFormat="1" applyFont="1" applyBorder="1"/>
    <xf numFmtId="43" fontId="14" fillId="4" borderId="0" xfId="1" applyFont="1" applyFill="1" applyAlignment="1">
      <alignment horizontal="center"/>
    </xf>
    <xf numFmtId="49" fontId="2" fillId="0" borderId="0" xfId="1" applyNumberFormat="1" applyFont="1" applyAlignment="1">
      <alignment horizontal="right"/>
    </xf>
    <xf numFmtId="49" fontId="2" fillId="0" borderId="0" xfId="1" applyNumberFormat="1" applyFont="1" applyBorder="1" applyAlignment="1">
      <alignment horizontal="right"/>
    </xf>
    <xf numFmtId="49" fontId="16" fillId="0" borderId="0" xfId="1" applyNumberFormat="1" applyFont="1" applyAlignment="1">
      <alignment horizontal="left"/>
    </xf>
    <xf numFmtId="49" fontId="15" fillId="0" borderId="0" xfId="1" applyNumberFormat="1" applyFont="1"/>
    <xf numFmtId="49" fontId="2" fillId="0" borderId="0" xfId="1" applyNumberFormat="1" applyFont="1" applyAlignment="1">
      <alignment horizontal="left"/>
    </xf>
    <xf numFmtId="49" fontId="0" fillId="0" borderId="0" xfId="1" applyNumberFormat="1" applyFont="1" applyAlignment="1">
      <alignment horizontal="right"/>
    </xf>
    <xf numFmtId="49" fontId="33" fillId="0" borderId="0" xfId="0" applyNumberFormat="1" applyFont="1" applyFill="1" applyBorder="1"/>
    <xf numFmtId="49" fontId="25" fillId="0" borderId="0" xfId="1" applyNumberFormat="1" applyFont="1" applyBorder="1" applyAlignment="1">
      <alignment horizontal="right"/>
    </xf>
    <xf numFmtId="49" fontId="2" fillId="0" borderId="0" xfId="1" applyNumberFormat="1" applyFont="1" applyBorder="1" applyAlignment="1">
      <alignment wrapText="1"/>
    </xf>
    <xf numFmtId="0" fontId="2" fillId="0" borderId="0" xfId="1" applyNumberFormat="1" applyFont="1" applyAlignment="1">
      <alignment horizontal="right"/>
    </xf>
    <xf numFmtId="0" fontId="2" fillId="0" borderId="0" xfId="1" applyNumberFormat="1" applyFont="1" applyBorder="1" applyAlignment="1">
      <alignment horizontal="right"/>
    </xf>
    <xf numFmtId="0" fontId="16" fillId="0" borderId="0" xfId="1" applyNumberFormat="1" applyFont="1" applyAlignment="1">
      <alignment horizontal="left"/>
    </xf>
    <xf numFmtId="0" fontId="15" fillId="0" borderId="0" xfId="1" applyNumberFormat="1" applyFont="1"/>
    <xf numFmtId="0" fontId="2" fillId="0" borderId="0" xfId="0" applyNumberFormat="1" applyFont="1" applyAlignment="1">
      <alignment horizontal="right"/>
    </xf>
    <xf numFmtId="0" fontId="2" fillId="0" borderId="0" xfId="0" applyNumberFormat="1" applyFont="1" applyBorder="1" applyAlignment="1">
      <alignment horizontal="right"/>
    </xf>
    <xf numFmtId="0" fontId="16" fillId="0" borderId="0" xfId="0" applyNumberFormat="1" applyFont="1" applyAlignment="1">
      <alignment horizontal="left"/>
    </xf>
    <xf numFmtId="0" fontId="15" fillId="0" borderId="0" xfId="0" applyNumberFormat="1" applyFont="1"/>
    <xf numFmtId="0" fontId="0" fillId="0" borderId="0" xfId="0" applyNumberFormat="1" applyFont="1"/>
    <xf numFmtId="0" fontId="11" fillId="0" borderId="0" xfId="0" applyNumberFormat="1" applyFont="1" applyBorder="1" applyAlignment="1">
      <alignment horizontal="left"/>
    </xf>
    <xf numFmtId="0" fontId="11" fillId="0" borderId="0" xfId="0" applyNumberFormat="1" applyFont="1" applyBorder="1"/>
    <xf numFmtId="0" fontId="0" fillId="0" borderId="0" xfId="0" applyNumberFormat="1" applyFont="1" applyBorder="1"/>
    <xf numFmtId="167" fontId="35" fillId="0" borderId="8" xfId="29" applyFont="1" applyFill="1" applyBorder="1"/>
    <xf numFmtId="172" fontId="36" fillId="0" borderId="10" xfId="29" applyNumberFormat="1" applyFont="1" applyFill="1" applyBorder="1" applyAlignment="1"/>
    <xf numFmtId="3" fontId="118" fillId="18" borderId="121" xfId="8" applyNumberFormat="1" applyFont="1" applyFill="1" applyBorder="1" applyAlignment="1">
      <alignment horizontal="right"/>
    </xf>
    <xf numFmtId="172" fontId="36" fillId="11" borderId="61" xfId="16" applyNumberFormat="1" applyFont="1" applyFill="1" applyBorder="1"/>
    <xf numFmtId="168" fontId="37" fillId="11" borderId="52" xfId="1" applyNumberFormat="1" applyFont="1" applyFill="1" applyBorder="1"/>
    <xf numFmtId="168" fontId="36" fillId="11" borderId="52" xfId="1" applyNumberFormat="1" applyFont="1" applyFill="1" applyBorder="1"/>
    <xf numFmtId="168" fontId="37" fillId="11" borderId="51" xfId="1" applyNumberFormat="1" applyFont="1" applyFill="1" applyBorder="1"/>
    <xf numFmtId="172" fontId="32" fillId="11" borderId="49" xfId="16" applyNumberFormat="1" applyFont="1" applyFill="1" applyBorder="1"/>
    <xf numFmtId="44" fontId="36" fillId="11" borderId="54" xfId="8" applyNumberFormat="1" applyFont="1" applyFill="1" applyBorder="1"/>
    <xf numFmtId="44" fontId="36" fillId="11" borderId="62" xfId="8" applyNumberFormat="1" applyFont="1" applyFill="1" applyBorder="1"/>
    <xf numFmtId="168" fontId="36" fillId="11" borderId="52" xfId="8" applyNumberFormat="1" applyFont="1" applyFill="1" applyBorder="1"/>
    <xf numFmtId="168" fontId="36" fillId="11" borderId="53" xfId="8" applyNumberFormat="1" applyFont="1" applyFill="1" applyBorder="1"/>
    <xf numFmtId="172" fontId="32" fillId="11" borderId="49" xfId="8" applyNumberFormat="1" applyFont="1" applyFill="1" applyBorder="1"/>
    <xf numFmtId="44" fontId="36" fillId="11" borderId="63" xfId="8" applyNumberFormat="1" applyFont="1" applyFill="1" applyBorder="1"/>
    <xf numFmtId="172" fontId="42" fillId="5" borderId="61" xfId="16" applyNumberFormat="1" applyFont="1" applyFill="1" applyBorder="1"/>
    <xf numFmtId="168" fontId="42" fillId="5" borderId="52" xfId="8" applyNumberFormat="1" applyFont="1" applyFill="1" applyBorder="1"/>
    <xf numFmtId="168" fontId="37" fillId="5" borderId="52" xfId="8" applyNumberFormat="1" applyFont="1" applyFill="1" applyBorder="1"/>
    <xf numFmtId="168" fontId="36" fillId="5" borderId="52" xfId="8" applyNumberFormat="1" applyFont="1" applyFill="1" applyBorder="1"/>
    <xf numFmtId="168" fontId="37" fillId="11" borderId="52" xfId="8" applyNumberFormat="1" applyFont="1" applyFill="1" applyBorder="1" applyAlignment="1">
      <alignment vertical="top"/>
    </xf>
    <xf numFmtId="172" fontId="36" fillId="11" borderId="54" xfId="29" applyNumberFormat="1" applyFont="1" applyFill="1" applyBorder="1"/>
    <xf numFmtId="44" fontId="36" fillId="11" borderId="62" xfId="29" applyNumberFormat="1" applyFont="1" applyFill="1" applyBorder="1"/>
    <xf numFmtId="172" fontId="36" fillId="11" borderId="61" xfId="44" applyNumberFormat="1" applyFont="1" applyFill="1" applyBorder="1"/>
    <xf numFmtId="167" fontId="36" fillId="0" borderId="10" xfId="29" applyNumberFormat="1" applyFont="1" applyFill="1" applyBorder="1" applyAlignment="1">
      <alignment vertical="center"/>
    </xf>
    <xf numFmtId="10" fontId="178" fillId="5" borderId="64" xfId="5" applyNumberFormat="1" applyFont="1" applyFill="1" applyBorder="1" applyAlignment="1">
      <alignment vertical="top"/>
    </xf>
    <xf numFmtId="167" fontId="173" fillId="0" borderId="8" xfId="29" applyNumberFormat="1" applyFont="1" applyBorder="1"/>
    <xf numFmtId="172" fontId="52" fillId="11" borderId="61" xfId="8" applyNumberFormat="1" applyFont="1" applyFill="1" applyBorder="1"/>
    <xf numFmtId="168" fontId="52" fillId="11" borderId="52" xfId="8" applyNumberFormat="1" applyFont="1" applyFill="1" applyBorder="1"/>
    <xf numFmtId="3" fontId="53" fillId="11" borderId="52" xfId="8" applyNumberFormat="1" applyFont="1" applyFill="1" applyBorder="1" applyAlignment="1">
      <alignment horizontal="right"/>
    </xf>
    <xf numFmtId="10" fontId="55" fillId="11" borderId="52" xfId="5" applyNumberFormat="1" applyFont="1" applyFill="1" applyBorder="1" applyAlignment="1">
      <alignment vertical="top"/>
    </xf>
    <xf numFmtId="168" fontId="52" fillId="11" borderId="53" xfId="8" applyNumberFormat="1" applyFont="1" applyFill="1" applyBorder="1"/>
    <xf numFmtId="10" fontId="56" fillId="11" borderId="62" xfId="5" applyNumberFormat="1" applyFont="1" applyFill="1" applyBorder="1" applyAlignment="1">
      <alignment vertical="top"/>
    </xf>
    <xf numFmtId="172" fontId="57" fillId="11" borderId="51" xfId="16" applyNumberFormat="1" applyFont="1" applyFill="1" applyBorder="1"/>
    <xf numFmtId="10" fontId="59" fillId="11" borderId="51" xfId="5" applyNumberFormat="1" applyFont="1" applyFill="1" applyBorder="1" applyAlignment="1">
      <alignment vertical="top"/>
    </xf>
    <xf numFmtId="0" fontId="0" fillId="0" borderId="0" xfId="0" applyNumberFormat="1" applyFont="1" applyFill="1"/>
    <xf numFmtId="0" fontId="14" fillId="0" borderId="0" xfId="0" applyNumberFormat="1" applyFont="1" applyFill="1" applyAlignment="1">
      <alignment horizontal="center"/>
    </xf>
    <xf numFmtId="0" fontId="22" fillId="0" borderId="0" xfId="0" applyNumberFormat="1" applyFont="1" applyFill="1"/>
    <xf numFmtId="0" fontId="28" fillId="0" borderId="0" xfId="0" applyNumberFormat="1" applyFont="1" applyAlignment="1">
      <alignment horizontal="right"/>
    </xf>
    <xf numFmtId="0" fontId="107" fillId="0" borderId="0" xfId="0" applyNumberFormat="1" applyFont="1" applyBorder="1"/>
    <xf numFmtId="0" fontId="28" fillId="0" borderId="0" xfId="0" applyNumberFormat="1" applyFont="1" applyBorder="1" applyAlignment="1">
      <alignment horizontal="right"/>
    </xf>
    <xf numFmtId="0" fontId="107" fillId="0" borderId="0" xfId="0" applyNumberFormat="1" applyFont="1" applyBorder="1" applyAlignment="1">
      <alignment horizontal="left"/>
    </xf>
    <xf numFmtId="0" fontId="22" fillId="0" borderId="0" xfId="0" applyNumberFormat="1" applyFont="1"/>
    <xf numFmtId="0" fontId="111" fillId="0" borderId="0" xfId="0" applyNumberFormat="1" applyFont="1" applyAlignment="1">
      <alignment horizontal="left"/>
    </xf>
    <xf numFmtId="0" fontId="112" fillId="0" borderId="0" xfId="0" applyNumberFormat="1" applyFont="1" applyFill="1" applyAlignment="1">
      <alignment horizontal="center"/>
    </xf>
    <xf numFmtId="0" fontId="28" fillId="0" borderId="0" xfId="1" applyNumberFormat="1" applyFont="1" applyFill="1" applyBorder="1" applyAlignment="1">
      <alignment horizontal="left"/>
    </xf>
    <xf numFmtId="0" fontId="114" fillId="0" borderId="0" xfId="1" applyNumberFormat="1" applyFont="1" applyFill="1" applyBorder="1" applyAlignment="1">
      <alignment horizontal="left"/>
    </xf>
    <xf numFmtId="0" fontId="28" fillId="0" borderId="0" xfId="0" applyNumberFormat="1" applyFont="1" applyFill="1" applyBorder="1"/>
    <xf numFmtId="0" fontId="22" fillId="0" borderId="0" xfId="1" applyNumberFormat="1" applyFont="1" applyFill="1" applyBorder="1" applyAlignment="1">
      <alignment horizontal="center"/>
    </xf>
    <xf numFmtId="0" fontId="22" fillId="0" borderId="0" xfId="1" applyNumberFormat="1" applyFont="1" applyFill="1" applyBorder="1"/>
    <xf numFmtId="0" fontId="28" fillId="0" borderId="0" xfId="1" applyNumberFormat="1" applyFont="1" applyFill="1" applyBorder="1" applyAlignment="1">
      <alignment horizontal="center"/>
    </xf>
    <xf numFmtId="0" fontId="28" fillId="0" borderId="0" xfId="1" applyNumberFormat="1" applyFont="1" applyFill="1" applyBorder="1"/>
    <xf numFmtId="0" fontId="22" fillId="0" borderId="0" xfId="0" applyNumberFormat="1" applyFont="1" applyFill="1" applyBorder="1"/>
    <xf numFmtId="0" fontId="22" fillId="0" borderId="0" xfId="0" applyNumberFormat="1" applyFont="1" applyBorder="1"/>
    <xf numFmtId="0" fontId="30" fillId="0" borderId="0" xfId="0" applyNumberFormat="1" applyFont="1" applyFill="1"/>
    <xf numFmtId="0" fontId="30" fillId="0" borderId="0" xfId="1" applyNumberFormat="1" applyFont="1" applyFill="1" applyBorder="1"/>
    <xf numFmtId="172" fontId="36" fillId="0" borderId="60" xfId="44" applyNumberFormat="1" applyFont="1" applyFill="1" applyBorder="1"/>
    <xf numFmtId="167" fontId="23" fillId="0" borderId="0" xfId="1" applyNumberFormat="1" applyFont="1" applyFill="1" applyBorder="1" applyAlignment="1">
      <alignment horizontal="left"/>
    </xf>
    <xf numFmtId="43" fontId="15" fillId="0" borderId="0" xfId="1" applyFont="1" applyBorder="1" applyAlignment="1">
      <alignment horizontal="right"/>
    </xf>
    <xf numFmtId="167" fontId="15" fillId="0" borderId="0" xfId="0" applyFont="1" applyBorder="1" applyAlignment="1">
      <alignment horizontal="right"/>
    </xf>
    <xf numFmtId="10" fontId="81" fillId="0" borderId="0" xfId="2" applyNumberFormat="1" applyFont="1" applyFill="1" applyBorder="1" applyAlignment="1">
      <alignment horizontal="right"/>
    </xf>
    <xf numFmtId="10" fontId="6" fillId="0" borderId="160" xfId="2" applyNumberFormat="1" applyFont="1" applyBorder="1" applyAlignment="1">
      <alignment horizontal="right"/>
    </xf>
    <xf numFmtId="10" fontId="26" fillId="0" borderId="160" xfId="2" applyNumberFormat="1" applyFont="1" applyBorder="1" applyAlignment="1">
      <alignment horizontal="right"/>
    </xf>
    <xf numFmtId="10" fontId="81" fillId="0" borderId="160" xfId="2" applyNumberFormat="1" applyFont="1" applyFill="1" applyBorder="1" applyAlignment="1">
      <alignment horizontal="right"/>
    </xf>
    <xf numFmtId="10" fontId="14" fillId="2" borderId="0" xfId="2" applyNumberFormat="1" applyFont="1" applyFill="1" applyBorder="1" applyAlignment="1">
      <alignment horizontal="right"/>
    </xf>
    <xf numFmtId="10" fontId="109" fillId="0" borderId="0" xfId="2" applyNumberFormat="1" applyFont="1" applyBorder="1"/>
    <xf numFmtId="10" fontId="0" fillId="0" borderId="160" xfId="2" applyNumberFormat="1" applyFont="1" applyBorder="1"/>
    <xf numFmtId="10" fontId="14" fillId="2" borderId="160" xfId="2" applyNumberFormat="1" applyFont="1" applyFill="1" applyBorder="1" applyAlignment="1">
      <alignment horizontal="right"/>
    </xf>
    <xf numFmtId="10" fontId="0" fillId="0" borderId="160" xfId="2" applyNumberFormat="1" applyFont="1" applyBorder="1" applyAlignment="1">
      <alignment horizontal="right"/>
    </xf>
    <xf numFmtId="10" fontId="2" fillId="0" borderId="160" xfId="2" applyNumberFormat="1" applyFont="1" applyBorder="1"/>
    <xf numFmtId="10" fontId="24" fillId="0" borderId="160" xfId="2" applyNumberFormat="1" applyFont="1" applyBorder="1" applyAlignment="1">
      <alignment horizontal="right"/>
    </xf>
    <xf numFmtId="10" fontId="2" fillId="0" borderId="160" xfId="2" applyNumberFormat="1" applyFont="1" applyBorder="1" applyAlignment="1">
      <alignment wrapText="1"/>
    </xf>
    <xf numFmtId="10" fontId="109" fillId="0" borderId="160" xfId="2" applyNumberFormat="1" applyFont="1" applyBorder="1"/>
    <xf numFmtId="10" fontId="22" fillId="0" borderId="160" xfId="2" applyNumberFormat="1" applyFont="1" applyBorder="1"/>
    <xf numFmtId="167" fontId="0" fillId="0" borderId="4" xfId="0" applyFont="1" applyFill="1" applyBorder="1"/>
    <xf numFmtId="0" fontId="109" fillId="0" borderId="0" xfId="0" applyNumberFormat="1" applyFont="1" applyBorder="1"/>
    <xf numFmtId="0" fontId="22" fillId="0" borderId="0" xfId="2" applyNumberFormat="1" applyFont="1" applyFill="1" applyBorder="1"/>
    <xf numFmtId="0" fontId="6" fillId="0" borderId="0" xfId="0" applyNumberFormat="1" applyFont="1" applyBorder="1" applyAlignment="1">
      <alignment horizontal="left"/>
    </xf>
    <xf numFmtId="0" fontId="14" fillId="2" borderId="0" xfId="0" applyNumberFormat="1" applyFont="1" applyFill="1" applyAlignment="1">
      <alignment horizontal="right"/>
    </xf>
    <xf numFmtId="167" fontId="182" fillId="5" borderId="8" xfId="29" applyFont="1" applyFill="1" applyBorder="1" applyAlignment="1">
      <alignment horizontal="center"/>
    </xf>
    <xf numFmtId="10" fontId="183" fillId="5" borderId="10" xfId="2" applyNumberFormat="1" applyFont="1" applyFill="1" applyBorder="1" applyAlignment="1">
      <alignment horizontal="center"/>
    </xf>
    <xf numFmtId="167" fontId="99" fillId="0" borderId="0" xfId="6" applyFont="1" applyFill="1" applyAlignment="1">
      <alignment horizontal="right"/>
    </xf>
    <xf numFmtId="167" fontId="99" fillId="9" borderId="0" xfId="6" applyFont="1" applyFill="1" applyAlignment="1">
      <alignment horizontal="right"/>
    </xf>
    <xf numFmtId="168" fontId="98" fillId="0" borderId="0" xfId="4" applyNumberFormat="1" applyFont="1" applyFill="1" applyAlignment="1">
      <alignment vertical="top"/>
    </xf>
    <xf numFmtId="168" fontId="105" fillId="0" borderId="0" xfId="4" applyNumberFormat="1" applyFont="1" applyFill="1" applyAlignment="1">
      <alignment horizontal="right" vertical="top"/>
    </xf>
    <xf numFmtId="9" fontId="101" fillId="0" borderId="0" xfId="5" applyNumberFormat="1" applyFont="1" applyFill="1" applyAlignment="1">
      <alignment vertical="center"/>
    </xf>
    <xf numFmtId="43" fontId="53" fillId="11" borderId="52" xfId="1" applyFont="1" applyFill="1" applyBorder="1" applyAlignment="1">
      <alignment horizontal="right"/>
    </xf>
    <xf numFmtId="168" fontId="53" fillId="11" borderId="52" xfId="8" applyNumberFormat="1" applyFont="1" applyFill="1" applyBorder="1" applyAlignment="1">
      <alignment horizontal="right"/>
    </xf>
    <xf numFmtId="168" fontId="53" fillId="14" borderId="124" xfId="1" applyNumberFormat="1" applyFont="1" applyFill="1" applyBorder="1" applyAlignment="1">
      <alignment horizontal="right"/>
    </xf>
    <xf numFmtId="168" fontId="53" fillId="14" borderId="93" xfId="1" applyNumberFormat="1" applyFont="1" applyFill="1" applyBorder="1" applyAlignment="1">
      <alignment horizontal="right"/>
    </xf>
    <xf numFmtId="170" fontId="101" fillId="0" borderId="0" xfId="4" applyNumberFormat="1" applyFont="1" applyFill="1"/>
    <xf numFmtId="170" fontId="101" fillId="0" borderId="0" xfId="4" applyNumberFormat="1" applyFont="1" applyFill="1" applyAlignment="1"/>
    <xf numFmtId="170" fontId="101" fillId="0" borderId="0" xfId="4" applyNumberFormat="1" applyFont="1" applyFill="1" applyBorder="1" applyAlignment="1"/>
    <xf numFmtId="170" fontId="101" fillId="0" borderId="1" xfId="4" applyNumberFormat="1" applyFont="1" applyFill="1" applyBorder="1"/>
    <xf numFmtId="10" fontId="142" fillId="0" borderId="0" xfId="2" applyNumberFormat="1" applyFont="1" applyFill="1" applyBorder="1" applyAlignment="1">
      <alignment vertical="top"/>
    </xf>
    <xf numFmtId="10" fontId="144" fillId="0" borderId="0" xfId="2" applyNumberFormat="1" applyFont="1" applyAlignment="1">
      <alignment horizontal="right"/>
    </xf>
    <xf numFmtId="168" fontId="105" fillId="0" borderId="0" xfId="8" applyNumberFormat="1" applyFont="1" applyFill="1" applyAlignment="1">
      <alignment horizontal="right"/>
    </xf>
    <xf numFmtId="49" fontId="0" fillId="0" borderId="0" xfId="1" applyNumberFormat="1" applyFont="1" applyFill="1" applyAlignment="1">
      <alignment horizontal="right"/>
    </xf>
    <xf numFmtId="172" fontId="154" fillId="0" borderId="163" xfId="44" applyNumberFormat="1" applyFont="1" applyFill="1" applyBorder="1"/>
    <xf numFmtId="172" fontId="154" fillId="0" borderId="164" xfId="44" applyNumberFormat="1" applyFont="1" applyFill="1" applyBorder="1"/>
    <xf numFmtId="172" fontId="154" fillId="0" borderId="165" xfId="44" applyNumberFormat="1" applyFont="1" applyFill="1" applyBorder="1"/>
    <xf numFmtId="172" fontId="154" fillId="0" borderId="166" xfId="44" applyNumberFormat="1" applyFont="1" applyFill="1" applyBorder="1"/>
    <xf numFmtId="172" fontId="153" fillId="20" borderId="62" xfId="44" applyNumberFormat="1" applyFont="1" applyFill="1" applyBorder="1" applyAlignment="1">
      <alignment horizontal="center" wrapText="1"/>
    </xf>
    <xf numFmtId="172" fontId="154" fillId="0" borderId="167" xfId="44" applyNumberFormat="1" applyFont="1" applyFill="1" applyBorder="1"/>
    <xf numFmtId="172" fontId="154" fillId="0" borderId="168" xfId="44" applyNumberFormat="1" applyFont="1" applyFill="1" applyBorder="1"/>
    <xf numFmtId="172" fontId="153" fillId="20" borderId="30" xfId="44" applyNumberFormat="1" applyFont="1" applyFill="1" applyBorder="1" applyAlignment="1">
      <alignment horizontal="center" wrapText="1"/>
    </xf>
    <xf numFmtId="167" fontId="153" fillId="0" borderId="0" xfId="42" applyFont="1" applyFill="1"/>
    <xf numFmtId="167" fontId="153" fillId="0" borderId="5" xfId="42" applyFont="1" applyFill="1" applyBorder="1" applyAlignment="1">
      <alignment horizontal="left"/>
    </xf>
    <xf numFmtId="167" fontId="154" fillId="0" borderId="1" xfId="42" applyFont="1" applyFill="1" applyBorder="1"/>
    <xf numFmtId="172" fontId="154" fillId="0" borderId="1" xfId="44" applyNumberFormat="1" applyFont="1" applyFill="1" applyBorder="1"/>
    <xf numFmtId="172" fontId="154" fillId="0" borderId="0" xfId="44" applyNumberFormat="1" applyFont="1" applyFill="1" applyBorder="1"/>
    <xf numFmtId="167" fontId="153" fillId="21" borderId="43" xfId="42" applyFont="1" applyFill="1" applyBorder="1" applyAlignment="1">
      <alignment horizontal="left"/>
    </xf>
    <xf numFmtId="167" fontId="153" fillId="21" borderId="37" xfId="42" applyFont="1" applyFill="1" applyBorder="1"/>
    <xf numFmtId="172" fontId="153" fillId="21" borderId="84" xfId="44" applyNumberFormat="1" applyFont="1" applyFill="1" applyBorder="1"/>
    <xf numFmtId="172" fontId="153" fillId="21" borderId="165" xfId="44" applyNumberFormat="1" applyFont="1" applyFill="1" applyBorder="1"/>
    <xf numFmtId="172" fontId="153" fillId="21" borderId="166" xfId="44" applyNumberFormat="1" applyFont="1" applyFill="1" applyBorder="1"/>
    <xf numFmtId="172" fontId="153" fillId="21" borderId="38" xfId="44" applyNumberFormat="1" applyFont="1" applyFill="1" applyBorder="1"/>
    <xf numFmtId="172" fontId="153" fillId="21" borderId="78" xfId="44" applyNumberFormat="1" applyFont="1" applyFill="1" applyBorder="1"/>
    <xf numFmtId="167" fontId="153" fillId="21" borderId="9" xfId="42" applyFont="1" applyFill="1" applyBorder="1" applyAlignment="1">
      <alignment horizontal="left"/>
    </xf>
    <xf numFmtId="167" fontId="153" fillId="21" borderId="2" xfId="42" applyFont="1" applyFill="1" applyBorder="1"/>
    <xf numFmtId="167" fontId="153" fillId="21" borderId="7" xfId="42" applyFont="1" applyFill="1" applyBorder="1" applyAlignment="1">
      <alignment horizontal="left"/>
    </xf>
    <xf numFmtId="172" fontId="153" fillId="21" borderId="81" xfId="44" applyNumberFormat="1" applyFont="1" applyFill="1" applyBorder="1"/>
    <xf numFmtId="172" fontId="153" fillId="21" borderId="62" xfId="44" applyNumberFormat="1" applyFont="1" applyFill="1" applyBorder="1"/>
    <xf numFmtId="172" fontId="153" fillId="21" borderId="90" xfId="44" applyNumberFormat="1" applyFont="1" applyFill="1" applyBorder="1"/>
    <xf numFmtId="172" fontId="153" fillId="21" borderId="30" xfId="44" applyNumberFormat="1" applyFont="1" applyFill="1" applyBorder="1"/>
    <xf numFmtId="10" fontId="103" fillId="0" borderId="0" xfId="5" applyNumberFormat="1" applyFont="1" applyFill="1"/>
    <xf numFmtId="10" fontId="101" fillId="0" borderId="0" xfId="5" applyNumberFormat="1" applyFont="1" applyFill="1" applyAlignment="1">
      <alignment vertical="center"/>
    </xf>
    <xf numFmtId="9" fontId="98" fillId="0" borderId="0" xfId="5" applyNumberFormat="1" applyFont="1" applyFill="1" applyAlignment="1">
      <alignment vertical="center"/>
    </xf>
    <xf numFmtId="10" fontId="103" fillId="0" borderId="0" xfId="5" applyNumberFormat="1" applyFont="1" applyFill="1" applyAlignment="1">
      <alignment vertical="center"/>
    </xf>
    <xf numFmtId="9" fontId="98" fillId="0" borderId="0" xfId="5" applyNumberFormat="1" applyFont="1" applyFill="1"/>
    <xf numFmtId="167" fontId="185" fillId="0" borderId="0" xfId="4" applyFont="1" applyFill="1" applyAlignment="1">
      <alignment horizontal="right"/>
    </xf>
    <xf numFmtId="10" fontId="98" fillId="0" borderId="0" xfId="4" applyNumberFormat="1" applyFont="1" applyFill="1" applyAlignment="1">
      <alignment horizontal="right"/>
    </xf>
    <xf numFmtId="10" fontId="101" fillId="0" borderId="0" xfId="4" applyNumberFormat="1" applyFont="1" applyFill="1" applyAlignment="1">
      <alignment horizontal="right"/>
    </xf>
    <xf numFmtId="10" fontId="103" fillId="0" borderId="0" xfId="4" applyNumberFormat="1" applyFont="1" applyFill="1" applyAlignment="1">
      <alignment horizontal="right"/>
    </xf>
    <xf numFmtId="170" fontId="98" fillId="0" borderId="2" xfId="4" applyNumberFormat="1" applyFont="1" applyFill="1" applyBorder="1"/>
    <xf numFmtId="167" fontId="99" fillId="0" borderId="161" xfId="4" applyFont="1" applyFill="1" applyBorder="1" applyAlignment="1">
      <alignment horizontal="right"/>
    </xf>
    <xf numFmtId="10" fontId="99" fillId="0" borderId="162" xfId="2" applyNumberFormat="1" applyFont="1" applyFill="1" applyBorder="1" applyAlignment="1">
      <alignment horizontal="right"/>
    </xf>
    <xf numFmtId="10" fontId="0" fillId="0" borderId="160" xfId="2" applyNumberFormat="1" applyFont="1" applyFill="1" applyBorder="1"/>
    <xf numFmtId="8" fontId="81" fillId="0" borderId="0" xfId="1" applyNumberFormat="1" applyFont="1" applyFill="1" applyBorder="1" applyAlignment="1">
      <alignment horizontal="left"/>
    </xf>
    <xf numFmtId="167" fontId="22" fillId="0" borderId="0" xfId="2" applyNumberFormat="1" applyFont="1" applyFill="1" applyAlignment="1">
      <alignment horizontal="left"/>
    </xf>
    <xf numFmtId="43" fontId="81" fillId="0" borderId="0" xfId="1" applyNumberFormat="1" applyFont="1" applyFill="1" applyBorder="1" applyAlignment="1">
      <alignment horizontal="left"/>
    </xf>
    <xf numFmtId="0" fontId="113" fillId="0" borderId="0" xfId="0" applyNumberFormat="1" applyFont="1" applyFill="1"/>
    <xf numFmtId="43" fontId="112" fillId="0" borderId="0" xfId="1" applyFont="1" applyFill="1" applyAlignment="1">
      <alignment horizontal="center"/>
    </xf>
    <xf numFmtId="167" fontId="112" fillId="0" borderId="0" xfId="0" applyNumberFormat="1" applyFont="1" applyFill="1" applyAlignment="1">
      <alignment horizontal="center"/>
    </xf>
    <xf numFmtId="167" fontId="113" fillId="0" borderId="0" xfId="0" applyFont="1" applyFill="1"/>
    <xf numFmtId="10" fontId="112" fillId="0" borderId="0" xfId="2" applyNumberFormat="1" applyFont="1" applyFill="1" applyAlignment="1">
      <alignment horizontal="right"/>
    </xf>
    <xf numFmtId="43" fontId="112" fillId="0" borderId="0" xfId="1" applyFont="1" applyFill="1" applyAlignment="1">
      <alignment horizontal="right"/>
    </xf>
    <xf numFmtId="167" fontId="112" fillId="0" borderId="0" xfId="0" applyNumberFormat="1" applyFont="1" applyFill="1" applyAlignment="1"/>
    <xf numFmtId="10" fontId="112" fillId="0" borderId="0" xfId="2" applyNumberFormat="1" applyFont="1" applyFill="1" applyAlignment="1"/>
    <xf numFmtId="167" fontId="112" fillId="0" borderId="0" xfId="1" applyNumberFormat="1" applyFont="1" applyFill="1" applyAlignment="1">
      <alignment horizontal="right"/>
    </xf>
    <xf numFmtId="167" fontId="113" fillId="0" borderId="0" xfId="0" applyFont="1" applyFill="1" applyAlignment="1">
      <alignment horizontal="right"/>
    </xf>
    <xf numFmtId="167" fontId="112" fillId="0" borderId="0" xfId="0" applyNumberFormat="1" applyFont="1" applyFill="1" applyAlignment="1">
      <alignment horizontal="right"/>
    </xf>
    <xf numFmtId="167" fontId="113" fillId="0" borderId="0" xfId="0" applyFont="1" applyFill="1" applyBorder="1" applyAlignment="1">
      <alignment horizontal="right"/>
    </xf>
    <xf numFmtId="10" fontId="112" fillId="0" borderId="0" xfId="2" applyNumberFormat="1" applyFont="1" applyFill="1" applyBorder="1" applyAlignment="1">
      <alignment horizontal="right"/>
    </xf>
    <xf numFmtId="167" fontId="112" fillId="0" borderId="0" xfId="0" applyFont="1" applyFill="1" applyAlignment="1">
      <alignment horizontal="right"/>
    </xf>
    <xf numFmtId="0" fontId="112" fillId="0" borderId="0" xfId="0" applyNumberFormat="1" applyFont="1" applyFill="1" applyAlignment="1">
      <alignment horizontal="right"/>
    </xf>
    <xf numFmtId="167" fontId="113" fillId="0" borderId="4" xfId="0" applyFont="1" applyFill="1" applyBorder="1" applyAlignment="1">
      <alignment horizontal="right"/>
    </xf>
    <xf numFmtId="10" fontId="112" fillId="0" borderId="160" xfId="2" applyNumberFormat="1" applyFont="1" applyFill="1" applyBorder="1" applyAlignment="1">
      <alignment horizontal="right"/>
    </xf>
    <xf numFmtId="167" fontId="113" fillId="0" borderId="0" xfId="0" applyNumberFormat="1" applyFont="1" applyFill="1"/>
    <xf numFmtId="0" fontId="28" fillId="0" borderId="0" xfId="0" applyNumberFormat="1" applyFont="1" applyFill="1" applyAlignment="1">
      <alignment horizontal="left"/>
    </xf>
    <xf numFmtId="10" fontId="22" fillId="0" borderId="0" xfId="2" applyNumberFormat="1" applyFont="1" applyFill="1" applyAlignment="1">
      <alignment horizontal="right"/>
    </xf>
    <xf numFmtId="167" fontId="22" fillId="0" borderId="0" xfId="0" applyNumberFormat="1" applyFont="1" applyFill="1" applyBorder="1"/>
    <xf numFmtId="167" fontId="81" fillId="0" borderId="0" xfId="1" applyNumberFormat="1" applyFont="1" applyFill="1" applyAlignment="1">
      <alignment horizontal="left"/>
    </xf>
    <xf numFmtId="10" fontId="22" fillId="0" borderId="0" xfId="2" applyNumberFormat="1" applyFont="1" applyFill="1" applyBorder="1"/>
    <xf numFmtId="0" fontId="81" fillId="0" borderId="0" xfId="0" applyNumberFormat="1" applyFont="1" applyFill="1" applyAlignment="1">
      <alignment horizontal="left"/>
    </xf>
    <xf numFmtId="10" fontId="22" fillId="0" borderId="160" xfId="2" applyNumberFormat="1" applyFont="1" applyFill="1" applyBorder="1"/>
    <xf numFmtId="167" fontId="81" fillId="0" borderId="0" xfId="0" applyFont="1" applyFill="1" applyAlignment="1">
      <alignment horizontal="left"/>
    </xf>
    <xf numFmtId="0" fontId="28" fillId="0" borderId="0" xfId="0" applyNumberFormat="1" applyFont="1" applyFill="1" applyAlignment="1">
      <alignment horizontal="right"/>
    </xf>
    <xf numFmtId="43" fontId="22" fillId="0" borderId="0" xfId="2" applyNumberFormat="1" applyFont="1" applyFill="1" applyBorder="1" applyAlignment="1"/>
    <xf numFmtId="167" fontId="22" fillId="0" borderId="0" xfId="1" applyNumberFormat="1" applyFont="1" applyFill="1" applyAlignment="1">
      <alignment horizontal="left"/>
    </xf>
    <xf numFmtId="167" fontId="22" fillId="0" borderId="0" xfId="0" applyNumberFormat="1" applyFont="1" applyFill="1" applyAlignment="1">
      <alignment horizontal="left"/>
    </xf>
    <xf numFmtId="0" fontId="22" fillId="0" borderId="0" xfId="0" applyNumberFormat="1" applyFont="1" applyFill="1" applyAlignment="1">
      <alignment horizontal="left"/>
    </xf>
    <xf numFmtId="43" fontId="22" fillId="0" borderId="0" xfId="0" applyNumberFormat="1" applyFont="1" applyFill="1" applyAlignment="1">
      <alignment horizontal="left"/>
    </xf>
    <xf numFmtId="167" fontId="22" fillId="0" borderId="0" xfId="2" applyNumberFormat="1" applyFont="1" applyFill="1" applyBorder="1" applyAlignment="1"/>
    <xf numFmtId="167" fontId="22" fillId="0" borderId="0" xfId="0" applyFont="1" applyFill="1" applyAlignment="1">
      <alignment horizontal="left"/>
    </xf>
    <xf numFmtId="43" fontId="28" fillId="0" borderId="1" xfId="0" applyNumberFormat="1" applyFont="1" applyFill="1" applyBorder="1" applyAlignment="1">
      <alignment horizontal="center"/>
    </xf>
    <xf numFmtId="167" fontId="30" fillId="0" borderId="0" xfId="0" applyNumberFormat="1" applyFont="1" applyFill="1" applyBorder="1" applyAlignment="1">
      <alignment vertical="top"/>
    </xf>
    <xf numFmtId="10" fontId="22" fillId="0" borderId="0" xfId="2" applyNumberFormat="1" applyFont="1" applyFill="1" applyBorder="1" applyAlignment="1">
      <alignment horizontal="right"/>
    </xf>
    <xf numFmtId="167" fontId="22" fillId="0" borderId="0" xfId="0" applyFont="1" applyFill="1" applyAlignment="1">
      <alignment horizontal="center"/>
    </xf>
    <xf numFmtId="10" fontId="22" fillId="0" borderId="160" xfId="2" applyNumberFormat="1" applyFont="1" applyFill="1" applyBorder="1" applyAlignment="1">
      <alignment horizontal="right"/>
    </xf>
    <xf numFmtId="0" fontId="28" fillId="0" borderId="0" xfId="0" applyNumberFormat="1" applyFont="1" applyFill="1"/>
    <xf numFmtId="43" fontId="28" fillId="0" borderId="0" xfId="1" applyFont="1" applyFill="1" applyAlignment="1">
      <alignment horizontal="center"/>
    </xf>
    <xf numFmtId="169" fontId="22" fillId="0" borderId="0" xfId="2" applyNumberFormat="1" applyFont="1" applyFill="1" applyAlignment="1">
      <alignment horizontal="left"/>
    </xf>
    <xf numFmtId="10" fontId="22" fillId="0" borderId="0" xfId="2" applyNumberFormat="1" applyFont="1" applyFill="1" applyAlignment="1">
      <alignment horizontal="left"/>
    </xf>
    <xf numFmtId="43" fontId="28" fillId="0" borderId="0" xfId="1" applyNumberFormat="1" applyFont="1" applyFill="1" applyAlignment="1">
      <alignment horizontal="center"/>
    </xf>
    <xf numFmtId="167" fontId="30" fillId="0" borderId="0" xfId="0" applyNumberFormat="1" applyFont="1" applyFill="1"/>
    <xf numFmtId="167" fontId="22" fillId="0" borderId="0" xfId="0" applyNumberFormat="1" applyFont="1" applyFill="1" applyBorder="1" applyAlignment="1">
      <alignment horizontal="center"/>
    </xf>
    <xf numFmtId="10" fontId="81" fillId="0" borderId="0" xfId="2" applyNumberFormat="1" applyFont="1" applyFill="1" applyAlignment="1">
      <alignment horizontal="left"/>
    </xf>
    <xf numFmtId="43" fontId="28" fillId="0" borderId="0" xfId="0" applyNumberFormat="1" applyFont="1" applyFill="1" applyAlignment="1">
      <alignment horizontal="center"/>
    </xf>
    <xf numFmtId="43" fontId="22" fillId="0" borderId="0" xfId="0" applyNumberFormat="1" applyFont="1" applyFill="1" applyAlignment="1">
      <alignment horizontal="center"/>
    </xf>
    <xf numFmtId="43" fontId="22" fillId="0" borderId="1" xfId="1" applyFont="1" applyFill="1" applyBorder="1"/>
    <xf numFmtId="167" fontId="28" fillId="0" borderId="0" xfId="2" applyNumberFormat="1" applyFont="1" applyFill="1" applyBorder="1" applyAlignment="1">
      <alignment horizontal="center"/>
    </xf>
    <xf numFmtId="43" fontId="81" fillId="0" borderId="0" xfId="1" applyFont="1" applyFill="1" applyAlignment="1">
      <alignment horizontal="left"/>
    </xf>
    <xf numFmtId="167" fontId="28" fillId="0" borderId="0" xfId="2" applyNumberFormat="1" applyFont="1" applyFill="1" applyAlignment="1">
      <alignment horizontal="left"/>
    </xf>
    <xf numFmtId="43" fontId="28" fillId="0" borderId="2" xfId="1" applyFont="1" applyFill="1" applyBorder="1" applyAlignment="1">
      <alignment horizontal="center"/>
    </xf>
    <xf numFmtId="10" fontId="28" fillId="0" borderId="0" xfId="2" applyNumberFormat="1" applyFont="1" applyFill="1" applyAlignment="1">
      <alignment horizontal="left"/>
    </xf>
    <xf numFmtId="9" fontId="28" fillId="0" borderId="0" xfId="2" applyFont="1" applyFill="1" applyAlignment="1">
      <alignment horizontal="left"/>
    </xf>
    <xf numFmtId="167" fontId="28" fillId="0" borderId="0" xfId="1" applyNumberFormat="1" applyFont="1" applyFill="1"/>
    <xf numFmtId="10" fontId="28" fillId="0" borderId="0" xfId="2" applyNumberFormat="1" applyFont="1" applyFill="1" applyAlignment="1">
      <alignment horizontal="right"/>
    </xf>
    <xf numFmtId="167" fontId="89" fillId="0" borderId="0" xfId="1" applyNumberFormat="1" applyFont="1" applyFill="1" applyAlignment="1">
      <alignment horizontal="left"/>
    </xf>
    <xf numFmtId="167" fontId="28" fillId="0" borderId="0" xfId="0" applyFont="1" applyFill="1"/>
    <xf numFmtId="167" fontId="89" fillId="0" borderId="0" xfId="0" applyNumberFormat="1" applyFont="1" applyFill="1" applyAlignment="1">
      <alignment horizontal="left"/>
    </xf>
    <xf numFmtId="10" fontId="89" fillId="0" borderId="0" xfId="2" applyNumberFormat="1" applyFont="1" applyFill="1" applyAlignment="1">
      <alignment horizontal="left"/>
    </xf>
    <xf numFmtId="167" fontId="28" fillId="0" borderId="4" xfId="0" applyFont="1" applyFill="1" applyBorder="1"/>
    <xf numFmtId="10" fontId="28" fillId="0" borderId="160" xfId="2" applyNumberFormat="1" applyFont="1" applyFill="1" applyBorder="1"/>
    <xf numFmtId="167" fontId="89" fillId="0" borderId="0" xfId="0" applyFont="1" applyFill="1" applyAlignment="1">
      <alignment horizontal="left"/>
    </xf>
    <xf numFmtId="167" fontId="28" fillId="0" borderId="0" xfId="0" applyNumberFormat="1" applyFont="1" applyFill="1"/>
    <xf numFmtId="0" fontId="22" fillId="0" borderId="0" xfId="0" applyNumberFormat="1" applyFont="1" applyFill="1" applyAlignment="1">
      <alignment horizontal="right"/>
    </xf>
    <xf numFmtId="167" fontId="22" fillId="0" borderId="0" xfId="1" applyNumberFormat="1" applyFont="1" applyFill="1"/>
    <xf numFmtId="43" fontId="22" fillId="0" borderId="1" xfId="0" applyNumberFormat="1" applyFont="1" applyFill="1" applyBorder="1"/>
    <xf numFmtId="167" fontId="81" fillId="0" borderId="0" xfId="2" applyNumberFormat="1" applyFont="1" applyFill="1" applyAlignment="1">
      <alignment horizontal="left"/>
    </xf>
    <xf numFmtId="10" fontId="28" fillId="0" borderId="0" xfId="2" applyNumberFormat="1" applyFont="1" applyFill="1" applyBorder="1" applyAlignment="1">
      <alignment horizontal="right"/>
    </xf>
    <xf numFmtId="167" fontId="89" fillId="0" borderId="0" xfId="1" applyNumberFormat="1" applyFont="1" applyFill="1" applyBorder="1" applyAlignment="1">
      <alignment horizontal="left"/>
    </xf>
    <xf numFmtId="0" fontId="89" fillId="0" borderId="0" xfId="0" applyNumberFormat="1" applyFont="1" applyFill="1" applyBorder="1" applyAlignment="1">
      <alignment horizontal="left"/>
    </xf>
    <xf numFmtId="167" fontId="89" fillId="0" borderId="0" xfId="0" applyFont="1" applyFill="1" applyBorder="1" applyAlignment="1">
      <alignment horizontal="left"/>
    </xf>
    <xf numFmtId="43" fontId="22" fillId="0" borderId="0" xfId="1" applyNumberFormat="1" applyFont="1" applyFill="1" applyBorder="1"/>
    <xf numFmtId="0" fontId="28" fillId="0" borderId="0" xfId="0" applyNumberFormat="1" applyFont="1" applyFill="1" applyBorder="1" applyAlignment="1">
      <alignment horizontal="right"/>
    </xf>
    <xf numFmtId="0" fontId="29" fillId="0" borderId="0" xfId="0" applyNumberFormat="1" applyFont="1" applyFill="1" applyBorder="1" applyAlignment="1">
      <alignment horizontal="right"/>
    </xf>
    <xf numFmtId="0" fontId="115" fillId="0" borderId="0" xfId="2" applyNumberFormat="1" applyFont="1" applyFill="1" applyAlignment="1">
      <alignment horizontal="right"/>
    </xf>
    <xf numFmtId="43" fontId="115" fillId="0" borderId="0" xfId="1" applyFont="1" applyFill="1" applyAlignment="1">
      <alignment horizontal="right"/>
    </xf>
    <xf numFmtId="167" fontId="30" fillId="0" borderId="0" xfId="0" applyNumberFormat="1" applyFont="1" applyFill="1" applyBorder="1"/>
    <xf numFmtId="10" fontId="115" fillId="0" borderId="0" xfId="2" applyNumberFormat="1" applyFont="1" applyFill="1" applyAlignment="1">
      <alignment horizontal="right"/>
    </xf>
    <xf numFmtId="167" fontId="30" fillId="0" borderId="0" xfId="1" applyNumberFormat="1" applyFont="1" applyFill="1" applyBorder="1" applyAlignment="1">
      <alignment horizontal="center"/>
    </xf>
    <xf numFmtId="167" fontId="115" fillId="0" borderId="0" xfId="1" applyNumberFormat="1" applyFont="1" applyFill="1" applyAlignment="1">
      <alignment horizontal="left"/>
    </xf>
    <xf numFmtId="167" fontId="30" fillId="0" borderId="0" xfId="0" applyFont="1" applyFill="1"/>
    <xf numFmtId="43" fontId="115" fillId="0" borderId="0" xfId="1" applyFont="1" applyFill="1" applyAlignment="1">
      <alignment horizontal="left"/>
    </xf>
    <xf numFmtId="167" fontId="115" fillId="0" borderId="0" xfId="0" applyNumberFormat="1" applyFont="1" applyFill="1" applyAlignment="1">
      <alignment horizontal="left"/>
    </xf>
    <xf numFmtId="10" fontId="115" fillId="0" borderId="0" xfId="2" applyNumberFormat="1" applyFont="1" applyFill="1" applyBorder="1" applyAlignment="1">
      <alignment horizontal="right"/>
    </xf>
    <xf numFmtId="0" fontId="115" fillId="0" borderId="0" xfId="0" applyNumberFormat="1" applyFont="1" applyFill="1" applyAlignment="1">
      <alignment horizontal="left"/>
    </xf>
    <xf numFmtId="167" fontId="30" fillId="0" borderId="4" xfId="0" applyFont="1" applyFill="1" applyBorder="1"/>
    <xf numFmtId="10" fontId="115" fillId="0" borderId="160" xfId="2" applyNumberFormat="1" applyFont="1" applyFill="1" applyBorder="1" applyAlignment="1">
      <alignment horizontal="right"/>
    </xf>
    <xf numFmtId="167" fontId="115" fillId="0" borderId="0" xfId="0" applyFont="1" applyFill="1" applyAlignment="1">
      <alignment horizontal="left"/>
    </xf>
    <xf numFmtId="43" fontId="30" fillId="0" borderId="0" xfId="1" applyFont="1" applyFill="1"/>
    <xf numFmtId="0" fontId="30" fillId="0" borderId="0" xfId="0" applyNumberFormat="1" applyFont="1" applyFill="1" applyAlignment="1">
      <alignment horizontal="right"/>
    </xf>
    <xf numFmtId="43" fontId="30" fillId="0" borderId="0" xfId="1" applyFont="1" applyFill="1" applyAlignment="1">
      <alignment horizontal="right"/>
    </xf>
    <xf numFmtId="167" fontId="30" fillId="0" borderId="0" xfId="1" applyNumberFormat="1" applyFont="1" applyFill="1" applyBorder="1"/>
    <xf numFmtId="43" fontId="30" fillId="0" borderId="0" xfId="1" applyFont="1" applyFill="1" applyBorder="1"/>
    <xf numFmtId="10" fontId="30" fillId="0" borderId="0" xfId="2" applyNumberFormat="1" applyFont="1" applyFill="1" applyAlignment="1">
      <alignment horizontal="right"/>
    </xf>
    <xf numFmtId="10" fontId="30" fillId="0" borderId="0" xfId="2" applyNumberFormat="1" applyFont="1" applyFill="1" applyBorder="1" applyAlignment="1">
      <alignment horizontal="right"/>
    </xf>
    <xf numFmtId="10" fontId="30" fillId="0" borderId="160" xfId="2" applyNumberFormat="1" applyFont="1" applyFill="1" applyBorder="1" applyAlignment="1">
      <alignment horizontal="right"/>
    </xf>
    <xf numFmtId="43" fontId="30" fillId="0" borderId="1" xfId="1" applyFont="1" applyFill="1" applyBorder="1" applyAlignment="1">
      <alignment horizontal="right"/>
    </xf>
    <xf numFmtId="167" fontId="30" fillId="0" borderId="0" xfId="1" applyNumberFormat="1" applyFont="1" applyFill="1"/>
    <xf numFmtId="10" fontId="30" fillId="0" borderId="0" xfId="2" applyNumberFormat="1" applyFont="1" applyFill="1"/>
    <xf numFmtId="43" fontId="30" fillId="0" borderId="1" xfId="1" applyFont="1" applyFill="1" applyBorder="1"/>
    <xf numFmtId="0" fontId="28" fillId="0" borderId="0" xfId="0" applyNumberFormat="1" applyFont="1" applyFill="1" applyBorder="1" applyAlignment="1">
      <alignment wrapText="1"/>
    </xf>
    <xf numFmtId="43" fontId="22" fillId="0" borderId="0" xfId="1" applyFont="1" applyFill="1" applyAlignment="1">
      <alignment horizontal="right"/>
    </xf>
    <xf numFmtId="43" fontId="81" fillId="0" borderId="0" xfId="1" applyFont="1" applyFill="1" applyBorder="1" applyAlignment="1">
      <alignment horizontal="left"/>
    </xf>
    <xf numFmtId="43" fontId="0" fillId="0" borderId="0" xfId="1" applyNumberFormat="1" applyFont="1" applyFill="1"/>
    <xf numFmtId="49" fontId="0" fillId="0" borderId="0" xfId="0" applyNumberFormat="1" applyFont="1" applyFill="1" applyAlignment="1">
      <alignment horizontal="right"/>
    </xf>
    <xf numFmtId="49" fontId="22" fillId="0" borderId="0" xfId="1" applyNumberFormat="1" applyFont="1" applyFill="1" applyAlignment="1">
      <alignment horizontal="right"/>
    </xf>
    <xf numFmtId="43" fontId="22" fillId="0" borderId="0" xfId="1" applyNumberFormat="1" applyFont="1" applyFill="1"/>
    <xf numFmtId="43" fontId="22" fillId="0" borderId="4" xfId="1" applyFont="1" applyFill="1" applyBorder="1"/>
    <xf numFmtId="167" fontId="22" fillId="0" borderId="0" xfId="1" applyNumberFormat="1" applyFont="1" applyFill="1" applyAlignment="1">
      <alignment horizontal="right" vertical="top"/>
    </xf>
    <xf numFmtId="10" fontId="22" fillId="0" borderId="0" xfId="1" applyNumberFormat="1" applyFont="1" applyFill="1" applyAlignment="1">
      <alignment horizontal="left"/>
    </xf>
    <xf numFmtId="167" fontId="28" fillId="0" borderId="0" xfId="0" applyNumberFormat="1" applyFont="1" applyFill="1" applyAlignment="1">
      <alignment horizontal="right"/>
    </xf>
    <xf numFmtId="43" fontId="28" fillId="0" borderId="0" xfId="1" applyFont="1" applyFill="1" applyBorder="1" applyAlignment="1">
      <alignment horizontal="left"/>
    </xf>
    <xf numFmtId="167" fontId="114" fillId="0" borderId="0" xfId="1" applyNumberFormat="1" applyFont="1" applyFill="1" applyBorder="1" applyAlignment="1">
      <alignment horizontal="left"/>
    </xf>
    <xf numFmtId="43" fontId="114" fillId="0" borderId="0" xfId="1" applyFont="1" applyFill="1" applyBorder="1" applyAlignment="1">
      <alignment horizontal="center"/>
    </xf>
    <xf numFmtId="43" fontId="114" fillId="0" borderId="0" xfId="1" applyFont="1" applyFill="1" applyBorder="1" applyAlignment="1">
      <alignment horizontal="left"/>
    </xf>
    <xf numFmtId="166" fontId="28" fillId="0" borderId="0" xfId="2" applyNumberFormat="1" applyFont="1" applyFill="1" applyAlignment="1">
      <alignment horizontal="left"/>
    </xf>
    <xf numFmtId="9" fontId="28" fillId="0" borderId="0" xfId="2" applyNumberFormat="1" applyFont="1" applyFill="1" applyAlignment="1">
      <alignment horizontal="left"/>
    </xf>
    <xf numFmtId="167" fontId="22" fillId="0" borderId="0" xfId="1" applyNumberFormat="1" applyFont="1" applyFill="1" applyBorder="1" applyAlignment="1">
      <alignment horizontal="center"/>
    </xf>
    <xf numFmtId="0" fontId="28" fillId="0" borderId="0" xfId="0" applyNumberFormat="1" applyFont="1" applyFill="1" applyBorder="1" applyAlignment="1">
      <alignment horizontal="left"/>
    </xf>
    <xf numFmtId="0" fontId="22" fillId="0" borderId="0" xfId="1" applyNumberFormat="1" applyFont="1" applyFill="1" applyAlignment="1">
      <alignment horizontal="right"/>
    </xf>
    <xf numFmtId="43" fontId="28" fillId="0" borderId="1" xfId="1" applyFont="1" applyFill="1" applyBorder="1"/>
    <xf numFmtId="167" fontId="28" fillId="0" borderId="0" xfId="0" applyNumberFormat="1" applyFont="1" applyFill="1" applyBorder="1" applyAlignment="1">
      <alignment horizontal="right"/>
    </xf>
    <xf numFmtId="167" fontId="115" fillId="0" borderId="0" xfId="2" applyNumberFormat="1" applyFont="1" applyFill="1" applyAlignment="1">
      <alignment horizontal="right"/>
    </xf>
    <xf numFmtId="167" fontId="30" fillId="0" borderId="0" xfId="0" applyNumberFormat="1" applyFont="1" applyFill="1" applyAlignment="1">
      <alignment horizontal="right"/>
    </xf>
    <xf numFmtId="167" fontId="28" fillId="0" borderId="0" xfId="0" applyNumberFormat="1" applyFont="1" applyFill="1" applyBorder="1" applyAlignment="1">
      <alignment wrapText="1"/>
    </xf>
    <xf numFmtId="10" fontId="28" fillId="0" borderId="0" xfId="2" applyNumberFormat="1" applyFont="1" applyFill="1" applyBorder="1" applyAlignment="1">
      <alignment wrapText="1"/>
    </xf>
    <xf numFmtId="10" fontId="28" fillId="0" borderId="160" xfId="2" applyNumberFormat="1" applyFont="1" applyFill="1" applyBorder="1" applyAlignment="1">
      <alignment wrapText="1"/>
    </xf>
    <xf numFmtId="0" fontId="22" fillId="0" borderId="0" xfId="2" applyNumberFormat="1" applyFont="1" applyFill="1" applyAlignment="1">
      <alignment horizontal="right"/>
    </xf>
    <xf numFmtId="10" fontId="89" fillId="0" borderId="0" xfId="2" applyNumberFormat="1" applyFont="1" applyFill="1" applyAlignment="1">
      <alignment horizontal="right"/>
    </xf>
    <xf numFmtId="0" fontId="22" fillId="0" borderId="0" xfId="1" applyNumberFormat="1" applyFont="1" applyFill="1"/>
    <xf numFmtId="9" fontId="28" fillId="0" borderId="0" xfId="1" applyNumberFormat="1" applyFont="1" applyFill="1"/>
    <xf numFmtId="175" fontId="89" fillId="0" borderId="0" xfId="0" applyNumberFormat="1" applyFont="1" applyFill="1" applyAlignment="1">
      <alignment horizontal="left"/>
    </xf>
    <xf numFmtId="175" fontId="81" fillId="0" borderId="0" xfId="0" applyNumberFormat="1" applyFont="1" applyFill="1" applyAlignment="1">
      <alignment horizontal="left"/>
    </xf>
    <xf numFmtId="10" fontId="22" fillId="0" borderId="0" xfId="0" applyNumberFormat="1" applyFont="1" applyFill="1" applyAlignment="1">
      <alignment horizontal="left"/>
    </xf>
    <xf numFmtId="43" fontId="22" fillId="0" borderId="0" xfId="0" applyNumberFormat="1" applyFont="1" applyFill="1"/>
    <xf numFmtId="43" fontId="29" fillId="0" borderId="0" xfId="1" applyFont="1" applyFill="1" applyAlignment="1">
      <alignment horizontal="center" vertical="top"/>
    </xf>
    <xf numFmtId="167" fontId="22" fillId="0" borderId="0" xfId="2" applyNumberFormat="1" applyFont="1" applyFill="1"/>
    <xf numFmtId="167" fontId="28" fillId="0" borderId="0" xfId="2" applyNumberFormat="1" applyFont="1" applyFill="1" applyBorder="1" applyAlignment="1">
      <alignment horizontal="left"/>
    </xf>
    <xf numFmtId="43" fontId="28" fillId="0" borderId="0" xfId="0" applyNumberFormat="1" applyFont="1" applyFill="1"/>
    <xf numFmtId="6" fontId="28" fillId="0" borderId="0" xfId="1" applyNumberFormat="1" applyFont="1" applyFill="1" applyBorder="1" applyAlignment="1">
      <alignment horizontal="left"/>
    </xf>
    <xf numFmtId="167" fontId="112" fillId="0" borderId="0" xfId="0" applyNumberFormat="1" applyFont="1" applyFill="1" applyBorder="1"/>
    <xf numFmtId="167" fontId="187" fillId="0" borderId="0" xfId="1" applyNumberFormat="1" applyFont="1" applyFill="1" applyBorder="1" applyAlignment="1">
      <alignment horizontal="left"/>
    </xf>
    <xf numFmtId="10" fontId="28" fillId="0" borderId="2" xfId="2" applyNumberFormat="1" applyFont="1" applyFill="1" applyBorder="1" applyAlignment="1">
      <alignment horizontal="center"/>
    </xf>
    <xf numFmtId="167" fontId="22" fillId="0" borderId="0" xfId="1" applyNumberFormat="1" applyFont="1" applyFill="1" applyBorder="1" applyAlignment="1">
      <alignment horizontal="right"/>
    </xf>
    <xf numFmtId="167" fontId="81" fillId="0" borderId="0" xfId="0" applyNumberFormat="1" applyFont="1" applyFill="1" applyAlignment="1">
      <alignment horizontal="right"/>
    </xf>
    <xf numFmtId="167" fontId="81" fillId="0" borderId="0" xfId="2" applyNumberFormat="1" applyFont="1" applyFill="1" applyAlignment="1">
      <alignment horizontal="right"/>
    </xf>
    <xf numFmtId="167" fontId="28" fillId="0" borderId="0" xfId="0" applyNumberFormat="1" applyFont="1" applyFill="1" applyAlignment="1">
      <alignment horizontal="left"/>
    </xf>
    <xf numFmtId="10" fontId="28" fillId="0" borderId="0" xfId="2" applyNumberFormat="1" applyFont="1" applyFill="1" applyBorder="1" applyAlignment="1">
      <alignment horizontal="left"/>
    </xf>
    <xf numFmtId="167" fontId="22" fillId="0" borderId="0" xfId="0" applyNumberFormat="1" applyFont="1" applyFill="1" applyAlignment="1">
      <alignment horizontal="right"/>
    </xf>
    <xf numFmtId="10" fontId="22" fillId="0" borderId="0" xfId="2" applyNumberFormat="1" applyFont="1" applyFill="1" applyBorder="1" applyAlignment="1">
      <alignment horizontal="left"/>
    </xf>
    <xf numFmtId="167" fontId="28" fillId="0" borderId="0" xfId="0" applyNumberFormat="1" applyFont="1" applyFill="1" applyBorder="1" applyAlignment="1">
      <alignment horizontal="left"/>
    </xf>
    <xf numFmtId="10" fontId="89" fillId="0" borderId="0" xfId="2" applyNumberFormat="1" applyFont="1" applyFill="1" applyBorder="1" applyAlignment="1">
      <alignment horizontal="left"/>
    </xf>
    <xf numFmtId="167" fontId="29" fillId="0" borderId="0" xfId="0" applyNumberFormat="1" applyFont="1" applyFill="1" applyBorder="1" applyAlignment="1">
      <alignment horizontal="right"/>
    </xf>
    <xf numFmtId="167" fontId="22" fillId="0" borderId="0" xfId="0" applyFont="1" applyFill="1" applyAlignment="1">
      <alignment horizontal="right"/>
    </xf>
    <xf numFmtId="167" fontId="28" fillId="0" borderId="0" xfId="2" applyNumberFormat="1" applyFont="1" applyFill="1" applyBorder="1"/>
    <xf numFmtId="167" fontId="22" fillId="0" borderId="0" xfId="1" applyNumberFormat="1" applyFont="1" applyFill="1" applyAlignment="1">
      <alignment horizontal="right"/>
    </xf>
    <xf numFmtId="169" fontId="22" fillId="0" borderId="0" xfId="2" applyNumberFormat="1" applyFont="1" applyFill="1" applyAlignment="1">
      <alignment horizontal="right"/>
    </xf>
    <xf numFmtId="170" fontId="81" fillId="0" borderId="0" xfId="1" applyNumberFormat="1" applyFont="1" applyFill="1" applyBorder="1" applyAlignment="1">
      <alignment horizontal="left"/>
    </xf>
    <xf numFmtId="9" fontId="28" fillId="0" borderId="0" xfId="2" applyFont="1" applyFill="1" applyBorder="1" applyAlignment="1">
      <alignment horizontal="left"/>
    </xf>
    <xf numFmtId="43" fontId="81" fillId="0" borderId="0" xfId="0" applyNumberFormat="1" applyFont="1" applyFill="1" applyAlignment="1"/>
    <xf numFmtId="167" fontId="89" fillId="0" borderId="0" xfId="0" applyNumberFormat="1" applyFont="1" applyFill="1" applyAlignment="1">
      <alignment horizontal="right"/>
    </xf>
    <xf numFmtId="43" fontId="89" fillId="0" borderId="0" xfId="1" applyFont="1" applyFill="1" applyAlignment="1">
      <alignment horizontal="right"/>
    </xf>
    <xf numFmtId="44" fontId="81" fillId="0" borderId="0" xfId="44" applyFont="1" applyFill="1" applyAlignment="1">
      <alignment horizontal="left"/>
    </xf>
    <xf numFmtId="43" fontId="22" fillId="0" borderId="0" xfId="2" applyNumberFormat="1" applyFont="1" applyFill="1" applyBorder="1"/>
    <xf numFmtId="0" fontId="28" fillId="0" borderId="0" xfId="1" applyNumberFormat="1" applyFont="1" applyFill="1" applyAlignment="1">
      <alignment horizontal="left"/>
    </xf>
    <xf numFmtId="0" fontId="28" fillId="0" borderId="0" xfId="1" applyNumberFormat="1" applyFont="1" applyFill="1" applyAlignment="1">
      <alignment horizontal="right"/>
    </xf>
    <xf numFmtId="167" fontId="22" fillId="0" borderId="0" xfId="1" applyNumberFormat="1" applyFont="1" applyFill="1" applyBorder="1" applyAlignment="1">
      <alignment horizontal="left"/>
    </xf>
    <xf numFmtId="167" fontId="28" fillId="0" borderId="0" xfId="1" applyNumberFormat="1" applyFont="1" applyFill="1" applyAlignment="1">
      <alignment horizontal="right"/>
    </xf>
    <xf numFmtId="43" fontId="28" fillId="0" borderId="0" xfId="1" applyFont="1" applyFill="1" applyAlignment="1">
      <alignment horizontal="left"/>
    </xf>
    <xf numFmtId="43" fontId="89" fillId="0" borderId="0" xfId="1" applyFont="1" applyFill="1" applyAlignment="1">
      <alignment horizontal="left"/>
    </xf>
    <xf numFmtId="43" fontId="28" fillId="0" borderId="4" xfId="1" applyFont="1" applyFill="1" applyBorder="1"/>
    <xf numFmtId="168" fontId="22" fillId="0" borderId="0" xfId="1" applyNumberFormat="1" applyFont="1" applyFill="1" applyBorder="1" applyAlignment="1">
      <alignment horizontal="center"/>
    </xf>
    <xf numFmtId="0" fontId="22" fillId="0" borderId="0" xfId="45" applyNumberFormat="1" applyFont="1" applyFill="1" applyAlignment="1">
      <alignment horizontal="right"/>
    </xf>
    <xf numFmtId="167" fontId="22" fillId="0" borderId="0" xfId="45" applyFont="1" applyFill="1"/>
    <xf numFmtId="0" fontId="22" fillId="0" borderId="0" xfId="45" applyNumberFormat="1" applyFont="1" applyFill="1"/>
    <xf numFmtId="43" fontId="115" fillId="0" borderId="0" xfId="1" applyFont="1" applyFill="1" applyBorder="1" applyAlignment="1">
      <alignment horizontal="right"/>
    </xf>
    <xf numFmtId="43" fontId="89" fillId="0" borderId="0" xfId="1" applyFont="1" applyFill="1" applyBorder="1" applyAlignment="1">
      <alignment horizontal="left"/>
    </xf>
    <xf numFmtId="167" fontId="22" fillId="0" borderId="0" xfId="2" applyNumberFormat="1" applyFont="1" applyFill="1" applyBorder="1" applyAlignment="1">
      <alignment horizontal="left"/>
    </xf>
    <xf numFmtId="167" fontId="28" fillId="0" borderId="0" xfId="1" applyNumberFormat="1" applyFont="1" applyFill="1" applyBorder="1" applyAlignment="1">
      <alignment horizontal="right"/>
    </xf>
    <xf numFmtId="0" fontId="29" fillId="0" borderId="0" xfId="1" applyNumberFormat="1" applyFont="1" applyFill="1" applyBorder="1" applyAlignment="1">
      <alignment horizontal="right"/>
    </xf>
    <xf numFmtId="167" fontId="115" fillId="0" borderId="0" xfId="1" applyNumberFormat="1" applyFont="1" applyFill="1" applyAlignment="1">
      <alignment horizontal="right"/>
    </xf>
    <xf numFmtId="43" fontId="30" fillId="0" borderId="4" xfId="1" applyFont="1" applyFill="1" applyBorder="1"/>
    <xf numFmtId="167" fontId="30" fillId="0" borderId="0" xfId="1" applyNumberFormat="1" applyFont="1" applyFill="1" applyBorder="1" applyAlignment="1">
      <alignment horizontal="right"/>
    </xf>
    <xf numFmtId="43" fontId="30" fillId="0" borderId="0" xfId="1" applyFont="1" applyFill="1" applyBorder="1" applyAlignment="1">
      <alignment horizontal="right"/>
    </xf>
    <xf numFmtId="167" fontId="115" fillId="0" borderId="0" xfId="1" applyNumberFormat="1" applyFont="1" applyFill="1" applyBorder="1" applyAlignment="1">
      <alignment horizontal="left"/>
    </xf>
    <xf numFmtId="167" fontId="30" fillId="0" borderId="0" xfId="1" applyNumberFormat="1" applyFont="1" applyFill="1" applyBorder="1" applyAlignment="1">
      <alignment horizontal="left"/>
    </xf>
    <xf numFmtId="0" fontId="28" fillId="0" borderId="0" xfId="1" applyNumberFormat="1" applyFont="1" applyFill="1" applyBorder="1" applyAlignment="1">
      <alignment wrapText="1"/>
    </xf>
    <xf numFmtId="167" fontId="28" fillId="0" borderId="0" xfId="1" applyNumberFormat="1" applyFont="1" applyFill="1" applyBorder="1" applyAlignment="1">
      <alignment wrapText="1"/>
    </xf>
    <xf numFmtId="0" fontId="28" fillId="0" borderId="0" xfId="1" applyNumberFormat="1" applyFont="1" applyFill="1" applyBorder="1" applyAlignment="1">
      <alignment horizontal="right"/>
    </xf>
    <xf numFmtId="49" fontId="28" fillId="0" borderId="0" xfId="1" applyNumberFormat="1" applyFont="1" applyFill="1" applyAlignment="1">
      <alignment horizontal="left"/>
    </xf>
    <xf numFmtId="49" fontId="28" fillId="0" borderId="0" xfId="1" applyNumberFormat="1" applyFont="1" applyFill="1" applyAlignment="1">
      <alignment horizontal="right"/>
    </xf>
    <xf numFmtId="49" fontId="22" fillId="0" borderId="0" xfId="2" applyNumberFormat="1" applyFont="1" applyFill="1" applyAlignment="1">
      <alignment horizontal="right"/>
    </xf>
    <xf numFmtId="49" fontId="22" fillId="0" borderId="0" xfId="45" applyNumberFormat="1" applyFont="1" applyFill="1"/>
    <xf numFmtId="49" fontId="22" fillId="0" borderId="0" xfId="0" applyNumberFormat="1" applyFont="1" applyFill="1" applyAlignment="1">
      <alignment horizontal="left"/>
    </xf>
    <xf numFmtId="49" fontId="28" fillId="0" borderId="0" xfId="1" applyNumberFormat="1" applyFont="1" applyFill="1" applyBorder="1" applyAlignment="1">
      <alignment horizontal="left"/>
    </xf>
    <xf numFmtId="49" fontId="22" fillId="0" borderId="0" xfId="1" applyNumberFormat="1" applyFont="1" applyFill="1"/>
    <xf numFmtId="49" fontId="28" fillId="0" borderId="0" xfId="0" applyNumberFormat="1" applyFont="1" applyFill="1" applyAlignment="1">
      <alignment horizontal="left"/>
    </xf>
    <xf numFmtId="49" fontId="22" fillId="0" borderId="0" xfId="0" applyNumberFormat="1" applyFont="1" applyFill="1" applyAlignment="1">
      <alignment horizontal="right"/>
    </xf>
    <xf numFmtId="49" fontId="28" fillId="0" borderId="0" xfId="0" applyNumberFormat="1" applyFont="1" applyFill="1" applyAlignment="1">
      <alignment horizontal="right"/>
    </xf>
    <xf numFmtId="49" fontId="28" fillId="0" borderId="0" xfId="0" applyNumberFormat="1" applyFont="1" applyFill="1"/>
    <xf numFmtId="49" fontId="29" fillId="0" borderId="0" xfId="1" applyNumberFormat="1" applyFont="1" applyFill="1" applyBorder="1" applyAlignment="1">
      <alignment horizontal="right"/>
    </xf>
    <xf numFmtId="49" fontId="28" fillId="0" borderId="0" xfId="1" applyNumberFormat="1" applyFont="1" applyFill="1" applyBorder="1" applyAlignment="1">
      <alignment wrapText="1"/>
    </xf>
    <xf numFmtId="49" fontId="28" fillId="0" borderId="0" xfId="1" applyNumberFormat="1" applyFont="1" applyFill="1" applyBorder="1" applyAlignment="1">
      <alignment horizontal="right"/>
    </xf>
    <xf numFmtId="167" fontId="22" fillId="0" borderId="0" xfId="2" applyNumberFormat="1" applyFont="1" applyFill="1" applyAlignment="1">
      <alignment horizontal="right"/>
    </xf>
    <xf numFmtId="43" fontId="22" fillId="0" borderId="0" xfId="1" applyNumberFormat="1" applyFont="1" applyFill="1" applyAlignment="1">
      <alignment horizontal="right"/>
    </xf>
    <xf numFmtId="167" fontId="22" fillId="0" borderId="0" xfId="1" applyNumberFormat="1" applyFont="1" applyFill="1" applyAlignment="1"/>
    <xf numFmtId="167" fontId="28" fillId="0" borderId="0" xfId="45" applyFont="1" applyFill="1"/>
    <xf numFmtId="4" fontId="22" fillId="0" borderId="0" xfId="46" applyNumberFormat="1" applyFont="1" applyFill="1"/>
    <xf numFmtId="4" fontId="22" fillId="0" borderId="0" xfId="47" applyNumberFormat="1" applyFont="1" applyFill="1"/>
    <xf numFmtId="167" fontId="98" fillId="5" borderId="0" xfId="4" applyFont="1" applyFill="1" applyAlignment="1">
      <alignment horizontal="center"/>
    </xf>
    <xf numFmtId="167" fontId="98" fillId="0" borderId="0" xfId="4" applyFont="1" applyFill="1" applyAlignment="1">
      <alignment horizontal="left" wrapText="1"/>
    </xf>
    <xf numFmtId="167" fontId="98" fillId="0" borderId="0" xfId="4" applyFont="1" applyAlignment="1">
      <alignment vertical="top" wrapText="1"/>
    </xf>
    <xf numFmtId="167" fontId="99" fillId="0" borderId="0" xfId="4" applyNumberFormat="1" applyFont="1" applyAlignment="1">
      <alignment horizontal="left"/>
    </xf>
    <xf numFmtId="167" fontId="101" fillId="0" borderId="0" xfId="4" applyFont="1" applyAlignment="1">
      <alignment horizontal="left" wrapText="1"/>
    </xf>
    <xf numFmtId="167" fontId="98" fillId="0" borderId="0" xfId="4" applyFont="1" applyAlignment="1">
      <alignment horizontal="center" vertical="top" wrapText="1"/>
    </xf>
    <xf numFmtId="167" fontId="98" fillId="0" borderId="0" xfId="4" applyFont="1" applyAlignment="1">
      <alignment horizontal="left" vertical="top" wrapText="1"/>
    </xf>
    <xf numFmtId="167" fontId="100" fillId="0" borderId="0" xfId="4" applyFont="1" applyAlignment="1">
      <alignment horizontal="center"/>
    </xf>
    <xf numFmtId="167" fontId="98" fillId="0" borderId="0" xfId="4" applyFont="1" applyAlignment="1">
      <alignment horizontal="right" wrapText="1"/>
    </xf>
    <xf numFmtId="168" fontId="184" fillId="0" borderId="0" xfId="8" applyNumberFormat="1" applyFont="1" applyFill="1" applyAlignment="1">
      <alignment horizontal="right" vertical="top" wrapText="1"/>
    </xf>
    <xf numFmtId="167" fontId="31" fillId="5" borderId="5" xfId="29" applyNumberFormat="1" applyFont="1" applyFill="1" applyBorder="1" applyAlignment="1">
      <alignment horizontal="left" vertical="center"/>
    </xf>
    <xf numFmtId="167" fontId="31" fillId="5" borderId="1" xfId="29" applyNumberFormat="1" applyFont="1" applyFill="1" applyBorder="1" applyAlignment="1">
      <alignment horizontal="left" vertical="center"/>
    </xf>
    <xf numFmtId="167" fontId="31" fillId="5" borderId="9" xfId="29" applyNumberFormat="1" applyFont="1" applyFill="1" applyBorder="1" applyAlignment="1">
      <alignment horizontal="left" vertical="center"/>
    </xf>
    <xf numFmtId="167" fontId="31" fillId="5" borderId="2" xfId="29" applyNumberFormat="1" applyFont="1" applyFill="1" applyBorder="1" applyAlignment="1">
      <alignment horizontal="left" vertical="center"/>
    </xf>
    <xf numFmtId="167" fontId="31" fillId="3" borderId="5" xfId="29" applyNumberFormat="1" applyFont="1" applyFill="1" applyBorder="1" applyAlignment="1">
      <alignment horizontal="left" vertical="center"/>
    </xf>
    <xf numFmtId="167" fontId="31" fillId="3" borderId="1" xfId="29" applyNumberFormat="1" applyFont="1" applyFill="1" applyBorder="1" applyAlignment="1">
      <alignment horizontal="left" vertical="center"/>
    </xf>
    <xf numFmtId="167" fontId="31" fillId="3" borderId="9" xfId="29" applyNumberFormat="1" applyFont="1" applyFill="1" applyBorder="1" applyAlignment="1">
      <alignment horizontal="left" vertical="center"/>
    </xf>
    <xf numFmtId="167" fontId="31" fillId="3" borderId="2" xfId="29" applyNumberFormat="1" applyFont="1" applyFill="1" applyBorder="1" applyAlignment="1">
      <alignment horizontal="left" vertical="center"/>
    </xf>
    <xf numFmtId="43" fontId="141" fillId="18" borderId="0" xfId="1" applyFont="1" applyFill="1" applyAlignment="1">
      <alignment horizontal="center"/>
    </xf>
    <xf numFmtId="167" fontId="31" fillId="14" borderId="5" xfId="29" applyNumberFormat="1" applyFont="1" applyFill="1" applyBorder="1" applyAlignment="1">
      <alignment horizontal="left" vertical="center"/>
    </xf>
    <xf numFmtId="167" fontId="31" fillId="14" borderId="1" xfId="29" applyNumberFormat="1" applyFont="1" applyFill="1" applyBorder="1" applyAlignment="1">
      <alignment horizontal="left" vertical="center"/>
    </xf>
    <xf numFmtId="167" fontId="31" fillId="14" borderId="9" xfId="29" applyNumberFormat="1" applyFont="1" applyFill="1" applyBorder="1" applyAlignment="1">
      <alignment horizontal="left" vertical="center"/>
    </xf>
    <xf numFmtId="167" fontId="31" fillId="14" borderId="2" xfId="29" applyNumberFormat="1" applyFont="1" applyFill="1" applyBorder="1" applyAlignment="1">
      <alignment horizontal="left" vertical="center"/>
    </xf>
    <xf numFmtId="167" fontId="2" fillId="0" borderId="0" xfId="0" applyFont="1" applyAlignment="1">
      <alignment horizontal="right" wrapText="1"/>
    </xf>
    <xf numFmtId="167" fontId="14" fillId="4" borderId="0" xfId="0" applyFont="1" applyFill="1" applyAlignment="1">
      <alignment horizontal="center"/>
    </xf>
    <xf numFmtId="170" fontId="2" fillId="0" borderId="0" xfId="1" applyNumberFormat="1" applyFont="1" applyBorder="1" applyAlignment="1">
      <alignment horizontal="right"/>
    </xf>
    <xf numFmtId="170" fontId="0" fillId="0" borderId="0" xfId="1" applyNumberFormat="1" applyFont="1" applyBorder="1" applyAlignment="1">
      <alignment horizontal="right"/>
    </xf>
    <xf numFmtId="167" fontId="2" fillId="0" borderId="0" xfId="30" applyFont="1" applyAlignment="1">
      <alignment horizontal="right" wrapText="1"/>
    </xf>
    <xf numFmtId="167" fontId="2" fillId="0" borderId="0" xfId="30" applyFont="1" applyAlignment="1">
      <alignment horizontal="center"/>
    </xf>
    <xf numFmtId="167" fontId="2" fillId="0" borderId="7" xfId="30" applyFont="1" applyBorder="1" applyAlignment="1">
      <alignment horizontal="center"/>
    </xf>
    <xf numFmtId="167" fontId="2" fillId="0" borderId="0" xfId="30" applyFont="1" applyBorder="1" applyAlignment="1">
      <alignment horizontal="center"/>
    </xf>
    <xf numFmtId="167" fontId="2" fillId="0" borderId="8" xfId="30" applyFont="1" applyBorder="1" applyAlignment="1">
      <alignment horizontal="center"/>
    </xf>
    <xf numFmtId="167" fontId="2" fillId="0" borderId="0" xfId="1" applyNumberFormat="1" applyFont="1" applyBorder="1" applyAlignment="1">
      <alignment horizontal="right" wrapText="1"/>
    </xf>
    <xf numFmtId="167" fontId="28" fillId="0" borderId="0" xfId="1" applyNumberFormat="1" applyFont="1" applyFill="1" applyBorder="1" applyAlignment="1">
      <alignment horizontal="right" wrapText="1"/>
    </xf>
    <xf numFmtId="167" fontId="28" fillId="0" borderId="0" xfId="0" applyNumberFormat="1" applyFont="1" applyFill="1" applyBorder="1" applyAlignment="1">
      <alignment horizontal="right" wrapText="1"/>
    </xf>
    <xf numFmtId="43" fontId="2" fillId="0" borderId="0" xfId="1" applyFont="1" applyAlignment="1">
      <alignment horizontal="right" wrapText="1"/>
    </xf>
    <xf numFmtId="43" fontId="17" fillId="0" borderId="0" xfId="1" applyFont="1" applyAlignment="1">
      <alignment horizontal="right" wrapText="1"/>
    </xf>
    <xf numFmtId="43" fontId="14" fillId="4" borderId="0" xfId="1" applyFont="1" applyFill="1" applyAlignment="1">
      <alignment horizontal="center"/>
    </xf>
    <xf numFmtId="43" fontId="23" fillId="0" borderId="0" xfId="1" applyFont="1" applyAlignment="1">
      <alignment horizontal="right" wrapText="1"/>
    </xf>
    <xf numFmtId="0" fontId="28" fillId="0" borderId="0" xfId="0" applyNumberFormat="1" applyFont="1" applyFill="1" applyBorder="1" applyAlignment="1">
      <alignment horizontal="right" wrapText="1"/>
    </xf>
    <xf numFmtId="0" fontId="2" fillId="0" borderId="0" xfId="0" applyNumberFormat="1" applyFont="1" applyBorder="1" applyAlignment="1">
      <alignment horizontal="right" wrapText="1"/>
    </xf>
    <xf numFmtId="167" fontId="2" fillId="0" borderId="0" xfId="0" applyNumberFormat="1" applyFont="1" applyBorder="1" applyAlignment="1">
      <alignment horizontal="right" wrapText="1"/>
    </xf>
    <xf numFmtId="49" fontId="2" fillId="0" borderId="0" xfId="0" applyNumberFormat="1" applyFont="1" applyBorder="1" applyAlignment="1">
      <alignment horizontal="right" wrapText="1"/>
    </xf>
  </cellXfs>
  <cellStyles count="56">
    <cellStyle name="Comma" xfId="1" builtinId="3"/>
    <cellStyle name="Comma 2" xfId="8"/>
    <cellStyle name="Comma 2 2" xfId="10"/>
    <cellStyle name="Comma 2 3" xfId="34"/>
    <cellStyle name="Comma 3" xfId="11"/>
    <cellStyle name="Comma 3 2" xfId="12"/>
    <cellStyle name="Comma 3 3" xfId="35"/>
    <cellStyle name="Comma 4" xfId="13"/>
    <cellStyle name="Comma 4 2" xfId="14"/>
    <cellStyle name="Comma 5" xfId="15"/>
    <cellStyle name="Comma 6" xfId="33"/>
    <cellStyle name="Currency" xfId="44" builtinId="4"/>
    <cellStyle name="Currency 2" xfId="16"/>
    <cellStyle name="Currency 2 2" xfId="17"/>
    <cellStyle name="Currency 2 3" xfId="36"/>
    <cellStyle name="Currency 3" xfId="18"/>
    <cellStyle name="Currency 3 2" xfId="19"/>
    <cellStyle name="Currency 3 2 2" xfId="43"/>
    <cellStyle name="Currency 4" xfId="32"/>
    <cellStyle name="Currency 4 2" xfId="37"/>
    <cellStyle name="Currency 5" xfId="38"/>
    <cellStyle name="Currency 6" xfId="39"/>
    <cellStyle name="Currency 7" xfId="40"/>
    <cellStyle name="Normal" xfId="0" builtinId="0"/>
    <cellStyle name="Normal 10" xfId="47"/>
    <cellStyle name="Normal 10 2" xfId="51"/>
    <cellStyle name="Normal 11" xfId="48"/>
    <cellStyle name="Normal 11 2" xfId="52"/>
    <cellStyle name="Normal 12" xfId="49"/>
    <cellStyle name="Normal 13" xfId="50"/>
    <cellStyle name="Normal 2" xfId="6"/>
    <cellStyle name="Normal 2 2" xfId="29"/>
    <cellStyle name="Normal 2 2 2" xfId="42"/>
    <cellStyle name="Normal 2 2 2 2" xfId="53"/>
    <cellStyle name="Normal 2 3" xfId="41"/>
    <cellStyle name="Normal 20" xfId="3"/>
    <cellStyle name="Normal 3" xfId="20"/>
    <cellStyle name="Normal 3 2" xfId="21"/>
    <cellStyle name="Normal 3 3" xfId="30"/>
    <cellStyle name="Normal 4" xfId="4"/>
    <cellStyle name="Normal 4 2" xfId="7"/>
    <cellStyle name="Normal 5" xfId="22"/>
    <cellStyle name="Normal 6" xfId="28"/>
    <cellStyle name="Normal 7" xfId="31"/>
    <cellStyle name="Normal 8" xfId="45"/>
    <cellStyle name="Normal 8 2" xfId="54"/>
    <cellStyle name="Normal 9" xfId="46"/>
    <cellStyle name="Normal 9 2" xfId="55"/>
    <cellStyle name="Percent" xfId="2" builtinId="5"/>
    <cellStyle name="Percent 2" xfId="5"/>
    <cellStyle name="Percent 2 2" xfId="23"/>
    <cellStyle name="Percent 3" xfId="24"/>
    <cellStyle name="Percent 3 2" xfId="25"/>
    <cellStyle name="Percent 4" xfId="9"/>
    <cellStyle name="Percent 4 2" xfId="26"/>
    <cellStyle name="Percent 5" xfId="27"/>
  </cellStyles>
  <dxfs count="1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99"/>
      <color rgb="FFFFCCFF"/>
      <color rgb="FFCCFFCC"/>
      <color rgb="FF3333FF"/>
      <color rgb="FF008000"/>
      <color rgb="FFFFFFCC"/>
      <color rgb="FFFF0000"/>
      <color rgb="FF99CC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559676</xdr:colOff>
      <xdr:row>52</xdr:row>
      <xdr:rowOff>152400</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10058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201705</xdr:colOff>
      <xdr:row>0</xdr:row>
      <xdr:rowOff>0</xdr:rowOff>
    </xdr:from>
    <xdr:to>
      <xdr:col>32</xdr:col>
      <xdr:colOff>143043</xdr:colOff>
      <xdr:row>65</xdr:row>
      <xdr:rowOff>134471</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1705" y="0"/>
          <a:ext cx="20616191" cy="1251697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hyperlink" Target="http://www.cde.ca.gov/fg/aa/ca/" TargetMode="External"/><Relationship Id="rId2" Type="http://schemas.openxmlformats.org/officeDocument/2006/relationships/hyperlink" Target="http://www.cde.ca.gov/fg/aa/ca/" TargetMode="External"/><Relationship Id="rId1" Type="http://schemas.openxmlformats.org/officeDocument/2006/relationships/hyperlink" Target="http://www.cde.ca.gov/fg/aa/ca/" TargetMode="External"/><Relationship Id="rId6" Type="http://schemas.openxmlformats.org/officeDocument/2006/relationships/printerSettings" Target="../printerSettings/printerSettings9.bin"/><Relationship Id="rId5" Type="http://schemas.openxmlformats.org/officeDocument/2006/relationships/hyperlink" Target="http://www.cde.ca.gov/fg/aa/ca/" TargetMode="External"/><Relationship Id="rId4" Type="http://schemas.openxmlformats.org/officeDocument/2006/relationships/hyperlink" Target="http://www.cde.ca.gov/fg/aa/c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N91"/>
  <sheetViews>
    <sheetView showGridLines="0" tabSelected="1" zoomScale="130" zoomScaleNormal="130" workbookViewId="0"/>
  </sheetViews>
  <sheetFormatPr defaultColWidth="0" defaultRowHeight="15.75" zeroHeight="1" x14ac:dyDescent="0.25"/>
  <cols>
    <col min="1" max="1" width="3.140625" style="528" customWidth="1"/>
    <col min="2" max="2" width="2.140625" style="534" customWidth="1"/>
    <col min="3" max="3" width="12.7109375" style="534" customWidth="1"/>
    <col min="4" max="10" width="12.7109375" style="531" customWidth="1"/>
    <col min="11" max="11" width="2.140625" style="531" customWidth="1"/>
    <col min="12" max="12" width="3.140625" style="528" customWidth="1"/>
    <col min="13" max="14" width="0" style="531" hidden="1" customWidth="1"/>
    <col min="15" max="16384" width="4.28515625" style="531" hidden="1"/>
  </cols>
  <sheetData>
    <row r="1" spans="1:12" x14ac:dyDescent="0.25">
      <c r="B1" s="529" t="s">
        <v>1083</v>
      </c>
      <c r="C1" s="529"/>
      <c r="D1" s="530"/>
      <c r="E1" s="530"/>
      <c r="H1" s="2531" t="s">
        <v>1116</v>
      </c>
      <c r="I1" s="2531"/>
      <c r="J1" s="2531"/>
      <c r="K1" s="537"/>
    </row>
    <row r="2" spans="1:12" x14ac:dyDescent="0.25">
      <c r="B2" s="2534" t="s">
        <v>1117</v>
      </c>
      <c r="C2" s="2534"/>
      <c r="D2" s="2534"/>
      <c r="E2" s="2534"/>
    </row>
    <row r="3" spans="1:12" ht="30.75" customHeight="1" x14ac:dyDescent="0.25">
      <c r="A3" s="532"/>
      <c r="B3" s="2538" t="s">
        <v>140</v>
      </c>
      <c r="C3" s="2538"/>
      <c r="D3" s="2538"/>
      <c r="E3" s="2538"/>
      <c r="F3" s="2538"/>
      <c r="G3" s="2538"/>
      <c r="H3" s="2538"/>
      <c r="I3" s="2538"/>
      <c r="J3" s="2538"/>
      <c r="K3" s="1861"/>
      <c r="L3" s="532"/>
    </row>
    <row r="4" spans="1:12" x14ac:dyDescent="0.25"/>
    <row r="5" spans="1:12" ht="153" customHeight="1" x14ac:dyDescent="0.25">
      <c r="A5" s="533"/>
      <c r="C5" s="2537" t="s">
        <v>1078</v>
      </c>
      <c r="D5" s="2537"/>
      <c r="E5" s="2537"/>
      <c r="F5" s="2537"/>
      <c r="G5" s="2537"/>
      <c r="H5" s="2537"/>
      <c r="I5" s="2537"/>
      <c r="J5" s="2537"/>
      <c r="K5" s="1830"/>
      <c r="L5" s="533"/>
    </row>
    <row r="6" spans="1:12" s="536" customFormat="1" x14ac:dyDescent="0.25">
      <c r="A6" s="528"/>
      <c r="B6" s="535" t="s">
        <v>142</v>
      </c>
      <c r="C6" s="535"/>
      <c r="L6" s="528"/>
    </row>
    <row r="7" spans="1:12" s="528" customFormat="1" x14ac:dyDescent="0.25">
      <c r="B7" s="574"/>
      <c r="C7" s="574"/>
    </row>
    <row r="8" spans="1:12" s="537" customFormat="1" x14ac:dyDescent="0.25">
      <c r="C8" s="1837" t="s">
        <v>973</v>
      </c>
      <c r="E8" s="539"/>
      <c r="F8" s="539"/>
      <c r="G8" s="539"/>
      <c r="H8" s="539"/>
    </row>
    <row r="9" spans="1:12" s="537" customFormat="1" x14ac:dyDescent="0.25">
      <c r="C9" s="538"/>
      <c r="E9" s="539"/>
      <c r="F9" s="539"/>
      <c r="G9" s="539"/>
      <c r="H9" s="539"/>
    </row>
    <row r="10" spans="1:12" ht="31.5" customHeight="1" x14ac:dyDescent="0.25">
      <c r="C10" s="2537" t="s">
        <v>1109</v>
      </c>
      <c r="D10" s="2537"/>
      <c r="E10" s="2537"/>
      <c r="F10" s="2537"/>
      <c r="G10" s="2537"/>
      <c r="H10" s="2537"/>
      <c r="I10" s="2537"/>
      <c r="J10" s="2537"/>
      <c r="K10" s="1833"/>
    </row>
    <row r="11" spans="1:12" ht="22.5" customHeight="1" x14ac:dyDescent="0.25">
      <c r="E11" s="541" t="s">
        <v>286</v>
      </c>
      <c r="F11" s="541" t="str">
        <f>LEFT(E11,4)+1&amp;"-"&amp;RIGHT(E11,2)+1</f>
        <v>2017-18</v>
      </c>
      <c r="G11" s="1838" t="str">
        <f t="shared" ref="G11:I11" si="0">LEFT(F11,4)+1&amp;"-"&amp;RIGHT(F11,2)+1</f>
        <v>2018-19</v>
      </c>
      <c r="H11" s="1838" t="str">
        <f t="shared" si="0"/>
        <v>2019-20</v>
      </c>
      <c r="I11" s="1838" t="str">
        <f t="shared" si="0"/>
        <v>2020-21</v>
      </c>
    </row>
    <row r="12" spans="1:12" s="530" customFormat="1" x14ac:dyDescent="0.25">
      <c r="A12" s="540"/>
      <c r="B12" s="529"/>
      <c r="D12" s="529"/>
      <c r="E12" s="540"/>
      <c r="F12" s="2313" t="s">
        <v>1105</v>
      </c>
      <c r="G12" s="2314">
        <v>0.03</v>
      </c>
      <c r="H12" s="540"/>
      <c r="I12" s="540"/>
      <c r="J12" s="567"/>
      <c r="K12" s="542"/>
      <c r="L12" s="540"/>
    </row>
    <row r="13" spans="1:12" x14ac:dyDescent="0.25">
      <c r="B13" s="531"/>
      <c r="D13" s="543" t="s">
        <v>143</v>
      </c>
      <c r="E13" s="1839">
        <v>0</v>
      </c>
      <c r="F13" s="1840">
        <v>1.5599999999999999E-2</v>
      </c>
      <c r="G13" s="1840">
        <v>2.7099999999999999E-2</v>
      </c>
      <c r="H13" s="1840">
        <v>2.5700000000000001E-2</v>
      </c>
      <c r="I13" s="1839">
        <v>2.6700000000000002E-2</v>
      </c>
      <c r="J13" s="2303"/>
      <c r="K13" s="544"/>
    </row>
    <row r="14" spans="1:12" s="1835" customFormat="1" ht="24" hidden="1" customHeight="1" x14ac:dyDescent="0.25">
      <c r="A14" s="1834"/>
      <c r="C14" s="1836"/>
      <c r="D14" s="1856" t="s">
        <v>972</v>
      </c>
      <c r="E14" s="1839"/>
      <c r="F14" s="1840"/>
      <c r="G14" s="1860">
        <v>2.5100000000000001E-2</v>
      </c>
      <c r="H14" s="1860">
        <v>2.41E-2</v>
      </c>
      <c r="I14" s="1860">
        <v>2.8000000000000001E-2</v>
      </c>
      <c r="J14" s="2303"/>
      <c r="K14" s="1841"/>
      <c r="L14" s="1834"/>
    </row>
    <row r="15" spans="1:12" s="546" customFormat="1" x14ac:dyDescent="0.25">
      <c r="A15" s="545"/>
      <c r="D15" s="547" t="s">
        <v>144</v>
      </c>
      <c r="E15" s="1855">
        <v>0.56076799799999999</v>
      </c>
      <c r="F15" s="2304">
        <v>0.45169999999999999</v>
      </c>
      <c r="G15" s="2263">
        <v>1</v>
      </c>
      <c r="H15" s="2263">
        <v>1</v>
      </c>
      <c r="I15" s="2305">
        <v>1</v>
      </c>
      <c r="J15" s="2306"/>
      <c r="K15" s="548"/>
      <c r="L15" s="545"/>
    </row>
    <row r="16" spans="1:12" s="1835" customFormat="1" ht="24" hidden="1" customHeight="1" x14ac:dyDescent="0.25">
      <c r="A16" s="1834"/>
      <c r="C16" s="1836"/>
      <c r="D16" s="1856" t="s">
        <v>972</v>
      </c>
      <c r="E16" s="1839"/>
      <c r="F16" s="1860">
        <v>0.44969999999999999</v>
      </c>
      <c r="G16" s="1860"/>
      <c r="H16" s="1860"/>
      <c r="I16" s="2307"/>
      <c r="J16" s="2303"/>
      <c r="K16" s="1841"/>
      <c r="L16" s="1834"/>
    </row>
    <row r="17" spans="1:12" x14ac:dyDescent="0.25">
      <c r="D17" s="543" t="s">
        <v>145</v>
      </c>
      <c r="E17" s="1839">
        <v>0.5494</v>
      </c>
      <c r="F17" s="1839">
        <v>0.55759999999999998</v>
      </c>
      <c r="G17" s="1839">
        <v>0.55669999999999997</v>
      </c>
      <c r="H17" s="1839">
        <v>0.55859999999999999</v>
      </c>
      <c r="I17" s="1839">
        <v>0.55159999999999998</v>
      </c>
      <c r="J17" s="2303"/>
      <c r="K17" s="544"/>
    </row>
    <row r="18" spans="1:12" hidden="1" x14ac:dyDescent="0.25">
      <c r="B18" s="549"/>
      <c r="D18" s="1856" t="s">
        <v>972</v>
      </c>
      <c r="E18" s="1839"/>
      <c r="F18" s="1860"/>
      <c r="G18" s="1860">
        <v>0.55349999999999999</v>
      </c>
      <c r="H18" s="1860">
        <v>0.55349999999999999</v>
      </c>
      <c r="I18" s="1860">
        <v>0.54469999999999996</v>
      </c>
      <c r="J18" s="1834"/>
    </row>
    <row r="19" spans="1:12" x14ac:dyDescent="0.25">
      <c r="B19" s="551"/>
      <c r="C19" s="551"/>
      <c r="D19" s="120" t="s">
        <v>146</v>
      </c>
      <c r="E19" s="576"/>
      <c r="F19" s="576"/>
      <c r="G19" s="576"/>
      <c r="H19" s="576"/>
      <c r="I19" s="1834"/>
      <c r="J19" s="1834"/>
    </row>
    <row r="20" spans="1:12" ht="14.25" customHeight="1" x14ac:dyDescent="0.25">
      <c r="B20" s="529"/>
      <c r="C20" s="529"/>
      <c r="E20" s="550"/>
      <c r="F20" s="550"/>
      <c r="G20" s="552"/>
      <c r="H20" s="552"/>
      <c r="I20" s="2259"/>
    </row>
    <row r="21" spans="1:12" s="536" customFormat="1" ht="14.25" customHeight="1" x14ac:dyDescent="0.25">
      <c r="A21" s="528"/>
      <c r="B21" s="535" t="s">
        <v>147</v>
      </c>
      <c r="C21" s="535"/>
      <c r="E21" s="553"/>
      <c r="F21" s="553"/>
      <c r="G21" s="554"/>
      <c r="H21" s="554"/>
      <c r="I21" s="2260"/>
      <c r="L21" s="528"/>
    </row>
    <row r="22" spans="1:12" s="528" customFormat="1" ht="14.25" customHeight="1" x14ac:dyDescent="0.25">
      <c r="B22" s="574"/>
      <c r="C22" s="574"/>
      <c r="E22" s="576"/>
      <c r="F22" s="576"/>
      <c r="G22" s="552"/>
      <c r="H22" s="552"/>
      <c r="I22" s="2259"/>
    </row>
    <row r="23" spans="1:12" x14ac:dyDescent="0.25">
      <c r="A23" s="555"/>
      <c r="B23" s="531"/>
      <c r="C23" s="531"/>
      <c r="D23" s="541" t="s">
        <v>652</v>
      </c>
      <c r="E23" s="541" t="str">
        <f>LEFT(D23,4)+1&amp;"-"&amp;RIGHT(D23,2)+1</f>
        <v>2016-17</v>
      </c>
      <c r="F23" s="1838" t="str">
        <f t="shared" ref="F23:I23" si="1">LEFT(E23,4)+1&amp;"-"&amp;RIGHT(E23,2)+1</f>
        <v>2017-18</v>
      </c>
      <c r="G23" s="1838" t="str">
        <f t="shared" si="1"/>
        <v>2018-19</v>
      </c>
      <c r="H23" s="1838" t="str">
        <f t="shared" si="1"/>
        <v>2019-20</v>
      </c>
      <c r="I23" s="1838" t="str">
        <f t="shared" si="1"/>
        <v>2020-21</v>
      </c>
      <c r="J23" s="1838"/>
      <c r="K23" s="542"/>
      <c r="L23" s="531"/>
    </row>
    <row r="24" spans="1:12" ht="14.25" customHeight="1" x14ac:dyDescent="0.25">
      <c r="A24" s="556"/>
      <c r="C24" s="1854" t="s">
        <v>148</v>
      </c>
      <c r="D24" s="557">
        <v>8190</v>
      </c>
      <c r="E24" s="556">
        <v>8102</v>
      </c>
      <c r="F24" s="1842">
        <v>8058</v>
      </c>
      <c r="G24" s="1842">
        <v>8038</v>
      </c>
      <c r="H24" s="1842">
        <v>8018</v>
      </c>
      <c r="I24" s="1842">
        <v>7998</v>
      </c>
      <c r="J24" s="1842"/>
      <c r="K24" s="558"/>
      <c r="L24" s="531"/>
    </row>
    <row r="25" spans="1:12" ht="11.25" customHeight="1" x14ac:dyDescent="0.25">
      <c r="A25" s="556"/>
      <c r="C25" s="1856"/>
      <c r="D25" s="1857"/>
      <c r="E25" s="1858"/>
      <c r="F25" s="1859"/>
      <c r="G25" s="1859"/>
      <c r="H25" s="1859"/>
      <c r="I25" s="1859"/>
      <c r="J25" s="1859"/>
      <c r="K25" s="558"/>
      <c r="L25" s="531"/>
    </row>
    <row r="26" spans="1:12" s="1849" customFormat="1" ht="28.5" customHeight="1" x14ac:dyDescent="0.25">
      <c r="A26" s="1844"/>
      <c r="B26" s="1845"/>
      <c r="C26" s="1846" t="s">
        <v>149</v>
      </c>
      <c r="D26" s="1847">
        <v>-93</v>
      </c>
      <c r="E26" s="1844">
        <f>+E24-D24</f>
        <v>-88</v>
      </c>
      <c r="F26" s="1844">
        <f>+F24-E24</f>
        <v>-44</v>
      </c>
      <c r="G26" s="1844">
        <f>+G24-F24</f>
        <v>-20</v>
      </c>
      <c r="H26" s="1844">
        <f>+H24-G24</f>
        <v>-20</v>
      </c>
      <c r="I26" s="2261">
        <f t="shared" ref="I26" si="2">+I24-H24</f>
        <v>-20</v>
      </c>
      <c r="J26" s="1844"/>
      <c r="K26" s="1848"/>
    </row>
    <row r="27" spans="1:12" s="1849" customFormat="1" ht="18" customHeight="1" x14ac:dyDescent="0.25">
      <c r="A27" s="1844"/>
      <c r="B27" s="1845"/>
      <c r="C27" s="1846"/>
      <c r="D27" s="1847"/>
      <c r="E27" s="1844"/>
      <c r="F27" s="2262" t="s">
        <v>669</v>
      </c>
      <c r="G27" s="1844"/>
      <c r="H27" s="1844"/>
      <c r="I27" s="2261"/>
      <c r="J27" s="1844"/>
      <c r="K27" s="1848"/>
    </row>
    <row r="28" spans="1:12" x14ac:dyDescent="0.25">
      <c r="A28" s="556"/>
      <c r="C28" s="1854" t="s">
        <v>150</v>
      </c>
      <c r="D28" s="557">
        <v>7865.44</v>
      </c>
      <c r="E28" s="556">
        <v>7760.61</v>
      </c>
      <c r="F28" s="2274">
        <v>7717.65</v>
      </c>
      <c r="G28" s="1842">
        <v>7698.5</v>
      </c>
      <c r="H28" s="1842">
        <v>7679.34</v>
      </c>
      <c r="I28" s="1842">
        <v>7660.19</v>
      </c>
      <c r="J28" s="558">
        <v>7758.04</v>
      </c>
      <c r="K28" s="558"/>
      <c r="L28" s="531"/>
    </row>
    <row r="29" spans="1:12" s="1835" customFormat="1" ht="21" hidden="1" customHeight="1" x14ac:dyDescent="0.25">
      <c r="A29" s="1842"/>
      <c r="B29" s="1836"/>
      <c r="C29" s="1856" t="s">
        <v>972</v>
      </c>
      <c r="D29" s="1857"/>
      <c r="E29" s="1858"/>
      <c r="F29" s="1859">
        <v>7733.1</v>
      </c>
      <c r="G29" s="1859">
        <v>7723.5</v>
      </c>
      <c r="H29" s="1859">
        <v>7718.7</v>
      </c>
      <c r="I29" s="1859">
        <v>7713.9</v>
      </c>
      <c r="J29" s="1859"/>
      <c r="K29" s="1843"/>
    </row>
    <row r="30" spans="1:12" s="1849" customFormat="1" ht="28.5" customHeight="1" x14ac:dyDescent="0.25">
      <c r="A30" s="1844"/>
      <c r="B30" s="1845"/>
      <c r="C30" s="1846" t="s">
        <v>149</v>
      </c>
      <c r="D30" s="1847">
        <v>-92.890000000000327</v>
      </c>
      <c r="E30" s="1844">
        <f t="shared" ref="E30:K30" si="3">+E28-D28</f>
        <v>-104.82999999999993</v>
      </c>
      <c r="F30" s="1844">
        <f t="shared" si="3"/>
        <v>-42.960000000000036</v>
      </c>
      <c r="G30" s="1844">
        <f t="shared" si="3"/>
        <v>-19.149999999999636</v>
      </c>
      <c r="H30" s="1844">
        <f t="shared" si="3"/>
        <v>-19.159999999999854</v>
      </c>
      <c r="I30" s="2261">
        <f t="shared" si="3"/>
        <v>-19.150000000000546</v>
      </c>
      <c r="J30" s="1848">
        <f t="shared" si="3"/>
        <v>97.850000000000364</v>
      </c>
      <c r="K30" s="1848">
        <f t="shared" si="3"/>
        <v>-7758.04</v>
      </c>
    </row>
    <row r="31" spans="1:12" ht="7.5" customHeight="1" x14ac:dyDescent="0.25">
      <c r="C31" s="543"/>
      <c r="E31" s="550"/>
      <c r="F31" s="550"/>
      <c r="G31" s="550"/>
      <c r="H31" s="550"/>
      <c r="I31" s="1835"/>
    </row>
    <row r="32" spans="1:12" ht="15.75" customHeight="1" x14ac:dyDescent="0.25">
      <c r="B32" s="2536" t="s">
        <v>151</v>
      </c>
      <c r="C32" s="2536"/>
      <c r="D32" s="2536"/>
      <c r="E32" s="955">
        <v>0.95967917469219388</v>
      </c>
      <c r="F32" s="550"/>
      <c r="G32" s="550"/>
      <c r="H32" s="550"/>
      <c r="I32" s="1835"/>
    </row>
    <row r="33" spans="1:12" x14ac:dyDescent="0.25">
      <c r="B33" s="2536"/>
      <c r="C33" s="2536"/>
      <c r="D33" s="2536"/>
      <c r="E33" s="550"/>
      <c r="F33" s="550"/>
      <c r="G33" s="550"/>
      <c r="H33" s="550"/>
      <c r="I33" s="1835"/>
    </row>
    <row r="34" spans="1:12" s="536" customFormat="1" x14ac:dyDescent="0.25">
      <c r="A34" s="528"/>
      <c r="B34" s="535" t="s">
        <v>152</v>
      </c>
      <c r="C34" s="560"/>
      <c r="E34" s="553"/>
      <c r="F34" s="553"/>
      <c r="G34" s="553"/>
      <c r="H34" s="553"/>
      <c r="L34" s="528"/>
    </row>
    <row r="35" spans="1:12" s="528" customFormat="1" ht="3.75" customHeight="1" x14ac:dyDescent="0.25">
      <c r="B35" s="574"/>
      <c r="C35" s="575"/>
      <c r="E35" s="576"/>
      <c r="F35" s="576"/>
      <c r="G35" s="576"/>
      <c r="H35" s="576"/>
      <c r="I35" s="1834"/>
    </row>
    <row r="36" spans="1:12" ht="15" customHeight="1" x14ac:dyDescent="0.25">
      <c r="B36" s="550"/>
      <c r="C36" s="1871" t="s">
        <v>153</v>
      </c>
      <c r="D36" s="1871"/>
      <c r="E36" s="1871"/>
      <c r="F36" s="1871"/>
      <c r="G36" s="1871"/>
      <c r="H36" s="1871"/>
      <c r="I36" s="1849"/>
      <c r="J36" s="1871"/>
      <c r="K36" s="550"/>
    </row>
    <row r="37" spans="1:12" ht="22.5" customHeight="1" x14ac:dyDescent="0.25">
      <c r="B37" s="1872"/>
      <c r="C37" s="1872"/>
      <c r="D37" s="1873" t="str">
        <f>+F23</f>
        <v>2017-18</v>
      </c>
      <c r="E37" s="1873" t="str">
        <f>+G23</f>
        <v>2018-19</v>
      </c>
      <c r="F37" s="1873" t="str">
        <f>+H23</f>
        <v>2019-20</v>
      </c>
      <c r="G37" s="1872"/>
      <c r="H37" s="1845"/>
      <c r="I37" s="1872"/>
      <c r="J37" s="550"/>
      <c r="K37" s="528"/>
      <c r="L37" s="531"/>
    </row>
    <row r="38" spans="1:12" x14ac:dyDescent="0.25">
      <c r="B38" s="1872"/>
      <c r="C38" s="1874" t="s">
        <v>154</v>
      </c>
      <c r="D38" s="2268">
        <f>+RESTRICTED!G9</f>
        <v>750726.19</v>
      </c>
      <c r="E38" s="2268">
        <f>+RESTRICTED!H9</f>
        <v>470603</v>
      </c>
      <c r="F38" s="2268">
        <f>+RESTRICTED!I9</f>
        <v>0</v>
      </c>
      <c r="G38" s="1875" t="s">
        <v>378</v>
      </c>
      <c r="H38" s="1845"/>
      <c r="I38" s="1872"/>
      <c r="J38" s="550"/>
      <c r="K38" s="528"/>
      <c r="L38" s="531"/>
    </row>
    <row r="39" spans="1:12" s="549" customFormat="1" ht="24.75" customHeight="1" x14ac:dyDescent="0.25">
      <c r="A39" s="537"/>
      <c r="B39" s="1876"/>
      <c r="C39" s="1877" t="s">
        <v>155</v>
      </c>
      <c r="D39" s="2269">
        <f>+UNRESTRICTED!G11</f>
        <v>1143299</v>
      </c>
      <c r="E39" s="2269">
        <f>+UNRESTRICTED!H11</f>
        <v>2654872</v>
      </c>
      <c r="F39" s="2269">
        <f>+UNRESTRICTED!I11</f>
        <v>0</v>
      </c>
      <c r="G39" s="539" t="s">
        <v>850</v>
      </c>
      <c r="H39" s="1836"/>
      <c r="I39" s="1876"/>
      <c r="J39" s="1879"/>
      <c r="K39" s="537"/>
    </row>
    <row r="40" spans="1:12" x14ac:dyDescent="0.25">
      <c r="B40" s="1872"/>
      <c r="C40" s="1874"/>
      <c r="D40" s="2268">
        <f>+'RS 6230'!H9</f>
        <v>441384</v>
      </c>
      <c r="E40" s="2268">
        <v>0</v>
      </c>
      <c r="F40" s="2268">
        <v>0</v>
      </c>
      <c r="G40" s="1875" t="s">
        <v>379</v>
      </c>
      <c r="H40" s="1872"/>
      <c r="I40" s="1872"/>
      <c r="J40" s="550"/>
      <c r="K40" s="528"/>
      <c r="L40" s="531"/>
    </row>
    <row r="41" spans="1:12" s="549" customFormat="1" ht="24.75" customHeight="1" x14ac:dyDescent="0.25">
      <c r="A41" s="537"/>
      <c r="B41" s="1876"/>
      <c r="C41" s="1877" t="s">
        <v>156</v>
      </c>
      <c r="D41" s="2270">
        <f>+UNRESTRICTED!G13</f>
        <v>803000</v>
      </c>
      <c r="E41" s="2270">
        <v>0</v>
      </c>
      <c r="F41" s="2270">
        <v>0</v>
      </c>
      <c r="G41" s="1878" t="s">
        <v>1079</v>
      </c>
      <c r="H41" s="1876"/>
      <c r="I41" s="1876"/>
      <c r="J41" s="1879"/>
      <c r="K41" s="537"/>
    </row>
    <row r="42" spans="1:12" s="549" customFormat="1" x14ac:dyDescent="0.25">
      <c r="A42" s="537"/>
      <c r="B42" s="1876"/>
      <c r="C42" s="1877"/>
      <c r="D42" s="2270">
        <v>0</v>
      </c>
      <c r="E42" s="2270">
        <v>0</v>
      </c>
      <c r="F42" s="2270">
        <v>0</v>
      </c>
      <c r="G42" s="1878" t="s">
        <v>853</v>
      </c>
      <c r="H42" s="1876"/>
      <c r="I42" s="1876"/>
      <c r="J42" s="1879"/>
      <c r="K42" s="537"/>
    </row>
    <row r="43" spans="1:12" x14ac:dyDescent="0.25">
      <c r="B43" s="1872"/>
      <c r="C43" s="1872"/>
      <c r="D43" s="2271">
        <f>SUM(D38:D42)</f>
        <v>3138409.19</v>
      </c>
      <c r="E43" s="2271">
        <f>SUM(E38:E42)</f>
        <v>3125475</v>
      </c>
      <c r="F43" s="2271">
        <f>SUM(F38:F42)</f>
        <v>0</v>
      </c>
      <c r="G43" s="1875"/>
      <c r="H43" s="1872"/>
      <c r="I43" s="1872"/>
      <c r="J43" s="550"/>
      <c r="K43" s="528"/>
      <c r="L43" s="531"/>
    </row>
    <row r="44" spans="1:12" ht="7.5" customHeight="1" x14ac:dyDescent="0.25">
      <c r="B44" s="1872"/>
      <c r="C44" s="1872"/>
      <c r="D44" s="2268"/>
      <c r="E44" s="2268"/>
      <c r="F44" s="1875"/>
      <c r="G44" s="1875"/>
      <c r="H44" s="1875"/>
      <c r="I44" s="1872"/>
      <c r="J44" s="1872"/>
      <c r="K44" s="550"/>
    </row>
    <row r="45" spans="1:12" ht="4.5" hidden="1" customHeight="1" x14ac:dyDescent="0.25">
      <c r="B45" s="1872"/>
      <c r="C45" s="1872"/>
      <c r="E45" s="2269"/>
      <c r="F45" s="2269"/>
      <c r="G45" s="1875"/>
      <c r="H45" s="550"/>
      <c r="I45" s="1872"/>
      <c r="J45" s="1872"/>
      <c r="K45" s="550"/>
    </row>
    <row r="46" spans="1:12" ht="4.5" hidden="1" customHeight="1" x14ac:dyDescent="0.25">
      <c r="B46" s="1872"/>
      <c r="C46" s="1872"/>
      <c r="D46" s="1880"/>
      <c r="E46" s="1880"/>
      <c r="F46" s="1872"/>
      <c r="G46" s="1872"/>
      <c r="H46" s="1872"/>
      <c r="I46" s="1872"/>
      <c r="J46" s="1872"/>
      <c r="K46" s="550"/>
    </row>
    <row r="47" spans="1:12" ht="15" customHeight="1" x14ac:dyDescent="0.25">
      <c r="A47" s="561"/>
      <c r="B47" s="550"/>
      <c r="C47" s="2535" t="s">
        <v>690</v>
      </c>
      <c r="D47" s="2535"/>
      <c r="E47" s="2535"/>
      <c r="F47" s="2535"/>
      <c r="G47" s="2535"/>
      <c r="H47" s="2535"/>
      <c r="I47" s="2535"/>
      <c r="J47" s="2535"/>
      <c r="K47" s="2535"/>
      <c r="L47" s="561"/>
    </row>
    <row r="48" spans="1:12" ht="22.5" customHeight="1" x14ac:dyDescent="0.25">
      <c r="B48" s="1876"/>
      <c r="C48" s="1876"/>
      <c r="D48" s="1873" t="str">
        <f>+E23</f>
        <v>2016-17</v>
      </c>
      <c r="E48" s="1873" t="str">
        <f>+F23</f>
        <v>2017-18</v>
      </c>
      <c r="F48" s="1873" t="str">
        <f>+G23</f>
        <v>2018-19</v>
      </c>
      <c r="G48" s="1873" t="str">
        <f>+H23</f>
        <v>2019-20</v>
      </c>
      <c r="H48" s="1873" t="str">
        <f>+I23</f>
        <v>2020-21</v>
      </c>
      <c r="I48" s="1873" t="str">
        <f>I56</f>
        <v>2021-22</v>
      </c>
      <c r="J48" s="1873"/>
      <c r="K48" s="550"/>
    </row>
    <row r="49" spans="1:12" x14ac:dyDescent="0.25">
      <c r="B49" s="1876"/>
      <c r="C49" s="1877" t="s">
        <v>143</v>
      </c>
      <c r="D49" s="1881">
        <v>0</v>
      </c>
      <c r="E49" s="1840">
        <f>+F13</f>
        <v>1.5599999999999999E-2</v>
      </c>
      <c r="F49" s="1840">
        <f>+G13</f>
        <v>2.7099999999999999E-2</v>
      </c>
      <c r="G49" s="1840">
        <f>+H13</f>
        <v>2.5700000000000001E-2</v>
      </c>
      <c r="H49" s="1840">
        <f>+I13</f>
        <v>2.6700000000000002E-2</v>
      </c>
      <c r="I49" s="1882">
        <v>2.9000000000000001E-2</v>
      </c>
      <c r="J49" s="1882"/>
      <c r="K49" s="550"/>
    </row>
    <row r="50" spans="1:12" ht="3.75" customHeight="1" x14ac:dyDescent="0.25">
      <c r="I50" s="562"/>
      <c r="J50" s="562"/>
    </row>
    <row r="51" spans="1:12" s="536" customFormat="1" x14ac:dyDescent="0.25">
      <c r="A51" s="528"/>
      <c r="B51" s="535" t="s">
        <v>157</v>
      </c>
      <c r="C51" s="535"/>
      <c r="L51" s="528"/>
    </row>
    <row r="52" spans="1:12" s="528" customFormat="1" hidden="1" x14ac:dyDescent="0.25">
      <c r="B52" s="574"/>
      <c r="C52" s="574"/>
    </row>
    <row r="53" spans="1:12" hidden="1" x14ac:dyDescent="0.25">
      <c r="B53" s="531"/>
      <c r="C53" s="534" t="s">
        <v>164</v>
      </c>
    </row>
    <row r="54" spans="1:12" hidden="1" x14ac:dyDescent="0.25">
      <c r="B54" s="531"/>
    </row>
    <row r="55" spans="1:12" hidden="1" x14ac:dyDescent="0.25">
      <c r="B55" s="531"/>
      <c r="C55" s="534" t="s">
        <v>158</v>
      </c>
    </row>
    <row r="56" spans="1:12" ht="21.75" customHeight="1" x14ac:dyDescent="0.25">
      <c r="C56" s="531"/>
      <c r="D56" s="541" t="str">
        <f t="shared" ref="D56:H56" si="4">+D48</f>
        <v>2016-17</v>
      </c>
      <c r="E56" s="541" t="str">
        <f t="shared" si="4"/>
        <v>2017-18</v>
      </c>
      <c r="F56" s="555" t="str">
        <f t="shared" si="4"/>
        <v>2018-19</v>
      </c>
      <c r="G56" s="555" t="str">
        <f t="shared" si="4"/>
        <v>2019-20</v>
      </c>
      <c r="H56" s="555" t="str">
        <f t="shared" si="4"/>
        <v>2020-21</v>
      </c>
      <c r="I56" s="555" t="str">
        <f t="shared" ref="I56" si="5">LEFT(H56,4)+1&amp;"-"&amp;RIGHT(H56,2)+1</f>
        <v>2021-22</v>
      </c>
      <c r="J56" s="1838"/>
      <c r="K56" s="541"/>
    </row>
    <row r="57" spans="1:12" x14ac:dyDescent="0.25">
      <c r="A57" s="563"/>
      <c r="C57" s="564" t="s">
        <v>76</v>
      </c>
      <c r="D57" s="1767">
        <v>0.1258</v>
      </c>
      <c r="E57" s="1768">
        <v>0.14430000000000001</v>
      </c>
      <c r="F57" s="1767">
        <v>0.1628</v>
      </c>
      <c r="G57" s="1767">
        <v>0.18129999999999999</v>
      </c>
      <c r="H57" s="1767">
        <v>0.191</v>
      </c>
      <c r="I57" s="1767">
        <f>+H57</f>
        <v>0.191</v>
      </c>
      <c r="J57" s="1767"/>
      <c r="K57" s="1767"/>
      <c r="L57" s="563"/>
    </row>
    <row r="58" spans="1:12" x14ac:dyDescent="0.25">
      <c r="A58" s="563"/>
      <c r="C58" s="564" t="s">
        <v>77</v>
      </c>
      <c r="D58" s="1769">
        <v>0.13888</v>
      </c>
      <c r="E58" s="1770">
        <v>0.15531</v>
      </c>
      <c r="F58" s="1769">
        <v>0.18062</v>
      </c>
      <c r="G58" s="1851">
        <v>0.20799999999999999</v>
      </c>
      <c r="H58" s="1851">
        <v>0.23499999999999999</v>
      </c>
      <c r="I58" s="1851">
        <v>0.246</v>
      </c>
      <c r="J58" s="1771"/>
      <c r="K58" s="1771"/>
      <c r="L58" s="563"/>
    </row>
    <row r="59" spans="1:12" s="1835" customFormat="1" ht="17.25" customHeight="1" x14ac:dyDescent="0.25">
      <c r="A59" s="1850"/>
      <c r="B59" s="2540" t="s">
        <v>975</v>
      </c>
      <c r="C59" s="2540"/>
      <c r="D59" s="1862">
        <v>0</v>
      </c>
      <c r="E59" s="1862">
        <v>0</v>
      </c>
      <c r="F59" s="1860">
        <v>0.17699999999999999</v>
      </c>
      <c r="G59" s="1860">
        <v>0.2</v>
      </c>
      <c r="H59" s="1860">
        <v>0.22700000000000001</v>
      </c>
      <c r="I59" s="1860">
        <v>0.23699999999999999</v>
      </c>
      <c r="J59" s="1860"/>
      <c r="K59" s="1851"/>
      <c r="L59" s="1850"/>
    </row>
    <row r="60" spans="1:12" x14ac:dyDescent="0.25">
      <c r="C60" s="543" t="s">
        <v>78</v>
      </c>
      <c r="D60" s="1772">
        <v>6.2E-2</v>
      </c>
      <c r="E60" s="1772">
        <v>6.2E-2</v>
      </c>
      <c r="F60" s="1772">
        <v>6.2E-2</v>
      </c>
      <c r="G60" s="1772">
        <v>6.2E-2</v>
      </c>
      <c r="H60" s="1772">
        <v>6.2E-2</v>
      </c>
      <c r="I60" s="1772">
        <v>6.2E-2</v>
      </c>
      <c r="J60" s="1772"/>
      <c r="K60" s="1772"/>
    </row>
    <row r="61" spans="1:12" x14ac:dyDescent="0.25">
      <c r="C61" s="543" t="s">
        <v>79</v>
      </c>
      <c r="D61" s="1773">
        <v>1.4500000000000001E-2</v>
      </c>
      <c r="E61" s="1773">
        <v>1.4500000000000001E-2</v>
      </c>
      <c r="F61" s="1773">
        <v>1.4500000000000001E-2</v>
      </c>
      <c r="G61" s="1773">
        <v>1.4500000000000001E-2</v>
      </c>
      <c r="H61" s="1773">
        <v>1.4500000000000001E-2</v>
      </c>
      <c r="I61" s="1773">
        <v>1.4500000000000001E-2</v>
      </c>
      <c r="J61" s="1773"/>
      <c r="K61" s="1773"/>
    </row>
    <row r="62" spans="1:12" x14ac:dyDescent="0.25">
      <c r="C62" s="543" t="s">
        <v>81</v>
      </c>
      <c r="D62" s="1773">
        <v>5.0000000000000001E-4</v>
      </c>
      <c r="E62" s="1773">
        <v>5.0000000000000001E-4</v>
      </c>
      <c r="F62" s="1773">
        <v>5.0000000000000001E-4</v>
      </c>
      <c r="G62" s="1773">
        <v>5.0000000000000001E-4</v>
      </c>
      <c r="H62" s="1773">
        <v>5.0000000000000001E-4</v>
      </c>
      <c r="I62" s="1773">
        <v>5.0000000000000001E-4</v>
      </c>
      <c r="J62" s="1773"/>
      <c r="K62" s="1773"/>
    </row>
    <row r="63" spans="1:12" x14ac:dyDescent="0.25">
      <c r="C63" s="543" t="s">
        <v>82</v>
      </c>
      <c r="D63" s="1772">
        <v>1.0999999999999999E-2</v>
      </c>
      <c r="E63" s="1772">
        <v>8.0000000000000002E-3</v>
      </c>
      <c r="F63" s="1772">
        <f t="shared" ref="F63:I63" si="6">+E63</f>
        <v>8.0000000000000002E-3</v>
      </c>
      <c r="G63" s="1772">
        <f t="shared" si="6"/>
        <v>8.0000000000000002E-3</v>
      </c>
      <c r="H63" s="1772">
        <f t="shared" si="6"/>
        <v>8.0000000000000002E-3</v>
      </c>
      <c r="I63" s="1772">
        <f t="shared" si="6"/>
        <v>8.0000000000000002E-3</v>
      </c>
      <c r="J63" s="1772"/>
      <c r="K63" s="1772"/>
    </row>
    <row r="64" spans="1:12" ht="9.75" customHeight="1" x14ac:dyDescent="0.25"/>
    <row r="65" spans="1:12" x14ac:dyDescent="0.25">
      <c r="C65" s="565" t="s">
        <v>46</v>
      </c>
      <c r="D65" s="566">
        <f t="shared" ref="D65:I65" si="7">SUM(D57,D61:D63)</f>
        <v>0.15180000000000002</v>
      </c>
      <c r="E65" s="566">
        <f t="shared" si="7"/>
        <v>0.16730000000000003</v>
      </c>
      <c r="F65" s="566">
        <f t="shared" si="7"/>
        <v>0.18580000000000002</v>
      </c>
      <c r="G65" s="566">
        <f t="shared" si="7"/>
        <v>0.20430000000000001</v>
      </c>
      <c r="H65" s="566">
        <f t="shared" si="7"/>
        <v>0.21400000000000002</v>
      </c>
      <c r="I65" s="566">
        <f t="shared" si="7"/>
        <v>0.21400000000000002</v>
      </c>
      <c r="J65" s="566"/>
      <c r="K65" s="566"/>
    </row>
    <row r="66" spans="1:12" x14ac:dyDescent="0.25">
      <c r="C66" s="565" t="s">
        <v>208</v>
      </c>
      <c r="D66" s="839">
        <f t="shared" ref="D66:I66" si="8">+SUM(D58,D60:D63)</f>
        <v>0.22688000000000003</v>
      </c>
      <c r="E66" s="1852">
        <f t="shared" si="8"/>
        <v>0.24031000000000002</v>
      </c>
      <c r="F66" s="1853">
        <f t="shared" si="8"/>
        <v>0.26562000000000002</v>
      </c>
      <c r="G66" s="1853">
        <f t="shared" si="8"/>
        <v>0.29300000000000004</v>
      </c>
      <c r="H66" s="1853">
        <f t="shared" si="8"/>
        <v>0.32</v>
      </c>
      <c r="I66" s="1853">
        <f t="shared" si="8"/>
        <v>0.33100000000000002</v>
      </c>
      <c r="J66" s="840"/>
      <c r="K66" s="840"/>
    </row>
    <row r="67" spans="1:12" ht="6.75" customHeight="1" x14ac:dyDescent="0.25"/>
    <row r="68" spans="1:12" ht="33" customHeight="1" x14ac:dyDescent="0.25">
      <c r="C68" s="2539" t="s">
        <v>974</v>
      </c>
      <c r="D68" s="2539"/>
      <c r="E68" s="2539"/>
      <c r="F68" s="2539"/>
      <c r="G68" s="2539"/>
      <c r="H68" s="2539"/>
      <c r="I68" s="1681">
        <v>0.05</v>
      </c>
    </row>
    <row r="69" spans="1:12" ht="8.25" customHeight="1" x14ac:dyDescent="0.25"/>
    <row r="70" spans="1:12" s="536" customFormat="1" x14ac:dyDescent="0.25">
      <c r="A70" s="528"/>
      <c r="B70" s="535" t="s">
        <v>159</v>
      </c>
      <c r="C70" s="535"/>
      <c r="L70" s="528"/>
    </row>
    <row r="71" spans="1:12" s="528" customFormat="1" ht="9" customHeight="1" x14ac:dyDescent="0.25">
      <c r="B71" s="574"/>
      <c r="C71" s="574"/>
    </row>
    <row r="72" spans="1:12" ht="32.25" hidden="1" customHeight="1" x14ac:dyDescent="0.25">
      <c r="B72" s="531"/>
      <c r="C72" s="2533" t="s">
        <v>854</v>
      </c>
      <c r="D72" s="2533"/>
      <c r="E72" s="2533"/>
      <c r="F72" s="2533"/>
      <c r="G72" s="2533"/>
      <c r="H72" s="2533"/>
      <c r="I72" s="2533"/>
      <c r="J72" s="2533"/>
      <c r="K72" s="2533"/>
    </row>
    <row r="73" spans="1:12" ht="21.75" hidden="1" customHeight="1" x14ac:dyDescent="0.25">
      <c r="B73" s="531"/>
      <c r="C73" s="529"/>
      <c r="D73" s="541" t="str">
        <f>+D56</f>
        <v>2016-17</v>
      </c>
      <c r="E73" s="541" t="str">
        <f t="shared" ref="E73:J73" si="9">+E56</f>
        <v>2017-18</v>
      </c>
      <c r="F73" s="541" t="str">
        <f t="shared" si="9"/>
        <v>2018-19</v>
      </c>
      <c r="G73" s="541" t="str">
        <f t="shared" si="9"/>
        <v>2019-20</v>
      </c>
      <c r="H73" s="567" t="str">
        <f t="shared" si="9"/>
        <v>2020-21</v>
      </c>
      <c r="I73" s="567" t="str">
        <f t="shared" si="9"/>
        <v>2021-22</v>
      </c>
      <c r="J73" s="567">
        <f t="shared" si="9"/>
        <v>0</v>
      </c>
    </row>
    <row r="74" spans="1:12" s="559" customFormat="1" hidden="1" x14ac:dyDescent="0.25">
      <c r="A74" s="568"/>
      <c r="C74" s="569"/>
      <c r="D74" s="570">
        <v>2631028.77</v>
      </c>
      <c r="E74" s="571">
        <v>3350000</v>
      </c>
      <c r="F74" s="571">
        <v>1850000</v>
      </c>
      <c r="G74" s="571">
        <v>350000</v>
      </c>
      <c r="H74" s="572">
        <v>750000</v>
      </c>
      <c r="I74" s="572">
        <v>350000</v>
      </c>
      <c r="J74" s="572">
        <v>2550000</v>
      </c>
      <c r="L74" s="568"/>
    </row>
    <row r="75" spans="1:12" hidden="1" x14ac:dyDescent="0.25">
      <c r="B75" s="531"/>
      <c r="C75" s="529"/>
    </row>
    <row r="76" spans="1:12" ht="31.5" customHeight="1" x14ac:dyDescent="0.25">
      <c r="B76" s="531"/>
      <c r="C76" s="2532" t="s">
        <v>160</v>
      </c>
      <c r="D76" s="2532"/>
      <c r="E76" s="2532"/>
      <c r="F76" s="2532"/>
      <c r="G76" s="2532"/>
      <c r="H76" s="2532"/>
      <c r="I76" s="2532"/>
      <c r="J76" s="2532"/>
    </row>
    <row r="77" spans="1:12" ht="21" customHeight="1" x14ac:dyDescent="0.25">
      <c r="B77" s="531"/>
      <c r="C77" s="574"/>
      <c r="D77" s="574"/>
      <c r="E77" s="555" t="str">
        <f t="shared" ref="E77:K77" si="10">E56</f>
        <v>2017-18</v>
      </c>
      <c r="F77" s="555" t="str">
        <f t="shared" si="10"/>
        <v>2018-19</v>
      </c>
      <c r="G77" s="555" t="str">
        <f t="shared" si="10"/>
        <v>2019-20</v>
      </c>
      <c r="H77" s="2308" t="str">
        <f t="shared" si="10"/>
        <v>2020-21</v>
      </c>
      <c r="I77" s="567" t="str">
        <f t="shared" si="10"/>
        <v>2021-22</v>
      </c>
      <c r="J77" s="567">
        <f t="shared" si="10"/>
        <v>0</v>
      </c>
      <c r="K77" s="542">
        <f t="shared" si="10"/>
        <v>0</v>
      </c>
    </row>
    <row r="78" spans="1:12" x14ac:dyDescent="0.25">
      <c r="B78" s="531"/>
      <c r="C78" s="575"/>
      <c r="D78" s="575" t="s">
        <v>166</v>
      </c>
      <c r="E78" s="2309">
        <v>3.3700000000000001E-2</v>
      </c>
      <c r="F78" s="2309">
        <v>3.5799999999999998E-2</v>
      </c>
      <c r="G78" s="2309">
        <v>3.3599999999999998E-2</v>
      </c>
      <c r="H78" s="2310">
        <v>3.2300000000000002E-2</v>
      </c>
      <c r="I78" s="2311">
        <v>2.7300000000000001E-2</v>
      </c>
      <c r="J78" s="2311">
        <v>2.7300000000000001E-2</v>
      </c>
      <c r="K78" s="573">
        <v>2.7300000000000001E-2</v>
      </c>
    </row>
    <row r="79" spans="1:12" ht="19.5" customHeight="1" x14ac:dyDescent="0.25">
      <c r="B79" s="531"/>
      <c r="C79" s="574"/>
      <c r="D79" s="1856" t="s">
        <v>972</v>
      </c>
      <c r="E79" s="1860">
        <v>3.1800000000000002E-2</v>
      </c>
      <c r="F79" s="1860">
        <v>3.2199999999999999E-2</v>
      </c>
      <c r="G79" s="1860">
        <v>3.04E-2</v>
      </c>
      <c r="H79" s="1860">
        <v>2.7300000000000001E-2</v>
      </c>
      <c r="I79" s="1834"/>
      <c r="J79" s="1834"/>
    </row>
    <row r="80" spans="1:12" x14ac:dyDescent="0.25">
      <c r="B80" s="531"/>
      <c r="C80" s="1837" t="s">
        <v>161</v>
      </c>
      <c r="D80" s="1834"/>
      <c r="E80" s="1834"/>
      <c r="F80" s="1834"/>
      <c r="G80" s="1834"/>
      <c r="H80" s="1834"/>
      <c r="I80" s="1834"/>
      <c r="J80" s="1834"/>
    </row>
    <row r="81" spans="1:12" x14ac:dyDescent="0.25">
      <c r="C81" s="1837"/>
      <c r="D81" s="1774">
        <v>337000</v>
      </c>
      <c r="E81" s="1837" t="s">
        <v>162</v>
      </c>
      <c r="F81" s="1834"/>
      <c r="G81" s="1834"/>
      <c r="H81" s="1834"/>
      <c r="I81" s="1834"/>
      <c r="J81" s="1834"/>
    </row>
    <row r="82" spans="1:12" x14ac:dyDescent="0.25">
      <c r="B82" s="531"/>
      <c r="C82" s="1834"/>
      <c r="D82" s="1774">
        <v>200000</v>
      </c>
      <c r="E82" s="1837" t="s">
        <v>955</v>
      </c>
      <c r="F82" s="1834"/>
      <c r="G82" s="1834"/>
      <c r="H82" s="1834"/>
      <c r="I82" s="1834"/>
      <c r="J82" s="1834"/>
    </row>
    <row r="83" spans="1:12" x14ac:dyDescent="0.25">
      <c r="B83" s="531"/>
      <c r="C83" s="1834"/>
      <c r="D83" s="1774">
        <v>25000</v>
      </c>
      <c r="E83" s="1837" t="s">
        <v>163</v>
      </c>
      <c r="F83" s="1834"/>
      <c r="G83" s="1834"/>
      <c r="H83" s="1834"/>
      <c r="I83" s="1834"/>
      <c r="J83" s="1834"/>
    </row>
    <row r="84" spans="1:12" s="1835" customFormat="1" x14ac:dyDescent="0.25">
      <c r="A84" s="1834"/>
      <c r="C84" s="1834"/>
      <c r="D84" s="2312">
        <v>100000</v>
      </c>
      <c r="E84" s="1837" t="s">
        <v>1106</v>
      </c>
      <c r="F84" s="1834"/>
      <c r="G84" s="1834"/>
      <c r="H84" s="1834"/>
      <c r="I84" s="1834"/>
      <c r="J84" s="1834"/>
      <c r="L84" s="1834"/>
    </row>
    <row r="85" spans="1:12" x14ac:dyDescent="0.25">
      <c r="C85" s="1837"/>
      <c r="D85" s="1774">
        <f>SUM(D81:D84)</f>
        <v>662000</v>
      </c>
      <c r="E85" s="1775"/>
      <c r="F85" s="1834"/>
      <c r="G85" s="1834"/>
      <c r="H85" s="1834"/>
      <c r="I85" s="1834"/>
      <c r="J85" s="1834"/>
    </row>
    <row r="86" spans="1:12" ht="6" customHeight="1" x14ac:dyDescent="0.25">
      <c r="C86" s="1837"/>
      <c r="D86" s="1834"/>
      <c r="E86" s="1834"/>
      <c r="F86" s="1834"/>
      <c r="G86" s="1834"/>
      <c r="H86" s="1834"/>
      <c r="I86" s="1834"/>
      <c r="J86" s="1834"/>
    </row>
    <row r="87" spans="1:12" x14ac:dyDescent="0.25">
      <c r="C87" s="1837" t="s">
        <v>1108</v>
      </c>
      <c r="D87" s="1834"/>
      <c r="E87" s="1834"/>
      <c r="F87" s="1834"/>
      <c r="G87" s="1834"/>
      <c r="H87" s="1834"/>
      <c r="I87" s="1834"/>
      <c r="J87" s="1834"/>
    </row>
    <row r="88" spans="1:12" ht="6" customHeight="1" x14ac:dyDescent="0.25"/>
    <row r="89" spans="1:12" hidden="1" x14ac:dyDescent="0.25"/>
    <row r="90" spans="1:12" hidden="1" x14ac:dyDescent="0.25"/>
    <row r="91" spans="1:12" hidden="1" x14ac:dyDescent="0.25"/>
  </sheetData>
  <sheetProtection password="E247" sheet="1" objects="1" scenarios="1"/>
  <mergeCells count="11">
    <mergeCell ref="H1:J1"/>
    <mergeCell ref="C76:J76"/>
    <mergeCell ref="C72:K72"/>
    <mergeCell ref="B2:E2"/>
    <mergeCell ref="C47:K47"/>
    <mergeCell ref="B32:D33"/>
    <mergeCell ref="C5:J5"/>
    <mergeCell ref="C10:J10"/>
    <mergeCell ref="B3:J3"/>
    <mergeCell ref="C68:H68"/>
    <mergeCell ref="B59:C59"/>
  </mergeCells>
  <printOptions horizontalCentered="1"/>
  <pageMargins left="0.25" right="0.25" top="0.45" bottom="0.46" header="0.3" footer="0.28999999999999998"/>
  <pageSetup scale="96" fitToHeight="0" orientation="portrait" r:id="rId1"/>
  <headerFooter>
    <oddFooter>&amp;R&amp;"Cambria,Regular"&amp;10Page &amp;P of &amp;N</oddFooter>
  </headerFooter>
  <rowBreaks count="1" manualBreakCount="1">
    <brk id="33" min="1" max="10" man="1"/>
  </rowBreaks>
  <ignoredErrors>
    <ignoredError sqref="D67:H67"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AP75"/>
  <sheetViews>
    <sheetView showGridLines="0" zoomScale="85" zoomScaleNormal="85" workbookViewId="0">
      <selection activeCell="AL17" sqref="AL17"/>
    </sheetView>
  </sheetViews>
  <sheetFormatPr defaultRowHeight="15" x14ac:dyDescent="0.25"/>
  <cols>
    <col min="1" max="1" width="3.5703125" style="502" customWidth="1"/>
    <col min="2" max="2" width="27.28515625" style="352" bestFit="1" customWidth="1"/>
    <col min="3" max="3" width="1.42578125" style="351" bestFit="1" customWidth="1"/>
    <col min="4" max="7" width="15.42578125" style="353" customWidth="1"/>
    <col min="8" max="11" width="15.42578125" style="353" hidden="1" customWidth="1"/>
    <col min="12" max="13" width="5.7109375" style="353" hidden="1" customWidth="1"/>
    <col min="14" max="14" width="15.28515625" style="352" hidden="1" customWidth="1"/>
    <col min="15" max="15" width="9.28515625" style="353" hidden="1" customWidth="1"/>
    <col min="16" max="16" width="14.140625" style="353" hidden="1" customWidth="1"/>
    <col min="17" max="17" width="11.42578125" style="353" hidden="1" customWidth="1"/>
    <col min="18" max="18" width="14.140625" style="353" hidden="1" customWidth="1"/>
    <col min="19" max="19" width="11.42578125" style="353" hidden="1" customWidth="1"/>
    <col min="20" max="20" width="14.140625" style="353" hidden="1" customWidth="1"/>
    <col min="21" max="21" width="11.42578125" style="353" hidden="1" customWidth="1"/>
    <col min="22" max="22" width="14.140625" style="353" hidden="1" customWidth="1"/>
    <col min="23" max="23" width="11.42578125" style="353" hidden="1" customWidth="1"/>
    <col min="24" max="24" width="14.140625" style="353" hidden="1" customWidth="1"/>
    <col min="25" max="25" width="11.42578125" style="353" hidden="1" customWidth="1"/>
    <col min="26" max="26" width="14.140625" style="353" hidden="1" customWidth="1"/>
    <col min="27" max="27" width="11.42578125" style="353" hidden="1" customWidth="1"/>
    <col min="28" max="28" width="14.140625" style="353" hidden="1" customWidth="1"/>
    <col min="29" max="29" width="11.42578125" style="353" hidden="1" customWidth="1"/>
    <col min="30" max="30" width="14.140625" style="353" hidden="1" customWidth="1"/>
    <col min="31" max="31" width="0" style="353" hidden="1" customWidth="1"/>
    <col min="32" max="32" width="0" style="506" hidden="1" customWidth="1"/>
    <col min="33" max="36" width="13.28515625" style="514" hidden="1" customWidth="1"/>
    <col min="37" max="37" width="10.5703125" style="514" bestFit="1" customWidth="1"/>
    <col min="38" max="38" width="11.5703125" style="514" bestFit="1" customWidth="1"/>
    <col min="39" max="39" width="14.28515625" style="514" bestFit="1" customWidth="1"/>
    <col min="40" max="40" width="5.140625" style="514" bestFit="1" customWidth="1"/>
    <col min="41" max="41" width="9.140625" style="514"/>
    <col min="42" max="42" width="9.140625" style="510"/>
    <col min="43" max="16384" width="9.140625" style="506"/>
  </cols>
  <sheetData>
    <row r="1" spans="2:36" x14ac:dyDescent="0.25">
      <c r="B1" s="506"/>
    </row>
    <row r="2" spans="2:36" x14ac:dyDescent="0.25">
      <c r="B2" s="2559" t="s">
        <v>685</v>
      </c>
      <c r="C2" s="2559"/>
      <c r="D2" s="2559"/>
      <c r="E2" s="2559"/>
      <c r="F2" s="2559"/>
      <c r="G2" s="2559"/>
    </row>
    <row r="3" spans="2:36" ht="15.75" thickBot="1" x14ac:dyDescent="0.3"/>
    <row r="4" spans="2:36" x14ac:dyDescent="0.25">
      <c r="B4" s="482" t="s">
        <v>532</v>
      </c>
      <c r="C4" s="483"/>
      <c r="D4" s="484"/>
      <c r="E4" s="484"/>
      <c r="F4" s="484"/>
      <c r="G4" s="485"/>
      <c r="H4" s="485"/>
      <c r="I4" s="344"/>
      <c r="J4" s="344"/>
      <c r="K4" s="345"/>
      <c r="L4" s="346"/>
      <c r="M4" s="346"/>
      <c r="N4" s="347" t="str">
        <f>B4</f>
        <v>Certificated</v>
      </c>
      <c r="O4" s="346"/>
      <c r="P4" s="346"/>
      <c r="Q4" s="346"/>
      <c r="R4" s="346"/>
      <c r="S4" s="346"/>
      <c r="T4" s="346"/>
      <c r="U4" s="346"/>
      <c r="V4" s="346"/>
      <c r="W4" s="346"/>
      <c r="X4" s="346"/>
      <c r="Y4" s="346"/>
      <c r="Z4" s="346"/>
      <c r="AA4" s="346"/>
      <c r="AB4" s="346"/>
      <c r="AC4" s="346"/>
      <c r="AD4" s="346"/>
      <c r="AE4" s="346"/>
    </row>
    <row r="5" spans="2:36" x14ac:dyDescent="0.25">
      <c r="B5" s="517"/>
      <c r="C5" s="518"/>
      <c r="D5" s="519"/>
      <c r="E5" s="1784"/>
      <c r="F5" s="518"/>
      <c r="G5" s="520"/>
      <c r="H5" s="487"/>
      <c r="I5" s="348"/>
      <c r="J5" s="348"/>
      <c r="K5" s="350"/>
      <c r="L5" s="351"/>
      <c r="M5" s="351"/>
      <c r="P5" s="351"/>
      <c r="R5" s="351"/>
      <c r="T5" s="351"/>
      <c r="V5" s="351"/>
      <c r="X5" s="351"/>
      <c r="Z5" s="351"/>
      <c r="AB5" s="351"/>
      <c r="AD5" s="351"/>
      <c r="AE5" s="351"/>
    </row>
    <row r="6" spans="2:36" x14ac:dyDescent="0.25">
      <c r="B6" s="488"/>
      <c r="C6" s="354"/>
      <c r="D6" s="354" t="s">
        <v>286</v>
      </c>
      <c r="E6" s="354" t="s">
        <v>287</v>
      </c>
      <c r="F6" s="354" t="s">
        <v>288</v>
      </c>
      <c r="G6" s="489" t="s">
        <v>289</v>
      </c>
      <c r="H6" s="489" t="s">
        <v>290</v>
      </c>
      <c r="I6" s="354" t="s">
        <v>291</v>
      </c>
      <c r="J6" s="354" t="s">
        <v>292</v>
      </c>
      <c r="K6" s="355" t="s">
        <v>533</v>
      </c>
      <c r="L6" s="356"/>
      <c r="M6" s="356"/>
      <c r="N6" s="356"/>
      <c r="O6" s="357"/>
      <c r="P6" s="356" t="s">
        <v>286</v>
      </c>
      <c r="Q6" s="357"/>
      <c r="R6" s="356" t="s">
        <v>287</v>
      </c>
      <c r="S6" s="357"/>
      <c r="T6" s="356" t="s">
        <v>288</v>
      </c>
      <c r="U6" s="357"/>
      <c r="V6" s="356" t="s">
        <v>289</v>
      </c>
      <c r="W6" s="357"/>
      <c r="X6" s="356" t="s">
        <v>290</v>
      </c>
      <c r="Y6" s="357"/>
      <c r="Z6" s="356" t="s">
        <v>291</v>
      </c>
      <c r="AA6" s="357"/>
      <c r="AB6" s="356" t="s">
        <v>292</v>
      </c>
      <c r="AC6" s="357"/>
      <c r="AD6" s="356" t="s">
        <v>533</v>
      </c>
      <c r="AE6" s="356"/>
    </row>
    <row r="7" spans="2:36" x14ac:dyDescent="0.25">
      <c r="B7" s="486" t="s">
        <v>966</v>
      </c>
      <c r="C7" s="349"/>
      <c r="D7" s="1783">
        <f>+COMBINED!F28</f>
        <v>38407868.150000006</v>
      </c>
      <c r="E7" s="524">
        <f>+COMBINED!G28</f>
        <v>39286569.079999998</v>
      </c>
      <c r="F7" s="524">
        <f>+COMBINED!H28</f>
        <v>39443411</v>
      </c>
      <c r="G7" s="525">
        <f>+COMBINED!I28</f>
        <v>39532365</v>
      </c>
      <c r="H7" s="490">
        <f>G7*(1+$E$5)</f>
        <v>39532365</v>
      </c>
      <c r="I7" s="358">
        <f>H7*(1+$E$5)</f>
        <v>39532365</v>
      </c>
      <c r="J7" s="358">
        <f>I7*(1+$E$5)</f>
        <v>39532365</v>
      </c>
      <c r="K7" s="359">
        <f>J7*(1+$E$5)</f>
        <v>39532365</v>
      </c>
      <c r="N7" s="352" t="s">
        <v>534</v>
      </c>
      <c r="O7" s="360"/>
      <c r="P7" s="361">
        <f>D7</f>
        <v>38407868.150000006</v>
      </c>
      <c r="Q7" s="360"/>
      <c r="R7" s="362">
        <f>E7</f>
        <v>39286569.079999998</v>
      </c>
      <c r="T7" s="362">
        <f>F7</f>
        <v>39443411</v>
      </c>
      <c r="V7" s="362">
        <f>G7</f>
        <v>39532365</v>
      </c>
      <c r="X7" s="362">
        <f>H7</f>
        <v>39532365</v>
      </c>
      <c r="Z7" s="362">
        <f>I7</f>
        <v>39532365</v>
      </c>
      <c r="AB7" s="362">
        <f>J7</f>
        <v>39532365</v>
      </c>
      <c r="AC7" s="360"/>
      <c r="AD7" s="362">
        <f>K7</f>
        <v>39532365</v>
      </c>
    </row>
    <row r="8" spans="2:36" x14ac:dyDescent="0.25">
      <c r="B8" s="486" t="s">
        <v>952</v>
      </c>
      <c r="C8" s="349"/>
      <c r="D8" s="524"/>
      <c r="E8" s="524">
        <f>E7-D7</f>
        <v>878700.92999999225</v>
      </c>
      <c r="F8" s="524">
        <f>F7-E7</f>
        <v>156841.92000000179</v>
      </c>
      <c r="G8" s="525">
        <f>G7-F7</f>
        <v>88954</v>
      </c>
      <c r="H8" s="490">
        <f t="shared" ref="H8:K8" si="0">H7-G7</f>
        <v>0</v>
      </c>
      <c r="I8" s="358">
        <f t="shared" si="0"/>
        <v>0</v>
      </c>
      <c r="J8" s="358">
        <f t="shared" si="0"/>
        <v>0</v>
      </c>
      <c r="K8" s="359">
        <f t="shared" si="0"/>
        <v>0</v>
      </c>
    </row>
    <row r="9" spans="2:36" x14ac:dyDescent="0.25">
      <c r="B9" s="486" t="s">
        <v>953</v>
      </c>
      <c r="C9" s="349"/>
      <c r="D9" s="524"/>
      <c r="E9" s="1674">
        <f>+E8/D7</f>
        <v>2.2878148991979191E-2</v>
      </c>
      <c r="F9" s="1674">
        <f t="shared" ref="F9:AJ9" si="1">+F8/E7</f>
        <v>3.9922529167823627E-3</v>
      </c>
      <c r="G9" s="1765">
        <f t="shared" si="1"/>
        <v>2.255230918035968E-3</v>
      </c>
      <c r="H9" s="490">
        <f t="shared" si="1"/>
        <v>0</v>
      </c>
      <c r="I9" s="358">
        <f t="shared" si="1"/>
        <v>0</v>
      </c>
      <c r="J9" s="358">
        <f t="shared" si="1"/>
        <v>0</v>
      </c>
      <c r="K9" s="359">
        <f t="shared" si="1"/>
        <v>0</v>
      </c>
      <c r="L9" s="353">
        <f t="shared" si="1"/>
        <v>0</v>
      </c>
      <c r="M9" s="353" t="e">
        <f t="shared" si="1"/>
        <v>#DIV/0!</v>
      </c>
      <c r="N9" s="352" t="e">
        <f t="shared" si="1"/>
        <v>#DIV/0!</v>
      </c>
      <c r="O9" s="363" t="e">
        <f t="shared" si="1"/>
        <v>#VALUE!</v>
      </c>
      <c r="P9" s="361" t="e">
        <f t="shared" si="1"/>
        <v>#DIV/0!</v>
      </c>
      <c r="Q9" s="364">
        <f t="shared" si="1"/>
        <v>0</v>
      </c>
      <c r="R9" s="361" t="e">
        <f t="shared" si="1"/>
        <v>#DIV/0!</v>
      </c>
      <c r="S9" s="365">
        <f t="shared" si="1"/>
        <v>0</v>
      </c>
      <c r="T9" s="361" t="e">
        <f t="shared" si="1"/>
        <v>#DIV/0!</v>
      </c>
      <c r="U9" s="365">
        <f t="shared" si="1"/>
        <v>0</v>
      </c>
      <c r="V9" s="361" t="e">
        <f t="shared" si="1"/>
        <v>#DIV/0!</v>
      </c>
      <c r="W9" s="365">
        <f t="shared" si="1"/>
        <v>0</v>
      </c>
      <c r="X9" s="361" t="e">
        <f t="shared" si="1"/>
        <v>#DIV/0!</v>
      </c>
      <c r="Y9" s="365">
        <f t="shared" si="1"/>
        <v>0</v>
      </c>
      <c r="Z9" s="361" t="e">
        <f t="shared" si="1"/>
        <v>#DIV/0!</v>
      </c>
      <c r="AA9" s="365">
        <f t="shared" si="1"/>
        <v>0</v>
      </c>
      <c r="AB9" s="361" t="e">
        <f t="shared" si="1"/>
        <v>#DIV/0!</v>
      </c>
      <c r="AC9" s="365">
        <f t="shared" si="1"/>
        <v>0</v>
      </c>
      <c r="AD9" s="361" t="e">
        <f t="shared" si="1"/>
        <v>#DIV/0!</v>
      </c>
      <c r="AE9" s="353">
        <f t="shared" si="1"/>
        <v>0</v>
      </c>
      <c r="AF9" s="506" t="e">
        <f t="shared" si="1"/>
        <v>#DIV/0!</v>
      </c>
      <c r="AG9" s="514" t="e">
        <f t="shared" si="1"/>
        <v>#DIV/0!</v>
      </c>
      <c r="AH9" s="514" t="e">
        <f t="shared" si="1"/>
        <v>#DIV/0!</v>
      </c>
      <c r="AI9" s="514" t="e">
        <f t="shared" si="1"/>
        <v>#DIV/0!</v>
      </c>
      <c r="AJ9" s="514" t="e">
        <f t="shared" si="1"/>
        <v>#DIV/0!</v>
      </c>
    </row>
    <row r="10" spans="2:36" x14ac:dyDescent="0.25">
      <c r="B10" s="486"/>
      <c r="C10" s="349"/>
      <c r="D10" s="524"/>
      <c r="E10" s="524"/>
      <c r="F10" s="1674"/>
      <c r="G10" s="525"/>
      <c r="H10" s="490"/>
      <c r="I10" s="358"/>
      <c r="J10" s="358"/>
      <c r="K10" s="359"/>
      <c r="N10" s="352" t="s">
        <v>76</v>
      </c>
      <c r="O10" s="363">
        <f>D11</f>
        <v>0.1258</v>
      </c>
      <c r="P10" s="361">
        <f>O10*P7</f>
        <v>4831709.8132700007</v>
      </c>
      <c r="Q10" s="364">
        <f>E11</f>
        <v>0.14430000000000001</v>
      </c>
      <c r="R10" s="361">
        <f t="shared" ref="R10" si="2">Q10*R7</f>
        <v>5669051.9182440005</v>
      </c>
      <c r="S10" s="365">
        <f>F11</f>
        <v>0.1628</v>
      </c>
      <c r="T10" s="361">
        <f>S10*T7</f>
        <v>6421387.3108000001</v>
      </c>
      <c r="U10" s="365">
        <f>G11</f>
        <v>0.18129999999999999</v>
      </c>
      <c r="V10" s="361">
        <f>U10*V7</f>
        <v>7167217.7744999994</v>
      </c>
      <c r="W10" s="365">
        <f>H11</f>
        <v>0.191</v>
      </c>
      <c r="X10" s="361">
        <f>W10*X7</f>
        <v>7550681.7149999999</v>
      </c>
      <c r="Y10" s="365">
        <f>I11</f>
        <v>0.20950000000000002</v>
      </c>
      <c r="Z10" s="361">
        <f>Y10*Z7</f>
        <v>8282030.4675000012</v>
      </c>
      <c r="AA10" s="365">
        <f>J11</f>
        <v>0.22800000000000004</v>
      </c>
      <c r="AB10" s="361">
        <f>AA10*AB7</f>
        <v>9013379.2200000007</v>
      </c>
      <c r="AC10" s="365">
        <f>K11</f>
        <v>0.24650000000000005</v>
      </c>
      <c r="AD10" s="361">
        <f>AC10*AD7</f>
        <v>9744727.972500002</v>
      </c>
    </row>
    <row r="11" spans="2:36" x14ac:dyDescent="0.25">
      <c r="B11" s="486" t="s">
        <v>535</v>
      </c>
      <c r="C11" s="349"/>
      <c r="D11" s="366">
        <f>+'MYP Assumptions'!$D$57</f>
        <v>0.1258</v>
      </c>
      <c r="E11" s="366">
        <f>+'MYP Assumptions'!E57</f>
        <v>0.14430000000000001</v>
      </c>
      <c r="F11" s="366">
        <f>+'MYP Assumptions'!F57</f>
        <v>0.1628</v>
      </c>
      <c r="G11" s="491">
        <f>+'MYP Assumptions'!G57</f>
        <v>0.18129999999999999</v>
      </c>
      <c r="H11" s="491">
        <v>0.191</v>
      </c>
      <c r="I11" s="366">
        <f t="shared" ref="I11:K11" si="3">H11+1.85%</f>
        <v>0.20950000000000002</v>
      </c>
      <c r="J11" s="366">
        <f t="shared" si="3"/>
        <v>0.22800000000000004</v>
      </c>
      <c r="K11" s="367">
        <f t="shared" si="3"/>
        <v>0.24650000000000005</v>
      </c>
      <c r="N11" s="352" t="s">
        <v>78</v>
      </c>
      <c r="O11" s="368">
        <v>0</v>
      </c>
      <c r="P11" s="361">
        <f>O11*P7</f>
        <v>0</v>
      </c>
      <c r="Q11" s="368">
        <f>O11</f>
        <v>0</v>
      </c>
      <c r="R11" s="361">
        <f>Q11*R7</f>
        <v>0</v>
      </c>
      <c r="S11" s="368">
        <f>Q11</f>
        <v>0</v>
      </c>
      <c r="T11" s="361">
        <f>S11*T7</f>
        <v>0</v>
      </c>
      <c r="U11" s="368">
        <f>S11</f>
        <v>0</v>
      </c>
      <c r="V11" s="361">
        <f>U11*V7</f>
        <v>0</v>
      </c>
      <c r="W11" s="368">
        <f>U11</f>
        <v>0</v>
      </c>
      <c r="X11" s="361">
        <f>W11*X7</f>
        <v>0</v>
      </c>
      <c r="Y11" s="368">
        <f>W11</f>
        <v>0</v>
      </c>
      <c r="Z11" s="361">
        <f>Y11*Z7</f>
        <v>0</v>
      </c>
      <c r="AA11" s="368">
        <f>Y11</f>
        <v>0</v>
      </c>
      <c r="AB11" s="361">
        <f>AA11*AB7</f>
        <v>0</v>
      </c>
      <c r="AC11" s="368">
        <f>AA11</f>
        <v>0</v>
      </c>
      <c r="AD11" s="361">
        <f>AC11*AD7</f>
        <v>0</v>
      </c>
    </row>
    <row r="12" spans="2:36" ht="15" customHeight="1" x14ac:dyDescent="0.25">
      <c r="B12" s="1797" t="s">
        <v>665</v>
      </c>
      <c r="C12" s="369"/>
      <c r="D12" s="370" t="s">
        <v>538</v>
      </c>
      <c r="E12" s="371">
        <f t="shared" ref="E12:K12" si="4">E11-D11</f>
        <v>1.8500000000000016E-2</v>
      </c>
      <c r="F12" s="371">
        <f t="shared" si="4"/>
        <v>1.8499999999999989E-2</v>
      </c>
      <c r="G12" s="492">
        <f t="shared" si="4"/>
        <v>1.8499999999999989E-2</v>
      </c>
      <c r="H12" s="492">
        <f t="shared" si="4"/>
        <v>9.7000000000000142E-3</v>
      </c>
      <c r="I12" s="371">
        <f t="shared" si="4"/>
        <v>1.8500000000000016E-2</v>
      </c>
      <c r="J12" s="371">
        <f t="shared" si="4"/>
        <v>1.8500000000000016E-2</v>
      </c>
      <c r="K12" s="372">
        <f t="shared" si="4"/>
        <v>1.8500000000000016E-2</v>
      </c>
      <c r="N12" s="352" t="s">
        <v>82</v>
      </c>
      <c r="O12" s="373">
        <v>0.01</v>
      </c>
      <c r="P12" s="374">
        <f>O12*P7</f>
        <v>384078.68150000006</v>
      </c>
      <c r="Q12" s="373">
        <f>O12</f>
        <v>0.01</v>
      </c>
      <c r="R12" s="374">
        <f>Q12*R7</f>
        <v>392865.69079999998</v>
      </c>
      <c r="S12" s="373">
        <f>Q12</f>
        <v>0.01</v>
      </c>
      <c r="T12" s="374">
        <f>S12*T7</f>
        <v>394434.11</v>
      </c>
      <c r="U12" s="373">
        <f>S12</f>
        <v>0.01</v>
      </c>
      <c r="V12" s="374">
        <f>U12*V7</f>
        <v>395323.65</v>
      </c>
      <c r="W12" s="373">
        <f>U12</f>
        <v>0.01</v>
      </c>
      <c r="X12" s="374">
        <f>W12*X7</f>
        <v>395323.65</v>
      </c>
      <c r="Y12" s="373">
        <f>W12</f>
        <v>0.01</v>
      </c>
      <c r="Z12" s="374">
        <f>Y12*Z7</f>
        <v>395323.65</v>
      </c>
      <c r="AA12" s="373">
        <f>Y12</f>
        <v>0.01</v>
      </c>
      <c r="AB12" s="374">
        <f>AA12*AB7</f>
        <v>395323.65</v>
      </c>
      <c r="AC12" s="373">
        <f>AA12</f>
        <v>0.01</v>
      </c>
      <c r="AD12" s="374">
        <f>AC12*AD7</f>
        <v>395323.65</v>
      </c>
    </row>
    <row r="13" spans="2:36" ht="15" customHeight="1" x14ac:dyDescent="0.25">
      <c r="B13" s="1797"/>
      <c r="C13" s="369"/>
      <c r="D13" s="370"/>
      <c r="E13" s="371"/>
      <c r="F13" s="371"/>
      <c r="G13" s="492"/>
      <c r="H13" s="492"/>
      <c r="I13" s="371"/>
      <c r="J13" s="371"/>
      <c r="K13" s="372"/>
      <c r="O13" s="373"/>
      <c r="P13" s="374"/>
      <c r="Q13" s="373"/>
      <c r="R13" s="374"/>
      <c r="S13" s="373"/>
      <c r="T13" s="374"/>
      <c r="U13" s="373"/>
      <c r="V13" s="374"/>
      <c r="W13" s="373"/>
      <c r="X13" s="374"/>
      <c r="Y13" s="373"/>
      <c r="Z13" s="374"/>
      <c r="AA13" s="373"/>
      <c r="AB13" s="374"/>
      <c r="AC13" s="373"/>
      <c r="AD13" s="374"/>
    </row>
    <row r="14" spans="2:36" x14ac:dyDescent="0.25">
      <c r="B14" s="486" t="s">
        <v>536</v>
      </c>
      <c r="C14" s="349" t="s">
        <v>141</v>
      </c>
      <c r="D14" s="524">
        <f>+COMBINED!F35</f>
        <v>4866944.53</v>
      </c>
      <c r="E14" s="524">
        <f>+COMBINED!G35</f>
        <v>5726905.1500000004</v>
      </c>
      <c r="F14" s="524">
        <f>+COMBINED!H35</f>
        <v>6465648</v>
      </c>
      <c r="G14" s="525">
        <f>+COMBINED!I35</f>
        <v>7168272</v>
      </c>
      <c r="H14" s="490">
        <f>H7*H11</f>
        <v>7550681.7149999999</v>
      </c>
      <c r="I14" s="358">
        <f>I7*I11</f>
        <v>8282030.4675000012</v>
      </c>
      <c r="J14" s="358">
        <f>J7*J11</f>
        <v>9013379.2200000007</v>
      </c>
      <c r="K14" s="359">
        <f>K7*K11</f>
        <v>9744727.972500002</v>
      </c>
      <c r="N14" s="352" t="s">
        <v>79</v>
      </c>
      <c r="O14" s="365">
        <v>1.4500000000000001E-2</v>
      </c>
      <c r="P14" s="361">
        <f>O14*P7</f>
        <v>556914.08817500016</v>
      </c>
      <c r="Q14" s="365">
        <f t="shared" ref="Q14" si="5">O14</f>
        <v>1.4500000000000001E-2</v>
      </c>
      <c r="R14" s="361">
        <f>Q14*R7</f>
        <v>569655.25165999995</v>
      </c>
      <c r="S14" s="365">
        <f t="shared" ref="S14" si="6">Q14</f>
        <v>1.4500000000000001E-2</v>
      </c>
      <c r="T14" s="361">
        <f>S14*T7</f>
        <v>571929.4595</v>
      </c>
      <c r="U14" s="365">
        <f t="shared" ref="U14" si="7">S14</f>
        <v>1.4500000000000001E-2</v>
      </c>
      <c r="V14" s="361">
        <f>U14*V7</f>
        <v>573219.29249999998</v>
      </c>
      <c r="W14" s="365">
        <f t="shared" ref="W14" si="8">U14</f>
        <v>1.4500000000000001E-2</v>
      </c>
      <c r="X14" s="361">
        <f>W14*X7</f>
        <v>573219.29249999998</v>
      </c>
      <c r="Y14" s="365">
        <f t="shared" ref="Y14" si="9">W14</f>
        <v>1.4500000000000001E-2</v>
      </c>
      <c r="Z14" s="361">
        <f>Y14*Z7</f>
        <v>573219.29249999998</v>
      </c>
      <c r="AA14" s="365">
        <f t="shared" ref="AA14" si="10">Y14</f>
        <v>1.4500000000000001E-2</v>
      </c>
      <c r="AB14" s="361">
        <f>AA14*AB7</f>
        <v>573219.29249999998</v>
      </c>
      <c r="AC14" s="365">
        <f t="shared" ref="AC14" si="11">AA14</f>
        <v>1.4500000000000001E-2</v>
      </c>
      <c r="AD14" s="361">
        <f>AC14*AD7</f>
        <v>573219.29249999998</v>
      </c>
      <c r="AG14" s="514">
        <f>+D11*D7</f>
        <v>4831709.8132700007</v>
      </c>
      <c r="AH14" s="514">
        <f>+E11*E7</f>
        <v>5669051.9182440005</v>
      </c>
      <c r="AI14" s="514">
        <f>+F11*F7</f>
        <v>6421387.3108000001</v>
      </c>
      <c r="AJ14" s="514">
        <f>+G11*G7</f>
        <v>7167217.7744999994</v>
      </c>
    </row>
    <row r="15" spans="2:36" x14ac:dyDescent="0.25">
      <c r="B15" s="1797" t="s">
        <v>666</v>
      </c>
      <c r="C15" s="369"/>
      <c r="D15" s="375" t="s">
        <v>539</v>
      </c>
      <c r="E15" s="376">
        <f>E14-D14</f>
        <v>859960.62000000011</v>
      </c>
      <c r="F15" s="376">
        <f>F14-E14</f>
        <v>738742.84999999963</v>
      </c>
      <c r="G15" s="493">
        <f>G14-F14</f>
        <v>702624</v>
      </c>
      <c r="H15" s="493">
        <f t="shared" ref="H15:K15" si="12">H14-G14</f>
        <v>382409.71499999985</v>
      </c>
      <c r="I15" s="376">
        <f t="shared" si="12"/>
        <v>731348.75250000134</v>
      </c>
      <c r="J15" s="376">
        <f t="shared" si="12"/>
        <v>731348.75249999948</v>
      </c>
      <c r="K15" s="377">
        <f t="shared" si="12"/>
        <v>731348.75250000134</v>
      </c>
      <c r="O15" s="378">
        <f t="shared" ref="O15:AD15" si="13">SUM(O10:O14)</f>
        <v>0.15030000000000002</v>
      </c>
      <c r="P15" s="361">
        <f t="shared" si="13"/>
        <v>5772702.5829450004</v>
      </c>
      <c r="Q15" s="378">
        <f t="shared" si="13"/>
        <v>0.16880000000000003</v>
      </c>
      <c r="R15" s="361">
        <f t="shared" si="13"/>
        <v>6631572.8607040001</v>
      </c>
      <c r="S15" s="378">
        <f t="shared" si="13"/>
        <v>0.18730000000000002</v>
      </c>
      <c r="T15" s="361">
        <f t="shared" si="13"/>
        <v>7387750.8803000003</v>
      </c>
      <c r="U15" s="378">
        <f t="shared" si="13"/>
        <v>0.20580000000000001</v>
      </c>
      <c r="V15" s="361">
        <f t="shared" si="13"/>
        <v>8135760.7170000002</v>
      </c>
      <c r="W15" s="378">
        <f t="shared" si="13"/>
        <v>0.21550000000000002</v>
      </c>
      <c r="X15" s="361">
        <f t="shared" si="13"/>
        <v>8519224.6575000007</v>
      </c>
      <c r="Y15" s="378">
        <f t="shared" si="13"/>
        <v>0.23400000000000004</v>
      </c>
      <c r="Z15" s="361">
        <f t="shared" si="13"/>
        <v>9250573.410000002</v>
      </c>
      <c r="AA15" s="378">
        <f t="shared" si="13"/>
        <v>0.25250000000000006</v>
      </c>
      <c r="AB15" s="361">
        <f t="shared" si="13"/>
        <v>9981922.1625000015</v>
      </c>
      <c r="AC15" s="378">
        <f t="shared" si="13"/>
        <v>0.27100000000000007</v>
      </c>
      <c r="AD15" s="361">
        <f t="shared" si="13"/>
        <v>10713270.915000003</v>
      </c>
    </row>
    <row r="16" spans="2:36" x14ac:dyDescent="0.25">
      <c r="B16" s="486" t="s">
        <v>954</v>
      </c>
      <c r="C16" s="349"/>
      <c r="D16" s="375"/>
      <c r="E16" s="1660">
        <f>+E15/D14</f>
        <v>0.17669414859758018</v>
      </c>
      <c r="F16" s="1660">
        <f>+F15/E14</f>
        <v>0.12899512575304301</v>
      </c>
      <c r="G16" s="1764">
        <f>+G15/F14</f>
        <v>0.10867031425156458</v>
      </c>
      <c r="H16" s="494"/>
      <c r="I16" s="379"/>
      <c r="J16" s="379"/>
      <c r="K16" s="380"/>
    </row>
    <row r="17" spans="1:42" x14ac:dyDescent="0.25">
      <c r="B17" s="486"/>
      <c r="C17" s="349"/>
      <c r="D17" s="375"/>
      <c r="E17" s="1660"/>
      <c r="F17" s="1660"/>
      <c r="G17" s="1764"/>
      <c r="H17" s="379"/>
      <c r="I17" s="379"/>
      <c r="J17" s="379"/>
      <c r="K17" s="380"/>
    </row>
    <row r="18" spans="1:42" x14ac:dyDescent="0.25">
      <c r="B18" s="486"/>
      <c r="C18" s="349"/>
      <c r="D18" s="379"/>
      <c r="E18" s="379"/>
      <c r="F18" s="349" t="s">
        <v>686</v>
      </c>
      <c r="G18" s="527">
        <f>SUM(E15:G15)</f>
        <v>2301327.4699999997</v>
      </c>
      <c r="H18" s="506"/>
      <c r="I18" s="379"/>
      <c r="J18" s="379"/>
      <c r="K18" s="381">
        <f>SUM(E15:K15)</f>
        <v>4877783.4425000018</v>
      </c>
      <c r="N18" s="352" t="s">
        <v>118</v>
      </c>
      <c r="P18" s="361">
        <f>P15+P7</f>
        <v>44180570.73294501</v>
      </c>
      <c r="R18" s="361">
        <f>R15+R7</f>
        <v>45918141.940703996</v>
      </c>
      <c r="T18" s="361">
        <f>T15+T7</f>
        <v>46831161.8803</v>
      </c>
      <c r="V18" s="361">
        <f>V15+V7</f>
        <v>47668125.717</v>
      </c>
      <c r="X18" s="361">
        <f>X15+X7</f>
        <v>48051589.657499999</v>
      </c>
      <c r="Z18" s="361">
        <f>Z15+Z7</f>
        <v>48782938.410000004</v>
      </c>
      <c r="AB18" s="361">
        <f>AB15+AB7</f>
        <v>49514287.162500001</v>
      </c>
      <c r="AD18" s="361">
        <f>AD15+AD7</f>
        <v>50245635.915000007</v>
      </c>
    </row>
    <row r="19" spans="1:42" x14ac:dyDescent="0.25">
      <c r="B19" s="486"/>
      <c r="C19" s="348"/>
      <c r="D19" s="379"/>
      <c r="E19" s="379"/>
      <c r="F19" s="379"/>
      <c r="G19" s="521"/>
      <c r="H19" s="495"/>
      <c r="I19" s="379"/>
      <c r="J19" s="379"/>
      <c r="K19" s="380"/>
    </row>
    <row r="20" spans="1:42" x14ac:dyDescent="0.25">
      <c r="B20" s="2560" t="s">
        <v>963</v>
      </c>
      <c r="C20" s="2561"/>
      <c r="D20" s="2561"/>
      <c r="E20" s="2561"/>
      <c r="F20" s="2561"/>
      <c r="G20" s="2562"/>
      <c r="H20" s="379"/>
      <c r="I20" s="379"/>
      <c r="J20" s="379"/>
      <c r="K20" s="380"/>
    </row>
    <row r="21" spans="1:42" x14ac:dyDescent="0.25">
      <c r="B21" s="486" t="s">
        <v>960</v>
      </c>
      <c r="C21" s="349"/>
      <c r="D21" s="1781">
        <f>+'MYP Assumptions'!$D$57</f>
        <v>0.1258</v>
      </c>
      <c r="E21" s="1781">
        <f>+'MYP Assumptions'!$D$57</f>
        <v>0.1258</v>
      </c>
      <c r="F21" s="1781">
        <f>+'MYP Assumptions'!$D$57</f>
        <v>0.1258</v>
      </c>
      <c r="G21" s="1782">
        <f>+'MYP Assumptions'!$D$57</f>
        <v>0.1258</v>
      </c>
      <c r="H21" s="379"/>
      <c r="I21" s="379"/>
      <c r="J21" s="379"/>
      <c r="K21" s="380"/>
    </row>
    <row r="22" spans="1:42" x14ac:dyDescent="0.25">
      <c r="B22" s="486" t="s">
        <v>536</v>
      </c>
      <c r="C22" s="349"/>
      <c r="D22" s="1776">
        <f>+D14</f>
        <v>4866944.53</v>
      </c>
      <c r="E22" s="1777">
        <f>+E7*E21</f>
        <v>4942250.3902639998</v>
      </c>
      <c r="F22" s="1777">
        <f t="shared" ref="F22:G22" si="14">+F7*F21</f>
        <v>4961981.1037999997</v>
      </c>
      <c r="G22" s="1778">
        <f t="shared" si="14"/>
        <v>4973171.517</v>
      </c>
      <c r="H22" s="379"/>
      <c r="I22" s="379"/>
      <c r="J22" s="379"/>
      <c r="K22" s="380"/>
    </row>
    <row r="23" spans="1:42" x14ac:dyDescent="0.25">
      <c r="B23" s="1797" t="s">
        <v>666</v>
      </c>
      <c r="C23" s="349"/>
      <c r="D23" s="375"/>
      <c r="E23" s="1779">
        <f>+E22-D22</f>
        <v>75305.860263999552</v>
      </c>
      <c r="F23" s="1779">
        <f>+F22-E22</f>
        <v>19730.713535999879</v>
      </c>
      <c r="G23" s="1780">
        <f>+G22-F22</f>
        <v>11190.413200000301</v>
      </c>
      <c r="H23" s="379"/>
      <c r="I23" s="379"/>
      <c r="J23" s="379"/>
      <c r="K23" s="380"/>
    </row>
    <row r="24" spans="1:42" x14ac:dyDescent="0.25">
      <c r="B24" s="486" t="s">
        <v>954</v>
      </c>
      <c r="C24" s="349"/>
      <c r="D24" s="1788"/>
      <c r="E24" s="1674">
        <f>+E23/D22</f>
        <v>1.5472923473816446E-2</v>
      </c>
      <c r="F24" s="1789">
        <f t="shared" ref="F24:G24" si="15">+F23/E22</f>
        <v>3.9922529167822933E-3</v>
      </c>
      <c r="G24" s="1790">
        <f t="shared" si="15"/>
        <v>2.2552309180360287E-3</v>
      </c>
      <c r="H24" s="379"/>
      <c r="I24" s="379"/>
      <c r="J24" s="379"/>
      <c r="K24" s="380"/>
    </row>
    <row r="25" spans="1:42" x14ac:dyDescent="0.25">
      <c r="B25" s="486"/>
      <c r="C25" s="349"/>
      <c r="D25" s="1791"/>
      <c r="E25" s="1789"/>
      <c r="F25" s="1789"/>
      <c r="G25" s="1792" t="s">
        <v>964</v>
      </c>
      <c r="H25" s="379"/>
      <c r="I25" s="379"/>
      <c r="J25" s="379"/>
      <c r="K25" s="380"/>
    </row>
    <row r="26" spans="1:42" x14ac:dyDescent="0.25">
      <c r="B26" s="486"/>
      <c r="C26" s="349"/>
      <c r="D26" s="375"/>
      <c r="E26" s="1660"/>
      <c r="F26" s="1660"/>
      <c r="G26" s="1764"/>
      <c r="H26" s="379"/>
      <c r="I26" s="379"/>
      <c r="J26" s="379"/>
      <c r="K26" s="380"/>
    </row>
    <row r="27" spans="1:42" x14ac:dyDescent="0.25">
      <c r="B27" s="486" t="s">
        <v>961</v>
      </c>
      <c r="C27" s="349"/>
      <c r="D27" s="375"/>
      <c r="E27" s="1779">
        <f>+E14-E22</f>
        <v>784654.75973600056</v>
      </c>
      <c r="F27" s="1779">
        <f>+F14-F22</f>
        <v>1503666.8962000003</v>
      </c>
      <c r="G27" s="1780">
        <f>+G14-G22</f>
        <v>2195100.483</v>
      </c>
      <c r="H27" s="379"/>
      <c r="I27" s="379"/>
      <c r="J27" s="379"/>
      <c r="K27" s="380"/>
    </row>
    <row r="28" spans="1:42" x14ac:dyDescent="0.25">
      <c r="B28" s="486" t="s">
        <v>962</v>
      </c>
      <c r="C28" s="349"/>
      <c r="D28" s="375"/>
      <c r="E28" s="1660"/>
      <c r="F28" s="1660"/>
      <c r="G28" s="1764"/>
      <c r="H28" s="379"/>
      <c r="I28" s="379"/>
      <c r="J28" s="379"/>
      <c r="K28" s="380"/>
    </row>
    <row r="29" spans="1:42" x14ac:dyDescent="0.25">
      <c r="B29" s="486"/>
      <c r="C29" s="348"/>
      <c r="D29" s="379"/>
      <c r="E29" s="379"/>
      <c r="F29" s="379"/>
      <c r="G29" s="494"/>
      <c r="H29" s="494"/>
      <c r="I29" s="379"/>
      <c r="J29" s="379"/>
      <c r="K29" s="380"/>
    </row>
    <row r="30" spans="1:42" x14ac:dyDescent="0.25">
      <c r="B30" s="1793" t="s">
        <v>208</v>
      </c>
      <c r="C30" s="1794"/>
      <c r="D30" s="1795"/>
      <c r="E30" s="1795"/>
      <c r="F30" s="1795"/>
      <c r="G30" s="1796"/>
      <c r="H30" s="496"/>
      <c r="I30" s="385"/>
      <c r="J30" s="385"/>
      <c r="K30" s="386"/>
      <c r="L30" s="346"/>
      <c r="M30" s="346"/>
      <c r="N30" s="347" t="str">
        <f>B30</f>
        <v xml:space="preserve">Classified </v>
      </c>
      <c r="O30" s="346"/>
      <c r="P30" s="346"/>
      <c r="Q30" s="346"/>
      <c r="R30" s="346"/>
      <c r="S30" s="346"/>
      <c r="T30" s="346"/>
      <c r="U30" s="346"/>
      <c r="V30" s="346"/>
      <c r="W30" s="346"/>
      <c r="X30" s="346"/>
      <c r="Y30" s="346"/>
      <c r="Z30" s="346"/>
      <c r="AA30" s="346"/>
      <c r="AB30" s="346"/>
      <c r="AC30" s="346"/>
      <c r="AD30" s="346"/>
      <c r="AE30" s="346"/>
    </row>
    <row r="31" spans="1:42" s="507" customFormat="1" x14ac:dyDescent="0.25">
      <c r="A31" s="503"/>
      <c r="B31" s="486"/>
      <c r="C31" s="348"/>
      <c r="D31" s="1785"/>
      <c r="E31" s="1786"/>
      <c r="F31" s="1787"/>
      <c r="G31" s="487"/>
      <c r="H31" s="487"/>
      <c r="I31" s="348"/>
      <c r="J31" s="348"/>
      <c r="K31" s="350"/>
      <c r="L31" s="351"/>
      <c r="M31" s="351"/>
      <c r="N31" s="352"/>
      <c r="O31" s="353"/>
      <c r="P31" s="351"/>
      <c r="Q31" s="353"/>
      <c r="R31" s="351"/>
      <c r="S31" s="353"/>
      <c r="T31" s="351"/>
      <c r="U31" s="353"/>
      <c r="V31" s="351"/>
      <c r="W31" s="353"/>
      <c r="X31" s="351"/>
      <c r="Y31" s="353"/>
      <c r="Z31" s="351"/>
      <c r="AA31" s="353"/>
      <c r="AB31" s="351"/>
      <c r="AC31" s="353"/>
      <c r="AD31" s="351"/>
      <c r="AE31" s="351"/>
      <c r="AG31" s="515"/>
      <c r="AH31" s="515"/>
      <c r="AI31" s="515"/>
      <c r="AJ31" s="515"/>
      <c r="AK31" s="515"/>
      <c r="AL31" s="515"/>
      <c r="AM31" s="515"/>
      <c r="AN31" s="515"/>
      <c r="AO31" s="515"/>
      <c r="AP31" s="511"/>
    </row>
    <row r="32" spans="1:42" s="508" customFormat="1" x14ac:dyDescent="0.25">
      <c r="A32" s="504"/>
      <c r="B32" s="488"/>
      <c r="C32" s="354"/>
      <c r="D32" s="354" t="s">
        <v>286</v>
      </c>
      <c r="E32" s="354" t="s">
        <v>287</v>
      </c>
      <c r="F32" s="354" t="s">
        <v>288</v>
      </c>
      <c r="G32" s="489" t="s">
        <v>289</v>
      </c>
      <c r="H32" s="489" t="s">
        <v>290</v>
      </c>
      <c r="I32" s="354" t="s">
        <v>291</v>
      </c>
      <c r="J32" s="354" t="s">
        <v>292</v>
      </c>
      <c r="K32" s="355" t="s">
        <v>533</v>
      </c>
      <c r="L32" s="356"/>
      <c r="M32" s="356"/>
      <c r="N32" s="356"/>
      <c r="O32" s="357"/>
      <c r="P32" s="356" t="s">
        <v>286</v>
      </c>
      <c r="Q32" s="357"/>
      <c r="R32" s="356" t="s">
        <v>287</v>
      </c>
      <c r="S32" s="357"/>
      <c r="T32" s="356" t="s">
        <v>288</v>
      </c>
      <c r="U32" s="357"/>
      <c r="V32" s="356" t="s">
        <v>289</v>
      </c>
      <c r="W32" s="357"/>
      <c r="X32" s="356" t="s">
        <v>290</v>
      </c>
      <c r="Y32" s="357"/>
      <c r="Z32" s="356" t="s">
        <v>291</v>
      </c>
      <c r="AA32" s="357"/>
      <c r="AB32" s="356" t="s">
        <v>292</v>
      </c>
      <c r="AC32" s="357"/>
      <c r="AD32" s="356" t="s">
        <v>533</v>
      </c>
      <c r="AE32" s="356"/>
      <c r="AG32" s="516"/>
      <c r="AH32" s="516"/>
      <c r="AI32" s="516"/>
      <c r="AJ32" s="516"/>
      <c r="AK32" s="516"/>
      <c r="AL32" s="516"/>
      <c r="AM32" s="516"/>
      <c r="AN32" s="516"/>
      <c r="AO32" s="516"/>
      <c r="AP32" s="512"/>
    </row>
    <row r="33" spans="2:36" x14ac:dyDescent="0.25">
      <c r="B33" s="486" t="s">
        <v>965</v>
      </c>
      <c r="C33" s="349"/>
      <c r="D33" s="523">
        <f>+COMBINED!F29</f>
        <v>11561704.179999998</v>
      </c>
      <c r="E33" s="524">
        <f>+COMBINED!G29</f>
        <v>12581205.280000001</v>
      </c>
      <c r="F33" s="524">
        <f>+COMBINED!H29</f>
        <v>12983241</v>
      </c>
      <c r="G33" s="525">
        <f>+COMBINED!I29</f>
        <v>13145861</v>
      </c>
      <c r="H33" s="490">
        <f>+COMBINED!J29</f>
        <v>13292993</v>
      </c>
      <c r="I33" s="358">
        <f t="shared" ref="I33:K33" si="16">H33*(1+$E$31)</f>
        <v>13292993</v>
      </c>
      <c r="J33" s="358">
        <f t="shared" si="16"/>
        <v>13292993</v>
      </c>
      <c r="K33" s="359">
        <f t="shared" si="16"/>
        <v>13292993</v>
      </c>
      <c r="N33" s="352" t="s">
        <v>534</v>
      </c>
      <c r="O33" s="360"/>
      <c r="P33" s="361">
        <f>D33</f>
        <v>11561704.179999998</v>
      </c>
      <c r="Q33" s="360"/>
      <c r="R33" s="362">
        <f>E33</f>
        <v>12581205.280000001</v>
      </c>
      <c r="T33" s="362">
        <f>F33</f>
        <v>12983241</v>
      </c>
      <c r="V33" s="362">
        <f>G33</f>
        <v>13145861</v>
      </c>
      <c r="X33" s="362">
        <f>H33</f>
        <v>13292993</v>
      </c>
      <c r="Z33" s="362">
        <f>I33</f>
        <v>13292993</v>
      </c>
      <c r="AB33" s="362">
        <f>J33</f>
        <v>13292993</v>
      </c>
      <c r="AC33" s="360"/>
      <c r="AD33" s="362">
        <f>K33</f>
        <v>13292993</v>
      </c>
    </row>
    <row r="34" spans="2:36" x14ac:dyDescent="0.25">
      <c r="B34" s="486" t="s">
        <v>967</v>
      </c>
      <c r="C34" s="349"/>
      <c r="D34" s="524"/>
      <c r="E34" s="524">
        <f>E33-D33</f>
        <v>1019501.1000000034</v>
      </c>
      <c r="F34" s="524">
        <f>F33-E33</f>
        <v>402035.71999999881</v>
      </c>
      <c r="G34" s="525">
        <f>G33-F33</f>
        <v>162620</v>
      </c>
      <c r="H34" s="490">
        <f t="shared" ref="H34:K34" si="17">H33-G33</f>
        <v>147132</v>
      </c>
      <c r="I34" s="358">
        <f t="shared" si="17"/>
        <v>0</v>
      </c>
      <c r="J34" s="358">
        <f t="shared" si="17"/>
        <v>0</v>
      </c>
      <c r="K34" s="359">
        <f t="shared" si="17"/>
        <v>0</v>
      </c>
    </row>
    <row r="35" spans="2:36" x14ac:dyDescent="0.25">
      <c r="B35" s="486"/>
      <c r="C35" s="349"/>
      <c r="D35" s="524"/>
      <c r="E35" s="1674">
        <f>+E34/D33</f>
        <v>8.8179137273170019E-2</v>
      </c>
      <c r="F35" s="1674">
        <f t="shared" ref="F35:G35" si="18">+F34/E33</f>
        <v>3.1955262715497063E-2</v>
      </c>
      <c r="G35" s="1765">
        <f t="shared" si="18"/>
        <v>1.2525377908335831E-2</v>
      </c>
      <c r="H35" s="490"/>
      <c r="I35" s="358"/>
      <c r="J35" s="358"/>
      <c r="K35" s="359"/>
    </row>
    <row r="36" spans="2:36" x14ac:dyDescent="0.25">
      <c r="B36" s="486"/>
      <c r="C36" s="349"/>
      <c r="D36" s="524"/>
      <c r="E36" s="605"/>
      <c r="F36" s="524"/>
      <c r="G36" s="525"/>
      <c r="H36" s="490"/>
      <c r="I36" s="358"/>
      <c r="J36" s="358"/>
      <c r="K36" s="359"/>
      <c r="N36" s="352" t="s">
        <v>77</v>
      </c>
      <c r="O36" s="363">
        <f>D37</f>
        <v>0.13888</v>
      </c>
      <c r="P36" s="361">
        <f>O36*P33</f>
        <v>1605689.4765183998</v>
      </c>
      <c r="Q36" s="387">
        <f>E37</f>
        <v>0.15531</v>
      </c>
      <c r="R36" s="361">
        <f t="shared" ref="R36" si="19">Q36*R33</f>
        <v>1953986.9920368001</v>
      </c>
      <c r="S36" s="368">
        <f>F37</f>
        <v>0.18062</v>
      </c>
      <c r="T36" s="361">
        <f>S36*T33</f>
        <v>2345032.98942</v>
      </c>
      <c r="U36" s="368">
        <f>G37</f>
        <v>0.20799999999999999</v>
      </c>
      <c r="V36" s="361">
        <f>U36*V33</f>
        <v>2734339.088</v>
      </c>
      <c r="W36" s="368">
        <f>H37</f>
        <v>0.249</v>
      </c>
      <c r="X36" s="361">
        <f>W36*X33</f>
        <v>3309955.2570000002</v>
      </c>
      <c r="Y36" s="368">
        <f>I37</f>
        <v>0.26400000000000001</v>
      </c>
      <c r="Z36" s="361">
        <f>Y36*Z33</f>
        <v>3509350.1520000002</v>
      </c>
      <c r="AA36" s="368">
        <f>J37</f>
        <v>0.27400000000000002</v>
      </c>
      <c r="AB36" s="361">
        <f>AA36*AB33</f>
        <v>3642280.0820000004</v>
      </c>
      <c r="AC36" s="368">
        <f>K37</f>
        <v>0.28199999999999997</v>
      </c>
      <c r="AD36" s="361">
        <f>AC36*AD33</f>
        <v>3748624.0259999996</v>
      </c>
    </row>
    <row r="37" spans="2:36" x14ac:dyDescent="0.25">
      <c r="B37" s="486" t="s">
        <v>968</v>
      </c>
      <c r="C37" s="349"/>
      <c r="D37" s="388">
        <f>+'MYP Assumptions'!$D$58</f>
        <v>0.13888</v>
      </c>
      <c r="E37" s="388">
        <f>+'MYP Assumptions'!E58</f>
        <v>0.15531</v>
      </c>
      <c r="F37" s="389">
        <f>+'MYP Assumptions'!F58</f>
        <v>0.18062</v>
      </c>
      <c r="G37" s="497">
        <f>+'MYP Assumptions'!G58</f>
        <v>0.20799999999999999</v>
      </c>
      <c r="H37" s="497">
        <v>0.249</v>
      </c>
      <c r="I37" s="389">
        <v>0.26400000000000001</v>
      </c>
      <c r="J37" s="389">
        <v>0.27400000000000002</v>
      </c>
      <c r="K37" s="390">
        <v>0.28199999999999997</v>
      </c>
      <c r="N37" s="352" t="s">
        <v>78</v>
      </c>
      <c r="O37" s="368">
        <v>6.2E-2</v>
      </c>
      <c r="P37" s="361">
        <f>O37*P33</f>
        <v>716825.65915999981</v>
      </c>
      <c r="Q37" s="368">
        <f>O37</f>
        <v>6.2E-2</v>
      </c>
      <c r="R37" s="361">
        <f>Q37*R33</f>
        <v>780034.72736000002</v>
      </c>
      <c r="S37" s="368">
        <f>Q37</f>
        <v>6.2E-2</v>
      </c>
      <c r="T37" s="361">
        <f>S37*T33</f>
        <v>804960.94200000004</v>
      </c>
      <c r="U37" s="368">
        <f>S37</f>
        <v>6.2E-2</v>
      </c>
      <c r="V37" s="361">
        <f>U37*V33</f>
        <v>815043.38199999998</v>
      </c>
      <c r="W37" s="368">
        <f>U37</f>
        <v>6.2E-2</v>
      </c>
      <c r="X37" s="361">
        <f>W37*X33</f>
        <v>824165.56599999999</v>
      </c>
      <c r="Y37" s="368">
        <f>W37</f>
        <v>6.2E-2</v>
      </c>
      <c r="Z37" s="361">
        <f>Y37*Z33</f>
        <v>824165.56599999999</v>
      </c>
      <c r="AA37" s="368">
        <f>Y37</f>
        <v>6.2E-2</v>
      </c>
      <c r="AB37" s="361">
        <f>AA37*AB33</f>
        <v>824165.56599999999</v>
      </c>
      <c r="AC37" s="368">
        <f>AA37</f>
        <v>6.2E-2</v>
      </c>
      <c r="AD37" s="361">
        <f>AC37*AD33</f>
        <v>824165.56599999999</v>
      </c>
    </row>
    <row r="38" spans="2:36" x14ac:dyDescent="0.25">
      <c r="B38" s="1797" t="s">
        <v>665</v>
      </c>
      <c r="C38" s="369"/>
      <c r="D38" s="370" t="s">
        <v>538</v>
      </c>
      <c r="E38" s="1799">
        <f>+E37-D37</f>
        <v>1.643E-2</v>
      </c>
      <c r="F38" s="1806">
        <f>+F37-E37</f>
        <v>2.5309999999999999E-2</v>
      </c>
      <c r="G38" s="1807">
        <f>+G37-F37</f>
        <v>2.7379999999999988E-2</v>
      </c>
      <c r="H38" s="1801"/>
      <c r="I38" s="1800"/>
      <c r="J38" s="1800"/>
      <c r="K38" s="1802"/>
      <c r="L38" s="506"/>
      <c r="M38" s="506"/>
      <c r="N38" s="1803"/>
      <c r="O38" s="1804"/>
      <c r="P38" s="1805"/>
      <c r="Q38" s="1804"/>
      <c r="R38" s="1805"/>
      <c r="S38" s="1804"/>
      <c r="T38" s="1805"/>
      <c r="U38" s="1804"/>
      <c r="V38" s="1805"/>
      <c r="W38" s="1804"/>
      <c r="X38" s="1805"/>
      <c r="Y38" s="1804"/>
      <c r="Z38" s="1805"/>
      <c r="AA38" s="1804"/>
      <c r="AB38" s="1805"/>
      <c r="AC38" s="1804"/>
      <c r="AD38" s="1805"/>
      <c r="AE38" s="506"/>
    </row>
    <row r="39" spans="2:36" x14ac:dyDescent="0.25">
      <c r="B39" s="1798"/>
      <c r="C39" s="1785"/>
      <c r="D39" s="1799"/>
      <c r="E39" s="1799"/>
      <c r="F39" s="1800"/>
      <c r="G39" s="1801"/>
      <c r="H39" s="1801"/>
      <c r="I39" s="1800"/>
      <c r="J39" s="1800"/>
      <c r="K39" s="1802"/>
      <c r="L39" s="506"/>
      <c r="M39" s="506"/>
      <c r="N39" s="1803"/>
      <c r="O39" s="1804"/>
      <c r="P39" s="1805"/>
      <c r="Q39" s="1804"/>
      <c r="R39" s="1805"/>
      <c r="S39" s="1804"/>
      <c r="T39" s="1805"/>
      <c r="U39" s="1804"/>
      <c r="V39" s="1805"/>
      <c r="W39" s="1804"/>
      <c r="X39" s="1805"/>
      <c r="Y39" s="1804"/>
      <c r="Z39" s="1805"/>
      <c r="AA39" s="1804"/>
      <c r="AB39" s="1805"/>
      <c r="AC39" s="1804"/>
      <c r="AD39" s="1805"/>
      <c r="AE39" s="506"/>
    </row>
    <row r="40" spans="2:36" x14ac:dyDescent="0.25">
      <c r="B40" s="486" t="s">
        <v>541</v>
      </c>
      <c r="C40" s="349"/>
      <c r="D40" s="524">
        <f>+COMBINED!F36</f>
        <v>1428052.88</v>
      </c>
      <c r="E40" s="524">
        <f>+COMBINED!G36</f>
        <v>1796840</v>
      </c>
      <c r="F40" s="524">
        <f>+COMBINED!H36</f>
        <v>2332907</v>
      </c>
      <c r="G40" s="525">
        <f>+COMBINED!I36</f>
        <v>2720786</v>
      </c>
      <c r="H40" s="490">
        <f t="shared" ref="H40:K40" si="20">H33*H37</f>
        <v>3309955.2570000002</v>
      </c>
      <c r="I40" s="358">
        <f t="shared" si="20"/>
        <v>3509350.1520000002</v>
      </c>
      <c r="J40" s="358">
        <f t="shared" si="20"/>
        <v>3642280.0820000004</v>
      </c>
      <c r="K40" s="359">
        <f t="shared" si="20"/>
        <v>3748624.0259999996</v>
      </c>
      <c r="N40" s="352" t="s">
        <v>79</v>
      </c>
      <c r="O40" s="365">
        <v>1.4500000000000001E-2</v>
      </c>
      <c r="P40" s="361">
        <f>O40*P33</f>
        <v>167644.71060999998</v>
      </c>
      <c r="Q40" s="365">
        <f t="shared" ref="Q40:AC40" si="21">O40</f>
        <v>1.4500000000000001E-2</v>
      </c>
      <c r="R40" s="361">
        <f t="shared" ref="R40" si="22">Q40*R33</f>
        <v>182427.47656000004</v>
      </c>
      <c r="S40" s="365">
        <f t="shared" si="21"/>
        <v>1.4500000000000001E-2</v>
      </c>
      <c r="T40" s="361">
        <f>S40*T33</f>
        <v>188256.9945</v>
      </c>
      <c r="U40" s="365">
        <f t="shared" si="21"/>
        <v>1.4500000000000001E-2</v>
      </c>
      <c r="V40" s="361">
        <f>U40*V33</f>
        <v>190614.98450000002</v>
      </c>
      <c r="W40" s="365">
        <f t="shared" si="21"/>
        <v>1.4500000000000001E-2</v>
      </c>
      <c r="X40" s="361">
        <f>W40*X33</f>
        <v>192748.39850000001</v>
      </c>
      <c r="Y40" s="365">
        <f t="shared" si="21"/>
        <v>1.4500000000000001E-2</v>
      </c>
      <c r="Z40" s="361">
        <f>Y40*Z33</f>
        <v>192748.39850000001</v>
      </c>
      <c r="AA40" s="365">
        <f t="shared" si="21"/>
        <v>1.4500000000000001E-2</v>
      </c>
      <c r="AB40" s="361">
        <f>AA40*AB33</f>
        <v>192748.39850000001</v>
      </c>
      <c r="AC40" s="365">
        <f t="shared" si="21"/>
        <v>1.4500000000000001E-2</v>
      </c>
      <c r="AD40" s="361">
        <f>AC40*AD33</f>
        <v>192748.39850000001</v>
      </c>
      <c r="AG40" s="514">
        <f>+D37*D33</f>
        <v>1605689.4765183998</v>
      </c>
      <c r="AH40" s="514">
        <f t="shared" ref="AH40" si="23">+E37*E33</f>
        <v>1953986.9920368001</v>
      </c>
      <c r="AI40" s="514">
        <f t="shared" ref="AI40" si="24">+F37*F33</f>
        <v>2345032.98942</v>
      </c>
      <c r="AJ40" s="514">
        <f t="shared" ref="AJ40" si="25">+G37*G33</f>
        <v>2734339.088</v>
      </c>
    </row>
    <row r="41" spans="2:36" x14ac:dyDescent="0.25">
      <c r="B41" s="1797" t="s">
        <v>666</v>
      </c>
      <c r="C41" s="369"/>
      <c r="D41" s="375" t="s">
        <v>539</v>
      </c>
      <c r="E41" s="376">
        <f>E40-D40</f>
        <v>368787.12000000011</v>
      </c>
      <c r="F41" s="376">
        <f>F40-E40</f>
        <v>536067</v>
      </c>
      <c r="G41" s="493">
        <f>G40-F40</f>
        <v>387879</v>
      </c>
      <c r="H41" s="490"/>
      <c r="I41" s="358"/>
      <c r="J41" s="358"/>
      <c r="K41" s="359"/>
      <c r="O41" s="365"/>
      <c r="P41" s="361"/>
      <c r="Q41" s="365"/>
      <c r="R41" s="361"/>
      <c r="S41" s="365"/>
      <c r="T41" s="361"/>
      <c r="U41" s="365"/>
      <c r="V41" s="361"/>
      <c r="W41" s="365"/>
      <c r="X41" s="361"/>
      <c r="Y41" s="365"/>
      <c r="Z41" s="361"/>
      <c r="AA41" s="365"/>
      <c r="AB41" s="361"/>
      <c r="AC41" s="365"/>
      <c r="AD41" s="361"/>
    </row>
    <row r="42" spans="2:36" x14ac:dyDescent="0.25">
      <c r="B42" s="486" t="s">
        <v>954</v>
      </c>
      <c r="C42" s="349"/>
      <c r="D42" s="375"/>
      <c r="E42" s="1660">
        <f>+E41/D40</f>
        <v>0.25824472270242549</v>
      </c>
      <c r="F42" s="1660">
        <f>+F41/E40</f>
        <v>0.29833875025043965</v>
      </c>
      <c r="G42" s="1764">
        <f>+G41/F40</f>
        <v>0.16626423599397661</v>
      </c>
      <c r="H42" s="490"/>
      <c r="I42" s="358"/>
      <c r="J42" s="358"/>
      <c r="K42" s="359"/>
      <c r="O42" s="365"/>
      <c r="P42" s="361"/>
      <c r="Q42" s="365"/>
      <c r="R42" s="361"/>
      <c r="S42" s="365"/>
      <c r="T42" s="361"/>
      <c r="U42" s="365"/>
      <c r="V42" s="361"/>
      <c r="W42" s="365"/>
      <c r="X42" s="361"/>
      <c r="Y42" s="365"/>
      <c r="Z42" s="361"/>
      <c r="AA42" s="365"/>
      <c r="AB42" s="361"/>
      <c r="AC42" s="365"/>
      <c r="AD42" s="361"/>
    </row>
    <row r="43" spans="2:36" ht="15" customHeight="1" x14ac:dyDescent="0.25">
      <c r="B43" s="486"/>
      <c r="C43" s="349"/>
      <c r="D43" s="375"/>
      <c r="E43" s="379"/>
      <c r="F43" s="379"/>
      <c r="G43" s="494"/>
      <c r="H43" s="494"/>
      <c r="I43" s="379"/>
      <c r="J43" s="379"/>
      <c r="K43" s="380"/>
    </row>
    <row r="44" spans="2:36" x14ac:dyDescent="0.25">
      <c r="B44" s="486"/>
      <c r="C44" s="349"/>
      <c r="D44" s="379"/>
      <c r="E44" s="379"/>
      <c r="F44" s="349" t="s">
        <v>686</v>
      </c>
      <c r="G44" s="526">
        <f>SUM(E41:G41)</f>
        <v>1292733.1200000001</v>
      </c>
      <c r="H44" s="494"/>
      <c r="I44" s="379"/>
      <c r="J44" s="379"/>
      <c r="K44" s="391" t="e">
        <f>SUM(#REF!)</f>
        <v>#REF!</v>
      </c>
      <c r="N44" s="352" t="s">
        <v>118</v>
      </c>
      <c r="P44" s="361" t="e">
        <f>#REF!+P33</f>
        <v>#REF!</v>
      </c>
      <c r="R44" s="361" t="e">
        <f>#REF!+R33</f>
        <v>#REF!</v>
      </c>
      <c r="T44" s="361" t="e">
        <f>#REF!+T33</f>
        <v>#REF!</v>
      </c>
      <c r="V44" s="361" t="e">
        <f>#REF!+V33</f>
        <v>#REF!</v>
      </c>
      <c r="X44" s="361" t="e">
        <f>#REF!+X33</f>
        <v>#REF!</v>
      </c>
      <c r="Z44" s="361" t="e">
        <f>#REF!+Z33</f>
        <v>#REF!</v>
      </c>
      <c r="AB44" s="361" t="e">
        <f>#REF!+AB33</f>
        <v>#REF!</v>
      </c>
      <c r="AD44" s="361" t="e">
        <f>#REF!+AD33</f>
        <v>#REF!</v>
      </c>
    </row>
    <row r="45" spans="2:36" x14ac:dyDescent="0.25">
      <c r="B45" s="486"/>
      <c r="C45" s="348"/>
      <c r="D45" s="379"/>
      <c r="E45" s="379"/>
      <c r="F45" s="379"/>
      <c r="G45" s="521"/>
      <c r="H45" s="495"/>
      <c r="I45" s="379"/>
      <c r="J45" s="379"/>
      <c r="K45" s="380"/>
    </row>
    <row r="46" spans="2:36" x14ac:dyDescent="0.25">
      <c r="B46" s="2560" t="s">
        <v>963</v>
      </c>
      <c r="C46" s="2561"/>
      <c r="D46" s="2561"/>
      <c r="E46" s="2561"/>
      <c r="F46" s="2561"/>
      <c r="G46" s="2562"/>
      <c r="H46" s="379"/>
      <c r="I46" s="379"/>
      <c r="J46" s="379"/>
      <c r="K46" s="380"/>
    </row>
    <row r="47" spans="2:36" x14ac:dyDescent="0.25">
      <c r="B47" s="486" t="s">
        <v>960</v>
      </c>
      <c r="C47" s="349"/>
      <c r="D47" s="1808">
        <f>+'MYP Assumptions'!$D$58</f>
        <v>0.13888</v>
      </c>
      <c r="E47" s="1808">
        <f>+'MYP Assumptions'!$D$58</f>
        <v>0.13888</v>
      </c>
      <c r="F47" s="1808">
        <f>+'MYP Assumptions'!$D$58</f>
        <v>0.13888</v>
      </c>
      <c r="G47" s="1809">
        <f>+'MYP Assumptions'!$D$58</f>
        <v>0.13888</v>
      </c>
      <c r="H47" s="379"/>
      <c r="I47" s="379"/>
      <c r="J47" s="379"/>
      <c r="K47" s="380"/>
    </row>
    <row r="48" spans="2:36" x14ac:dyDescent="0.25">
      <c r="B48" s="486" t="s">
        <v>541</v>
      </c>
      <c r="C48" s="349"/>
      <c r="D48" s="1776">
        <f>+D40</f>
        <v>1428052.88</v>
      </c>
      <c r="E48" s="1777">
        <f>+E33*E47</f>
        <v>1747277.7892864002</v>
      </c>
      <c r="F48" s="1777">
        <f t="shared" ref="F48" si="26">+F33*F47</f>
        <v>1803112.5100800002</v>
      </c>
      <c r="G48" s="1778">
        <f>+G33*G47</f>
        <v>1825697.1756800001</v>
      </c>
      <c r="H48" s="379"/>
      <c r="I48" s="379"/>
      <c r="J48" s="379"/>
      <c r="K48" s="380"/>
    </row>
    <row r="49" spans="2:31" x14ac:dyDescent="0.25">
      <c r="B49" s="1797" t="s">
        <v>666</v>
      </c>
      <c r="C49" s="349"/>
      <c r="D49" s="375"/>
      <c r="E49" s="1779">
        <f>+E48-D48</f>
        <v>319224.9092864003</v>
      </c>
      <c r="F49" s="1779">
        <f>+F48-E48</f>
        <v>55834.720793599961</v>
      </c>
      <c r="G49" s="1780">
        <f>+G48-F48</f>
        <v>22584.665599999949</v>
      </c>
      <c r="H49" s="379"/>
      <c r="I49" s="379"/>
      <c r="J49" s="379"/>
      <c r="K49" s="380"/>
    </row>
    <row r="50" spans="2:31" x14ac:dyDescent="0.25">
      <c r="B50" s="486" t="s">
        <v>954</v>
      </c>
      <c r="C50" s="349"/>
      <c r="D50" s="1810"/>
      <c r="E50" s="1674">
        <f>+E49/D48</f>
        <v>0.22353857742746916</v>
      </c>
      <c r="F50" s="1789">
        <f>+F49/E48</f>
        <v>3.1955262715497132E-2</v>
      </c>
      <c r="G50" s="1790">
        <f>+G49/F48</f>
        <v>1.2525377908335801E-2</v>
      </c>
      <c r="H50" s="379"/>
      <c r="I50" s="379"/>
      <c r="J50" s="379"/>
      <c r="K50" s="380"/>
    </row>
    <row r="51" spans="2:31" x14ac:dyDescent="0.25">
      <c r="B51" s="486"/>
      <c r="C51" s="349"/>
      <c r="D51" s="1791"/>
      <c r="E51" s="1789"/>
      <c r="F51" s="1789"/>
      <c r="G51" s="1792" t="s">
        <v>969</v>
      </c>
      <c r="H51" s="379"/>
      <c r="I51" s="379"/>
      <c r="J51" s="379"/>
      <c r="K51" s="380"/>
    </row>
    <row r="52" spans="2:31" x14ac:dyDescent="0.25">
      <c r="B52" s="486"/>
      <c r="C52" s="349"/>
      <c r="D52" s="375"/>
      <c r="E52" s="1660"/>
      <c r="F52" s="1660"/>
      <c r="G52" s="1764"/>
      <c r="H52" s="379"/>
      <c r="I52" s="379"/>
      <c r="J52" s="379"/>
      <c r="K52" s="380"/>
    </row>
    <row r="53" spans="2:31" x14ac:dyDescent="0.25">
      <c r="B53" s="486" t="s">
        <v>961</v>
      </c>
      <c r="C53" s="349"/>
      <c r="D53" s="375"/>
      <c r="E53" s="1779">
        <f>+E40-E48</f>
        <v>49562.210713599809</v>
      </c>
      <c r="F53" s="1779">
        <f>+F40-F48</f>
        <v>529794.48991999985</v>
      </c>
      <c r="G53" s="1780">
        <f>+G40-G48</f>
        <v>895088.8243199999</v>
      </c>
      <c r="H53" s="379"/>
      <c r="I53" s="379"/>
      <c r="J53" s="379"/>
      <c r="K53" s="380"/>
    </row>
    <row r="54" spans="2:31" x14ac:dyDescent="0.25">
      <c r="B54" s="486" t="s">
        <v>970</v>
      </c>
      <c r="C54" s="349"/>
      <c r="D54" s="375"/>
      <c r="E54" s="1660"/>
      <c r="F54" s="1660"/>
      <c r="G54" s="1764"/>
      <c r="H54" s="379"/>
      <c r="I54" s="379"/>
      <c r="J54" s="379"/>
      <c r="K54" s="380"/>
    </row>
    <row r="55" spans="2:31" x14ac:dyDescent="0.25">
      <c r="B55" s="498"/>
      <c r="C55" s="499"/>
      <c r="D55" s="500"/>
      <c r="E55" s="500"/>
      <c r="F55" s="500"/>
      <c r="G55" s="501"/>
      <c r="H55" s="494"/>
      <c r="I55" s="379"/>
      <c r="J55" s="379"/>
      <c r="K55" s="380" t="s">
        <v>542</v>
      </c>
    </row>
    <row r="56" spans="2:31" ht="15.75" thickBot="1" x14ac:dyDescent="0.3">
      <c r="B56" s="519"/>
      <c r="C56" s="518"/>
      <c r="D56" s="522"/>
      <c r="E56" s="522"/>
      <c r="F56" s="522"/>
      <c r="G56" s="522"/>
      <c r="H56" s="501"/>
      <c r="I56" s="392"/>
      <c r="J56" s="392"/>
      <c r="K56" s="393" t="e">
        <f>+K18+K44</f>
        <v>#REF!</v>
      </c>
      <c r="N56" s="2558" t="s">
        <v>537</v>
      </c>
      <c r="O56" s="382" t="s">
        <v>538</v>
      </c>
      <c r="P56" s="383"/>
      <c r="R56" s="384" t="e">
        <f>R57/P44</f>
        <v>#REF!</v>
      </c>
      <c r="T56" s="384" t="e">
        <f>T57/R44</f>
        <v>#REF!</v>
      </c>
      <c r="V56" s="384" t="e">
        <f>V57/T44</f>
        <v>#REF!</v>
      </c>
      <c r="X56" s="384" t="e">
        <f>X57/V44</f>
        <v>#REF!</v>
      </c>
      <c r="Z56" s="384" t="e">
        <f>Z57/X44</f>
        <v>#REF!</v>
      </c>
      <c r="AB56" s="384" t="e">
        <f>AB57/Z44</f>
        <v>#REF!</v>
      </c>
      <c r="AD56" s="384" t="e">
        <f>AD57/AB44</f>
        <v>#REF!</v>
      </c>
    </row>
    <row r="57" spans="2:31" x14ac:dyDescent="0.25">
      <c r="B57" s="349"/>
      <c r="C57" s="348"/>
      <c r="D57" s="379"/>
      <c r="E57" s="379"/>
      <c r="F57" s="379"/>
      <c r="G57" s="379"/>
      <c r="N57" s="2558"/>
      <c r="O57" s="382" t="s">
        <v>539</v>
      </c>
      <c r="P57" s="383"/>
      <c r="R57" s="361" t="e">
        <f>R44-P44</f>
        <v>#REF!</v>
      </c>
      <c r="T57" s="361" t="e">
        <f>T44-R44</f>
        <v>#REF!</v>
      </c>
      <c r="V57" s="361" t="e">
        <f>V44-T44</f>
        <v>#REF!</v>
      </c>
      <c r="X57" s="361" t="e">
        <f>X44-V44</f>
        <v>#REF!</v>
      </c>
      <c r="Z57" s="361" t="e">
        <f>Z44-X44</f>
        <v>#REF!</v>
      </c>
      <c r="AB57" s="361" t="e">
        <f>AB44-Z44</f>
        <v>#REF!</v>
      </c>
      <c r="AD57" s="361" t="e">
        <f>AD44-AB44</f>
        <v>#REF!</v>
      </c>
    </row>
    <row r="58" spans="2:31" hidden="1" x14ac:dyDescent="0.25"/>
    <row r="59" spans="2:31" hidden="1" x14ac:dyDescent="0.25">
      <c r="N59" s="352" t="s">
        <v>540</v>
      </c>
      <c r="P59" s="383"/>
      <c r="R59" s="383"/>
      <c r="T59" s="361" t="e">
        <f>+T57+R57</f>
        <v>#REF!</v>
      </c>
      <c r="V59" s="361" t="e">
        <f>V57+T59</f>
        <v>#REF!</v>
      </c>
      <c r="X59" s="361" t="e">
        <f>X57+V59</f>
        <v>#REF!</v>
      </c>
      <c r="Z59" s="361" t="e">
        <f>Z57+X59</f>
        <v>#REF!</v>
      </c>
      <c r="AB59" s="361" t="e">
        <f>AB57+Z59</f>
        <v>#REF!</v>
      </c>
      <c r="AD59" s="361" t="e">
        <f>AD57+AB59</f>
        <v>#REF!</v>
      </c>
    </row>
    <row r="60" spans="2:31" hidden="1" x14ac:dyDescent="0.25"/>
    <row r="61" spans="2:31" hidden="1" x14ac:dyDescent="0.25"/>
    <row r="62" spans="2:31" hidden="1" x14ac:dyDescent="0.25">
      <c r="B62" s="394" t="s">
        <v>422</v>
      </c>
      <c r="C62" s="395"/>
      <c r="D62" s="346"/>
      <c r="E62" s="346"/>
      <c r="F62" s="346"/>
      <c r="G62" s="346"/>
      <c r="H62" s="346"/>
      <c r="I62" s="346"/>
      <c r="J62" s="346"/>
      <c r="K62" s="346"/>
      <c r="L62" s="346"/>
      <c r="M62" s="346"/>
      <c r="N62" s="347" t="str">
        <f>B62</f>
        <v>Insurance</v>
      </c>
      <c r="O62" s="346"/>
      <c r="P62" s="346"/>
      <c r="Q62" s="346"/>
      <c r="R62" s="346"/>
      <c r="S62" s="346"/>
      <c r="T62" s="346"/>
      <c r="U62" s="346"/>
      <c r="V62" s="346"/>
      <c r="W62" s="346"/>
      <c r="X62" s="346"/>
      <c r="Y62" s="346"/>
      <c r="Z62" s="346"/>
      <c r="AA62" s="346"/>
      <c r="AB62" s="346"/>
      <c r="AC62" s="346"/>
      <c r="AD62" s="346"/>
      <c r="AE62" s="346"/>
    </row>
    <row r="63" spans="2:31" hidden="1" x14ac:dyDescent="0.25"/>
    <row r="64" spans="2:31" hidden="1" x14ac:dyDescent="0.25">
      <c r="N64" s="352" t="s">
        <v>80</v>
      </c>
      <c r="P64" s="396">
        <v>5674792.4337200001</v>
      </c>
      <c r="Q64" s="397">
        <v>0.05</v>
      </c>
      <c r="R64" s="361">
        <f>P64*(1+Q64)</f>
        <v>5958532.0554060005</v>
      </c>
      <c r="S64" s="398">
        <f>Q64</f>
        <v>0.05</v>
      </c>
      <c r="T64" s="361">
        <f>R64*(1+S64)</f>
        <v>6256458.658176301</v>
      </c>
      <c r="U64" s="398">
        <f>S64</f>
        <v>0.05</v>
      </c>
      <c r="V64" s="361">
        <f>T64*(1+U64)</f>
        <v>6569281.5910851164</v>
      </c>
      <c r="W64" s="398">
        <f>U64</f>
        <v>0.05</v>
      </c>
      <c r="X64" s="361">
        <f>V64*(1+W64)</f>
        <v>6897745.6706393724</v>
      </c>
      <c r="Y64" s="398">
        <f>W64</f>
        <v>0.05</v>
      </c>
      <c r="Z64" s="361">
        <f>X64*(1+Y64)</f>
        <v>7242632.9541713409</v>
      </c>
      <c r="AA64" s="398">
        <f>Y64</f>
        <v>0.05</v>
      </c>
      <c r="AB64" s="361">
        <f>Z64*(1+AA64)</f>
        <v>7604764.6018799087</v>
      </c>
      <c r="AC64" s="398">
        <f>AA64</f>
        <v>0.05</v>
      </c>
      <c r="AD64" s="361">
        <f>AB64*(1+AC64)</f>
        <v>7985002.8319739047</v>
      </c>
    </row>
    <row r="65" spans="1:42" hidden="1" x14ac:dyDescent="0.25"/>
    <row r="66" spans="1:42" hidden="1" x14ac:dyDescent="0.25">
      <c r="N66" s="352" t="s">
        <v>543</v>
      </c>
      <c r="P66" s="383"/>
      <c r="R66" s="361">
        <f>R64-P64</f>
        <v>283739.62168600038</v>
      </c>
      <c r="T66" s="361">
        <f>T64-R64</f>
        <v>297926.60277030058</v>
      </c>
      <c r="V66" s="361">
        <f>V64-T64</f>
        <v>312822.93290881533</v>
      </c>
      <c r="X66" s="361">
        <f>X64-V64</f>
        <v>328464.07955425605</v>
      </c>
      <c r="Z66" s="361">
        <f>Z64-X64</f>
        <v>344887.28353196848</v>
      </c>
      <c r="AB66" s="361">
        <f>AB64-Z64</f>
        <v>362131.64770856779</v>
      </c>
      <c r="AD66" s="361">
        <f>AD64-AB64</f>
        <v>380238.23009399604</v>
      </c>
    </row>
    <row r="67" spans="1:42" hidden="1" x14ac:dyDescent="0.25"/>
    <row r="68" spans="1:42" hidden="1" x14ac:dyDescent="0.25"/>
    <row r="69" spans="1:42" s="509" customFormat="1" hidden="1" x14ac:dyDescent="0.25">
      <c r="A69" s="505"/>
      <c r="B69" s="399"/>
      <c r="C69" s="400"/>
      <c r="D69" s="401"/>
      <c r="E69" s="401"/>
      <c r="F69" s="401"/>
      <c r="G69" s="401"/>
      <c r="H69" s="401"/>
      <c r="I69" s="402"/>
      <c r="J69" s="402"/>
      <c r="K69" s="402"/>
      <c r="L69" s="402"/>
      <c r="M69" s="402"/>
      <c r="N69" s="403" t="s">
        <v>544</v>
      </c>
      <c r="O69" s="402"/>
      <c r="P69" s="402"/>
      <c r="Q69" s="402"/>
      <c r="R69" s="402" t="e">
        <f>R66+#REF!+R57</f>
        <v>#REF!</v>
      </c>
      <c r="S69" s="402"/>
      <c r="T69" s="402" t="e">
        <f>T66+#REF!+T57</f>
        <v>#REF!</v>
      </c>
      <c r="U69" s="402"/>
      <c r="V69" s="402" t="e">
        <f>V66+#REF!+V57</f>
        <v>#REF!</v>
      </c>
      <c r="W69" s="402"/>
      <c r="X69" s="402" t="e">
        <f>X66+#REF!+X57</f>
        <v>#REF!</v>
      </c>
      <c r="Y69" s="402"/>
      <c r="Z69" s="402" t="e">
        <f>Z66+#REF!+Z57</f>
        <v>#REF!</v>
      </c>
      <c r="AA69" s="402"/>
      <c r="AB69" s="402" t="e">
        <f>AB66+#REF!+AB57</f>
        <v>#REF!</v>
      </c>
      <c r="AC69" s="402"/>
      <c r="AD69" s="402" t="e">
        <f>AD66+#REF!+AD57</f>
        <v>#REF!</v>
      </c>
      <c r="AE69" s="401"/>
      <c r="AG69" s="340"/>
      <c r="AH69" s="340"/>
      <c r="AI69" s="340"/>
      <c r="AJ69" s="340"/>
      <c r="AK69" s="340"/>
      <c r="AL69" s="340"/>
      <c r="AM69" s="340"/>
      <c r="AN69" s="340"/>
      <c r="AO69" s="340"/>
      <c r="AP69" s="513"/>
    </row>
    <row r="70" spans="1:42" hidden="1" x14ac:dyDescent="0.25">
      <c r="R70" s="384" t="e">
        <f>R69/(P64+P18+P44)</f>
        <v>#REF!</v>
      </c>
      <c r="T70" s="384" t="e">
        <f>T69/(R64+R18+R44)</f>
        <v>#REF!</v>
      </c>
      <c r="V70" s="384" t="e">
        <f>V69/(T64+T18+T44)</f>
        <v>#REF!</v>
      </c>
      <c r="X70" s="384" t="e">
        <f>X69/(V64+V18+V44)</f>
        <v>#REF!</v>
      </c>
      <c r="Z70" s="384" t="e">
        <f>Z69/(X64+X18+X44)</f>
        <v>#REF!</v>
      </c>
      <c r="AB70" s="384" t="e">
        <f>AB69/(Z64+Z18+Z44)</f>
        <v>#REF!</v>
      </c>
      <c r="AD70" s="384" t="e">
        <f>AD69/(AB64+AB18+AB44)</f>
        <v>#REF!</v>
      </c>
    </row>
    <row r="72" spans="1:42" x14ac:dyDescent="0.25">
      <c r="B72" s="353"/>
      <c r="C72" s="353"/>
      <c r="I72" s="353" t="s">
        <v>545</v>
      </c>
      <c r="N72" s="353"/>
      <c r="P72" s="361"/>
      <c r="R72" s="361"/>
      <c r="T72" s="361"/>
      <c r="V72" s="361"/>
      <c r="X72" s="361"/>
      <c r="Z72" s="361"/>
      <c r="AB72" s="361"/>
      <c r="AD72" s="361"/>
    </row>
    <row r="74" spans="1:42" x14ac:dyDescent="0.25">
      <c r="B74" s="353"/>
      <c r="C74" s="353"/>
      <c r="N74" s="353"/>
      <c r="P74" s="396"/>
    </row>
    <row r="75" spans="1:42" x14ac:dyDescent="0.25">
      <c r="B75" s="353"/>
      <c r="C75" s="353"/>
      <c r="N75" s="353"/>
      <c r="P75" s="396"/>
    </row>
  </sheetData>
  <mergeCells count="4">
    <mergeCell ref="N56:N57"/>
    <mergeCell ref="B2:G2"/>
    <mergeCell ref="B20:G20"/>
    <mergeCell ref="B46:G46"/>
  </mergeCells>
  <pageMargins left="0.24" right="0.24" top="0.24" bottom="0.24" header="0.24" footer="0.24"/>
  <pageSetup scale="94" orientation="portrait" r:id="rId1"/>
  <headerFooter>
    <oddHeader>&amp;L&amp;F</oddHeader>
    <oddFooter>&amp;R&amp;A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2:J45"/>
  <sheetViews>
    <sheetView showGridLines="0" zoomScaleNormal="100" workbookViewId="0">
      <selection activeCell="J62" sqref="J62"/>
    </sheetView>
  </sheetViews>
  <sheetFormatPr defaultRowHeight="15" x14ac:dyDescent="0.25"/>
  <cols>
    <col min="1" max="1" width="6" style="158" customWidth="1"/>
    <col min="2" max="2" width="5.140625" style="159" customWidth="1"/>
    <col min="3" max="3" width="27.5703125" style="160" customWidth="1"/>
    <col min="4" max="10" width="15.42578125" style="162" customWidth="1"/>
    <col min="11" max="16384" width="9.140625" style="159"/>
  </cols>
  <sheetData>
    <row r="2" spans="1:10" x14ac:dyDescent="0.25">
      <c r="A2" s="158" t="s">
        <v>274</v>
      </c>
    </row>
    <row r="3" spans="1:10" hidden="1" x14ac:dyDescent="0.25">
      <c r="D3" s="161" t="s">
        <v>55</v>
      </c>
      <c r="E3" s="161" t="str">
        <f>LEFT(D3,4)+1&amp;"-"&amp;RIGHT(D3,4)+1</f>
        <v>2017-2018</v>
      </c>
      <c r="F3" s="161" t="str">
        <f t="shared" ref="F3:J3" si="0">LEFT(E3,4)+1&amp;"-"&amp;RIGHT(E3,4)+1</f>
        <v>2018-2019</v>
      </c>
      <c r="G3" s="161" t="str">
        <f t="shared" si="0"/>
        <v>2019-2020</v>
      </c>
      <c r="H3" s="161" t="str">
        <f t="shared" si="0"/>
        <v>2020-2021</v>
      </c>
      <c r="I3" s="161" t="str">
        <f t="shared" si="0"/>
        <v>2021-2022</v>
      </c>
      <c r="J3" s="161" t="str">
        <f t="shared" si="0"/>
        <v>2022-2023</v>
      </c>
    </row>
    <row r="4" spans="1:10" hidden="1" x14ac:dyDescent="0.25">
      <c r="A4" s="158" t="s">
        <v>278</v>
      </c>
      <c r="F4" s="163"/>
      <c r="G4" s="163"/>
      <c r="H4" s="163"/>
      <c r="I4" s="163"/>
      <c r="J4" s="163"/>
    </row>
    <row r="5" spans="1:10" hidden="1" x14ac:dyDescent="0.25">
      <c r="B5" s="159" t="s">
        <v>279</v>
      </c>
      <c r="D5" s="163">
        <f>+'RS 0617'!D7</f>
        <v>1526770.77</v>
      </c>
      <c r="E5" s="163">
        <f>D9</f>
        <v>816257.51</v>
      </c>
      <c r="F5" s="163">
        <f t="shared" ref="F5:J5" si="1">E9</f>
        <v>1720681.51</v>
      </c>
      <c r="G5" s="163">
        <f t="shared" si="1"/>
        <v>158240.2799999998</v>
      </c>
      <c r="H5" s="163">
        <f t="shared" si="1"/>
        <v>608240.2799999998</v>
      </c>
      <c r="I5" s="163">
        <f t="shared" si="1"/>
        <v>0</v>
      </c>
      <c r="J5" s="163">
        <f t="shared" si="1"/>
        <v>100000</v>
      </c>
    </row>
    <row r="6" spans="1:10" hidden="1" x14ac:dyDescent="0.25">
      <c r="C6" s="160" t="s">
        <v>280</v>
      </c>
      <c r="D6" s="163">
        <v>450000</v>
      </c>
      <c r="E6" s="163">
        <f>D6</f>
        <v>450000</v>
      </c>
      <c r="F6" s="163">
        <f t="shared" ref="F6:J6" si="2">E6</f>
        <v>450000</v>
      </c>
      <c r="G6" s="163">
        <f t="shared" si="2"/>
        <v>450000</v>
      </c>
      <c r="H6" s="163">
        <f t="shared" si="2"/>
        <v>450000</v>
      </c>
      <c r="I6" s="163">
        <f t="shared" si="2"/>
        <v>450000</v>
      </c>
      <c r="J6" s="163">
        <f t="shared" si="2"/>
        <v>450000</v>
      </c>
    </row>
    <row r="7" spans="1:10" hidden="1" x14ac:dyDescent="0.25">
      <c r="C7" s="164" t="s">
        <v>281</v>
      </c>
      <c r="D7" s="165">
        <f>+'RS 0617'!D10</f>
        <v>807000</v>
      </c>
      <c r="E7" s="165">
        <f>+'RS 0617'!H10</f>
        <v>803000</v>
      </c>
      <c r="F7" s="165">
        <v>991315.92</v>
      </c>
      <c r="G7" s="165">
        <v>0</v>
      </c>
      <c r="H7" s="165">
        <v>0</v>
      </c>
      <c r="I7" s="165">
        <v>0</v>
      </c>
      <c r="J7" s="165">
        <v>819212</v>
      </c>
    </row>
    <row r="8" spans="1:10" s="166" customFormat="1" hidden="1" x14ac:dyDescent="0.25">
      <c r="C8" s="167" t="s">
        <v>282</v>
      </c>
      <c r="D8" s="168">
        <f>-'RS 0617'!D85</f>
        <v>-1967513.26</v>
      </c>
      <c r="E8" s="168">
        <f>-'RS 0617'!H85</f>
        <v>-348576</v>
      </c>
      <c r="F8" s="168">
        <f>-F32-F14</f>
        <v>-3003757.15</v>
      </c>
      <c r="G8" s="168">
        <v>0</v>
      </c>
      <c r="H8" s="168">
        <f t="shared" ref="H8:J8" si="3">IF(H32&gt;H6,-H6-H7-H5,-H32)</f>
        <v>-1058240.2799999998</v>
      </c>
      <c r="I8" s="168">
        <f t="shared" si="3"/>
        <v>-350000</v>
      </c>
      <c r="J8" s="168">
        <f t="shared" si="3"/>
        <v>-1369212</v>
      </c>
    </row>
    <row r="9" spans="1:10" hidden="1" x14ac:dyDescent="0.25">
      <c r="B9" s="159" t="s">
        <v>283</v>
      </c>
      <c r="D9" s="163">
        <f>SUM(D5:D8)</f>
        <v>816257.51</v>
      </c>
      <c r="E9" s="163">
        <f>SUM(E5:E8)</f>
        <v>1720681.51</v>
      </c>
      <c r="F9" s="163">
        <f t="shared" ref="F9:J9" si="4">SUM(F5:F8)</f>
        <v>158240.2799999998</v>
      </c>
      <c r="G9" s="163">
        <f t="shared" si="4"/>
        <v>608240.2799999998</v>
      </c>
      <c r="H9" s="163">
        <f t="shared" si="4"/>
        <v>0</v>
      </c>
      <c r="I9" s="163">
        <f t="shared" si="4"/>
        <v>100000</v>
      </c>
      <c r="J9" s="163">
        <f t="shared" si="4"/>
        <v>0</v>
      </c>
    </row>
    <row r="10" spans="1:10" hidden="1" x14ac:dyDescent="0.25">
      <c r="D10" s="163"/>
      <c r="E10" s="163"/>
      <c r="F10" s="163"/>
      <c r="G10" s="163"/>
      <c r="H10" s="163"/>
      <c r="I10" s="163"/>
      <c r="J10" s="163"/>
    </row>
    <row r="11" spans="1:10" hidden="1" x14ac:dyDescent="0.25">
      <c r="A11" s="158" t="s">
        <v>284</v>
      </c>
      <c r="F11" s="163"/>
      <c r="G11" s="163"/>
      <c r="H11" s="163"/>
      <c r="I11" s="163"/>
      <c r="J11" s="163"/>
    </row>
    <row r="12" spans="1:10" hidden="1" x14ac:dyDescent="0.25">
      <c r="B12" s="159" t="s">
        <v>279</v>
      </c>
      <c r="D12" s="163">
        <f>+'RS 6300'!D7</f>
        <v>1626106.08</v>
      </c>
      <c r="E12" s="163">
        <f>D15</f>
        <v>1379641.85</v>
      </c>
      <c r="F12" s="163">
        <f t="shared" ref="F12:J12" si="5">E15</f>
        <v>1375795.85</v>
      </c>
      <c r="G12" s="163">
        <f t="shared" si="5"/>
        <v>0</v>
      </c>
      <c r="H12" s="163">
        <f t="shared" si="5"/>
        <v>29967</v>
      </c>
      <c r="I12" s="163">
        <f t="shared" si="5"/>
        <v>728319.2799999998</v>
      </c>
      <c r="J12" s="163">
        <f t="shared" si="5"/>
        <v>1118431.2799999998</v>
      </c>
    </row>
    <row r="13" spans="1:10" hidden="1" x14ac:dyDescent="0.25">
      <c r="C13" s="160" t="s">
        <v>52</v>
      </c>
      <c r="D13" s="163">
        <f>+'RS 6300'!D9</f>
        <v>393579.91</v>
      </c>
      <c r="E13" s="163">
        <f>+'RS 6300'!H9</f>
        <v>408994</v>
      </c>
      <c r="F13" s="163">
        <f>+'RS 6300'!L9</f>
        <v>370447</v>
      </c>
      <c r="G13" s="163">
        <f>+'RS 6300'!P9</f>
        <v>379967</v>
      </c>
      <c r="H13" s="163">
        <f>+'RS 6300'!T9</f>
        <v>390112</v>
      </c>
      <c r="I13" s="163">
        <f t="shared" ref="I13:J13" si="6">H13</f>
        <v>390112</v>
      </c>
      <c r="J13" s="163">
        <f t="shared" si="6"/>
        <v>390112</v>
      </c>
    </row>
    <row r="14" spans="1:10" s="166" customFormat="1" hidden="1" x14ac:dyDescent="0.25">
      <c r="C14" s="167" t="s">
        <v>282</v>
      </c>
      <c r="D14" s="168">
        <f>-'RS 6300'!D62</f>
        <v>-640044.14</v>
      </c>
      <c r="E14" s="168">
        <f>-'RS 6300'!H62</f>
        <v>-412840</v>
      </c>
      <c r="F14" s="168">
        <f>-F12-F13</f>
        <v>-1746242.85</v>
      </c>
      <c r="G14" s="168">
        <f t="shared" ref="G14:J14" si="7">-G32-G8</f>
        <v>-350000</v>
      </c>
      <c r="H14" s="168">
        <f t="shared" si="7"/>
        <v>308240.2799999998</v>
      </c>
      <c r="I14" s="168">
        <f t="shared" si="7"/>
        <v>0</v>
      </c>
      <c r="J14" s="168">
        <f t="shared" si="7"/>
        <v>-1180788</v>
      </c>
    </row>
    <row r="15" spans="1:10" hidden="1" x14ac:dyDescent="0.25">
      <c r="B15" s="159" t="s">
        <v>283</v>
      </c>
      <c r="D15" s="169">
        <f>SUM(D12:D14)</f>
        <v>1379641.85</v>
      </c>
      <c r="E15" s="169">
        <f>SUM(E12:E14)</f>
        <v>1375795.85</v>
      </c>
      <c r="F15" s="169">
        <f t="shared" ref="F15" si="8">SUM(F12:F14)</f>
        <v>0</v>
      </c>
      <c r="G15" s="169">
        <f>SUM(G12:G14)</f>
        <v>29967</v>
      </c>
      <c r="H15" s="169">
        <f t="shared" ref="H15:J15" si="9">SUM(H12:H14)</f>
        <v>728319.2799999998</v>
      </c>
      <c r="I15" s="169">
        <f t="shared" si="9"/>
        <v>1118431.2799999998</v>
      </c>
      <c r="J15" s="169">
        <f t="shared" si="9"/>
        <v>327755.2799999998</v>
      </c>
    </row>
    <row r="16" spans="1:10" hidden="1" x14ac:dyDescent="0.25">
      <c r="D16" s="159"/>
      <c r="E16" s="163"/>
      <c r="F16" s="163"/>
      <c r="G16" s="163"/>
      <c r="H16" s="163"/>
      <c r="I16" s="163"/>
      <c r="J16" s="163"/>
    </row>
    <row r="17" spans="1:10" s="171" customFormat="1" ht="11.25" hidden="1" x14ac:dyDescent="0.2">
      <c r="A17" s="170"/>
      <c r="C17" s="172" t="s">
        <v>285</v>
      </c>
      <c r="D17" s="173">
        <f>+D9+D15</f>
        <v>2195899.3600000003</v>
      </c>
      <c r="E17" s="173">
        <f>+E9+E15</f>
        <v>3096477.3600000003</v>
      </c>
      <c r="F17" s="173">
        <f>+F9+F15</f>
        <v>158240.2799999998</v>
      </c>
      <c r="G17" s="173">
        <f>+G9+G15</f>
        <v>638207.2799999998</v>
      </c>
      <c r="H17" s="173">
        <f t="shared" ref="H17:J17" si="10">+H9+H15</f>
        <v>728319.2799999998</v>
      </c>
      <c r="I17" s="173">
        <f t="shared" si="10"/>
        <v>1218431.2799999998</v>
      </c>
      <c r="J17" s="173">
        <f t="shared" si="10"/>
        <v>327755.2799999998</v>
      </c>
    </row>
    <row r="18" spans="1:10" s="171" customFormat="1" ht="11.25" x14ac:dyDescent="0.2">
      <c r="A18" s="170"/>
      <c r="C18" s="172"/>
      <c r="D18" s="173"/>
      <c r="E18" s="173"/>
      <c r="F18" s="173"/>
      <c r="G18" s="173"/>
      <c r="H18" s="173"/>
      <c r="I18" s="173"/>
      <c r="J18" s="173"/>
    </row>
    <row r="19" spans="1:10" ht="15.75" thickBot="1" x14ac:dyDescent="0.3">
      <c r="D19" s="163"/>
      <c r="E19" s="163"/>
      <c r="F19" s="163"/>
      <c r="G19" s="163"/>
      <c r="H19" s="163"/>
      <c r="I19" s="163"/>
      <c r="J19" s="163"/>
    </row>
    <row r="20" spans="1:10" s="158" customFormat="1" ht="15.75" thickTop="1" x14ac:dyDescent="0.25">
      <c r="A20" s="2127"/>
      <c r="B20" s="2128"/>
      <c r="C20" s="2129"/>
      <c r="D20" s="2130" t="s">
        <v>286</v>
      </c>
      <c r="E20" s="2130" t="s">
        <v>287</v>
      </c>
      <c r="F20" s="2131" t="s">
        <v>288</v>
      </c>
      <c r="G20" s="2131" t="s">
        <v>289</v>
      </c>
      <c r="H20" s="2131" t="s">
        <v>290</v>
      </c>
      <c r="I20" s="2132" t="s">
        <v>291</v>
      </c>
      <c r="J20" s="2133" t="s">
        <v>292</v>
      </c>
    </row>
    <row r="21" spans="1:10" x14ac:dyDescent="0.25">
      <c r="A21" s="2134" t="s">
        <v>293</v>
      </c>
      <c r="B21" s="174"/>
      <c r="C21" s="2119"/>
      <c r="D21" s="2115"/>
      <c r="E21" s="2115">
        <v>350000</v>
      </c>
      <c r="F21" s="2113">
        <v>350000</v>
      </c>
      <c r="G21" s="2109">
        <v>350000</v>
      </c>
      <c r="H21" s="2111">
        <v>350000</v>
      </c>
      <c r="I21" s="2117">
        <v>350000</v>
      </c>
      <c r="J21" s="2135">
        <v>350000</v>
      </c>
    </row>
    <row r="22" spans="1:10" x14ac:dyDescent="0.25">
      <c r="A22" s="2136"/>
      <c r="B22" s="2120"/>
      <c r="C22" s="2121"/>
      <c r="D22" s="2151"/>
      <c r="E22" s="2151"/>
      <c r="F22" s="2152"/>
      <c r="G22" s="2152"/>
      <c r="H22" s="2152"/>
      <c r="I22" s="2153"/>
      <c r="J22" s="2154"/>
    </row>
    <row r="23" spans="1:10" x14ac:dyDescent="0.25">
      <c r="A23" s="2137" t="s">
        <v>294</v>
      </c>
      <c r="B23" s="2122"/>
      <c r="C23" s="2138"/>
      <c r="D23" s="2155"/>
      <c r="E23" s="2155"/>
      <c r="F23" s="2156"/>
      <c r="G23" s="2156"/>
      <c r="H23" s="2156"/>
      <c r="I23" s="2155"/>
      <c r="J23" s="2157"/>
    </row>
    <row r="24" spans="1:10" x14ac:dyDescent="0.25">
      <c r="A24" s="2139" t="s">
        <v>295</v>
      </c>
      <c r="B24" s="2123"/>
      <c r="C24" s="2124"/>
      <c r="D24" s="2118">
        <v>0</v>
      </c>
      <c r="E24" s="2116">
        <v>0</v>
      </c>
      <c r="F24" s="2114">
        <v>0</v>
      </c>
      <c r="G24" s="2110">
        <v>0</v>
      </c>
      <c r="H24" s="2112">
        <v>0</v>
      </c>
      <c r="I24" s="2116">
        <v>0</v>
      </c>
      <c r="J24" s="2140">
        <v>2000000</v>
      </c>
    </row>
    <row r="25" spans="1:10" x14ac:dyDescent="0.25">
      <c r="A25" s="2139" t="s">
        <v>296</v>
      </c>
      <c r="B25" s="2123"/>
      <c r="C25" s="2124"/>
      <c r="D25" s="2118">
        <v>2631028.77</v>
      </c>
      <c r="E25" s="2116">
        <v>0</v>
      </c>
      <c r="F25" s="2114">
        <v>0</v>
      </c>
      <c r="G25" s="2110">
        <v>0</v>
      </c>
      <c r="H25" s="2112">
        <v>0</v>
      </c>
      <c r="I25" s="2116">
        <v>0</v>
      </c>
      <c r="J25" s="2140">
        <v>0</v>
      </c>
    </row>
    <row r="26" spans="1:10" x14ac:dyDescent="0.25">
      <c r="A26" s="2141" t="s">
        <v>297</v>
      </c>
      <c r="B26" s="2125"/>
      <c r="C26" s="2126"/>
      <c r="D26" s="2118">
        <v>0</v>
      </c>
      <c r="E26" s="2116">
        <v>0</v>
      </c>
      <c r="F26" s="2114">
        <v>1200000</v>
      </c>
      <c r="G26" s="2110">
        <v>0</v>
      </c>
      <c r="H26" s="2112">
        <v>0</v>
      </c>
      <c r="I26" s="2116">
        <v>0</v>
      </c>
      <c r="J26" s="2140">
        <v>0</v>
      </c>
    </row>
    <row r="27" spans="1:10" x14ac:dyDescent="0.25">
      <c r="A27" s="2139" t="s">
        <v>298</v>
      </c>
      <c r="B27" s="2123"/>
      <c r="C27" s="2124"/>
      <c r="D27" s="2118">
        <v>0</v>
      </c>
      <c r="E27" s="2116">
        <v>0</v>
      </c>
      <c r="F27" s="2114">
        <v>3200000</v>
      </c>
      <c r="G27" s="2110">
        <v>0</v>
      </c>
      <c r="H27" s="2112">
        <v>0</v>
      </c>
      <c r="I27" s="2116">
        <v>0</v>
      </c>
      <c r="J27" s="2140">
        <v>0</v>
      </c>
    </row>
    <row r="28" spans="1:10" x14ac:dyDescent="0.25">
      <c r="A28" s="2141" t="s">
        <v>299</v>
      </c>
      <c r="B28" s="2125"/>
      <c r="C28" s="2126"/>
      <c r="D28" s="2118">
        <v>0</v>
      </c>
      <c r="E28" s="2116">
        <v>0</v>
      </c>
      <c r="F28" s="2114">
        <v>0</v>
      </c>
      <c r="G28" s="2110">
        <v>0</v>
      </c>
      <c r="H28" s="2112">
        <v>400000</v>
      </c>
      <c r="I28" s="2116">
        <v>0</v>
      </c>
      <c r="J28" s="2140">
        <v>0</v>
      </c>
    </row>
    <row r="29" spans="1:10" x14ac:dyDescent="0.25">
      <c r="A29" s="2141" t="s">
        <v>300</v>
      </c>
      <c r="B29" s="2125"/>
      <c r="C29" s="2126"/>
      <c r="D29" s="2118">
        <v>0</v>
      </c>
      <c r="E29" s="2116">
        <v>0</v>
      </c>
      <c r="F29" s="2114">
        <v>0</v>
      </c>
      <c r="G29" s="2110">
        <v>0</v>
      </c>
      <c r="H29" s="2112">
        <v>0</v>
      </c>
      <c r="I29" s="2116">
        <v>0</v>
      </c>
      <c r="J29" s="2140">
        <v>200000</v>
      </c>
    </row>
    <row r="30" spans="1:10" x14ac:dyDescent="0.25">
      <c r="A30" s="2141" t="s">
        <v>301</v>
      </c>
      <c r="B30" s="2125"/>
      <c r="C30" s="2126"/>
      <c r="D30" s="2118">
        <v>0</v>
      </c>
      <c r="E30" s="2116">
        <v>0</v>
      </c>
      <c r="F30" s="2114">
        <v>0</v>
      </c>
      <c r="G30" s="2110">
        <v>0</v>
      </c>
      <c r="H30" s="2112">
        <v>0</v>
      </c>
      <c r="I30" s="2116">
        <v>0</v>
      </c>
      <c r="J30" s="2140">
        <v>0</v>
      </c>
    </row>
    <row r="31" spans="1:10" ht="15.75" thickBot="1" x14ac:dyDescent="0.3">
      <c r="A31" s="2142" t="s">
        <v>302</v>
      </c>
      <c r="B31" s="2143"/>
      <c r="C31" s="2144"/>
      <c r="D31" s="2145">
        <v>0</v>
      </c>
      <c r="E31" s="2146">
        <v>0</v>
      </c>
      <c r="F31" s="2147">
        <v>0</v>
      </c>
      <c r="G31" s="2148">
        <v>0</v>
      </c>
      <c r="H31" s="2149">
        <v>0</v>
      </c>
      <c r="I31" s="2146">
        <v>0</v>
      </c>
      <c r="J31" s="2150">
        <v>0</v>
      </c>
    </row>
    <row r="32" spans="1:10" ht="15.75" thickTop="1" x14ac:dyDescent="0.25">
      <c r="C32" s="2107" t="s">
        <v>118</v>
      </c>
      <c r="D32" s="2108">
        <f>SUM(D21:D31)</f>
        <v>2631028.77</v>
      </c>
      <c r="E32" s="2108">
        <f t="shared" ref="E32:J32" si="11">SUM(E21:E31)</f>
        <v>350000</v>
      </c>
      <c r="F32" s="2108">
        <f t="shared" si="11"/>
        <v>4750000</v>
      </c>
      <c r="G32" s="2108">
        <f t="shared" si="11"/>
        <v>350000</v>
      </c>
      <c r="H32" s="2108">
        <f t="shared" si="11"/>
        <v>750000</v>
      </c>
      <c r="I32" s="2108">
        <f t="shared" si="11"/>
        <v>350000</v>
      </c>
      <c r="J32" s="2108">
        <f t="shared" si="11"/>
        <v>2550000</v>
      </c>
    </row>
    <row r="33" spans="1:10" x14ac:dyDescent="0.25">
      <c r="D33" s="159"/>
      <c r="E33" s="159"/>
      <c r="F33" s="159"/>
      <c r="G33" s="159"/>
      <c r="H33" s="159"/>
      <c r="I33" s="159"/>
      <c r="J33" s="159"/>
    </row>
    <row r="34" spans="1:10" x14ac:dyDescent="0.25">
      <c r="D34" s="163"/>
      <c r="E34" s="163"/>
      <c r="F34" s="163"/>
      <c r="G34" s="163"/>
      <c r="H34" s="163"/>
      <c r="I34" s="163"/>
      <c r="J34" s="163"/>
    </row>
    <row r="35" spans="1:10" s="171" customFormat="1" ht="11.25" hidden="1" x14ac:dyDescent="0.2">
      <c r="A35" s="170"/>
      <c r="C35" s="175" t="s">
        <v>285</v>
      </c>
      <c r="D35" s="173">
        <f>-D8-D14</f>
        <v>2607557.4</v>
      </c>
      <c r="E35" s="173">
        <f>-E8-E14</f>
        <v>761416</v>
      </c>
      <c r="F35" s="173">
        <f t="shared" ref="F35:J35" si="12">-F8-F14</f>
        <v>4750000</v>
      </c>
      <c r="G35" s="173">
        <f t="shared" si="12"/>
        <v>350000</v>
      </c>
      <c r="H35" s="173">
        <f t="shared" si="12"/>
        <v>750000</v>
      </c>
      <c r="I35" s="173">
        <f t="shared" si="12"/>
        <v>350000</v>
      </c>
      <c r="J35" s="173">
        <f t="shared" si="12"/>
        <v>2550000</v>
      </c>
    </row>
    <row r="36" spans="1:10" hidden="1" x14ac:dyDescent="0.25">
      <c r="D36" s="163">
        <f>+D32-D35</f>
        <v>23471.370000000112</v>
      </c>
      <c r="E36" s="163">
        <f t="shared" ref="E36:J36" si="13">+E32-E35</f>
        <v>-411416</v>
      </c>
      <c r="F36" s="163">
        <f t="shared" si="13"/>
        <v>0</v>
      </c>
      <c r="G36" s="163">
        <f t="shared" si="13"/>
        <v>0</v>
      </c>
      <c r="H36" s="163">
        <f t="shared" si="13"/>
        <v>0</v>
      </c>
      <c r="I36" s="163">
        <f t="shared" si="13"/>
        <v>0</v>
      </c>
      <c r="J36" s="163">
        <f t="shared" si="13"/>
        <v>0</v>
      </c>
    </row>
    <row r="37" spans="1:10" hidden="1" x14ac:dyDescent="0.25">
      <c r="D37" s="163"/>
      <c r="E37" s="163"/>
      <c r="F37" s="163"/>
      <c r="G37" s="163"/>
      <c r="H37" s="163"/>
      <c r="I37" s="163"/>
      <c r="J37" s="163"/>
    </row>
    <row r="38" spans="1:10" hidden="1" x14ac:dyDescent="0.25">
      <c r="D38" s="163"/>
      <c r="E38" s="163"/>
      <c r="F38" s="163"/>
      <c r="G38" s="163"/>
      <c r="H38" s="163"/>
      <c r="I38" s="163"/>
      <c r="J38" s="163"/>
    </row>
    <row r="39" spans="1:10" x14ac:dyDescent="0.25">
      <c r="D39" s="163"/>
      <c r="E39" s="163"/>
      <c r="F39" s="163"/>
      <c r="G39" s="163"/>
      <c r="H39" s="163"/>
      <c r="I39" s="163"/>
      <c r="J39" s="163"/>
    </row>
    <row r="40" spans="1:10" x14ac:dyDescent="0.25">
      <c r="D40" s="163"/>
      <c r="E40" s="163"/>
      <c r="F40" s="163"/>
      <c r="G40" s="163"/>
      <c r="H40" s="163"/>
      <c r="I40" s="163"/>
      <c r="J40" s="163"/>
    </row>
    <row r="41" spans="1:10" x14ac:dyDescent="0.25">
      <c r="D41" s="163"/>
      <c r="E41" s="163"/>
      <c r="F41" s="163"/>
      <c r="G41" s="163"/>
      <c r="H41" s="163"/>
      <c r="I41" s="163"/>
      <c r="J41" s="163"/>
    </row>
    <row r="42" spans="1:10" x14ac:dyDescent="0.25">
      <c r="D42" s="163"/>
      <c r="E42" s="163"/>
      <c r="F42" s="163"/>
      <c r="G42" s="163"/>
      <c r="H42" s="163"/>
      <c r="I42" s="163"/>
      <c r="J42" s="163"/>
    </row>
    <row r="43" spans="1:10" x14ac:dyDescent="0.25">
      <c r="D43" s="163"/>
      <c r="E43" s="163"/>
      <c r="F43" s="163"/>
      <c r="G43" s="163"/>
      <c r="H43" s="163"/>
      <c r="I43" s="163"/>
      <c r="J43" s="163"/>
    </row>
    <row r="44" spans="1:10" x14ac:dyDescent="0.25">
      <c r="D44" s="163"/>
      <c r="E44" s="163"/>
      <c r="F44" s="163"/>
      <c r="G44" s="163"/>
      <c r="H44" s="163"/>
      <c r="I44" s="163"/>
      <c r="J44" s="163"/>
    </row>
    <row r="45" spans="1:10" x14ac:dyDescent="0.25">
      <c r="D45" s="163"/>
      <c r="E45" s="163"/>
      <c r="F45" s="163"/>
      <c r="G45" s="163"/>
      <c r="H45" s="163"/>
      <c r="I45" s="163"/>
      <c r="J45" s="163"/>
    </row>
  </sheetData>
  <pageMargins left="0.25" right="0.25" top="0.75" bottom="0.75" header="0.3" footer="0.3"/>
  <pageSetup scale="91" orientation="landscape" horizontalDpi="300" verticalDpi="300" r:id="rId1"/>
  <headerFooter>
    <oddHeader>&amp;L&amp;F</oddHeader>
    <oddFooter>&amp;R&amp;A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C248"/>
  <sheetViews>
    <sheetView zoomScaleNormal="100" workbookViewId="0">
      <pane xSplit="3" ySplit="6" topLeftCell="H7" activePane="bottomRight" state="frozen"/>
      <selection activeCell="H7" sqref="H7"/>
      <selection pane="topRight" activeCell="H7" sqref="H7"/>
      <selection pane="bottomLeft" activeCell="H7" sqref="H7"/>
      <selection pane="bottomRight" activeCell="H7" sqref="H7"/>
    </sheetView>
  </sheetViews>
  <sheetFormatPr defaultRowHeight="15" x14ac:dyDescent="0.25"/>
  <cols>
    <col min="1" max="1" width="2.42578125" style="108" customWidth="1"/>
    <col min="2" max="2" width="8.5703125" style="2159" customWidth="1"/>
    <col min="3" max="3" width="51.42578125" style="848" bestFit="1" customWidth="1"/>
    <col min="4" max="4" width="16" style="2" hidden="1" customWidth="1"/>
    <col min="5" max="5" width="23.28515625" style="848" hidden="1" customWidth="1"/>
    <col min="6" max="6" width="6" style="2" hidden="1" customWidth="1"/>
    <col min="7" max="7" width="10.7109375" style="52" hidden="1" customWidth="1"/>
    <col min="8" max="8" width="17.85546875" style="121" bestFit="1" customWidth="1"/>
    <col min="9" max="9" width="26" style="856" hidden="1" customWidth="1"/>
    <col min="10" max="10" width="5.7109375" style="66" hidden="1" customWidth="1"/>
    <col min="11" max="11" width="9.85546875" style="333" hidden="1" customWidth="1"/>
    <col min="12" max="12" width="15.42578125" style="122" bestFit="1" customWidth="1"/>
    <col min="13" max="13" width="26.140625" style="957" hidden="1" customWidth="1"/>
    <col min="14" max="14" width="5.7109375" style="2" hidden="1" customWidth="1"/>
    <col min="15" max="15" width="9.5703125" style="333" hidden="1" customWidth="1"/>
    <col min="16" max="16" width="15.42578125" style="2" bestFit="1" customWidth="1"/>
    <col min="17" max="17" width="25" style="957" hidden="1" customWidth="1"/>
    <col min="18" max="18" width="5.28515625" style="36" hidden="1" customWidth="1"/>
    <col min="19" max="19" width="9.42578125" style="338" hidden="1" customWidth="1"/>
    <col min="20" max="20" width="15" style="2" bestFit="1" customWidth="1"/>
    <col min="21" max="21" width="24.85546875" style="2" hidden="1" customWidth="1"/>
    <col min="22" max="22" width="5.7109375" style="280" customWidth="1"/>
    <col min="23" max="23" width="9.42578125" style="2244" hidden="1" customWidth="1"/>
    <col min="24" max="24" width="14" style="2" hidden="1" customWidth="1"/>
    <col min="25" max="25" width="24.85546875" style="2" hidden="1" customWidth="1"/>
    <col min="26" max="26" width="5.7109375" style="2" hidden="1" customWidth="1"/>
    <col min="27" max="27" width="9.42578125" style="333" hidden="1" customWidth="1"/>
    <col min="28" max="28" width="14" style="2" hidden="1" customWidth="1"/>
    <col min="29" max="29" width="24.85546875" style="2" hidden="1" customWidth="1"/>
    <col min="30" max="16384" width="9.140625" style="2"/>
  </cols>
  <sheetData>
    <row r="1" spans="1:29" x14ac:dyDescent="0.25">
      <c r="B1" s="2159" t="s">
        <v>61</v>
      </c>
      <c r="C1" s="873" t="s">
        <v>990</v>
      </c>
      <c r="D1" s="97">
        <v>0</v>
      </c>
      <c r="E1" s="904"/>
      <c r="F1" s="121"/>
      <c r="G1" s="325"/>
      <c r="H1" s="934"/>
      <c r="I1" s="904"/>
      <c r="L1" s="121"/>
      <c r="M1" s="904"/>
      <c r="P1" s="121"/>
      <c r="Q1" s="904"/>
      <c r="T1" s="121"/>
      <c r="U1" s="121"/>
      <c r="X1" s="121">
        <v>0</v>
      </c>
      <c r="Y1" s="121"/>
      <c r="AB1" s="121">
        <v>0</v>
      </c>
      <c r="AC1" s="121"/>
    </row>
    <row r="2" spans="1:29" ht="17.25" x14ac:dyDescent="0.4">
      <c r="B2" s="2160" t="s">
        <v>59</v>
      </c>
      <c r="C2" s="1863" t="s">
        <v>991</v>
      </c>
      <c r="D2" s="99">
        <v>0</v>
      </c>
      <c r="E2" s="904"/>
      <c r="F2" s="121"/>
      <c r="G2" s="326"/>
      <c r="H2" s="934"/>
      <c r="I2" s="904"/>
      <c r="L2" s="87"/>
      <c r="M2" s="904"/>
      <c r="P2" s="87"/>
      <c r="Q2" s="904"/>
      <c r="T2" s="87"/>
      <c r="U2" s="121"/>
      <c r="X2" s="87">
        <v>0</v>
      </c>
      <c r="Y2" s="121"/>
      <c r="AB2" s="87">
        <v>0</v>
      </c>
      <c r="AC2" s="121"/>
    </row>
    <row r="3" spans="1:29" x14ac:dyDescent="0.25">
      <c r="C3" s="1690"/>
      <c r="D3" s="281">
        <f>+SUM(D1:D2)</f>
        <v>0</v>
      </c>
      <c r="E3" s="905"/>
      <c r="F3" s="99"/>
      <c r="G3" s="83"/>
      <c r="H3" s="934"/>
      <c r="I3" s="913"/>
      <c r="L3" s="121"/>
      <c r="M3" s="956"/>
      <c r="P3" s="121"/>
      <c r="Q3" s="956"/>
      <c r="T3" s="121"/>
      <c r="U3" s="36"/>
      <c r="X3" s="121">
        <f>SUM(X1:X2)</f>
        <v>0</v>
      </c>
      <c r="Y3" s="36"/>
      <c r="AB3" s="121">
        <f>SUM(AB1:AB2)</f>
        <v>0</v>
      </c>
      <c r="AC3" s="36"/>
    </row>
    <row r="4" spans="1:29" x14ac:dyDescent="0.25">
      <c r="L4" s="121"/>
      <c r="M4" s="956"/>
      <c r="P4" s="121"/>
      <c r="Q4" s="30"/>
      <c r="T4" s="121"/>
      <c r="U4" s="36"/>
      <c r="X4" s="121"/>
      <c r="Y4" s="36"/>
      <c r="AB4" s="121"/>
      <c r="AC4" s="36"/>
    </row>
    <row r="5" spans="1:29" ht="15.75" x14ac:dyDescent="0.25">
      <c r="B5" s="2161" t="s">
        <v>56</v>
      </c>
      <c r="P5" s="122"/>
      <c r="T5" s="122"/>
      <c r="X5" s="122"/>
      <c r="AB5" s="122"/>
    </row>
    <row r="6" spans="1:29" s="242" customFormat="1" ht="15.75" x14ac:dyDescent="0.25">
      <c r="A6" s="241"/>
      <c r="B6" s="2162"/>
      <c r="C6" s="909"/>
      <c r="D6" s="243" t="s">
        <v>55</v>
      </c>
      <c r="E6" s="906"/>
      <c r="G6" s="327"/>
      <c r="H6" s="282" t="str">
        <f>LEFT(D6,4)+1&amp;"-"&amp;RIGHT(D6,4)+1</f>
        <v>2017-2018</v>
      </c>
      <c r="I6" s="914"/>
      <c r="J6" s="283"/>
      <c r="K6" s="334"/>
      <c r="L6" s="123" t="str">
        <f>LEFT(H6,4)+1&amp;"-"&amp;RIGHT(H6,4)+1</f>
        <v>2018-2019</v>
      </c>
      <c r="M6" s="958"/>
      <c r="N6" s="284"/>
      <c r="O6" s="337"/>
      <c r="P6" s="123" t="str">
        <f>LEFT(L6,4)+1&amp;"-"&amp;RIGHT(L6,4)+1</f>
        <v>2019-2020</v>
      </c>
      <c r="Q6" s="958"/>
      <c r="R6" s="2236"/>
      <c r="S6" s="2242"/>
      <c r="T6" s="123" t="str">
        <f>LEFT(P6,4)+1&amp;"-"&amp;RIGHT(P6,4)+1</f>
        <v>2020-2021</v>
      </c>
      <c r="U6" s="123"/>
      <c r="V6" s="285"/>
      <c r="W6" s="2245"/>
      <c r="X6" s="123" t="str">
        <f>LEFT(T6,4)+1&amp;"-"&amp;RIGHT(T6,4)+1</f>
        <v>2021-2022</v>
      </c>
      <c r="Y6" s="123"/>
      <c r="Z6" s="284"/>
      <c r="AA6" s="337"/>
      <c r="AB6" s="123" t="str">
        <f>LEFT(X6,4)+1&amp;"-"&amp;RIGHT(X6,4)+1</f>
        <v>2022-2023</v>
      </c>
      <c r="AC6" s="123"/>
    </row>
    <row r="7" spans="1:29" s="340" customFormat="1" x14ac:dyDescent="0.25">
      <c r="B7" s="2511" t="s">
        <v>54</v>
      </c>
      <c r="C7" s="2386"/>
      <c r="D7" s="340">
        <v>8757347.3800000008</v>
      </c>
      <c r="E7" s="2386"/>
      <c r="G7" s="2338"/>
      <c r="H7" s="340">
        <v>7909279.4800000004</v>
      </c>
      <c r="I7" s="2386"/>
      <c r="J7" s="455"/>
      <c r="K7" s="1668"/>
      <c r="L7" s="340">
        <f>H211</f>
        <v>4207550.1900000013</v>
      </c>
      <c r="M7" s="2347"/>
      <c r="O7" s="1668"/>
      <c r="P7" s="340">
        <f>L211</f>
        <v>356980.19000000134</v>
      </c>
      <c r="Q7" s="2347"/>
      <c r="R7" s="455"/>
      <c r="S7" s="2341"/>
      <c r="T7" s="340">
        <f>P211</f>
        <v>-3532031.9899999984</v>
      </c>
      <c r="V7" s="2429"/>
      <c r="W7" s="2343"/>
      <c r="X7" s="340">
        <f>T211</f>
        <v>-7446898.4199999981</v>
      </c>
      <c r="AA7" s="1668"/>
      <c r="AB7" s="340" t="e">
        <f>X211</f>
        <v>#VALUE!</v>
      </c>
    </row>
    <row r="8" spans="1:29" s="340" customFormat="1" x14ac:dyDescent="0.25">
      <c r="B8" s="2512"/>
      <c r="C8" s="2386"/>
      <c r="E8" s="2386"/>
      <c r="G8" s="2338"/>
      <c r="I8" s="2386"/>
      <c r="J8" s="455"/>
      <c r="K8" s="1668"/>
      <c r="M8" s="2347"/>
      <c r="O8" s="1668"/>
      <c r="Q8" s="2347"/>
      <c r="R8" s="455"/>
      <c r="S8" s="2341"/>
      <c r="V8" s="2429"/>
      <c r="W8" s="2343"/>
      <c r="AA8" s="1668"/>
    </row>
    <row r="9" spans="1:29" s="340" customFormat="1" x14ac:dyDescent="0.25">
      <c r="B9" s="2512" t="s">
        <v>52</v>
      </c>
      <c r="C9" s="2386"/>
      <c r="E9" s="2386"/>
      <c r="G9" s="456"/>
      <c r="H9" s="833"/>
      <c r="I9" s="2386"/>
      <c r="J9" s="342"/>
      <c r="K9" s="456"/>
      <c r="L9" s="833"/>
      <c r="M9" s="2347"/>
      <c r="O9" s="456"/>
      <c r="P9" s="833"/>
      <c r="Q9" s="2347"/>
      <c r="R9" s="455"/>
      <c r="S9" s="456"/>
      <c r="T9" s="833"/>
      <c r="U9" s="2347"/>
      <c r="V9" s="2429"/>
      <c r="W9" s="2241" t="str">
        <f>IF(T9=0,"0.00%",(X9-T9)/T9)</f>
        <v>0.00%</v>
      </c>
      <c r="X9" s="833">
        <f>X3</f>
        <v>0</v>
      </c>
      <c r="AA9" s="456" t="str">
        <f>IF(X9=0,"0.00%",(AB9-X9)/X9)</f>
        <v>0.00%</v>
      </c>
      <c r="AB9" s="833">
        <f>AB3</f>
        <v>0</v>
      </c>
    </row>
    <row r="10" spans="1:29" s="340" customFormat="1" x14ac:dyDescent="0.25">
      <c r="B10" s="2427" t="s">
        <v>433</v>
      </c>
      <c r="C10" s="2386" t="s">
        <v>398</v>
      </c>
      <c r="D10" s="340">
        <v>58819034.850000001</v>
      </c>
      <c r="E10" s="2386"/>
      <c r="G10" s="456">
        <f t="shared" ref="G10:G27" si="0">IF(D10=0,"0.00%",(H10-D10)/D10)</f>
        <v>-4.6543070742005128E-3</v>
      </c>
      <c r="H10" s="833">
        <v>58545273</v>
      </c>
      <c r="I10" s="2477" t="s">
        <v>992</v>
      </c>
      <c r="J10" s="342"/>
      <c r="K10" s="456">
        <f t="shared" ref="K10:K29" si="1">IF(H10=0,"0.00%",(L10-H10)/H10)</f>
        <v>3.1261960295240233E-2</v>
      </c>
      <c r="L10" s="833">
        <v>60375513</v>
      </c>
      <c r="M10" s="2477" t="s">
        <v>992</v>
      </c>
      <c r="O10" s="456">
        <f t="shared" ref="O10:O29" si="2">IF(L10=0,"0.00%",(P10-L10)/L10)</f>
        <v>2.3474516895616273E-2</v>
      </c>
      <c r="P10" s="833">
        <f>70744051-100000-'RS 0653'!P9-'RS 0654'!P9-'RS 0655'!P9-'RS 0617'!P9</f>
        <v>61792799</v>
      </c>
      <c r="Q10" s="2477" t="s">
        <v>992</v>
      </c>
      <c r="R10" s="455"/>
      <c r="S10" s="456">
        <f t="shared" ref="S10:S25" si="3">IF(P10=0,"0.00%",(T10-P10)/P10)</f>
        <v>2.515296321178136E-2</v>
      </c>
      <c r="T10" s="833">
        <f>72202994-100000-'RS 0653'!T9-'RS 0654'!T9-'RS 0655'!T9-'RS 0617'!T9</f>
        <v>63347071</v>
      </c>
      <c r="U10" s="2477" t="s">
        <v>992</v>
      </c>
      <c r="V10" s="2429"/>
      <c r="W10" s="2241"/>
      <c r="X10" s="833"/>
      <c r="AA10" s="456"/>
      <c r="AB10" s="833"/>
    </row>
    <row r="11" spans="1:29" s="340" customFormat="1" ht="21.95" customHeight="1" x14ac:dyDescent="0.25">
      <c r="B11" s="2427">
        <v>8290</v>
      </c>
      <c r="C11" s="2386" t="s">
        <v>434</v>
      </c>
      <c r="D11" s="340">
        <v>100830.73</v>
      </c>
      <c r="E11" s="2386"/>
      <c r="G11" s="456">
        <f t="shared" si="0"/>
        <v>-1</v>
      </c>
      <c r="H11" s="833">
        <v>0</v>
      </c>
      <c r="I11" s="2428">
        <f>+H12+H13</f>
        <v>1378756</v>
      </c>
      <c r="J11" s="342"/>
      <c r="K11" s="456" t="str">
        <f t="shared" si="1"/>
        <v>0.00%</v>
      </c>
      <c r="L11" s="833">
        <v>0</v>
      </c>
      <c r="M11" s="2428">
        <f>+L12+L13</f>
        <v>2895354</v>
      </c>
      <c r="O11" s="456" t="str">
        <f t="shared" si="2"/>
        <v>0.00%</v>
      </c>
      <c r="P11" s="833">
        <v>0</v>
      </c>
      <c r="Q11" s="2428">
        <f>+P12+P13</f>
        <v>246662</v>
      </c>
      <c r="R11" s="455"/>
      <c r="S11" s="456" t="str">
        <f t="shared" si="3"/>
        <v>0.00%</v>
      </c>
      <c r="T11" s="833">
        <v>0</v>
      </c>
      <c r="U11" s="2428">
        <f>+T12+T13</f>
        <v>253248</v>
      </c>
      <c r="V11" s="2429"/>
      <c r="W11" s="2241"/>
      <c r="X11" s="833"/>
      <c r="AA11" s="456"/>
      <c r="AB11" s="833"/>
    </row>
    <row r="12" spans="1:29" s="340" customFormat="1" ht="21.95" customHeight="1" x14ac:dyDescent="0.25">
      <c r="B12" s="2427">
        <v>8550</v>
      </c>
      <c r="C12" s="2386" t="s">
        <v>435</v>
      </c>
      <c r="D12" s="340">
        <v>223536</v>
      </c>
      <c r="E12" s="2386" t="s">
        <v>454</v>
      </c>
      <c r="G12" s="456">
        <f t="shared" si="0"/>
        <v>5.3329217665163554E-2</v>
      </c>
      <c r="H12" s="833">
        <v>235457</v>
      </c>
      <c r="I12" s="2386" t="s">
        <v>946</v>
      </c>
      <c r="J12" s="342"/>
      <c r="K12" s="456">
        <f t="shared" si="1"/>
        <v>2.1341476362987721E-2</v>
      </c>
      <c r="L12" s="833">
        <f>ROUND(31.16*7717.65,0)</f>
        <v>240482</v>
      </c>
      <c r="M12" s="2347" t="s">
        <v>1087</v>
      </c>
      <c r="O12" s="456">
        <f t="shared" si="2"/>
        <v>2.5698389068620521E-2</v>
      </c>
      <c r="P12" s="833">
        <f>ROUND((31.16*(1+Q19))*7717.65,0)</f>
        <v>246662</v>
      </c>
      <c r="Q12" s="2347"/>
      <c r="R12" s="455"/>
      <c r="S12" s="456">
        <f t="shared" si="3"/>
        <v>2.6700505144691928E-2</v>
      </c>
      <c r="T12" s="833">
        <f>ROUND((31.16*(1+U19)*(1+Q19))*7717.65,0)</f>
        <v>253248</v>
      </c>
      <c r="U12" s="2347"/>
      <c r="V12" s="2429"/>
      <c r="W12" s="2241"/>
      <c r="X12" s="833"/>
      <c r="AA12" s="456"/>
      <c r="AB12" s="833"/>
    </row>
    <row r="13" spans="1:29" s="340" customFormat="1" x14ac:dyDescent="0.25">
      <c r="B13" s="2427">
        <v>8550</v>
      </c>
      <c r="C13" s="2386" t="s">
        <v>436</v>
      </c>
      <c r="D13" s="340">
        <v>1687542</v>
      </c>
      <c r="E13" s="2386" t="s">
        <v>453</v>
      </c>
      <c r="G13" s="456">
        <f t="shared" si="0"/>
        <v>-0.32250634354581992</v>
      </c>
      <c r="H13" s="833">
        <v>1143299</v>
      </c>
      <c r="I13" s="2347" t="s">
        <v>945</v>
      </c>
      <c r="J13" s="342"/>
      <c r="K13" s="456">
        <f t="shared" si="1"/>
        <v>1.3221152122060809</v>
      </c>
      <c r="L13" s="833">
        <f>ROUND(344*7717.65,0)</f>
        <v>2654872</v>
      </c>
      <c r="M13" s="2347" t="s">
        <v>1086</v>
      </c>
      <c r="O13" s="456">
        <f t="shared" si="2"/>
        <v>-1</v>
      </c>
      <c r="P13" s="833">
        <v>0</v>
      </c>
      <c r="Q13" s="2347"/>
      <c r="R13" s="455"/>
      <c r="S13" s="456" t="str">
        <f t="shared" si="3"/>
        <v>0.00%</v>
      </c>
      <c r="T13" s="833">
        <v>0</v>
      </c>
      <c r="U13" s="2347"/>
      <c r="V13" s="2429"/>
      <c r="W13" s="2241"/>
      <c r="X13" s="833"/>
      <c r="AA13" s="456"/>
      <c r="AB13" s="833"/>
    </row>
    <row r="14" spans="1:29" s="340" customFormat="1" x14ac:dyDescent="0.25">
      <c r="B14" s="2427">
        <v>8590</v>
      </c>
      <c r="C14" s="2386" t="s">
        <v>437</v>
      </c>
      <c r="D14" s="340">
        <v>10173.49</v>
      </c>
      <c r="E14" s="2386"/>
      <c r="G14" s="456">
        <f t="shared" si="0"/>
        <v>1.6869835228618697</v>
      </c>
      <c r="H14" s="833">
        <v>27336</v>
      </c>
      <c r="I14" s="2428">
        <f>+H12+H13+H14</f>
        <v>1406092</v>
      </c>
      <c r="J14" s="342"/>
      <c r="K14" s="456">
        <f t="shared" si="1"/>
        <v>-7.1919812701199889E-2</v>
      </c>
      <c r="L14" s="833">
        <v>25370</v>
      </c>
      <c r="M14" s="2428">
        <f>+L12+L13+L14</f>
        <v>2920724</v>
      </c>
      <c r="O14" s="456">
        <f t="shared" si="2"/>
        <v>0</v>
      </c>
      <c r="P14" s="833">
        <f>+L14</f>
        <v>25370</v>
      </c>
      <c r="Q14" s="2428">
        <f>+P12+P13+P14</f>
        <v>272032</v>
      </c>
      <c r="R14" s="455"/>
      <c r="S14" s="456">
        <f t="shared" si="3"/>
        <v>-1</v>
      </c>
      <c r="T14" s="833">
        <v>0</v>
      </c>
      <c r="U14" s="2428">
        <f>+T12+T13+T14</f>
        <v>253248</v>
      </c>
      <c r="V14" s="2429"/>
      <c r="W14" s="2241"/>
      <c r="X14" s="833"/>
      <c r="AA14" s="456"/>
      <c r="AB14" s="833"/>
    </row>
    <row r="15" spans="1:29" s="340" customFormat="1" ht="21.95" customHeight="1" x14ac:dyDescent="0.25">
      <c r="B15" s="2427" t="s">
        <v>447</v>
      </c>
      <c r="C15" s="2386" t="s">
        <v>451</v>
      </c>
      <c r="D15" s="340">
        <v>807000</v>
      </c>
      <c r="E15" s="2386"/>
      <c r="G15" s="456">
        <f t="shared" si="0"/>
        <v>-4.9566294919454771E-3</v>
      </c>
      <c r="H15" s="833">
        <v>803000</v>
      </c>
      <c r="I15" s="2430" t="s">
        <v>996</v>
      </c>
      <c r="J15" s="342"/>
      <c r="K15" s="456">
        <f t="shared" si="1"/>
        <v>-1</v>
      </c>
      <c r="L15" s="833">
        <v>0</v>
      </c>
      <c r="M15" s="2430" t="s">
        <v>996</v>
      </c>
      <c r="O15" s="456" t="str">
        <f t="shared" si="2"/>
        <v>0.00%</v>
      </c>
      <c r="P15" s="833">
        <v>0</v>
      </c>
      <c r="Q15" s="2430" t="s">
        <v>996</v>
      </c>
      <c r="R15" s="455"/>
      <c r="S15" s="456" t="str">
        <f t="shared" si="3"/>
        <v>0.00%</v>
      </c>
      <c r="T15" s="833">
        <v>0</v>
      </c>
      <c r="U15" s="2430" t="s">
        <v>996</v>
      </c>
      <c r="V15" s="2429"/>
      <c r="W15" s="2241"/>
      <c r="X15" s="833"/>
      <c r="AA15" s="456"/>
      <c r="AB15" s="833"/>
    </row>
    <row r="16" spans="1:29" s="340" customFormat="1" x14ac:dyDescent="0.25">
      <c r="B16" s="2427">
        <v>8699</v>
      </c>
      <c r="C16" s="2386" t="s">
        <v>450</v>
      </c>
      <c r="E16" s="2386"/>
      <c r="G16" s="456" t="str">
        <f t="shared" si="0"/>
        <v>0.00%</v>
      </c>
      <c r="H16" s="833">
        <v>0</v>
      </c>
      <c r="I16" s="2386"/>
      <c r="J16" s="342"/>
      <c r="K16" s="456" t="str">
        <f t="shared" si="1"/>
        <v>0.00%</v>
      </c>
      <c r="L16" s="833">
        <v>0</v>
      </c>
      <c r="M16" s="2347"/>
      <c r="O16" s="456" t="str">
        <f t="shared" si="2"/>
        <v>0.00%</v>
      </c>
      <c r="P16" s="833">
        <v>0</v>
      </c>
      <c r="Q16" s="2347"/>
      <c r="R16" s="455"/>
      <c r="S16" s="456" t="str">
        <f t="shared" si="3"/>
        <v>0.00%</v>
      </c>
      <c r="T16" s="833">
        <v>0</v>
      </c>
      <c r="U16" s="2347"/>
      <c r="V16" s="2429"/>
      <c r="W16" s="2241"/>
      <c r="X16" s="833"/>
      <c r="AA16" s="456"/>
      <c r="AB16" s="833"/>
    </row>
    <row r="17" spans="2:28" s="340" customFormat="1" x14ac:dyDescent="0.25">
      <c r="B17" s="2427" t="s">
        <v>447</v>
      </c>
      <c r="C17" s="2386" t="s">
        <v>449</v>
      </c>
      <c r="E17" s="2386"/>
      <c r="G17" s="456" t="str">
        <f t="shared" si="0"/>
        <v>0.00%</v>
      </c>
      <c r="H17" s="2423"/>
      <c r="I17" s="2386"/>
      <c r="J17" s="342"/>
      <c r="K17" s="456" t="str">
        <f t="shared" si="1"/>
        <v>0.00%</v>
      </c>
      <c r="L17" s="2423">
        <v>10000</v>
      </c>
      <c r="M17" s="2347"/>
      <c r="O17" s="456">
        <f t="shared" si="2"/>
        <v>0</v>
      </c>
      <c r="P17" s="2423">
        <f>+L17</f>
        <v>10000</v>
      </c>
      <c r="Q17" s="2347"/>
      <c r="R17" s="455"/>
      <c r="S17" s="456">
        <f t="shared" si="3"/>
        <v>0</v>
      </c>
      <c r="T17" s="2423">
        <f>+P17</f>
        <v>10000</v>
      </c>
      <c r="U17" s="2347"/>
      <c r="V17" s="2429"/>
      <c r="W17" s="2241"/>
      <c r="X17" s="833"/>
      <c r="AA17" s="456"/>
      <c r="AB17" s="833"/>
    </row>
    <row r="18" spans="2:28" s="340" customFormat="1" x14ac:dyDescent="0.25">
      <c r="B18" s="2427" t="s">
        <v>447</v>
      </c>
      <c r="C18" s="2386" t="s">
        <v>448</v>
      </c>
      <c r="D18" s="340">
        <v>1110.8900000000001</v>
      </c>
      <c r="E18" s="2386" t="s">
        <v>890</v>
      </c>
      <c r="G18" s="456">
        <f t="shared" si="0"/>
        <v>-1</v>
      </c>
      <c r="H18" s="2423"/>
      <c r="I18" s="2386"/>
      <c r="J18" s="342"/>
      <c r="K18" s="456" t="str">
        <f t="shared" si="1"/>
        <v>0.00%</v>
      </c>
      <c r="L18" s="2423">
        <v>169208</v>
      </c>
      <c r="M18" s="2347"/>
      <c r="O18" s="456">
        <f t="shared" si="2"/>
        <v>2.5702094463618742E-2</v>
      </c>
      <c r="P18" s="2423">
        <f>ROUND(L18*(1+Q18),0)</f>
        <v>173557</v>
      </c>
      <c r="Q18" s="2431">
        <f>+'MYP Assumptions'!$H$13</f>
        <v>2.5700000000000001E-2</v>
      </c>
      <c r="R18" s="455"/>
      <c r="S18" s="456">
        <f t="shared" si="3"/>
        <v>2.6700161906463005E-2</v>
      </c>
      <c r="T18" s="2423">
        <f>ROUND(P18*(1+U18),0)</f>
        <v>178191</v>
      </c>
      <c r="U18" s="2431">
        <f>+'MYP Assumptions'!$I$13</f>
        <v>2.6700000000000002E-2</v>
      </c>
      <c r="V18" s="2429"/>
      <c r="W18" s="2241"/>
      <c r="X18" s="833"/>
      <c r="AA18" s="456"/>
      <c r="AB18" s="833"/>
    </row>
    <row r="19" spans="2:28" s="340" customFormat="1" x14ac:dyDescent="0.25">
      <c r="B19" s="2427" t="s">
        <v>447</v>
      </c>
      <c r="C19" s="2386" t="s">
        <v>452</v>
      </c>
      <c r="D19" s="340">
        <f>1158311.94-807000</f>
        <v>351311.93999999994</v>
      </c>
      <c r="E19" s="2386" t="s">
        <v>889</v>
      </c>
      <c r="G19" s="456">
        <f t="shared" si="0"/>
        <v>-0.17736072391960248</v>
      </c>
      <c r="H19" s="2423">
        <f>1092003-H15</f>
        <v>289003</v>
      </c>
      <c r="I19" s="2428">
        <f>+H15+H19</f>
        <v>1092003</v>
      </c>
      <c r="J19" s="342"/>
      <c r="K19" s="456">
        <f t="shared" si="1"/>
        <v>-0.13495707657013942</v>
      </c>
      <c r="L19" s="2423">
        <v>250000</v>
      </c>
      <c r="M19" s="2431"/>
      <c r="O19" s="456">
        <f t="shared" ref="O19:O22" si="4">IF(L19=0,"0.00%",(P19-L19)/L19)</f>
        <v>2.5700000000000001E-2</v>
      </c>
      <c r="P19" s="2423">
        <f>ROUND(L19*(1+Q19),0)</f>
        <v>256425</v>
      </c>
      <c r="Q19" s="2431">
        <f>+'MYP Assumptions'!$H$13</f>
        <v>2.5700000000000001E-2</v>
      </c>
      <c r="R19" s="455"/>
      <c r="S19" s="456">
        <f t="shared" si="3"/>
        <v>2.670176464853271E-2</v>
      </c>
      <c r="T19" s="2423">
        <f>ROUND(P19*(1+U19),0)</f>
        <v>263272</v>
      </c>
      <c r="U19" s="2431">
        <f>+'MYP Assumptions'!$I$13</f>
        <v>2.6700000000000002E-2</v>
      </c>
      <c r="V19" s="2429"/>
      <c r="W19" s="2241"/>
      <c r="X19" s="833"/>
      <c r="AA19" s="456"/>
      <c r="AB19" s="833"/>
    </row>
    <row r="20" spans="2:28" s="340" customFormat="1" ht="18.75" customHeight="1" x14ac:dyDescent="0.25">
      <c r="B20" s="2427">
        <v>8650</v>
      </c>
      <c r="C20" s="2386" t="s">
        <v>438</v>
      </c>
      <c r="D20" s="340">
        <v>12662.76</v>
      </c>
      <c r="E20" s="2386"/>
      <c r="G20" s="456">
        <f t="shared" si="0"/>
        <v>-0.21028275036405966</v>
      </c>
      <c r="H20" s="2423">
        <v>10000</v>
      </c>
      <c r="I20" s="2386"/>
      <c r="J20" s="342"/>
      <c r="K20" s="456">
        <f t="shared" si="1"/>
        <v>0</v>
      </c>
      <c r="L20" s="2423">
        <v>10000</v>
      </c>
      <c r="M20" s="2431"/>
      <c r="O20" s="456">
        <f t="shared" si="4"/>
        <v>2.5700000000000001E-2</v>
      </c>
      <c r="P20" s="2423">
        <f>ROUND(L20*(1+Q20),0)</f>
        <v>10257</v>
      </c>
      <c r="Q20" s="2431">
        <f>+'MYP Assumptions'!$H$13</f>
        <v>2.5700000000000001E-2</v>
      </c>
      <c r="R20" s="455"/>
      <c r="S20" s="456">
        <f t="shared" si="3"/>
        <v>2.6713463975821389E-2</v>
      </c>
      <c r="T20" s="2423">
        <f>ROUND(P20*(1+U20),0)</f>
        <v>10531</v>
      </c>
      <c r="U20" s="2431">
        <f>+'MYP Assumptions'!$I$13</f>
        <v>2.6700000000000002E-2</v>
      </c>
      <c r="V20" s="2429"/>
      <c r="W20" s="2241"/>
      <c r="X20" s="833"/>
      <c r="AA20" s="456"/>
      <c r="AB20" s="833"/>
    </row>
    <row r="21" spans="2:28" s="340" customFormat="1" x14ac:dyDescent="0.25">
      <c r="B21" s="2427">
        <v>8660</v>
      </c>
      <c r="C21" s="2386" t="s">
        <v>439</v>
      </c>
      <c r="D21" s="340">
        <v>201693.45</v>
      </c>
      <c r="E21" s="2386"/>
      <c r="G21" s="456">
        <f t="shared" si="0"/>
        <v>-0.10755654187084415</v>
      </c>
      <c r="H21" s="2423">
        <v>180000</v>
      </c>
      <c r="I21" s="2525" t="s">
        <v>993</v>
      </c>
      <c r="J21" s="342"/>
      <c r="K21" s="456">
        <f t="shared" si="1"/>
        <v>0</v>
      </c>
      <c r="L21" s="2423">
        <v>180000</v>
      </c>
      <c r="M21" s="2525" t="s">
        <v>993</v>
      </c>
      <c r="O21" s="456">
        <f t="shared" si="4"/>
        <v>2.5700000000000001E-2</v>
      </c>
      <c r="P21" s="2423">
        <f>ROUND(+L21*(1+Q19),0)</f>
        <v>184626</v>
      </c>
      <c r="Q21" s="2525" t="s">
        <v>993</v>
      </c>
      <c r="R21" s="455"/>
      <c r="S21" s="456">
        <f t="shared" si="3"/>
        <v>2.6702631265368908E-2</v>
      </c>
      <c r="T21" s="2423">
        <f>ROUND(+P21*(1+U19),0)</f>
        <v>189556</v>
      </c>
      <c r="U21" s="2525" t="s">
        <v>993</v>
      </c>
      <c r="V21" s="2429"/>
      <c r="W21" s="2241"/>
      <c r="X21" s="833"/>
      <c r="AA21" s="456"/>
      <c r="AB21" s="833"/>
    </row>
    <row r="22" spans="2:28" s="340" customFormat="1" x14ac:dyDescent="0.25">
      <c r="B22" s="2427">
        <v>8677</v>
      </c>
      <c r="C22" s="2386" t="s">
        <v>440</v>
      </c>
      <c r="D22" s="340">
        <v>20324</v>
      </c>
      <c r="E22" s="2386"/>
      <c r="G22" s="456">
        <f t="shared" si="0"/>
        <v>-0.11434756937610707</v>
      </c>
      <c r="H22" s="2423">
        <v>18000</v>
      </c>
      <c r="I22" s="2526">
        <f>+SUM(H15:H23)</f>
        <v>1316003</v>
      </c>
      <c r="J22" s="342"/>
      <c r="K22" s="456">
        <f t="shared" si="1"/>
        <v>-1</v>
      </c>
      <c r="L22" s="2423">
        <v>0</v>
      </c>
      <c r="M22" s="2526">
        <f>+SUM(L15:L23)</f>
        <v>630208</v>
      </c>
      <c r="O22" s="456" t="str">
        <f t="shared" si="4"/>
        <v>0.00%</v>
      </c>
      <c r="P22" s="2423">
        <f>ROUND(+L22*(1+Q20),0)</f>
        <v>0</v>
      </c>
      <c r="Q22" s="2526">
        <f>+SUM(P15:P23)</f>
        <v>646148</v>
      </c>
      <c r="R22" s="455"/>
      <c r="S22" s="456" t="str">
        <f t="shared" si="3"/>
        <v>0.00%</v>
      </c>
      <c r="T22" s="2423">
        <f>ROUND(+P22*(1+U20),0)</f>
        <v>0</v>
      </c>
      <c r="U22" s="2526">
        <f>+SUM(T15:T23)</f>
        <v>663134</v>
      </c>
      <c r="V22" s="2429"/>
      <c r="W22" s="2241"/>
      <c r="X22" s="833"/>
      <c r="AA22" s="456"/>
      <c r="AB22" s="833"/>
    </row>
    <row r="23" spans="2:28" s="340" customFormat="1" x14ac:dyDescent="0.25">
      <c r="B23" s="2427">
        <v>8689</v>
      </c>
      <c r="C23" s="2386" t="s">
        <v>349</v>
      </c>
      <c r="D23" s="340">
        <v>23791.8</v>
      </c>
      <c r="E23" s="2386"/>
      <c r="G23" s="456">
        <f t="shared" si="0"/>
        <v>-0.32749939054632266</v>
      </c>
      <c r="H23" s="2423">
        <v>16000</v>
      </c>
      <c r="I23" s="2386" t="s">
        <v>844</v>
      </c>
      <c r="J23" s="342"/>
      <c r="K23" s="456">
        <f t="shared" si="1"/>
        <v>-0.3125</v>
      </c>
      <c r="L23" s="2423">
        <v>11000</v>
      </c>
      <c r="M23" s="2431"/>
      <c r="O23" s="456">
        <f t="shared" ref="O23" si="5">IF(L23=0,"0.00%",(P23-L23)/L23)</f>
        <v>2.5727272727272727E-2</v>
      </c>
      <c r="P23" s="2423">
        <f>ROUND(+L23*(1+Q20),0)</f>
        <v>11283</v>
      </c>
      <c r="Q23" s="2431"/>
      <c r="R23" s="455"/>
      <c r="S23" s="456">
        <f t="shared" si="3"/>
        <v>2.6677302135956749E-2</v>
      </c>
      <c r="T23" s="2423">
        <f>ROUND(+P23*(1+U20),0)</f>
        <v>11584</v>
      </c>
      <c r="U23" s="2431"/>
      <c r="V23" s="2429"/>
      <c r="W23" s="2241"/>
      <c r="X23" s="833"/>
      <c r="AA23" s="456"/>
      <c r="AB23" s="833"/>
    </row>
    <row r="24" spans="2:28" s="340" customFormat="1" ht="21.95" customHeight="1" x14ac:dyDescent="0.25">
      <c r="B24" s="2427" t="s">
        <v>442</v>
      </c>
      <c r="C24" s="2386" t="s">
        <v>444</v>
      </c>
      <c r="D24" s="340">
        <v>-11011522.92</v>
      </c>
      <c r="E24" s="2386"/>
      <c r="G24" s="456">
        <f t="shared" si="0"/>
        <v>0.16334271772101075</v>
      </c>
      <c r="H24" s="340">
        <v>-12810175</v>
      </c>
      <c r="I24" s="2386"/>
      <c r="J24" s="342"/>
      <c r="K24" s="456">
        <f t="shared" si="1"/>
        <v>8.6981325391729619E-2</v>
      </c>
      <c r="L24" s="340">
        <v>-13924421</v>
      </c>
      <c r="M24" s="2347"/>
      <c r="O24" s="456">
        <f t="shared" si="2"/>
        <v>1.0098804108264178E-2</v>
      </c>
      <c r="P24" s="340">
        <f>-'RS 6500'!P12</f>
        <v>-14065041</v>
      </c>
      <c r="Q24" s="2386"/>
      <c r="R24" s="455"/>
      <c r="S24" s="456">
        <f t="shared" si="3"/>
        <v>1.2209278309249151E-2</v>
      </c>
      <c r="T24" s="340">
        <f>-'RS 6500'!T12</f>
        <v>-14236765</v>
      </c>
      <c r="U24" s="2386"/>
      <c r="V24" s="2429"/>
      <c r="W24" s="2241"/>
      <c r="X24" s="833"/>
      <c r="AA24" s="456"/>
      <c r="AB24" s="833"/>
    </row>
    <row r="25" spans="2:28" s="340" customFormat="1" x14ac:dyDescent="0.25">
      <c r="B25" s="2427" t="s">
        <v>443</v>
      </c>
      <c r="C25" s="2386" t="s">
        <v>445</v>
      </c>
      <c r="D25" s="340">
        <v>-2400861</v>
      </c>
      <c r="E25" s="2386"/>
      <c r="G25" s="456">
        <f t="shared" si="0"/>
        <v>8.6609345563945603E-2</v>
      </c>
      <c r="H25" s="340">
        <f>-'RS 8150'!H11</f>
        <v>-2608798</v>
      </c>
      <c r="I25" s="2527" t="s">
        <v>1077</v>
      </c>
      <c r="J25" s="342"/>
      <c r="K25" s="456">
        <f t="shared" si="1"/>
        <v>2.7003623891156004E-2</v>
      </c>
      <c r="L25" s="340">
        <v>-2679245</v>
      </c>
      <c r="M25" s="2477" t="s">
        <v>995</v>
      </c>
      <c r="O25" s="456">
        <f t="shared" si="2"/>
        <v>0.11810871346218793</v>
      </c>
      <c r="P25" s="340">
        <f>-'RS 8150'!P11</f>
        <v>-2995687.1799999997</v>
      </c>
      <c r="Q25" s="2477" t="s">
        <v>995</v>
      </c>
      <c r="R25" s="455"/>
      <c r="S25" s="456">
        <f t="shared" si="3"/>
        <v>1.7532287867253218E-2</v>
      </c>
      <c r="T25" s="340">
        <f>-'RS 8150'!T11</f>
        <v>-3048208.4299999997</v>
      </c>
      <c r="U25" s="2477" t="s">
        <v>995</v>
      </c>
      <c r="V25" s="2429"/>
      <c r="W25" s="2241">
        <f>IF(T25=0,"0.00%",(X25-T25)/T25)</f>
        <v>-1</v>
      </c>
      <c r="X25" s="833">
        <f>-T2</f>
        <v>0</v>
      </c>
      <c r="AA25" s="456" t="str">
        <f>IF(X25=0,"0.00%",(AB25-X25)/X25)</f>
        <v>0.00%</v>
      </c>
      <c r="AB25" s="833">
        <f>-X2</f>
        <v>0</v>
      </c>
    </row>
    <row r="26" spans="2:28" s="340" customFormat="1" x14ac:dyDescent="0.25">
      <c r="B26" s="2427" t="s">
        <v>441</v>
      </c>
      <c r="C26" s="2386" t="s">
        <v>446</v>
      </c>
      <c r="D26" s="340">
        <f>-'RS 9225'!D11</f>
        <v>-1961318</v>
      </c>
      <c r="E26" s="2386"/>
      <c r="G26" s="456">
        <f t="shared" si="0"/>
        <v>-0.84704163220854545</v>
      </c>
      <c r="H26" s="340">
        <f>-'RS 9225'!H9</f>
        <v>-300000</v>
      </c>
      <c r="I26" s="2428">
        <f>+SUM(H24:H28)</f>
        <v>-16946973</v>
      </c>
      <c r="J26" s="342"/>
      <c r="K26" s="456">
        <f t="shared" si="1"/>
        <v>-1</v>
      </c>
      <c r="L26" s="340">
        <v>0</v>
      </c>
      <c r="M26" s="2428">
        <f>+SUM(L24:L26)</f>
        <v>-16603666</v>
      </c>
      <c r="O26" s="456" t="str">
        <f>IF(L26=0,"0%",(P26-L26)/L26)</f>
        <v>0%</v>
      </c>
      <c r="P26" s="340">
        <f>-'RS 9225'!P11</f>
        <v>0</v>
      </c>
      <c r="Q26" s="2428">
        <f>+SUM(P24:P28)</f>
        <v>-17060728.18</v>
      </c>
      <c r="R26" s="455"/>
      <c r="S26" s="456" t="str">
        <f>IF(P26=0,"0%",(T26-P26)/P26)</f>
        <v>0%</v>
      </c>
      <c r="T26" s="340">
        <f>-'RS 9225'!T11</f>
        <v>0</v>
      </c>
      <c r="U26" s="2428">
        <f>+SUM(T24:T28)</f>
        <v>-17284973.43</v>
      </c>
      <c r="V26" s="2429"/>
      <c r="W26" s="2241"/>
      <c r="X26" s="833"/>
      <c r="AA26" s="456"/>
      <c r="AB26" s="833"/>
    </row>
    <row r="27" spans="2:28" s="340" customFormat="1" x14ac:dyDescent="0.25">
      <c r="B27" s="2427" t="s">
        <v>661</v>
      </c>
      <c r="C27" s="2386" t="s">
        <v>662</v>
      </c>
      <c r="D27" s="340">
        <v>-807000</v>
      </c>
      <c r="E27" s="2386"/>
      <c r="G27" s="456">
        <f t="shared" si="0"/>
        <v>-4.9566294919454771E-3</v>
      </c>
      <c r="H27" s="340">
        <v>-803000</v>
      </c>
      <c r="I27" s="340" t="s">
        <v>1076</v>
      </c>
      <c r="J27" s="342"/>
      <c r="K27" s="456">
        <f>IF(H27=0,"0%",(L27-H27)/H27)</f>
        <v>2.331098381070984</v>
      </c>
      <c r="L27" s="340">
        <v>-2674872</v>
      </c>
      <c r="M27" s="868"/>
      <c r="O27" s="456">
        <f t="shared" ref="O27:O28" si="6">IF(L27=0,"0%",(P27-L27)/L27)</f>
        <v>-1</v>
      </c>
      <c r="P27" s="340">
        <v>0</v>
      </c>
      <c r="Q27" s="2347"/>
      <c r="R27" s="455"/>
      <c r="S27" s="456" t="str">
        <f t="shared" ref="S27:S28" si="7">IF(P27=0,"0%",(T27-P27)/P27)</f>
        <v>0%</v>
      </c>
      <c r="T27" s="340">
        <v>0</v>
      </c>
      <c r="U27" s="2347"/>
      <c r="V27" s="2429"/>
      <c r="W27" s="2241"/>
      <c r="X27" s="833"/>
      <c r="AA27" s="456"/>
      <c r="AB27" s="833"/>
    </row>
    <row r="28" spans="2:28" s="340" customFormat="1" x14ac:dyDescent="0.25">
      <c r="B28" s="2427">
        <v>8981</v>
      </c>
      <c r="C28" s="2386" t="s">
        <v>994</v>
      </c>
      <c r="D28" s="340">
        <v>0</v>
      </c>
      <c r="E28" s="2386"/>
      <c r="G28" s="456" t="str">
        <f>IF(D28=0,"0%",(H28-D28)/D28)</f>
        <v>0%</v>
      </c>
      <c r="H28" s="833">
        <v>-425000</v>
      </c>
      <c r="I28" s="2393">
        <f>+H27+H28</f>
        <v>-1228000</v>
      </c>
      <c r="J28" s="342"/>
      <c r="K28" s="456">
        <f>IF(H28=0,"0%",(L28-H28)/H28)</f>
        <v>-1</v>
      </c>
      <c r="L28" s="833">
        <v>0</v>
      </c>
      <c r="M28" s="2347"/>
      <c r="O28" s="456" t="str">
        <f t="shared" si="6"/>
        <v>0%</v>
      </c>
      <c r="P28" s="833">
        <v>0</v>
      </c>
      <c r="Q28" s="2347"/>
      <c r="R28" s="455"/>
      <c r="S28" s="456" t="str">
        <f t="shared" si="7"/>
        <v>0%</v>
      </c>
      <c r="T28" s="833">
        <v>0</v>
      </c>
      <c r="U28" s="2347"/>
      <c r="V28" s="2429"/>
      <c r="W28" s="2241"/>
      <c r="X28" s="833"/>
      <c r="AA28" s="456"/>
      <c r="AB28" s="833"/>
    </row>
    <row r="29" spans="2:28" s="340" customFormat="1" x14ac:dyDescent="0.25">
      <c r="B29" s="2511" t="s">
        <v>137</v>
      </c>
      <c r="C29" s="2386"/>
      <c r="D29" s="458">
        <f>SUM(D9:D28)</f>
        <v>46078309.989999995</v>
      </c>
      <c r="E29" s="2386"/>
      <c r="G29" s="456">
        <f t="shared" ref="G29:G33" si="8">IF(D29=0,"0.00%",(H29-D29)/D29)</f>
        <v>-3.8150596026232317E-2</v>
      </c>
      <c r="H29" s="458">
        <f>SUM(H9:H28)</f>
        <v>44320395</v>
      </c>
      <c r="I29" s="2386"/>
      <c r="J29" s="342"/>
      <c r="K29" s="456">
        <f t="shared" si="1"/>
        <v>7.3896453314551917E-3</v>
      </c>
      <c r="L29" s="458">
        <f>SUM(L9:L28)</f>
        <v>44647907</v>
      </c>
      <c r="M29" s="2316">
        <f>+L29-H29</f>
        <v>327512</v>
      </c>
      <c r="O29" s="456">
        <f t="shared" si="2"/>
        <v>2.2449962100127119E-2</v>
      </c>
      <c r="P29" s="458">
        <f>SUM(P9:P28)</f>
        <v>45650250.82</v>
      </c>
      <c r="Q29" s="2316">
        <f>+P29-L29</f>
        <v>1002343.8200000003</v>
      </c>
      <c r="R29" s="455"/>
      <c r="S29" s="456">
        <f t="shared" ref="S29" si="9">IF(P29=0,"0.00%",(T29-P29)/P29)</f>
        <v>2.9095760179658963E-2</v>
      </c>
      <c r="T29" s="458">
        <f>SUM(T9:T28)</f>
        <v>46978479.57</v>
      </c>
      <c r="U29" s="2316">
        <f>+T29-P29</f>
        <v>1328228.75</v>
      </c>
      <c r="V29" s="2429"/>
      <c r="W29" s="2241">
        <f>IF(T29=0,"0.00%",(X29-T29)/T29)</f>
        <v>-1</v>
      </c>
      <c r="X29" s="458">
        <f>SUM(X9:X25)</f>
        <v>0</v>
      </c>
      <c r="AA29" s="456" t="str">
        <f>IF(X29=0,"0.00%",(AB29-X29)/X29)</f>
        <v>0.00%</v>
      </c>
      <c r="AB29" s="458">
        <f>SUM(AB9:AB25)</f>
        <v>0</v>
      </c>
    </row>
    <row r="30" spans="2:28" s="340" customFormat="1" x14ac:dyDescent="0.25">
      <c r="B30" s="2512"/>
      <c r="C30" s="2386"/>
      <c r="E30" s="2386"/>
      <c r="G30" s="2338"/>
      <c r="H30" s="833"/>
      <c r="I30" s="2386"/>
      <c r="J30" s="342"/>
      <c r="K30" s="2338"/>
      <c r="L30" s="833"/>
      <c r="M30" s="2347"/>
      <c r="O30" s="2338"/>
      <c r="P30" s="833"/>
      <c r="Q30" s="2347"/>
      <c r="R30" s="455"/>
      <c r="S30" s="2338"/>
      <c r="T30" s="833"/>
      <c r="U30" s="2347"/>
      <c r="V30" s="2429"/>
      <c r="W30" s="2357"/>
      <c r="X30" s="833"/>
      <c r="AA30" s="2338"/>
      <c r="AB30" s="833"/>
    </row>
    <row r="31" spans="2:28" s="340" customFormat="1" x14ac:dyDescent="0.25">
      <c r="B31" s="2513"/>
      <c r="C31" s="2375" t="s">
        <v>64</v>
      </c>
      <c r="D31" s="2359">
        <f>ROUND(D29-(D29/(1+E31)),0)</f>
        <v>0</v>
      </c>
      <c r="E31" s="2431">
        <v>0</v>
      </c>
      <c r="G31" s="456" t="str">
        <f t="shared" si="8"/>
        <v>0.00%</v>
      </c>
      <c r="H31" s="2359">
        <f>ROUND(H29-(H29/(1+B31)),0)</f>
        <v>0</v>
      </c>
      <c r="I31" s="2386"/>
      <c r="J31" s="342"/>
      <c r="K31" s="456" t="str">
        <f>IF(H31=0,"0.00%",(L31-H31)/H31)</f>
        <v>0.00%</v>
      </c>
      <c r="L31" s="2359">
        <f>ROUND(L29-(L29/(1+B31)),0)</f>
        <v>0</v>
      </c>
      <c r="M31" s="2347"/>
      <c r="O31" s="456" t="str">
        <f>IF(L31=0,"0.00%",(P31-L31)/L31)</f>
        <v>0.00%</v>
      </c>
      <c r="P31" s="2359">
        <f>ROUND(P29-(P29/(1+B31)),0)</f>
        <v>0</v>
      </c>
      <c r="Q31" s="2347"/>
      <c r="R31" s="455"/>
      <c r="S31" s="456" t="str">
        <f>IF(P31=0,"0.00%",(T31-P31)/P31)</f>
        <v>0.00%</v>
      </c>
      <c r="T31" s="2359">
        <f>ROUND(T29-(T29/(1+F31)),0)</f>
        <v>0</v>
      </c>
      <c r="U31" s="2347"/>
      <c r="V31" s="2429"/>
      <c r="W31" s="2241" t="str">
        <f>IF(T31=0,"0.00%",(X31-T31)/T31)</f>
        <v>0.00%</v>
      </c>
      <c r="X31" s="2359">
        <f>ROUND(X29-(X29/(1+B31)),0)</f>
        <v>0</v>
      </c>
      <c r="AA31" s="456" t="str">
        <f>IF(X31=0,"0.00%",(AB31-X31)/X31)</f>
        <v>0.00%</v>
      </c>
      <c r="AB31" s="2359">
        <f>ROUND(AB29-(AB29/(1+G31)),0)</f>
        <v>0</v>
      </c>
    </row>
    <row r="32" spans="2:28" s="340" customFormat="1" x14ac:dyDescent="0.25">
      <c r="B32" s="2512"/>
      <c r="C32" s="2386"/>
      <c r="E32" s="2386"/>
      <c r="G32" s="2338"/>
      <c r="H32" s="833"/>
      <c r="I32" s="2386"/>
      <c r="J32" s="342"/>
      <c r="K32" s="2338"/>
      <c r="L32" s="833"/>
      <c r="M32" s="2347"/>
      <c r="O32" s="2338"/>
      <c r="P32" s="833"/>
      <c r="Q32" s="2347"/>
      <c r="R32" s="455"/>
      <c r="S32" s="2338"/>
      <c r="T32" s="833"/>
      <c r="U32" s="2347"/>
      <c r="V32" s="2429"/>
      <c r="W32" s="2357"/>
      <c r="X32" s="833"/>
      <c r="AA32" s="2338"/>
      <c r="AB32" s="833"/>
    </row>
    <row r="33" spans="1:29" s="340" customFormat="1" x14ac:dyDescent="0.25">
      <c r="B33" s="2511" t="s">
        <v>50</v>
      </c>
      <c r="C33" s="2386"/>
      <c r="D33" s="1866">
        <f>D29-D31+D7</f>
        <v>54835657.369999997</v>
      </c>
      <c r="E33" s="2386"/>
      <c r="G33" s="456">
        <f t="shared" si="8"/>
        <v>-4.7523509610111807E-2</v>
      </c>
      <c r="H33" s="1866">
        <f>H29-H31+H7</f>
        <v>52229674.480000004</v>
      </c>
      <c r="I33" s="2316">
        <f>+H33-D33</f>
        <v>-2605982.8899999931</v>
      </c>
      <c r="J33" s="342"/>
      <c r="K33" s="456">
        <f>IF(H33=0,"0.00%",(L33-H33)/H33)</f>
        <v>-6.4603452416539101E-2</v>
      </c>
      <c r="L33" s="1866">
        <f>L29-L31+L7</f>
        <v>48855457.189999998</v>
      </c>
      <c r="M33" s="2316">
        <f>+L33-H33</f>
        <v>-3374217.2900000066</v>
      </c>
      <c r="O33" s="456">
        <f>IF(L33=0,"0.00%",(P33-L33)/L33)</f>
        <v>-5.8299038507063299E-2</v>
      </c>
      <c r="P33" s="1866">
        <f>P29-P31+P7</f>
        <v>46007231.010000005</v>
      </c>
      <c r="Q33" s="2316">
        <f>+P33-L33</f>
        <v>-2848226.1799999923</v>
      </c>
      <c r="R33" s="455"/>
      <c r="S33" s="456">
        <f>IF(P33=0,"0.00%",(T33-P33)/P33)</f>
        <v>-5.5660455406312155E-2</v>
      </c>
      <c r="T33" s="1866">
        <f>T29-T31+T7</f>
        <v>43446447.579999998</v>
      </c>
      <c r="U33" s="2316">
        <f>+T33-P33</f>
        <v>-2560783.4300000072</v>
      </c>
      <c r="V33" s="2429"/>
      <c r="W33" s="2241">
        <f>IF(T33=0,"0.00%",(X33-T33)/T33)</f>
        <v>-1</v>
      </c>
      <c r="X33" s="2359">
        <f>X29-X31</f>
        <v>0</v>
      </c>
      <c r="AA33" s="456" t="str">
        <f>IF(X33=0,"0.00%",(AB33-X33)/X33)</f>
        <v>0.00%</v>
      </c>
      <c r="AB33" s="2359">
        <f>AB29-AB31</f>
        <v>0</v>
      </c>
    </row>
    <row r="34" spans="1:29" s="340" customFormat="1" x14ac:dyDescent="0.25">
      <c r="B34" s="2512"/>
      <c r="C34" s="2386"/>
      <c r="E34" s="2386"/>
      <c r="G34" s="2338"/>
      <c r="H34" s="833"/>
      <c r="I34" s="2386"/>
      <c r="J34" s="342"/>
      <c r="K34" s="1668"/>
      <c r="L34" s="833"/>
      <c r="M34" s="2347"/>
      <c r="O34" s="1668"/>
      <c r="P34" s="833"/>
      <c r="Q34" s="2347"/>
      <c r="R34" s="455"/>
      <c r="S34" s="1668"/>
      <c r="T34" s="833"/>
      <c r="U34" s="2347"/>
      <c r="V34" s="2429"/>
      <c r="W34" s="2343"/>
      <c r="X34" s="833"/>
      <c r="AA34" s="1668"/>
      <c r="AB34" s="833"/>
    </row>
    <row r="35" spans="1:29" s="340" customFormat="1" x14ac:dyDescent="0.25">
      <c r="B35" s="2512"/>
      <c r="C35" s="2489"/>
      <c r="E35" s="2386"/>
      <c r="G35" s="2338"/>
      <c r="H35" s="833"/>
      <c r="I35" s="2386"/>
      <c r="J35" s="342"/>
      <c r="K35" s="1668"/>
      <c r="L35" s="833"/>
      <c r="M35" s="2347"/>
      <c r="O35" s="1668"/>
      <c r="P35" s="833"/>
      <c r="Q35" s="2347"/>
      <c r="R35" s="455"/>
      <c r="S35" s="1668"/>
      <c r="T35" s="833"/>
      <c r="U35" s="2347"/>
      <c r="V35" s="2429"/>
      <c r="W35" s="2343"/>
      <c r="X35" s="833"/>
      <c r="AA35" s="1668"/>
      <c r="AB35" s="833"/>
    </row>
    <row r="36" spans="1:29" s="340" customFormat="1" x14ac:dyDescent="0.25">
      <c r="A36" s="2433"/>
      <c r="B36" s="2512"/>
      <c r="C36" s="2386"/>
      <c r="D36" s="459" t="s">
        <v>807</v>
      </c>
      <c r="E36" s="1867"/>
      <c r="F36" s="2433"/>
      <c r="G36" s="2338"/>
      <c r="H36" s="459" t="s">
        <v>176</v>
      </c>
      <c r="I36" s="1867"/>
      <c r="J36" s="459"/>
      <c r="K36" s="1668"/>
      <c r="L36" s="2370"/>
      <c r="M36" s="1867"/>
      <c r="O36" s="1668"/>
      <c r="Q36" s="1867"/>
      <c r="R36" s="455"/>
      <c r="S36" s="1668"/>
      <c r="U36" s="1867"/>
      <c r="V36" s="2429"/>
      <c r="W36" s="2343"/>
      <c r="Y36" s="2433"/>
      <c r="AA36" s="1668"/>
      <c r="AC36" s="2433"/>
    </row>
    <row r="37" spans="1:29" s="340" customFormat="1" ht="17.25" x14ac:dyDescent="0.4">
      <c r="A37" s="2436"/>
      <c r="B37" s="2512"/>
      <c r="C37" s="2386"/>
      <c r="D37" s="2435" t="s">
        <v>808</v>
      </c>
      <c r="E37" s="2434"/>
      <c r="F37" s="2436"/>
      <c r="G37" s="2338"/>
      <c r="H37" s="2435" t="s">
        <v>48</v>
      </c>
      <c r="I37" s="2438"/>
      <c r="J37" s="459"/>
      <c r="K37" s="1668"/>
      <c r="L37" s="2372" t="s">
        <v>48</v>
      </c>
      <c r="M37" s="2373"/>
      <c r="O37" s="1668"/>
      <c r="P37" s="2372" t="s">
        <v>48</v>
      </c>
      <c r="Q37" s="2438">
        <v>1.7500000000000002E-2</v>
      </c>
      <c r="R37" s="455"/>
      <c r="S37" s="1668"/>
      <c r="T37" s="2372" t="s">
        <v>48</v>
      </c>
      <c r="U37" s="2438">
        <v>1.7500000000000002E-2</v>
      </c>
      <c r="V37" s="2429"/>
      <c r="W37" s="2343"/>
      <c r="X37" s="2372" t="s">
        <v>48</v>
      </c>
      <c r="Y37" s="2490">
        <v>0.02</v>
      </c>
      <c r="AA37" s="1668"/>
      <c r="AB37" s="2372" t="s">
        <v>48</v>
      </c>
      <c r="AC37" s="2490">
        <v>0.02</v>
      </c>
    </row>
    <row r="38" spans="1:29" s="1866" customFormat="1" x14ac:dyDescent="0.25">
      <c r="A38" s="460"/>
      <c r="B38" s="2511" t="s">
        <v>46</v>
      </c>
      <c r="C38" s="2375"/>
      <c r="E38" s="2375"/>
      <c r="G38" s="2376"/>
      <c r="I38" s="868"/>
      <c r="J38" s="460"/>
      <c r="K38" s="606"/>
      <c r="M38" s="2377"/>
      <c r="O38" s="606"/>
      <c r="Q38" s="2377"/>
      <c r="R38" s="460"/>
      <c r="S38" s="606"/>
      <c r="U38" s="2377"/>
      <c r="V38" s="2492"/>
      <c r="W38" s="2382"/>
      <c r="Y38" s="2491"/>
      <c r="AA38" s="606"/>
      <c r="AC38" s="2491"/>
    </row>
    <row r="39" spans="1:29" s="340" customFormat="1" x14ac:dyDescent="0.25">
      <c r="A39" s="2493"/>
      <c r="B39" s="2514" t="s">
        <v>777</v>
      </c>
      <c r="C39" s="2495" t="s">
        <v>1084</v>
      </c>
      <c r="D39" s="340">
        <v>24397635.760000002</v>
      </c>
      <c r="E39" s="2386"/>
      <c r="G39" s="456">
        <f t="shared" ref="G39:G65" si="10">IF(D39=0,"0.00%",(H39-D39)/D39)</f>
        <v>1.7398379260007306E-2</v>
      </c>
      <c r="H39" s="340">
        <v>24822115.079999998</v>
      </c>
      <c r="I39" s="897"/>
      <c r="J39" s="455"/>
      <c r="K39" s="456">
        <f t="shared" ref="K39:K64" si="11">IF(H39=0,"0.00%",(L39-H39)/H39)</f>
        <v>-1.0244819153420757E-2</v>
      </c>
      <c r="L39" s="340">
        <v>24567817</v>
      </c>
      <c r="M39" s="2488"/>
      <c r="O39" s="456">
        <f t="shared" ref="O39:O64" si="12">IF(L39=0,"0.00%",(P39-L39)/L39)</f>
        <v>1.7500008242490574E-2</v>
      </c>
      <c r="P39" s="340">
        <f>ROUND(L39*(1+Q37),0)</f>
        <v>24997754</v>
      </c>
      <c r="Q39" s="2488" t="str">
        <f>TEXT(Q37,"0.0%")&amp;" = Est. S &amp; C"</f>
        <v>1.8% = Est. S &amp; C</v>
      </c>
      <c r="R39" s="455"/>
      <c r="S39" s="456">
        <f t="shared" ref="S39" si="13">IF(P39=0,"0.00%",(T39-P39)/P39)</f>
        <v>1.7500012201096145E-2</v>
      </c>
      <c r="T39" s="340">
        <f>ROUND(P39*(1+U37),0)</f>
        <v>25435215</v>
      </c>
      <c r="U39" s="2488" t="str">
        <f>TEXT(U37,"0.0%")&amp;" = Est. S &amp; C"</f>
        <v>1.8% = Est. S &amp; C</v>
      </c>
      <c r="V39" s="2429"/>
      <c r="W39" s="2241">
        <f t="shared" ref="W39:W52" si="14">IF(T39=0,"0.00%",(X39-T39)/T39)</f>
        <v>1.9999988205328716E-2</v>
      </c>
      <c r="X39" s="340">
        <f>ROUND(T39*(1+Y37),0)</f>
        <v>25943919</v>
      </c>
      <c r="Y39" s="455" t="str">
        <f>TEXT(Y37,"0.0%")&amp;" = Est. S &amp; C"</f>
        <v>2.0% = Est. S &amp; C</v>
      </c>
      <c r="AA39" s="456">
        <f t="shared" ref="AA39:AA52" si="15">IF(X39=0,"0.00%",(AB39-X39)/X39)</f>
        <v>1.9999985353022418E-2</v>
      </c>
      <c r="AB39" s="340">
        <f>ROUND(X39*(1+AC37),0)</f>
        <v>26462797</v>
      </c>
      <c r="AC39" s="455" t="str">
        <f>TEXT(AC37,"0.0%")&amp;" = Est. S &amp; C"</f>
        <v>2.0% = Est. S &amp; C</v>
      </c>
    </row>
    <row r="40" spans="1:29" s="340" customFormat="1" x14ac:dyDescent="0.25">
      <c r="A40" s="2493"/>
      <c r="B40" s="2514"/>
      <c r="C40" s="2528"/>
      <c r="D40" s="340">
        <v>-967.2</v>
      </c>
      <c r="E40" s="2386"/>
      <c r="G40" s="456"/>
      <c r="I40" s="2528" t="s">
        <v>1075</v>
      </c>
      <c r="J40" s="455"/>
      <c r="K40" s="456"/>
      <c r="L40" s="1866"/>
      <c r="M40" s="2528" t="s">
        <v>1088</v>
      </c>
      <c r="N40" s="1866"/>
      <c r="O40" s="2450"/>
      <c r="P40" s="1866">
        <v>-450000</v>
      </c>
      <c r="Q40" s="1867" t="s">
        <v>1049</v>
      </c>
      <c r="R40" s="455"/>
      <c r="S40" s="2450"/>
      <c r="T40" s="1866">
        <v>-450000</v>
      </c>
      <c r="U40" s="1867" t="s">
        <v>1049</v>
      </c>
      <c r="V40" s="2429"/>
      <c r="W40" s="2241"/>
      <c r="Y40" s="455"/>
      <c r="AA40" s="456"/>
      <c r="AC40" s="455"/>
    </row>
    <row r="41" spans="1:29" s="340" customFormat="1" x14ac:dyDescent="0.25">
      <c r="A41" s="2493"/>
      <c r="B41" s="2514"/>
      <c r="C41" s="2495"/>
      <c r="E41" s="2386"/>
      <c r="G41" s="456"/>
      <c r="I41" s="897"/>
      <c r="J41" s="455"/>
      <c r="K41" s="456"/>
      <c r="L41" s="1866"/>
      <c r="M41" s="1867"/>
      <c r="O41" s="456"/>
      <c r="P41" s="1866"/>
      <c r="Q41" s="1867"/>
      <c r="R41" s="455"/>
      <c r="S41" s="456"/>
      <c r="T41" s="1866"/>
      <c r="U41" s="1867"/>
      <c r="V41" s="2429"/>
      <c r="W41" s="2241"/>
      <c r="Y41" s="455"/>
      <c r="AA41" s="456"/>
      <c r="AC41" s="455"/>
    </row>
    <row r="42" spans="1:29" s="340" customFormat="1" x14ac:dyDescent="0.25">
      <c r="A42" s="2493"/>
      <c r="B42" s="2514" t="s">
        <v>778</v>
      </c>
      <c r="C42" s="2495" t="s">
        <v>399</v>
      </c>
      <c r="D42" s="340">
        <v>217104.29</v>
      </c>
      <c r="E42" s="2386"/>
      <c r="G42" s="456">
        <f t="shared" si="10"/>
        <v>0.18540264681089438</v>
      </c>
      <c r="H42" s="340">
        <v>257356</v>
      </c>
      <c r="I42" s="897"/>
      <c r="J42" s="455"/>
      <c r="K42" s="456">
        <f t="shared" si="11"/>
        <v>-8.6751426040193355E-2</v>
      </c>
      <c r="L42" s="340">
        <v>235030</v>
      </c>
      <c r="M42" s="2488"/>
      <c r="O42" s="456">
        <f t="shared" si="12"/>
        <v>1.7499893630600349E-2</v>
      </c>
      <c r="P42" s="340">
        <f>ROUND(L42*(1+Q37),0)</f>
        <v>239143</v>
      </c>
      <c r="Q42" s="2488" t="str">
        <f>TEXT(Q37,"0.0%")&amp;" = Est. S &amp; C"</f>
        <v>1.8% = Est. S &amp; C</v>
      </c>
      <c r="R42" s="455"/>
      <c r="S42" s="456">
        <f t="shared" ref="S42:S46" si="16">IF(P42=0,"0.00%",(T42-P42)/P42)</f>
        <v>1.7499989546003854E-2</v>
      </c>
      <c r="T42" s="340">
        <f>ROUND(P42*(1+U37),0)</f>
        <v>243328</v>
      </c>
      <c r="U42" s="2488" t="str">
        <f>TEXT(U37,"0.0%")&amp;" = Est. S &amp; C"</f>
        <v>1.8% = Est. S &amp; C</v>
      </c>
      <c r="V42" s="2429"/>
      <c r="W42" s="2241">
        <f t="shared" si="14"/>
        <v>2.0001808258811152E-2</v>
      </c>
      <c r="X42" s="340">
        <f>ROUND(T42*(1+Y37),0)</f>
        <v>248195</v>
      </c>
      <c r="Y42" s="455" t="str">
        <f>TEXT(Y37,"0.0%")&amp;" = Est. S &amp; C"</f>
        <v>2.0% = Est. S &amp; C</v>
      </c>
      <c r="AA42" s="456">
        <f t="shared" si="15"/>
        <v>2.0000402909003002E-2</v>
      </c>
      <c r="AB42" s="340">
        <f>ROUND(X42*(1+AC37),0)</f>
        <v>253159</v>
      </c>
      <c r="AC42" s="455" t="str">
        <f>TEXT(AC37,"0.0%")&amp;" = Est. S &amp; C"</f>
        <v>2.0% = Est. S &amp; C</v>
      </c>
    </row>
    <row r="43" spans="1:29" s="340" customFormat="1" x14ac:dyDescent="0.25">
      <c r="A43" s="2493"/>
      <c r="B43" s="2514" t="s">
        <v>779</v>
      </c>
      <c r="C43" s="2495" t="s">
        <v>790</v>
      </c>
      <c r="D43" s="340">
        <v>263788.76</v>
      </c>
      <c r="E43" s="2386"/>
      <c r="G43" s="456">
        <f t="shared" si="10"/>
        <v>6.4526024535692839E-2</v>
      </c>
      <c r="H43" s="340">
        <v>280810</v>
      </c>
      <c r="I43" s="897"/>
      <c r="J43" s="455"/>
      <c r="K43" s="456">
        <f t="shared" si="11"/>
        <v>2.261315480217941E-2</v>
      </c>
      <c r="L43" s="340">
        <v>287160</v>
      </c>
      <c r="M43" s="2488"/>
      <c r="O43" s="456">
        <f t="shared" si="12"/>
        <v>1.7498955286251568E-2</v>
      </c>
      <c r="P43" s="340">
        <f>ROUND(L43*(1+Q37),0)</f>
        <v>292185</v>
      </c>
      <c r="Q43" s="2488" t="str">
        <f>TEXT(Q37,"0.0%")&amp;" = Est. S &amp; C"</f>
        <v>1.8% = Est. S &amp; C</v>
      </c>
      <c r="R43" s="455"/>
      <c r="S43" s="456">
        <f t="shared" si="16"/>
        <v>1.7499187158820609E-2</v>
      </c>
      <c r="T43" s="340">
        <f>ROUND(P43*(1+U37),0)</f>
        <v>297298</v>
      </c>
      <c r="U43" s="2488" t="str">
        <f>TEXT(U37,"0.0%")&amp;" = Est. S &amp; C"</f>
        <v>1.8% = Est. S &amp; C</v>
      </c>
      <c r="V43" s="2429"/>
      <c r="W43" s="2241">
        <f t="shared" si="14"/>
        <v>2.0000134545136529E-2</v>
      </c>
      <c r="X43" s="340">
        <f>ROUND(T43*(1+Y37),0)</f>
        <v>303244</v>
      </c>
      <c r="Y43" s="455" t="str">
        <f>TEXT(Y37,"0.0%")&amp;" = Est. S &amp; C"</f>
        <v>2.0% = Est. S &amp; C</v>
      </c>
      <c r="AA43" s="456">
        <f t="shared" si="15"/>
        <v>2.0000395720937595E-2</v>
      </c>
      <c r="AB43" s="340">
        <f>ROUND(X43*(1+AC37),0)</f>
        <v>309309</v>
      </c>
      <c r="AC43" s="455" t="str">
        <f>TEXT(AC37,"0.0%")&amp;" = Est. S &amp; C"</f>
        <v>2.0% = Est. S &amp; C</v>
      </c>
    </row>
    <row r="44" spans="1:29" s="340" customFormat="1" x14ac:dyDescent="0.25">
      <c r="A44" s="2493"/>
      <c r="B44" s="2514" t="s">
        <v>45</v>
      </c>
      <c r="C44" s="2495" t="s">
        <v>791</v>
      </c>
      <c r="D44" s="340">
        <v>1128.96</v>
      </c>
      <c r="E44" s="2386"/>
      <c r="G44" s="456">
        <f t="shared" si="10"/>
        <v>1.4004393424036281</v>
      </c>
      <c r="H44" s="340">
        <v>2710</v>
      </c>
      <c r="I44" s="897"/>
      <c r="J44" s="455"/>
      <c r="K44" s="456">
        <f t="shared" si="11"/>
        <v>5.9900369003690033</v>
      </c>
      <c r="L44" s="340">
        <v>18943</v>
      </c>
      <c r="M44" s="2488"/>
      <c r="O44" s="456">
        <f t="shared" si="12"/>
        <v>1.7526262999524891E-2</v>
      </c>
      <c r="P44" s="340">
        <f>ROUND(L44*(1+Q37),0)</f>
        <v>19275</v>
      </c>
      <c r="Q44" s="2488" t="str">
        <f>TEXT(Q37,"0.0%")&amp;" = Est. S &amp; C"</f>
        <v>1.8% = Est. S &amp; C</v>
      </c>
      <c r="R44" s="455"/>
      <c r="S44" s="456">
        <f t="shared" si="16"/>
        <v>1.7483787289234762E-2</v>
      </c>
      <c r="T44" s="340">
        <f>ROUND(P44*(1+U37),0)</f>
        <v>19612</v>
      </c>
      <c r="U44" s="2488" t="str">
        <f>TEXT(U37,"0.0%")&amp;" = Est. S &amp; C"</f>
        <v>1.8% = Est. S &amp; C</v>
      </c>
      <c r="V44" s="2429"/>
      <c r="W44" s="2241">
        <f t="shared" si="14"/>
        <v>1.9987762594330001E-2</v>
      </c>
      <c r="X44" s="340">
        <f>ROUND(T44*(1+Y37),0)</f>
        <v>20004</v>
      </c>
      <c r="Y44" s="455" t="str">
        <f>TEXT(Y37,"0.0%")&amp;" = Est. S &amp; C"</f>
        <v>2.0% = Est. S &amp; C</v>
      </c>
      <c r="AA44" s="456">
        <f t="shared" si="15"/>
        <v>1.9996000799840031E-2</v>
      </c>
      <c r="AB44" s="340">
        <f>ROUND(X44*(1+AC37),0)</f>
        <v>20404</v>
      </c>
      <c r="AC44" s="455" t="str">
        <f>TEXT(AC37,"0.0%")&amp;" = Est. S &amp; C"</f>
        <v>2.0% = Est. S &amp; C</v>
      </c>
    </row>
    <row r="45" spans="1:29" s="340" customFormat="1" x14ac:dyDescent="0.25">
      <c r="A45" s="2493"/>
      <c r="B45" s="2514" t="s">
        <v>463</v>
      </c>
      <c r="C45" s="2495" t="s">
        <v>792</v>
      </c>
      <c r="D45" s="340">
        <v>44120.93</v>
      </c>
      <c r="E45" s="2386"/>
      <c r="G45" s="456">
        <f t="shared" si="10"/>
        <v>-0.77335019910051761</v>
      </c>
      <c r="H45" s="340">
        <v>10000</v>
      </c>
      <c r="I45" s="897"/>
      <c r="J45" s="455"/>
      <c r="K45" s="456">
        <f t="shared" si="11"/>
        <v>0</v>
      </c>
      <c r="L45" s="340">
        <v>10000</v>
      </c>
      <c r="M45" s="2488"/>
      <c r="O45" s="456">
        <f t="shared" si="12"/>
        <v>1.7500000000000002E-2</v>
      </c>
      <c r="P45" s="340">
        <f>ROUND(L45*(1+Q37),0)</f>
        <v>10175</v>
      </c>
      <c r="Q45" s="2488" t="str">
        <f>TEXT(Q37,"0.0%")&amp;" = Est. S &amp; C"</f>
        <v>1.8% = Est. S &amp; C</v>
      </c>
      <c r="R45" s="455"/>
      <c r="S45" s="456">
        <f t="shared" si="16"/>
        <v>1.7493857493857495E-2</v>
      </c>
      <c r="T45" s="340">
        <f>ROUND(P45*(1+U37),0)</f>
        <v>10353</v>
      </c>
      <c r="U45" s="2488" t="str">
        <f>TEXT(U37,"0.0%")&amp;" = Est. S &amp; C"</f>
        <v>1.8% = Est. S &amp; C</v>
      </c>
      <c r="V45" s="2429"/>
      <c r="W45" s="2241">
        <f t="shared" si="14"/>
        <v>1.9994204578383079E-2</v>
      </c>
      <c r="X45" s="340">
        <f>ROUND(T45*(1+Y37),0)</f>
        <v>10560</v>
      </c>
      <c r="Y45" s="455" t="str">
        <f>TEXT(Y37,"0.0%")&amp;" = Est. S &amp; C"</f>
        <v>2.0% = Est. S &amp; C</v>
      </c>
      <c r="AA45" s="456">
        <f t="shared" si="15"/>
        <v>1.9981060606060606E-2</v>
      </c>
      <c r="AB45" s="340">
        <f>ROUND(X45*(1+AC37),0)</f>
        <v>10771</v>
      </c>
      <c r="AC45" s="455" t="str">
        <f>TEXT(AC37,"0.0%")&amp;" = Est. S &amp; C"</f>
        <v>2.0% = Est. S &amp; C</v>
      </c>
    </row>
    <row r="46" spans="1:29" s="340" customFormat="1" x14ac:dyDescent="0.25">
      <c r="A46" s="2493"/>
      <c r="B46" s="2514" t="s">
        <v>780</v>
      </c>
      <c r="C46" s="2495" t="s">
        <v>401</v>
      </c>
      <c r="D46" s="340">
        <v>34206.44</v>
      </c>
      <c r="E46" s="2386"/>
      <c r="G46" s="456">
        <f t="shared" si="10"/>
        <v>-0.61627108813428122</v>
      </c>
      <c r="H46" s="340">
        <v>13126</v>
      </c>
      <c r="I46" s="897"/>
      <c r="J46" s="455"/>
      <c r="K46" s="456">
        <f t="shared" si="11"/>
        <v>-0.35867743410025904</v>
      </c>
      <c r="L46" s="340">
        <v>8418</v>
      </c>
      <c r="M46" s="2488"/>
      <c r="O46" s="456">
        <f t="shared" si="12"/>
        <v>1.7462580185317177E-2</v>
      </c>
      <c r="P46" s="340">
        <f>ROUND(L46*(1+Q37),0)</f>
        <v>8565</v>
      </c>
      <c r="Q46" s="2488" t="str">
        <f>TEXT(Q37,"0.0%")&amp;" = Est. S &amp; C"</f>
        <v>1.8% = Est. S &amp; C</v>
      </c>
      <c r="R46" s="455"/>
      <c r="S46" s="456">
        <f t="shared" si="16"/>
        <v>1.7513134851138354E-2</v>
      </c>
      <c r="T46" s="340">
        <f>ROUND(P46*(1+U37),0)</f>
        <v>8715</v>
      </c>
      <c r="U46" s="2488" t="str">
        <f>TEXT(U37,"0.0%")&amp;" = Est. S &amp; C"</f>
        <v>1.8% = Est. S &amp; C</v>
      </c>
      <c r="V46" s="2429"/>
      <c r="W46" s="2241">
        <f t="shared" si="14"/>
        <v>1.9965576592082618E-2</v>
      </c>
      <c r="X46" s="340">
        <f>ROUND(T46*(1+Y37),0)</f>
        <v>8889</v>
      </c>
      <c r="Y46" s="455" t="str">
        <f>TEXT(Y37,"0.0%")&amp;" = Est. S &amp; C"</f>
        <v>2.0% = Est. S &amp; C</v>
      </c>
      <c r="AA46" s="456">
        <f t="shared" si="15"/>
        <v>2.0024749690628868E-2</v>
      </c>
      <c r="AB46" s="340">
        <f>ROUND(X46*(1+AC37),0)</f>
        <v>9067</v>
      </c>
      <c r="AC46" s="455" t="str">
        <f>TEXT(AC37,"0.0%")&amp;" = Est. S &amp; C"</f>
        <v>2.0% = Est. S &amp; C</v>
      </c>
    </row>
    <row r="47" spans="1:29" s="340" customFormat="1" x14ac:dyDescent="0.25">
      <c r="A47" s="455"/>
      <c r="B47" s="2514">
        <v>1175</v>
      </c>
      <c r="C47" s="2386" t="s">
        <v>928</v>
      </c>
      <c r="D47" s="340">
        <v>0</v>
      </c>
      <c r="E47" s="2386"/>
      <c r="G47" s="456" t="str">
        <f>IF(D47=0,"0.00%",(H47-D47)/D47)</f>
        <v>0.00%</v>
      </c>
      <c r="H47" s="340">
        <v>1050</v>
      </c>
      <c r="I47" s="897"/>
      <c r="J47" s="455"/>
      <c r="K47" s="456">
        <f>IF(H47=0,"0.00%",(L47-H47)/H47)</f>
        <v>-1</v>
      </c>
      <c r="L47" s="340">
        <v>0</v>
      </c>
      <c r="M47" s="2488"/>
      <c r="O47" s="456" t="str">
        <f>IF(L47=0,"0.00%",(P47-L47)/L47)</f>
        <v>0.00%</v>
      </c>
      <c r="P47" s="340">
        <f>+L47</f>
        <v>0</v>
      </c>
      <c r="Q47" s="2488"/>
      <c r="R47" s="455"/>
      <c r="S47" s="456" t="str">
        <f>IF(P47=0,"0.00%",(T47-P47)/P47)</f>
        <v>0.00%</v>
      </c>
      <c r="T47" s="340">
        <f>+P47</f>
        <v>0</v>
      </c>
      <c r="U47" s="2488"/>
      <c r="V47" s="2429"/>
      <c r="W47" s="2343"/>
      <c r="Y47" s="2370"/>
      <c r="AA47" s="1668"/>
      <c r="AC47" s="2370"/>
    </row>
    <row r="48" spans="1:29" s="340" customFormat="1" x14ac:dyDescent="0.25">
      <c r="A48" s="2493"/>
      <c r="B48" s="2514" t="s">
        <v>43</v>
      </c>
      <c r="C48" s="2495" t="s">
        <v>402</v>
      </c>
      <c r="D48" s="340">
        <v>400465.62</v>
      </c>
      <c r="E48" s="2386"/>
      <c r="G48" s="456">
        <f t="shared" si="10"/>
        <v>-0.12464146110719816</v>
      </c>
      <c r="H48" s="340">
        <v>350551</v>
      </c>
      <c r="I48" s="897"/>
      <c r="J48" s="455"/>
      <c r="K48" s="456">
        <f t="shared" si="11"/>
        <v>0.24087507951767362</v>
      </c>
      <c r="L48" s="340">
        <v>434990</v>
      </c>
      <c r="M48" s="2488"/>
      <c r="O48" s="456">
        <f t="shared" si="12"/>
        <v>0</v>
      </c>
      <c r="P48" s="340">
        <f>+L48</f>
        <v>434990</v>
      </c>
      <c r="Q48" s="2488" t="s">
        <v>173</v>
      </c>
      <c r="R48" s="455"/>
      <c r="S48" s="456">
        <f t="shared" ref="S48:S65" si="17">IF(P48=0,"0.00%",(T48-P48)/P48)</f>
        <v>0</v>
      </c>
      <c r="T48" s="340">
        <f>+P48</f>
        <v>434990</v>
      </c>
      <c r="U48" s="2488" t="s">
        <v>173</v>
      </c>
      <c r="V48" s="2429"/>
      <c r="W48" s="2241"/>
      <c r="Y48" s="455"/>
      <c r="AA48" s="456"/>
      <c r="AC48" s="455"/>
    </row>
    <row r="49" spans="1:29" s="340" customFormat="1" x14ac:dyDescent="0.25">
      <c r="A49" s="2493"/>
      <c r="B49" s="2514" t="s">
        <v>781</v>
      </c>
      <c r="C49" s="2495" t="s">
        <v>793</v>
      </c>
      <c r="D49" s="340">
        <v>97025.39</v>
      </c>
      <c r="E49" s="2386"/>
      <c r="G49" s="456">
        <f t="shared" si="10"/>
        <v>-0.60113533168998345</v>
      </c>
      <c r="H49" s="340">
        <v>38700</v>
      </c>
      <c r="I49" s="897"/>
      <c r="J49" s="455"/>
      <c r="K49" s="456">
        <f t="shared" si="11"/>
        <v>-1.8087855297157621E-2</v>
      </c>
      <c r="L49" s="340">
        <v>38000</v>
      </c>
      <c r="M49" s="2488"/>
      <c r="O49" s="456">
        <f t="shared" si="12"/>
        <v>0</v>
      </c>
      <c r="P49" s="340">
        <f>+L49</f>
        <v>38000</v>
      </c>
      <c r="Q49" s="2488" t="s">
        <v>173</v>
      </c>
      <c r="R49" s="455"/>
      <c r="S49" s="456">
        <f t="shared" si="17"/>
        <v>0</v>
      </c>
      <c r="T49" s="340">
        <f>+P49</f>
        <v>38000</v>
      </c>
      <c r="U49" s="2488" t="s">
        <v>173</v>
      </c>
      <c r="V49" s="2429"/>
      <c r="W49" s="2241"/>
      <c r="Y49" s="455"/>
      <c r="AA49" s="456"/>
      <c r="AC49" s="455"/>
    </row>
    <row r="50" spans="1:29" s="340" customFormat="1" x14ac:dyDescent="0.25">
      <c r="A50" s="2493"/>
      <c r="B50" s="2514" t="s">
        <v>464</v>
      </c>
      <c r="C50" s="2495" t="s">
        <v>467</v>
      </c>
      <c r="D50" s="340">
        <v>87699.04</v>
      </c>
      <c r="E50" s="2386"/>
      <c r="G50" s="456">
        <f t="shared" si="10"/>
        <v>3.9395642187189356E-2</v>
      </c>
      <c r="H50" s="340">
        <v>91154</v>
      </c>
      <c r="I50" s="897"/>
      <c r="J50" s="455"/>
      <c r="K50" s="456">
        <f t="shared" si="11"/>
        <v>-3.6202470544353509E-4</v>
      </c>
      <c r="L50" s="340">
        <v>91121</v>
      </c>
      <c r="M50" s="2488"/>
      <c r="O50" s="456">
        <f t="shared" si="12"/>
        <v>1.7504197715126041E-2</v>
      </c>
      <c r="P50" s="340">
        <f t="shared" ref="P50:P51" si="18">ROUND(L50*(1+$Q$37),0)</f>
        <v>92716</v>
      </c>
      <c r="Q50" s="2488" t="str">
        <f t="shared" ref="Q50:Q51" si="19">TEXT($Q$37,"0.0%")&amp;" = Est. S &amp; C"</f>
        <v>1.8% = Est. S &amp; C</v>
      </c>
      <c r="R50" s="455"/>
      <c r="S50" s="456">
        <f t="shared" si="17"/>
        <v>1.7505069243711979E-2</v>
      </c>
      <c r="T50" s="340">
        <f t="shared" ref="T50:T51" si="20">ROUND(P50*(1+$Q$37),0)</f>
        <v>94339</v>
      </c>
      <c r="U50" s="2488" t="str">
        <f t="shared" ref="U50:U51" si="21">TEXT($Q$37,"0.0%")&amp;" = Est. S &amp; C"</f>
        <v>1.8% = Est. S &amp; C</v>
      </c>
      <c r="V50" s="2429"/>
      <c r="W50" s="2241"/>
      <c r="Y50" s="455"/>
      <c r="AA50" s="456"/>
      <c r="AC50" s="455"/>
    </row>
    <row r="51" spans="1:29" s="340" customFormat="1" x14ac:dyDescent="0.25">
      <c r="A51" s="2493"/>
      <c r="B51" s="2514" t="s">
        <v>465</v>
      </c>
      <c r="C51" s="2495" t="s">
        <v>794</v>
      </c>
      <c r="D51" s="340">
        <v>321979.77</v>
      </c>
      <c r="E51" s="2386"/>
      <c r="G51" s="456">
        <f t="shared" si="10"/>
        <v>0.12823237310840982</v>
      </c>
      <c r="H51" s="340">
        <v>363268</v>
      </c>
      <c r="I51" s="897"/>
      <c r="J51" s="455"/>
      <c r="K51" s="456">
        <f t="shared" si="11"/>
        <v>3.8569320721891273E-2</v>
      </c>
      <c r="L51" s="340">
        <v>377279</v>
      </c>
      <c r="M51" s="2488"/>
      <c r="O51" s="456">
        <f t="shared" si="12"/>
        <v>1.7498986161434905E-2</v>
      </c>
      <c r="P51" s="340">
        <f t="shared" si="18"/>
        <v>383881</v>
      </c>
      <c r="Q51" s="2488" t="str">
        <f t="shared" si="19"/>
        <v>1.8% = Est. S &amp; C</v>
      </c>
      <c r="R51" s="455"/>
      <c r="S51" s="456">
        <f t="shared" si="17"/>
        <v>1.7500214910349823E-2</v>
      </c>
      <c r="T51" s="340">
        <f t="shared" si="20"/>
        <v>390599</v>
      </c>
      <c r="U51" s="2488" t="str">
        <f t="shared" si="21"/>
        <v>1.8% = Est. S &amp; C</v>
      </c>
      <c r="V51" s="2429"/>
      <c r="W51" s="2241"/>
      <c r="Y51" s="455"/>
      <c r="AA51" s="456"/>
      <c r="AC51" s="455"/>
    </row>
    <row r="52" spans="1:29" s="340" customFormat="1" x14ac:dyDescent="0.25">
      <c r="A52" s="2493"/>
      <c r="B52" s="2514" t="s">
        <v>41</v>
      </c>
      <c r="C52" s="2495" t="s">
        <v>40</v>
      </c>
      <c r="D52" s="340">
        <v>210174.71</v>
      </c>
      <c r="E52" s="2386"/>
      <c r="G52" s="456">
        <f t="shared" si="10"/>
        <v>4.6339019570908455E-2</v>
      </c>
      <c r="H52" s="340">
        <v>219914</v>
      </c>
      <c r="I52" s="897"/>
      <c r="J52" s="455"/>
      <c r="K52" s="456">
        <f t="shared" si="11"/>
        <v>-7.3483270733104757E-3</v>
      </c>
      <c r="L52" s="340">
        <v>218298</v>
      </c>
      <c r="M52" s="2488"/>
      <c r="O52" s="456">
        <f t="shared" si="12"/>
        <v>1.7499015107788438E-2</v>
      </c>
      <c r="P52" s="340">
        <f>ROUND(L52*(1+$Q$37),0)</f>
        <v>222118</v>
      </c>
      <c r="Q52" s="2488" t="str">
        <f>TEXT($Q$37,"0.0%")&amp;" = Est. S &amp; C"</f>
        <v>1.8% = Est. S &amp; C</v>
      </c>
      <c r="R52" s="455"/>
      <c r="S52" s="456">
        <f t="shared" si="17"/>
        <v>1.7499707362753133E-2</v>
      </c>
      <c r="T52" s="340">
        <f>ROUND(P52*(1+$Q$37),0)</f>
        <v>226005</v>
      </c>
      <c r="U52" s="2488" t="str">
        <f>TEXT($Q$37,"0.0%")&amp;" = Est. S &amp; C"</f>
        <v>1.8% = Est. S &amp; C</v>
      </c>
      <c r="V52" s="2429"/>
      <c r="W52" s="2241">
        <f t="shared" si="14"/>
        <v>1.9999557531913011E-2</v>
      </c>
      <c r="X52" s="340">
        <f>ROUND(T52*(1+Y37),0)</f>
        <v>230525</v>
      </c>
      <c r="Y52" s="455" t="str">
        <f>TEXT(Y37,"0.0%")&amp;" = Est. S &amp; C"</f>
        <v>2.0% = Est. S &amp; C</v>
      </c>
      <c r="AA52" s="456">
        <f t="shared" si="15"/>
        <v>2.0002168962151609E-2</v>
      </c>
      <c r="AB52" s="340">
        <f>ROUND(X52*(1+AC37),0)</f>
        <v>235136</v>
      </c>
      <c r="AC52" s="455" t="str">
        <f>TEXT(AC37,"0.0%")&amp;" = Est. S &amp; C"</f>
        <v>2.0% = Est. S &amp; C</v>
      </c>
    </row>
    <row r="53" spans="1:29" s="340" customFormat="1" x14ac:dyDescent="0.25">
      <c r="A53" s="2493"/>
      <c r="B53" s="2514" t="s">
        <v>466</v>
      </c>
      <c r="C53" s="2495" t="s">
        <v>224</v>
      </c>
      <c r="D53" s="340">
        <v>126079.38</v>
      </c>
      <c r="E53" s="2386"/>
      <c r="G53" s="456">
        <f t="shared" si="10"/>
        <v>6.2679718126786438E-2</v>
      </c>
      <c r="H53" s="340">
        <v>133982</v>
      </c>
      <c r="I53" s="897"/>
      <c r="J53" s="455"/>
      <c r="K53" s="456">
        <f t="shared" si="11"/>
        <v>9.6923467331432575E-2</v>
      </c>
      <c r="L53" s="340">
        <v>146968</v>
      </c>
      <c r="M53" s="2488"/>
      <c r="O53" s="456">
        <f t="shared" si="12"/>
        <v>1.7500408252136519E-2</v>
      </c>
      <c r="P53" s="340">
        <f>ROUND(L53*(1+$Q$37),0)</f>
        <v>149540</v>
      </c>
      <c r="Q53" s="2488" t="str">
        <f t="shared" ref="Q53" si="22">TEXT($Q$37,"0.0%")&amp;" = Est. S &amp; C"</f>
        <v>1.8% = Est. S &amp; C</v>
      </c>
      <c r="R53" s="455"/>
      <c r="S53" s="456">
        <f t="shared" si="17"/>
        <v>1.7500334358700013E-2</v>
      </c>
      <c r="T53" s="340">
        <f>ROUND(P53*(1+$Q$37),0)</f>
        <v>152157</v>
      </c>
      <c r="U53" s="2488" t="str">
        <f t="shared" ref="U53" si="23">TEXT($Q$37,"0.0%")&amp;" = Est. S &amp; C"</f>
        <v>1.8% = Est. S &amp; C</v>
      </c>
      <c r="V53" s="2429"/>
      <c r="W53" s="2241"/>
      <c r="Y53" s="455"/>
      <c r="AA53" s="456"/>
      <c r="AC53" s="455"/>
    </row>
    <row r="54" spans="1:29" s="340" customFormat="1" x14ac:dyDescent="0.25">
      <c r="A54" s="2493"/>
      <c r="B54" s="2514" t="s">
        <v>782</v>
      </c>
      <c r="C54" s="2495" t="s">
        <v>795</v>
      </c>
      <c r="D54" s="340">
        <v>70.02</v>
      </c>
      <c r="E54" s="2386"/>
      <c r="G54" s="456">
        <f t="shared" si="10"/>
        <v>-1</v>
      </c>
      <c r="H54" s="340">
        <v>0</v>
      </c>
      <c r="I54" s="897"/>
      <c r="J54" s="455"/>
      <c r="K54" s="456" t="str">
        <f t="shared" si="11"/>
        <v>0.00%</v>
      </c>
      <c r="L54" s="340">
        <f t="shared" ref="L54:L63" si="24">ROUND(H54*(1+$M$37),0)</f>
        <v>0</v>
      </c>
      <c r="M54" s="2488"/>
      <c r="O54" s="456" t="str">
        <f t="shared" si="12"/>
        <v>0.00%</v>
      </c>
      <c r="P54" s="340">
        <f t="shared" ref="P54" si="25">ROUND(L54*(1+$Q$37),0)</f>
        <v>0</v>
      </c>
      <c r="Q54" s="2488"/>
      <c r="R54" s="455"/>
      <c r="S54" s="456" t="str">
        <f t="shared" si="17"/>
        <v>0.00%</v>
      </c>
      <c r="T54" s="340">
        <f t="shared" ref="T54" si="26">ROUND(P54*(1+$Q$37),0)</f>
        <v>0</v>
      </c>
      <c r="U54" s="2488"/>
      <c r="V54" s="2429"/>
      <c r="W54" s="2241" t="str">
        <f>IF(T54=0,"0.00%",(X54-T54)/T54)</f>
        <v>0.00%</v>
      </c>
      <c r="X54" s="340">
        <f>ROUND(T54*(1+Y38),0)</f>
        <v>0</v>
      </c>
      <c r="Y54" s="455" t="str">
        <f>TEXT(Y38,"0.0%")&amp;" = Est. S &amp; C"</f>
        <v>0.0% = Est. S &amp; C</v>
      </c>
      <c r="AA54" s="456" t="str">
        <f>IF(X54=0,"0.00%",(AB54-X54)/X54)</f>
        <v>0.00%</v>
      </c>
      <c r="AB54" s="340">
        <f>ROUND(X54*(1+AC38),0)</f>
        <v>0</v>
      </c>
      <c r="AC54" s="455" t="str">
        <f>TEXT(AC38,"0.0%")&amp;" = Est. S &amp; C"</f>
        <v>0.0% = Est. S &amp; C</v>
      </c>
    </row>
    <row r="55" spans="1:29" s="340" customFormat="1" x14ac:dyDescent="0.25">
      <c r="A55" s="2493"/>
      <c r="B55" s="2514" t="s">
        <v>783</v>
      </c>
      <c r="C55" s="2495" t="s">
        <v>796</v>
      </c>
      <c r="D55" s="340">
        <v>9105</v>
      </c>
      <c r="E55" s="2386"/>
      <c r="G55" s="456">
        <f t="shared" si="10"/>
        <v>-0.63756177924217461</v>
      </c>
      <c r="H55" s="340">
        <v>3300</v>
      </c>
      <c r="I55" s="897"/>
      <c r="J55" s="455"/>
      <c r="K55" s="456">
        <f t="shared" si="11"/>
        <v>-1</v>
      </c>
      <c r="L55" s="340">
        <v>0</v>
      </c>
      <c r="M55" s="2488"/>
      <c r="O55" s="456" t="str">
        <f t="shared" si="12"/>
        <v>0.00%</v>
      </c>
      <c r="P55" s="340">
        <f>+L55</f>
        <v>0</v>
      </c>
      <c r="Q55" s="2488"/>
      <c r="R55" s="455"/>
      <c r="S55" s="456" t="str">
        <f t="shared" si="17"/>
        <v>0.00%</v>
      </c>
      <c r="T55" s="340">
        <f>+P55</f>
        <v>0</v>
      </c>
      <c r="U55" s="2488"/>
      <c r="V55" s="2429"/>
      <c r="W55" s="2343"/>
      <c r="Y55" s="2370"/>
      <c r="AA55" s="1668"/>
      <c r="AC55" s="2370"/>
    </row>
    <row r="56" spans="1:29" s="340" customFormat="1" x14ac:dyDescent="0.25">
      <c r="A56" s="2493"/>
      <c r="B56" s="2514" t="s">
        <v>784</v>
      </c>
      <c r="C56" s="2495" t="s">
        <v>797</v>
      </c>
      <c r="D56" s="340">
        <v>182298.58</v>
      </c>
      <c r="E56" s="897"/>
      <c r="G56" s="456">
        <f t="shared" si="10"/>
        <v>1.9772068438492572E-2</v>
      </c>
      <c r="H56" s="340">
        <v>185903</v>
      </c>
      <c r="I56" s="897"/>
      <c r="J56" s="455"/>
      <c r="K56" s="456">
        <f t="shared" si="11"/>
        <v>0</v>
      </c>
      <c r="L56" s="340">
        <v>185903</v>
      </c>
      <c r="M56" s="2488"/>
      <c r="O56" s="456">
        <f t="shared" si="12"/>
        <v>0</v>
      </c>
      <c r="P56" s="340">
        <f>+L56</f>
        <v>185903</v>
      </c>
      <c r="Q56" s="2488" t="s">
        <v>173</v>
      </c>
      <c r="R56" s="455"/>
      <c r="S56" s="456">
        <f t="shared" si="17"/>
        <v>0</v>
      </c>
      <c r="T56" s="340">
        <f>+P56</f>
        <v>185903</v>
      </c>
      <c r="U56" s="2488" t="s">
        <v>173</v>
      </c>
      <c r="V56" s="2429"/>
      <c r="W56" s="2343"/>
      <c r="Y56" s="2370"/>
      <c r="AA56" s="1668"/>
      <c r="AC56" s="2370"/>
    </row>
    <row r="57" spans="1:29" s="340" customFormat="1" x14ac:dyDescent="0.25">
      <c r="A57" s="2493"/>
      <c r="B57" s="2514" t="s">
        <v>785</v>
      </c>
      <c r="C57" s="2495" t="s">
        <v>798</v>
      </c>
      <c r="D57" s="340">
        <v>299535.34999999998</v>
      </c>
      <c r="E57" s="2428"/>
      <c r="G57" s="456">
        <f t="shared" si="10"/>
        <v>5.7443971137297262E-3</v>
      </c>
      <c r="H57" s="340">
        <v>301256</v>
      </c>
      <c r="I57" s="897"/>
      <c r="J57" s="455"/>
      <c r="K57" s="456">
        <f t="shared" si="11"/>
        <v>-6.7699896433598E-2</v>
      </c>
      <c r="L57" s="340">
        <v>280861</v>
      </c>
      <c r="M57" s="2488"/>
      <c r="O57" s="456">
        <f t="shared" si="12"/>
        <v>0</v>
      </c>
      <c r="P57" s="340">
        <f>+L57</f>
        <v>280861</v>
      </c>
      <c r="Q57" s="2488" t="s">
        <v>173</v>
      </c>
      <c r="R57" s="455"/>
      <c r="S57" s="456">
        <f t="shared" si="17"/>
        <v>0</v>
      </c>
      <c r="T57" s="340">
        <f>+P57</f>
        <v>280861</v>
      </c>
      <c r="U57" s="2488" t="s">
        <v>173</v>
      </c>
      <c r="V57" s="2429"/>
      <c r="W57" s="2343"/>
      <c r="Y57" s="2370"/>
      <c r="AA57" s="1668"/>
      <c r="AC57" s="2370"/>
    </row>
    <row r="58" spans="1:29" s="340" customFormat="1" x14ac:dyDescent="0.25">
      <c r="A58" s="2493"/>
      <c r="B58" s="2514" t="s">
        <v>786</v>
      </c>
      <c r="C58" s="2495" t="s">
        <v>799</v>
      </c>
      <c r="D58" s="340">
        <v>1458777.05</v>
      </c>
      <c r="E58" s="2386"/>
      <c r="G58" s="456">
        <f t="shared" si="10"/>
        <v>2.3322926556871699E-2</v>
      </c>
      <c r="H58" s="340">
        <v>1492800</v>
      </c>
      <c r="I58" s="897"/>
      <c r="J58" s="455"/>
      <c r="K58" s="456">
        <f t="shared" si="11"/>
        <v>7.8362808145766346E-3</v>
      </c>
      <c r="L58" s="340">
        <v>1504498</v>
      </c>
      <c r="M58" s="2488"/>
      <c r="O58" s="456">
        <f t="shared" si="12"/>
        <v>1.7500189431956706E-2</v>
      </c>
      <c r="P58" s="340">
        <f t="shared" ref="P58:P63" si="27">ROUND(L58*(1+$Q$37),0)</f>
        <v>1530827</v>
      </c>
      <c r="Q58" s="2488" t="str">
        <f t="shared" ref="Q58:Q60" si="28">TEXT($Q$37,"0.0%")&amp;" = Est. S &amp; C"</f>
        <v>1.8% = Est. S &amp; C</v>
      </c>
      <c r="R58" s="455"/>
      <c r="S58" s="456">
        <f t="shared" si="17"/>
        <v>1.7499691343306593E-2</v>
      </c>
      <c r="T58" s="340">
        <f t="shared" ref="T58:T60" si="29">ROUND(P58*(1+$Q$37),0)</f>
        <v>1557616</v>
      </c>
      <c r="U58" s="2488" t="str">
        <f t="shared" ref="U58:U60" si="30">TEXT($Q$37,"0.0%")&amp;" = Est. S &amp; C"</f>
        <v>1.8% = Est. S &amp; C</v>
      </c>
      <c r="V58" s="2429"/>
      <c r="W58" s="2343"/>
      <c r="Y58" s="2370"/>
      <c r="AA58" s="1668"/>
      <c r="AC58" s="2370"/>
    </row>
    <row r="59" spans="1:29" s="340" customFormat="1" x14ac:dyDescent="0.25">
      <c r="A59" s="2493"/>
      <c r="B59" s="2514" t="s">
        <v>787</v>
      </c>
      <c r="C59" s="2495" t="s">
        <v>800</v>
      </c>
      <c r="D59" s="340">
        <v>390342.97</v>
      </c>
      <c r="E59" s="2386"/>
      <c r="G59" s="456">
        <f t="shared" si="10"/>
        <v>2.0430827792287456E-2</v>
      </c>
      <c r="H59" s="340">
        <v>398318</v>
      </c>
      <c r="I59" s="897"/>
      <c r="J59" s="455"/>
      <c r="K59" s="456">
        <f t="shared" si="11"/>
        <v>1.3607218353175101E-3</v>
      </c>
      <c r="L59" s="340">
        <v>398860</v>
      </c>
      <c r="M59" s="2488"/>
      <c r="O59" s="456">
        <f t="shared" si="12"/>
        <v>1.7499874642731787E-2</v>
      </c>
      <c r="P59" s="340">
        <f t="shared" si="27"/>
        <v>405840</v>
      </c>
      <c r="Q59" s="2488" t="str">
        <f t="shared" si="28"/>
        <v>1.8% = Est. S &amp; C</v>
      </c>
      <c r="R59" s="455"/>
      <c r="S59" s="456">
        <f t="shared" si="17"/>
        <v>1.7499507194953676E-2</v>
      </c>
      <c r="T59" s="340">
        <f t="shared" si="29"/>
        <v>412942</v>
      </c>
      <c r="U59" s="2488" t="str">
        <f t="shared" si="30"/>
        <v>1.8% = Est. S &amp; C</v>
      </c>
      <c r="V59" s="2429"/>
      <c r="W59" s="2343"/>
      <c r="Y59" s="2370"/>
      <c r="AA59" s="1668"/>
      <c r="AC59" s="2370"/>
    </row>
    <row r="60" spans="1:29" s="340" customFormat="1" x14ac:dyDescent="0.25">
      <c r="A60" s="2493"/>
      <c r="B60" s="2514" t="s">
        <v>39</v>
      </c>
      <c r="C60" s="2495" t="s">
        <v>404</v>
      </c>
      <c r="D60" s="340">
        <v>127715.7</v>
      </c>
      <c r="E60" s="2386"/>
      <c r="G60" s="456">
        <f t="shared" si="10"/>
        <v>-2.1083547285102748E-2</v>
      </c>
      <c r="H60" s="340">
        <v>125023</v>
      </c>
      <c r="I60" s="897"/>
      <c r="J60" s="455"/>
      <c r="K60" s="456">
        <f t="shared" si="11"/>
        <v>-4.460779216624141E-2</v>
      </c>
      <c r="L60" s="340">
        <v>119446</v>
      </c>
      <c r="M60" s="2488"/>
      <c r="O60" s="456">
        <f t="shared" si="12"/>
        <v>1.7497446544882205E-2</v>
      </c>
      <c r="P60" s="340">
        <f t="shared" si="27"/>
        <v>121536</v>
      </c>
      <c r="Q60" s="2488" t="str">
        <f t="shared" si="28"/>
        <v>1.8% = Est. S &amp; C</v>
      </c>
      <c r="R60" s="455"/>
      <c r="S60" s="456">
        <f t="shared" si="17"/>
        <v>1.7500987361769353E-2</v>
      </c>
      <c r="T60" s="340">
        <f t="shared" si="29"/>
        <v>123663</v>
      </c>
      <c r="U60" s="2488" t="str">
        <f t="shared" si="30"/>
        <v>1.8% = Est. S &amp; C</v>
      </c>
      <c r="V60" s="2429"/>
      <c r="W60" s="2343"/>
      <c r="Y60" s="2370"/>
      <c r="AA60" s="1668"/>
      <c r="AC60" s="2370"/>
    </row>
    <row r="61" spans="1:29" s="340" customFormat="1" x14ac:dyDescent="0.25">
      <c r="A61" s="2493"/>
      <c r="B61" s="2514" t="s">
        <v>788</v>
      </c>
      <c r="C61" s="2495" t="s">
        <v>801</v>
      </c>
      <c r="D61" s="340">
        <v>21760.2</v>
      </c>
      <c r="E61" s="2386"/>
      <c r="G61" s="456">
        <f t="shared" si="10"/>
        <v>0.46046451778935849</v>
      </c>
      <c r="H61" s="340">
        <v>31780</v>
      </c>
      <c r="I61" s="897"/>
      <c r="J61" s="455"/>
      <c r="K61" s="456">
        <f t="shared" si="11"/>
        <v>-0.20525487728130901</v>
      </c>
      <c r="L61" s="340">
        <v>25257</v>
      </c>
      <c r="M61" s="2488"/>
      <c r="O61" s="456">
        <f t="shared" si="12"/>
        <v>0</v>
      </c>
      <c r="P61" s="340">
        <f>+L61</f>
        <v>25257</v>
      </c>
      <c r="Q61" s="2488" t="s">
        <v>173</v>
      </c>
      <c r="R61" s="455"/>
      <c r="S61" s="456">
        <f t="shared" si="17"/>
        <v>0</v>
      </c>
      <c r="T61" s="340">
        <f>+P61</f>
        <v>25257</v>
      </c>
      <c r="U61" s="2488" t="s">
        <v>173</v>
      </c>
      <c r="V61" s="2429"/>
      <c r="W61" s="2343"/>
      <c r="Y61" s="2370"/>
      <c r="AA61" s="1668"/>
      <c r="AC61" s="2370"/>
    </row>
    <row r="62" spans="1:29" s="340" customFormat="1" x14ac:dyDescent="0.25">
      <c r="A62" s="2493"/>
      <c r="B62" s="2515">
        <v>1312</v>
      </c>
      <c r="C62" s="1656" t="s">
        <v>694</v>
      </c>
      <c r="D62" s="340">
        <v>0</v>
      </c>
      <c r="E62" s="2386"/>
      <c r="G62" s="456" t="str">
        <f t="shared" si="10"/>
        <v>0.00%</v>
      </c>
      <c r="H62" s="340">
        <v>0</v>
      </c>
      <c r="I62" s="897"/>
      <c r="J62" s="455"/>
      <c r="K62" s="456" t="str">
        <f t="shared" si="11"/>
        <v>0.00%</v>
      </c>
      <c r="L62" s="340">
        <v>0</v>
      </c>
      <c r="M62" s="2488"/>
      <c r="O62" s="456" t="str">
        <f t="shared" si="12"/>
        <v>0.00%</v>
      </c>
      <c r="P62" s="340">
        <f>ROUND(L62*(1+$Q$37),0)</f>
        <v>0</v>
      </c>
      <c r="Q62" s="2488" t="str">
        <f>TEXT($Q$37,"0.0%")&amp;" = Est. S &amp; C"</f>
        <v>1.8% = Est. S &amp; C</v>
      </c>
      <c r="R62" s="455"/>
      <c r="S62" s="456" t="str">
        <f t="shared" si="17"/>
        <v>0.00%</v>
      </c>
      <c r="T62" s="340">
        <f>ROUND(P62*(1+$Q$37),0)</f>
        <v>0</v>
      </c>
      <c r="U62" s="2488" t="str">
        <f>TEXT($Q$37,"0.0%")&amp;" = Est. S &amp; C"</f>
        <v>1.8% = Est. S &amp; C</v>
      </c>
      <c r="V62" s="2429"/>
      <c r="W62" s="2343"/>
      <c r="Y62" s="2370"/>
      <c r="AA62" s="1668"/>
      <c r="AC62" s="2370"/>
    </row>
    <row r="63" spans="1:29" s="340" customFormat="1" x14ac:dyDescent="0.25">
      <c r="A63" s="2493"/>
      <c r="B63" s="2514" t="s">
        <v>789</v>
      </c>
      <c r="C63" s="2495" t="s">
        <v>802</v>
      </c>
      <c r="D63" s="340">
        <v>32145.84</v>
      </c>
      <c r="E63" s="2386"/>
      <c r="G63" s="456">
        <f t="shared" si="10"/>
        <v>-1</v>
      </c>
      <c r="H63" s="340">
        <v>0</v>
      </c>
      <c r="I63" s="897"/>
      <c r="J63" s="455"/>
      <c r="K63" s="456" t="str">
        <f t="shared" si="11"/>
        <v>0.00%</v>
      </c>
      <c r="L63" s="340">
        <f t="shared" si="24"/>
        <v>0</v>
      </c>
      <c r="M63" s="2488"/>
      <c r="O63" s="456" t="str">
        <f t="shared" si="12"/>
        <v>0.00%</v>
      </c>
      <c r="P63" s="340">
        <f t="shared" si="27"/>
        <v>0</v>
      </c>
      <c r="Q63" s="2488"/>
      <c r="R63" s="455"/>
      <c r="S63" s="456" t="str">
        <f t="shared" si="17"/>
        <v>0.00%</v>
      </c>
      <c r="T63" s="340">
        <f t="shared" ref="T63" si="31">ROUND(P63*(1+$Q$37),0)</f>
        <v>0</v>
      </c>
      <c r="U63" s="2488"/>
      <c r="V63" s="2429"/>
      <c r="W63" s="2343"/>
      <c r="Y63" s="2370"/>
      <c r="AA63" s="1668"/>
      <c r="AC63" s="2370"/>
    </row>
    <row r="64" spans="1:29" s="340" customFormat="1" x14ac:dyDescent="0.25">
      <c r="A64" s="2493"/>
      <c r="B64" s="2514" t="s">
        <v>203</v>
      </c>
      <c r="C64" s="2495" t="s">
        <v>803</v>
      </c>
      <c r="D64" s="340">
        <v>9000</v>
      </c>
      <c r="E64" s="2386"/>
      <c r="G64" s="456">
        <f t="shared" si="10"/>
        <v>1.6666666666666667</v>
      </c>
      <c r="H64" s="340">
        <v>24000</v>
      </c>
      <c r="I64" s="897"/>
      <c r="J64" s="455"/>
      <c r="K64" s="456">
        <f t="shared" si="11"/>
        <v>0</v>
      </c>
      <c r="L64" s="340">
        <f>+H64</f>
        <v>24000</v>
      </c>
      <c r="M64" s="2488"/>
      <c r="O64" s="456">
        <f t="shared" si="12"/>
        <v>0</v>
      </c>
      <c r="P64" s="340">
        <f>+L64</f>
        <v>24000</v>
      </c>
      <c r="Q64" s="2488" t="s">
        <v>173</v>
      </c>
      <c r="R64" s="455"/>
      <c r="S64" s="456">
        <f t="shared" si="17"/>
        <v>0</v>
      </c>
      <c r="T64" s="340">
        <f>+P64</f>
        <v>24000</v>
      </c>
      <c r="U64" s="2488" t="s">
        <v>173</v>
      </c>
      <c r="V64" s="2429"/>
      <c r="W64" s="2343"/>
      <c r="Y64" s="2370"/>
      <c r="AA64" s="1668"/>
      <c r="AC64" s="2370"/>
    </row>
    <row r="65" spans="1:29" s="340" customFormat="1" x14ac:dyDescent="0.25">
      <c r="A65" s="459"/>
      <c r="B65" s="2427"/>
      <c r="C65" s="2386"/>
      <c r="D65" s="458">
        <f>SUM(D39:D64)</f>
        <v>28731192.560000002</v>
      </c>
      <c r="E65" s="2386"/>
      <c r="G65" s="456">
        <f t="shared" si="10"/>
        <v>1.4476375080199449E-2</v>
      </c>
      <c r="H65" s="458">
        <f>SUM(H39:H64)</f>
        <v>29147116.079999998</v>
      </c>
      <c r="I65" s="2316">
        <f>+H65-D65</f>
        <v>415923.51999999583</v>
      </c>
      <c r="J65" s="459"/>
      <c r="K65" s="456">
        <f>IF(H65=0,"0.00%",(L65-H65)/H65)</f>
        <v>-5.978878991722128E-3</v>
      </c>
      <c r="L65" s="458">
        <f>SUM(L39:L64)</f>
        <v>28972849</v>
      </c>
      <c r="M65" s="2316">
        <f>+L65-H65</f>
        <v>-174267.07999999821</v>
      </c>
      <c r="O65" s="456">
        <f t="shared" ref="O65" si="32">IF(L65=0,"0.00%",(P65-L65)/L65)</f>
        <v>1.3708351567358805E-3</v>
      </c>
      <c r="P65" s="458">
        <f>SUM(P39:P64)</f>
        <v>29012566</v>
      </c>
      <c r="Q65" s="2316">
        <f>+P65-L65</f>
        <v>39717</v>
      </c>
      <c r="R65" s="455"/>
      <c r="S65" s="456">
        <f t="shared" si="17"/>
        <v>1.7174868296723565E-2</v>
      </c>
      <c r="T65" s="458">
        <f>SUM(T39:T64)</f>
        <v>29510853</v>
      </c>
      <c r="U65" s="2316">
        <f>+T65-P65</f>
        <v>498287</v>
      </c>
      <c r="V65" s="2429"/>
      <c r="W65" s="2241">
        <f>IF(T65=0,"0.00%",(X65-T65)/T65)</f>
        <v>-9.3034145776809643E-2</v>
      </c>
      <c r="X65" s="458">
        <f>SUM(X39:X55)</f>
        <v>26765336</v>
      </c>
      <c r="Y65" s="2370"/>
      <c r="AA65" s="456">
        <f>IF(X65=0,"0.00%",(AB65-X65)/X65)</f>
        <v>2.0000010461292173E-2</v>
      </c>
      <c r="AB65" s="458">
        <f>SUM(AB39:AB55)</f>
        <v>27300643</v>
      </c>
      <c r="AC65" s="2370"/>
    </row>
    <row r="66" spans="1:29" s="340" customFormat="1" x14ac:dyDescent="0.25">
      <c r="A66" s="455"/>
      <c r="B66" s="2512"/>
      <c r="C66" s="2386"/>
      <c r="E66" s="2386"/>
      <c r="G66" s="2338"/>
      <c r="I66" s="897"/>
      <c r="J66" s="455"/>
      <c r="K66" s="1668"/>
      <c r="M66" s="2340"/>
      <c r="O66" s="1668"/>
      <c r="Q66" s="2340"/>
      <c r="R66" s="455"/>
      <c r="S66" s="1668"/>
      <c r="U66" s="2340"/>
      <c r="V66" s="2429"/>
      <c r="W66" s="2343"/>
      <c r="Y66" s="2370"/>
      <c r="AA66" s="1668"/>
      <c r="AC66" s="2370"/>
    </row>
    <row r="67" spans="1:29" s="460" customFormat="1" x14ac:dyDescent="0.25">
      <c r="B67" s="2516" t="s">
        <v>35</v>
      </c>
      <c r="C67" s="897"/>
      <c r="D67" s="2497"/>
      <c r="E67" s="868"/>
      <c r="G67" s="2389"/>
      <c r="I67" s="868"/>
      <c r="K67" s="1669"/>
      <c r="M67" s="2390"/>
      <c r="O67" s="1669"/>
      <c r="Q67" s="2390"/>
      <c r="S67" s="1669"/>
      <c r="U67" s="2390"/>
      <c r="V67" s="2492"/>
      <c r="W67" s="2382"/>
      <c r="Y67" s="2498"/>
      <c r="AA67" s="1669"/>
      <c r="AC67" s="2498"/>
    </row>
    <row r="68" spans="1:29" s="340" customFormat="1" x14ac:dyDescent="0.25">
      <c r="A68" s="455"/>
      <c r="B68" s="2427">
        <v>2175</v>
      </c>
      <c r="C68" s="2386" t="s">
        <v>846</v>
      </c>
      <c r="D68" s="340">
        <v>13961.07</v>
      </c>
      <c r="E68" s="2386"/>
      <c r="G68" s="456" t="s">
        <v>1038</v>
      </c>
      <c r="H68" s="340">
        <v>6289</v>
      </c>
      <c r="I68" s="897"/>
      <c r="J68" s="455"/>
      <c r="K68" s="456">
        <f t="shared" ref="K68:K70" si="33">IF(H68=0,"0.00%",(L68-H68)/H68)</f>
        <v>-1</v>
      </c>
      <c r="L68" s="340">
        <v>0</v>
      </c>
      <c r="M68" s="2488"/>
      <c r="O68" s="456" t="str">
        <f t="shared" ref="O68:O78" si="34">IF(L68=0,"0.00%",(P68-L68)/L68)</f>
        <v>0.00%</v>
      </c>
      <c r="P68" s="340">
        <f>ROUND(L68*(1+Q37),0)</f>
        <v>0</v>
      </c>
      <c r="Q68" s="2488" t="str">
        <f t="shared" ref="Q68:Q69" si="35">TEXT($Q$37,"0.0%")&amp;" = Est. S &amp; C"</f>
        <v>1.8% = Est. S &amp; C</v>
      </c>
      <c r="R68" s="455"/>
      <c r="S68" s="456" t="str">
        <f t="shared" ref="S68:S111" si="36">IF(P68=0,"0.00%",(T68-P68)/P68)</f>
        <v>0.00%</v>
      </c>
      <c r="T68" s="340">
        <f>ROUND(P68*(1+U37),0)</f>
        <v>0</v>
      </c>
      <c r="U68" s="2488" t="str">
        <f t="shared" ref="U68:U69" si="37">TEXT($Q$37,"0.0%")&amp;" = Est. S &amp; C"</f>
        <v>1.8% = Est. S &amp; C</v>
      </c>
      <c r="V68" s="2429"/>
      <c r="W68" s="2241" t="str">
        <f t="shared" ref="W68:W70" si="38">IF(T68=0,"0.00%",(X68-T68)/T68)</f>
        <v>0.00%</v>
      </c>
      <c r="X68" s="340">
        <f>ROUND(T68*(1+Y37),0)</f>
        <v>0</v>
      </c>
      <c r="Y68" s="455" t="str">
        <f>TEXT(Y37,"0.0%")&amp;" = Est. S &amp; C"</f>
        <v>2.0% = Est. S &amp; C</v>
      </c>
      <c r="AA68" s="456" t="str">
        <f t="shared" ref="AA68:AA70" si="39">IF(X68=0,"0.00%",(AB68-X68)/X68)</f>
        <v>0.00%</v>
      </c>
      <c r="AB68" s="340">
        <f>ROUND(X68*(1+AC37),0)</f>
        <v>0</v>
      </c>
      <c r="AC68" s="455" t="str">
        <f>TEXT(AC37,"0.0%")&amp;" = Est. S &amp; C"</f>
        <v>2.0% = Est. S &amp; C</v>
      </c>
    </row>
    <row r="69" spans="1:29" s="340" customFormat="1" x14ac:dyDescent="0.25">
      <c r="A69" s="455"/>
      <c r="B69" s="2427">
        <v>2181</v>
      </c>
      <c r="C69" s="2386" t="s">
        <v>997</v>
      </c>
      <c r="D69" s="340">
        <f>512298.41+11410.88</f>
        <v>523709.29</v>
      </c>
      <c r="E69" s="2386"/>
      <c r="G69" s="456" t="s">
        <v>1038</v>
      </c>
      <c r="H69" s="340">
        <v>0</v>
      </c>
      <c r="I69" s="897"/>
      <c r="J69" s="455"/>
      <c r="K69" s="456" t="str">
        <f t="shared" si="33"/>
        <v>0.00%</v>
      </c>
      <c r="L69" s="340">
        <f t="shared" ref="L69:L77" si="40">ROUND(H69*(1+$M$37),0)</f>
        <v>0</v>
      </c>
      <c r="M69" s="2488"/>
      <c r="O69" s="456" t="str">
        <f t="shared" si="34"/>
        <v>0.00%</v>
      </c>
      <c r="P69" s="340">
        <f>ROUND(L69*(1+Q37),0)</f>
        <v>0</v>
      </c>
      <c r="Q69" s="2488" t="str">
        <f t="shared" si="35"/>
        <v>1.8% = Est. S &amp; C</v>
      </c>
      <c r="R69" s="455"/>
      <c r="S69" s="456" t="str">
        <f t="shared" si="36"/>
        <v>0.00%</v>
      </c>
      <c r="T69" s="340">
        <f>ROUND(P69*(1+U37),0)</f>
        <v>0</v>
      </c>
      <c r="U69" s="2488" t="str">
        <f t="shared" si="37"/>
        <v>1.8% = Est. S &amp; C</v>
      </c>
      <c r="V69" s="2429"/>
      <c r="W69" s="2241" t="str">
        <f t="shared" si="38"/>
        <v>0.00%</v>
      </c>
      <c r="X69" s="340">
        <f>ROUND(T69*(1+Y37),0)</f>
        <v>0</v>
      </c>
      <c r="Y69" s="455" t="str">
        <f>TEXT(Y37,"0.0%")&amp;" = Est. S &amp; C"</f>
        <v>2.0% = Est. S &amp; C</v>
      </c>
      <c r="AA69" s="456" t="str">
        <f t="shared" si="39"/>
        <v>0.00%</v>
      </c>
      <c r="AB69" s="340">
        <f>ROUND(X69*(1+AC37),0)</f>
        <v>0</v>
      </c>
      <c r="AC69" s="455" t="str">
        <f>TEXT(AC37,"0.0%")&amp;" = Est. S &amp; C"</f>
        <v>2.0% = Est. S &amp; C</v>
      </c>
    </row>
    <row r="70" spans="1:29" s="340" customFormat="1" x14ac:dyDescent="0.25">
      <c r="A70" s="455"/>
      <c r="B70" s="2427">
        <v>2201</v>
      </c>
      <c r="C70" s="2386" t="s">
        <v>998</v>
      </c>
      <c r="D70" s="340">
        <f>60843.49+57532.84+950.12+6248.51</f>
        <v>125574.95999999998</v>
      </c>
      <c r="E70" s="2386"/>
      <c r="G70" s="456" t="s">
        <v>1038</v>
      </c>
      <c r="H70" s="340">
        <v>549870</v>
      </c>
      <c r="I70" s="897"/>
      <c r="J70" s="455"/>
      <c r="K70" s="456">
        <f t="shared" si="33"/>
        <v>-4.4701474894065871E-3</v>
      </c>
      <c r="L70" s="340">
        <v>547412</v>
      </c>
      <c r="M70" s="2488"/>
      <c r="O70" s="456">
        <f t="shared" si="34"/>
        <v>1.7500529765514822E-2</v>
      </c>
      <c r="P70" s="340">
        <f>ROUND(L70*(1+Q37),0)</f>
        <v>556992</v>
      </c>
      <c r="Q70" s="2488" t="str">
        <f>TEXT($Q$37,"0.0%")&amp;" = Est. S &amp; C"</f>
        <v>1.8% = Est. S &amp; C</v>
      </c>
      <c r="R70" s="455"/>
      <c r="S70" s="456">
        <f t="shared" si="36"/>
        <v>1.7499353671147879E-2</v>
      </c>
      <c r="T70" s="340">
        <f>ROUND(P70*(1+U37),0)</f>
        <v>566739</v>
      </c>
      <c r="U70" s="2488" t="str">
        <f>TEXT($Q$37,"0.0%")&amp;" = Est. S &amp; C"</f>
        <v>1.8% = Est. S &amp; C</v>
      </c>
      <c r="V70" s="2429"/>
      <c r="W70" s="2241">
        <f t="shared" si="38"/>
        <v>2.0000388185743349E-2</v>
      </c>
      <c r="X70" s="340">
        <f>ROUND(T70*(1+Y37),0)</f>
        <v>578074</v>
      </c>
      <c r="Y70" s="455" t="str">
        <f>TEXT(Y37,"0.0%")&amp;" = Est. S &amp; C"</f>
        <v>2.0% = Est. S &amp; C</v>
      </c>
      <c r="AA70" s="456">
        <f t="shared" si="39"/>
        <v>1.9999169656479965E-2</v>
      </c>
      <c r="AB70" s="340">
        <f>ROUND(X70*(1+AC37),0)</f>
        <v>589635</v>
      </c>
      <c r="AC70" s="455" t="str">
        <f>TEXT(AC37,"0.0%")&amp;" = Est. S &amp; C"</f>
        <v>2.0% = Est. S &amp; C</v>
      </c>
    </row>
    <row r="71" spans="1:29" s="340" customFormat="1" x14ac:dyDescent="0.25">
      <c r="A71" s="455"/>
      <c r="B71" s="2427">
        <v>2255</v>
      </c>
      <c r="C71" s="2386" t="s">
        <v>999</v>
      </c>
      <c r="D71" s="340">
        <f>50949.12+250528.56</f>
        <v>301477.68</v>
      </c>
      <c r="E71" s="2386"/>
      <c r="G71" s="456" t="s">
        <v>1038</v>
      </c>
      <c r="H71" s="340">
        <v>53279</v>
      </c>
      <c r="I71" s="897"/>
      <c r="J71" s="455"/>
      <c r="K71" s="456">
        <f t="shared" ref="K71:K111" si="41">IF(H71=0,"0.00%",(L71-H71)/H71)</f>
        <v>-1.3457459787158168E-2</v>
      </c>
      <c r="L71" s="340">
        <v>52562</v>
      </c>
      <c r="M71" s="2488"/>
      <c r="O71" s="456">
        <f t="shared" si="34"/>
        <v>1.7503139149956243E-2</v>
      </c>
      <c r="P71" s="340">
        <f t="shared" ref="P71:P78" si="42">ROUND(L71*(1+$Q$37),0)</f>
        <v>53482</v>
      </c>
      <c r="Q71" s="2488" t="str">
        <f t="shared" ref="Q71:Q111" si="43">TEXT($Q$37,"0.0%")&amp;" = Est. S &amp; C"</f>
        <v>1.8% = Est. S &amp; C</v>
      </c>
      <c r="R71" s="455"/>
      <c r="S71" s="456">
        <f t="shared" si="36"/>
        <v>1.7501215362177931E-2</v>
      </c>
      <c r="T71" s="340">
        <f t="shared" ref="T71:T98" si="44">ROUND(P71*(1+$Q$37),0)</f>
        <v>54418</v>
      </c>
      <c r="U71" s="2488" t="str">
        <f t="shared" ref="U71:U111" si="45">TEXT($Q$37,"0.0%")&amp;" = Est. S &amp; C"</f>
        <v>1.8% = Est. S &amp; C</v>
      </c>
      <c r="V71" s="2429"/>
      <c r="W71" s="2241"/>
      <c r="Y71" s="455"/>
      <c r="AA71" s="456"/>
      <c r="AC71" s="455"/>
    </row>
    <row r="72" spans="1:29" s="340" customFormat="1" x14ac:dyDescent="0.25">
      <c r="A72" s="455"/>
      <c r="B72" s="2427">
        <v>2256</v>
      </c>
      <c r="C72" s="2386" t="s">
        <v>1000</v>
      </c>
      <c r="D72" s="340">
        <f>1512208.12+15393.2+62120.99-5393.48</f>
        <v>1584328.83</v>
      </c>
      <c r="E72" s="2428">
        <f>+D72+D71</f>
        <v>1885806.51</v>
      </c>
      <c r="G72" s="456" t="s">
        <v>1038</v>
      </c>
      <c r="H72" s="340">
        <v>267448</v>
      </c>
      <c r="I72" s="2393"/>
      <c r="J72" s="455"/>
      <c r="K72" s="456">
        <f t="shared" si="41"/>
        <v>4.9239478328497503E-2</v>
      </c>
      <c r="L72" s="340">
        <v>280617</v>
      </c>
      <c r="M72" s="2488"/>
      <c r="O72" s="456">
        <f t="shared" si="34"/>
        <v>1.7500721624135386E-2</v>
      </c>
      <c r="P72" s="340">
        <f t="shared" si="42"/>
        <v>285528</v>
      </c>
      <c r="Q72" s="2488" t="str">
        <f t="shared" si="43"/>
        <v>1.8% = Est. S &amp; C</v>
      </c>
      <c r="R72" s="455"/>
      <c r="S72" s="456">
        <f t="shared" si="36"/>
        <v>1.7500910593707095E-2</v>
      </c>
      <c r="T72" s="340">
        <f t="shared" si="44"/>
        <v>290525</v>
      </c>
      <c r="U72" s="2488" t="str">
        <f t="shared" si="45"/>
        <v>1.8% = Est. S &amp; C</v>
      </c>
      <c r="V72" s="2429"/>
      <c r="W72" s="2241"/>
      <c r="Y72" s="455"/>
      <c r="AA72" s="456"/>
      <c r="AC72" s="455"/>
    </row>
    <row r="73" spans="1:29" s="340" customFormat="1" x14ac:dyDescent="0.25">
      <c r="A73" s="455"/>
      <c r="B73" s="2427">
        <v>2262</v>
      </c>
      <c r="C73" s="2386" t="s">
        <v>1001</v>
      </c>
      <c r="D73" s="340">
        <f>70754.15+268570.27+118803.21</f>
        <v>458127.63000000006</v>
      </c>
      <c r="E73" s="2386"/>
      <c r="G73" s="456" t="s">
        <v>1038</v>
      </c>
      <c r="H73" s="340">
        <v>1581518</v>
      </c>
      <c r="I73" s="897"/>
      <c r="J73" s="455"/>
      <c r="K73" s="456">
        <f t="shared" si="41"/>
        <v>7.4556217507483313E-2</v>
      </c>
      <c r="L73" s="340">
        <v>1699430</v>
      </c>
      <c r="M73" s="2488"/>
      <c r="O73" s="456">
        <f t="shared" si="34"/>
        <v>1.7499985289185196E-2</v>
      </c>
      <c r="P73" s="340">
        <f t="shared" si="42"/>
        <v>1729170</v>
      </c>
      <c r="Q73" s="2488" t="str">
        <f t="shared" si="43"/>
        <v>1.8% = Est. S &amp; C</v>
      </c>
      <c r="R73" s="455"/>
      <c r="S73" s="456">
        <f t="shared" si="36"/>
        <v>1.7499725301734357E-2</v>
      </c>
      <c r="T73" s="340">
        <f t="shared" si="44"/>
        <v>1759430</v>
      </c>
      <c r="U73" s="2488" t="str">
        <f t="shared" si="45"/>
        <v>1.8% = Est. S &amp; C</v>
      </c>
      <c r="V73" s="2429"/>
      <c r="W73" s="2241"/>
      <c r="Y73" s="455"/>
      <c r="AA73" s="456"/>
      <c r="AC73" s="455"/>
    </row>
    <row r="74" spans="1:29" s="340" customFormat="1" x14ac:dyDescent="0.25">
      <c r="A74" s="455"/>
      <c r="B74" s="2427">
        <v>2273</v>
      </c>
      <c r="C74" s="2386" t="s">
        <v>1002</v>
      </c>
      <c r="D74" s="340">
        <f>5181+1359057.42</f>
        <v>1364238.42</v>
      </c>
      <c r="E74" s="2386"/>
      <c r="G74" s="456" t="s">
        <v>1038</v>
      </c>
      <c r="H74" s="340">
        <v>17611</v>
      </c>
      <c r="I74" s="2393"/>
      <c r="J74" s="455"/>
      <c r="K74" s="456">
        <f t="shared" si="41"/>
        <v>-4.0372494463687465E-2</v>
      </c>
      <c r="L74" s="340">
        <v>16900</v>
      </c>
      <c r="M74" s="2488"/>
      <c r="O74" s="456">
        <f t="shared" si="34"/>
        <v>1.7514792899408285E-2</v>
      </c>
      <c r="P74" s="340">
        <f t="shared" si="42"/>
        <v>17196</v>
      </c>
      <c r="Q74" s="2488" t="str">
        <f t="shared" si="43"/>
        <v>1.8% = Est. S &amp; C</v>
      </c>
      <c r="R74" s="455"/>
      <c r="S74" s="456">
        <f t="shared" si="36"/>
        <v>1.7504070714119562E-2</v>
      </c>
      <c r="T74" s="340">
        <f t="shared" si="44"/>
        <v>17497</v>
      </c>
      <c r="U74" s="2488" t="str">
        <f t="shared" si="45"/>
        <v>1.8% = Est. S &amp; C</v>
      </c>
      <c r="V74" s="2429"/>
      <c r="W74" s="2241"/>
      <c r="Y74" s="455"/>
      <c r="AA74" s="456"/>
      <c r="AC74" s="455"/>
    </row>
    <row r="75" spans="1:29" s="340" customFormat="1" x14ac:dyDescent="0.25">
      <c r="A75" s="455"/>
      <c r="B75" s="2427">
        <v>2275</v>
      </c>
      <c r="C75" s="2386" t="s">
        <v>1003</v>
      </c>
      <c r="D75" s="340">
        <f>62624.71+618699.45+115621.56-95.46</f>
        <v>796850.26</v>
      </c>
      <c r="E75" s="2386"/>
      <c r="G75" s="456" t="s">
        <v>1038</v>
      </c>
      <c r="H75" s="340">
        <v>1669</v>
      </c>
      <c r="I75" s="897"/>
      <c r="J75" s="455"/>
      <c r="K75" s="456">
        <f t="shared" si="41"/>
        <v>-1</v>
      </c>
      <c r="L75" s="340">
        <v>0</v>
      </c>
      <c r="M75" s="2488"/>
      <c r="O75" s="456" t="str">
        <f t="shared" si="34"/>
        <v>0.00%</v>
      </c>
      <c r="P75" s="340">
        <f t="shared" si="42"/>
        <v>0</v>
      </c>
      <c r="Q75" s="2488"/>
      <c r="R75" s="455"/>
      <c r="S75" s="456" t="str">
        <f t="shared" si="36"/>
        <v>0.00%</v>
      </c>
      <c r="T75" s="340">
        <f t="shared" si="44"/>
        <v>0</v>
      </c>
      <c r="U75" s="2488" t="str">
        <f t="shared" si="45"/>
        <v>1.8% = Est. S &amp; C</v>
      </c>
      <c r="V75" s="2429"/>
      <c r="W75" s="2241"/>
      <c r="Y75" s="455"/>
      <c r="AA75" s="456"/>
      <c r="AC75" s="455"/>
    </row>
    <row r="76" spans="1:29" s="340" customFormat="1" x14ac:dyDescent="0.25">
      <c r="A76" s="455"/>
      <c r="B76" s="2427">
        <v>2281</v>
      </c>
      <c r="C76" s="2386" t="s">
        <v>1004</v>
      </c>
      <c r="D76" s="340">
        <f>288791.3+209039.8</f>
        <v>497831.1</v>
      </c>
      <c r="E76" s="2386"/>
      <c r="G76" s="456" t="s">
        <v>1038</v>
      </c>
      <c r="H76" s="340">
        <v>119211</v>
      </c>
      <c r="I76" s="897"/>
      <c r="J76" s="455"/>
      <c r="K76" s="456">
        <f t="shared" si="41"/>
        <v>-0.29368934074875641</v>
      </c>
      <c r="L76" s="340">
        <v>84200</v>
      </c>
      <c r="M76" s="2488"/>
      <c r="O76" s="456">
        <f t="shared" si="34"/>
        <v>0</v>
      </c>
      <c r="P76" s="340">
        <f>L76</f>
        <v>84200</v>
      </c>
      <c r="Q76" s="2488"/>
      <c r="R76" s="455"/>
      <c r="S76" s="456">
        <f t="shared" si="36"/>
        <v>0</v>
      </c>
      <c r="T76" s="340">
        <f>P76</f>
        <v>84200</v>
      </c>
      <c r="U76" s="2488" t="s">
        <v>173</v>
      </c>
      <c r="V76" s="2429"/>
      <c r="W76" s="2241"/>
      <c r="Y76" s="455"/>
      <c r="AA76" s="456"/>
      <c r="AC76" s="455"/>
    </row>
    <row r="77" spans="1:29" s="340" customFormat="1" x14ac:dyDescent="0.25">
      <c r="A77" s="455"/>
      <c r="B77" s="2427">
        <v>2298</v>
      </c>
      <c r="C77" s="2386" t="s">
        <v>1005</v>
      </c>
      <c r="D77" s="340">
        <v>105311.77</v>
      </c>
      <c r="E77" s="2386"/>
      <c r="G77" s="456" t="s">
        <v>1038</v>
      </c>
      <c r="H77" s="340">
        <v>0</v>
      </c>
      <c r="I77" s="897"/>
      <c r="J77" s="455"/>
      <c r="K77" s="456" t="str">
        <f t="shared" si="41"/>
        <v>0.00%</v>
      </c>
      <c r="L77" s="340">
        <f t="shared" si="40"/>
        <v>0</v>
      </c>
      <c r="M77" s="2488"/>
      <c r="O77" s="456" t="str">
        <f t="shared" si="34"/>
        <v>0.00%</v>
      </c>
      <c r="P77" s="340">
        <f t="shared" si="42"/>
        <v>0</v>
      </c>
      <c r="Q77" s="2488" t="str">
        <f t="shared" si="43"/>
        <v>1.8% = Est. S &amp; C</v>
      </c>
      <c r="R77" s="455"/>
      <c r="S77" s="456" t="str">
        <f t="shared" si="36"/>
        <v>0.00%</v>
      </c>
      <c r="T77" s="340">
        <f t="shared" si="44"/>
        <v>0</v>
      </c>
      <c r="U77" s="2488" t="str">
        <f t="shared" si="45"/>
        <v>1.8% = Est. S &amp; C</v>
      </c>
      <c r="V77" s="2429"/>
      <c r="W77" s="2241"/>
      <c r="Y77" s="455"/>
      <c r="AA77" s="456"/>
      <c r="AC77" s="455"/>
    </row>
    <row r="78" spans="1:29" s="340" customFormat="1" x14ac:dyDescent="0.25">
      <c r="A78" s="455"/>
      <c r="B78" s="2427">
        <v>2304</v>
      </c>
      <c r="C78" s="2386" t="s">
        <v>1006</v>
      </c>
      <c r="D78" s="340">
        <f>1888.38+541.85+225.95</f>
        <v>2656.18</v>
      </c>
      <c r="E78" s="2386"/>
      <c r="G78" s="456" t="s">
        <v>1038</v>
      </c>
      <c r="H78" s="340">
        <v>108054</v>
      </c>
      <c r="I78" s="897"/>
      <c r="J78" s="455"/>
      <c r="K78" s="456">
        <f t="shared" si="41"/>
        <v>-0.10108834471653062</v>
      </c>
      <c r="L78" s="340">
        <v>97131</v>
      </c>
      <c r="M78" s="2488"/>
      <c r="O78" s="456">
        <f t="shared" si="34"/>
        <v>1.7502136290164828E-2</v>
      </c>
      <c r="P78" s="340">
        <f t="shared" si="42"/>
        <v>98831</v>
      </c>
      <c r="Q78" s="2488" t="str">
        <f t="shared" si="43"/>
        <v>1.8% = Est. S &amp; C</v>
      </c>
      <c r="R78" s="455"/>
      <c r="S78" s="456">
        <f t="shared" si="36"/>
        <v>1.7504629114346713E-2</v>
      </c>
      <c r="T78" s="340">
        <f t="shared" si="44"/>
        <v>100561</v>
      </c>
      <c r="U78" s="2488" t="str">
        <f t="shared" si="45"/>
        <v>1.8% = Est. S &amp; C</v>
      </c>
      <c r="V78" s="2429"/>
      <c r="W78" s="2241"/>
      <c r="Y78" s="455"/>
      <c r="AA78" s="456"/>
      <c r="AC78" s="455"/>
    </row>
    <row r="79" spans="1:29" s="340" customFormat="1" x14ac:dyDescent="0.25">
      <c r="A79" s="455"/>
      <c r="B79" s="2427">
        <v>2306</v>
      </c>
      <c r="C79" s="2386" t="s">
        <v>1007</v>
      </c>
      <c r="E79" s="2386"/>
      <c r="G79" s="456" t="s">
        <v>1038</v>
      </c>
      <c r="H79" s="340">
        <v>119119</v>
      </c>
      <c r="I79" s="897"/>
      <c r="J79" s="455"/>
      <c r="K79" s="456">
        <f t="shared" si="41"/>
        <v>5.0537697596521124E-2</v>
      </c>
      <c r="L79" s="340">
        <v>125139</v>
      </c>
      <c r="M79" s="2488"/>
      <c r="O79" s="456">
        <f t="shared" ref="O79:O80" si="46">IF(L79=0,"0.00%",(P79-L79)/L79)</f>
        <v>1.7500539400186994E-2</v>
      </c>
      <c r="P79" s="340">
        <f t="shared" ref="P79" si="47">ROUND(L79*(1+$Q$37),0)</f>
        <v>127329</v>
      </c>
      <c r="Q79" s="2488" t="str">
        <f t="shared" si="43"/>
        <v>1.8% = Est. S &amp; C</v>
      </c>
      <c r="R79" s="455"/>
      <c r="S79" s="456">
        <f t="shared" si="36"/>
        <v>1.7497977679868687E-2</v>
      </c>
      <c r="T79" s="340">
        <f t="shared" si="44"/>
        <v>129557</v>
      </c>
      <c r="U79" s="2488" t="str">
        <f t="shared" si="45"/>
        <v>1.8% = Est. S &amp; C</v>
      </c>
      <c r="V79" s="2429"/>
      <c r="W79" s="2343"/>
      <c r="Y79" s="2370"/>
      <c r="AA79" s="1668"/>
      <c r="AC79" s="2370"/>
    </row>
    <row r="80" spans="1:29" s="340" customFormat="1" x14ac:dyDescent="0.25">
      <c r="A80" s="455"/>
      <c r="B80" s="2427">
        <v>2308</v>
      </c>
      <c r="C80" s="2386" t="s">
        <v>1008</v>
      </c>
      <c r="E80" s="2386"/>
      <c r="G80" s="456" t="s">
        <v>1038</v>
      </c>
      <c r="H80" s="340">
        <v>5181</v>
      </c>
      <c r="I80" s="897"/>
      <c r="J80" s="455"/>
      <c r="K80" s="456">
        <f t="shared" si="41"/>
        <v>1.5634047481181239E-2</v>
      </c>
      <c r="L80" s="340">
        <v>5262</v>
      </c>
      <c r="M80" s="2488"/>
      <c r="O80" s="456">
        <f t="shared" si="46"/>
        <v>0</v>
      </c>
      <c r="P80" s="340">
        <f>L80</f>
        <v>5262</v>
      </c>
      <c r="Q80" s="2488" t="s">
        <v>173</v>
      </c>
      <c r="R80" s="455"/>
      <c r="S80" s="456">
        <f t="shared" si="36"/>
        <v>0</v>
      </c>
      <c r="T80" s="340">
        <f>P80</f>
        <v>5262</v>
      </c>
      <c r="U80" s="2488" t="s">
        <v>173</v>
      </c>
      <c r="V80" s="2429"/>
      <c r="W80" s="2343"/>
      <c r="Y80" s="2370"/>
      <c r="AA80" s="1668"/>
      <c r="AC80" s="2370"/>
    </row>
    <row r="81" spans="1:29" s="340" customFormat="1" x14ac:dyDescent="0.25">
      <c r="A81" s="455"/>
      <c r="B81" s="2427">
        <v>2309</v>
      </c>
      <c r="C81" s="2386" t="s">
        <v>1009</v>
      </c>
      <c r="E81" s="2386"/>
      <c r="G81" s="456" t="s">
        <v>1038</v>
      </c>
      <c r="H81" s="340">
        <v>118656</v>
      </c>
      <c r="I81" s="897"/>
      <c r="J81" s="455"/>
      <c r="K81" s="456">
        <f t="shared" si="41"/>
        <v>1.5549150485436893E-2</v>
      </c>
      <c r="L81" s="340">
        <v>120501</v>
      </c>
      <c r="M81" s="2488"/>
      <c r="O81" s="456">
        <f t="shared" ref="O81:O111" si="48">IF(L81=0,"0.00%",(P81-L81)/L81)</f>
        <v>1.7501929444568926E-2</v>
      </c>
      <c r="P81" s="340">
        <f t="shared" ref="P81:P111" si="49">ROUND(L81*(1+$Q$37),0)</f>
        <v>122610</v>
      </c>
      <c r="Q81" s="2488" t="str">
        <f t="shared" si="43"/>
        <v>1.8% = Est. S &amp; C</v>
      </c>
      <c r="R81" s="455"/>
      <c r="S81" s="456">
        <f t="shared" si="36"/>
        <v>1.7502650681021123E-2</v>
      </c>
      <c r="T81" s="340">
        <f t="shared" si="44"/>
        <v>124756</v>
      </c>
      <c r="U81" s="2488" t="str">
        <f t="shared" si="45"/>
        <v>1.8% = Est. S &amp; C</v>
      </c>
      <c r="V81" s="2429"/>
      <c r="W81" s="2343"/>
      <c r="Y81" s="2370"/>
      <c r="AA81" s="1668"/>
      <c r="AC81" s="2370"/>
    </row>
    <row r="82" spans="1:29" s="340" customFormat="1" x14ac:dyDescent="0.25">
      <c r="A82" s="455"/>
      <c r="B82" s="2427">
        <v>2311</v>
      </c>
      <c r="C82" s="2386" t="s">
        <v>1010</v>
      </c>
      <c r="E82" s="2386"/>
      <c r="G82" s="456" t="s">
        <v>1038</v>
      </c>
      <c r="H82" s="340">
        <v>57637</v>
      </c>
      <c r="I82" s="897"/>
      <c r="J82" s="455"/>
      <c r="K82" s="456">
        <f t="shared" si="41"/>
        <v>4.6549959227579506E-2</v>
      </c>
      <c r="L82" s="340">
        <v>60320</v>
      </c>
      <c r="M82" s="2488"/>
      <c r="O82" s="456">
        <f t="shared" si="48"/>
        <v>1.7506631299734749E-2</v>
      </c>
      <c r="P82" s="340">
        <f t="shared" si="49"/>
        <v>61376</v>
      </c>
      <c r="Q82" s="2488" t="str">
        <f t="shared" si="43"/>
        <v>1.8% = Est. S &amp; C</v>
      </c>
      <c r="R82" s="455"/>
      <c r="S82" s="456">
        <f t="shared" si="36"/>
        <v>1.7498696558915536E-2</v>
      </c>
      <c r="T82" s="340">
        <f t="shared" si="44"/>
        <v>62450</v>
      </c>
      <c r="U82" s="2488" t="str">
        <f t="shared" si="45"/>
        <v>1.8% = Est. S &amp; C</v>
      </c>
      <c r="V82" s="2429"/>
      <c r="W82" s="2343"/>
      <c r="Y82" s="2370"/>
      <c r="AA82" s="1668"/>
      <c r="AC82" s="2370"/>
    </row>
    <row r="83" spans="1:29" s="340" customFormat="1" x14ac:dyDescent="0.25">
      <c r="A83" s="455"/>
      <c r="B83" s="2427">
        <v>2312</v>
      </c>
      <c r="C83" s="2386" t="s">
        <v>1011</v>
      </c>
      <c r="E83" s="2386"/>
      <c r="G83" s="456" t="s">
        <v>1038</v>
      </c>
      <c r="H83" s="340">
        <v>19695</v>
      </c>
      <c r="I83" s="897"/>
      <c r="J83" s="455"/>
      <c r="K83" s="456">
        <f t="shared" si="41"/>
        <v>6.2706270627062702E-2</v>
      </c>
      <c r="L83" s="340">
        <v>20930</v>
      </c>
      <c r="M83" s="2488"/>
      <c r="O83" s="456">
        <f t="shared" si="48"/>
        <v>0</v>
      </c>
      <c r="P83" s="340">
        <f>L83</f>
        <v>20930</v>
      </c>
      <c r="Q83" s="2488" t="s">
        <v>173</v>
      </c>
      <c r="R83" s="455"/>
      <c r="S83" s="456">
        <f t="shared" si="36"/>
        <v>0</v>
      </c>
      <c r="T83" s="340">
        <f>P83</f>
        <v>20930</v>
      </c>
      <c r="U83" s="2488" t="s">
        <v>173</v>
      </c>
      <c r="V83" s="2429"/>
      <c r="W83" s="2343"/>
      <c r="Y83" s="2370"/>
      <c r="AA83" s="1668"/>
      <c r="AC83" s="2370"/>
    </row>
    <row r="84" spans="1:29" s="340" customFormat="1" x14ac:dyDescent="0.25">
      <c r="A84" s="455"/>
      <c r="B84" s="2427">
        <v>2373</v>
      </c>
      <c r="C84" s="2386" t="s">
        <v>1012</v>
      </c>
      <c r="E84" s="2386"/>
      <c r="G84" s="456" t="s">
        <v>1038</v>
      </c>
      <c r="H84" s="340">
        <v>1283</v>
      </c>
      <c r="I84" s="897"/>
      <c r="J84" s="455"/>
      <c r="K84" s="456">
        <f t="shared" si="41"/>
        <v>-1</v>
      </c>
      <c r="L84" s="340">
        <v>0</v>
      </c>
      <c r="M84" s="2488"/>
      <c r="O84" s="456" t="str">
        <f t="shared" si="48"/>
        <v>0.00%</v>
      </c>
      <c r="P84" s="340">
        <f t="shared" si="49"/>
        <v>0</v>
      </c>
      <c r="Q84" s="2488" t="str">
        <f t="shared" si="43"/>
        <v>1.8% = Est. S &amp; C</v>
      </c>
      <c r="R84" s="455"/>
      <c r="S84" s="456" t="str">
        <f t="shared" si="36"/>
        <v>0.00%</v>
      </c>
      <c r="T84" s="340">
        <f t="shared" si="44"/>
        <v>0</v>
      </c>
      <c r="U84" s="2488" t="str">
        <f t="shared" si="45"/>
        <v>1.8% = Est. S &amp; C</v>
      </c>
      <c r="V84" s="2429"/>
      <c r="W84" s="2343"/>
      <c r="Y84" s="2370"/>
      <c r="AA84" s="1668"/>
      <c r="AC84" s="2370"/>
    </row>
    <row r="85" spans="1:29" s="340" customFormat="1" x14ac:dyDescent="0.25">
      <c r="A85" s="455"/>
      <c r="B85" s="2427">
        <v>2401</v>
      </c>
      <c r="C85" s="2386" t="s">
        <v>1013</v>
      </c>
      <c r="E85" s="2386"/>
      <c r="G85" s="456" t="s">
        <v>1038</v>
      </c>
      <c r="H85" s="340">
        <v>60021</v>
      </c>
      <c r="I85" s="897"/>
      <c r="J85" s="455"/>
      <c r="K85" s="456">
        <f t="shared" si="41"/>
        <v>-1.3328668299428534E-2</v>
      </c>
      <c r="L85" s="340">
        <v>59221</v>
      </c>
      <c r="M85" s="2488"/>
      <c r="O85" s="456">
        <f t="shared" si="48"/>
        <v>1.7493794431029535E-2</v>
      </c>
      <c r="P85" s="340">
        <f t="shared" si="49"/>
        <v>60257</v>
      </c>
      <c r="Q85" s="2488" t="str">
        <f t="shared" si="43"/>
        <v>1.8% = Est. S &amp; C</v>
      </c>
      <c r="R85" s="455"/>
      <c r="S85" s="456">
        <f t="shared" si="36"/>
        <v>1.749174369782764E-2</v>
      </c>
      <c r="T85" s="340">
        <f t="shared" si="44"/>
        <v>61311</v>
      </c>
      <c r="U85" s="2488" t="str">
        <f t="shared" si="45"/>
        <v>1.8% = Est. S &amp; C</v>
      </c>
      <c r="V85" s="2429"/>
      <c r="W85" s="2343"/>
      <c r="Y85" s="2370"/>
      <c r="AA85" s="1668"/>
      <c r="AC85" s="2370"/>
    </row>
    <row r="86" spans="1:29" s="340" customFormat="1" x14ac:dyDescent="0.25">
      <c r="A86" s="455"/>
      <c r="B86" s="2427">
        <v>2402</v>
      </c>
      <c r="C86" s="2386" t="s">
        <v>1014</v>
      </c>
      <c r="E86" s="2386"/>
      <c r="G86" s="456" t="s">
        <v>1038</v>
      </c>
      <c r="H86" s="340">
        <v>610979</v>
      </c>
      <c r="I86" s="897"/>
      <c r="J86" s="455"/>
      <c r="K86" s="456">
        <f t="shared" si="41"/>
        <v>-1.5740311860145767E-2</v>
      </c>
      <c r="L86" s="340">
        <v>601362</v>
      </c>
      <c r="M86" s="2488"/>
      <c r="O86" s="456">
        <f t="shared" si="48"/>
        <v>1.7500274377163838E-2</v>
      </c>
      <c r="P86" s="340">
        <f t="shared" si="49"/>
        <v>611886</v>
      </c>
      <c r="Q86" s="2488" t="str">
        <f t="shared" si="43"/>
        <v>1.8% = Est. S &amp; C</v>
      </c>
      <c r="R86" s="455"/>
      <c r="S86" s="456">
        <f t="shared" si="36"/>
        <v>1.7499991828543227E-2</v>
      </c>
      <c r="T86" s="340">
        <f t="shared" si="44"/>
        <v>622594</v>
      </c>
      <c r="U86" s="2488" t="str">
        <f t="shared" si="45"/>
        <v>1.8% = Est. S &amp; C</v>
      </c>
      <c r="V86" s="2429"/>
      <c r="W86" s="2343"/>
      <c r="Y86" s="2370"/>
      <c r="AA86" s="1668"/>
      <c r="AC86" s="2370"/>
    </row>
    <row r="87" spans="1:29" s="340" customFormat="1" x14ac:dyDescent="0.25">
      <c r="A87" s="455"/>
      <c r="B87" s="2427">
        <v>2403</v>
      </c>
      <c r="C87" s="2386" t="s">
        <v>1015</v>
      </c>
      <c r="E87" s="2386"/>
      <c r="G87" s="456" t="s">
        <v>1038</v>
      </c>
      <c r="H87" s="340">
        <v>275653</v>
      </c>
      <c r="I87" s="897"/>
      <c r="J87" s="455"/>
      <c r="K87" s="456">
        <f t="shared" si="41"/>
        <v>7.8312225878187425E-2</v>
      </c>
      <c r="L87" s="340">
        <v>297240</v>
      </c>
      <c r="M87" s="2488" t="s">
        <v>1089</v>
      </c>
      <c r="O87" s="456">
        <f t="shared" si="48"/>
        <v>1.7501009285425917E-2</v>
      </c>
      <c r="P87" s="340">
        <f t="shared" si="49"/>
        <v>302442</v>
      </c>
      <c r="Q87" s="2488" t="str">
        <f t="shared" si="43"/>
        <v>1.8% = Est. S &amp; C</v>
      </c>
      <c r="R87" s="455"/>
      <c r="S87" s="456">
        <f t="shared" si="36"/>
        <v>1.7500876201056732E-2</v>
      </c>
      <c r="T87" s="340">
        <f t="shared" si="44"/>
        <v>307735</v>
      </c>
      <c r="U87" s="2488" t="str">
        <f t="shared" si="45"/>
        <v>1.8% = Est. S &amp; C</v>
      </c>
      <c r="V87" s="2429"/>
      <c r="W87" s="2343"/>
      <c r="Y87" s="2370"/>
      <c r="AA87" s="1668"/>
      <c r="AC87" s="2370"/>
    </row>
    <row r="88" spans="1:29" s="340" customFormat="1" x14ac:dyDescent="0.25">
      <c r="A88" s="455"/>
      <c r="B88" s="2427">
        <v>2405</v>
      </c>
      <c r="C88" s="2386" t="s">
        <v>1016</v>
      </c>
      <c r="E88" s="2386"/>
      <c r="G88" s="456" t="s">
        <v>1038</v>
      </c>
      <c r="H88" s="340">
        <v>89086</v>
      </c>
      <c r="I88" s="897"/>
      <c r="J88" s="455"/>
      <c r="K88" s="456">
        <f t="shared" si="41"/>
        <v>4.5080035022337962E-2</v>
      </c>
      <c r="L88" s="340">
        <v>93102</v>
      </c>
      <c r="M88" s="2488"/>
      <c r="O88" s="456">
        <f t="shared" si="48"/>
        <v>1.7496938841270866E-2</v>
      </c>
      <c r="P88" s="340">
        <f t="shared" si="49"/>
        <v>94731</v>
      </c>
      <c r="Q88" s="2488" t="str">
        <f t="shared" si="43"/>
        <v>1.8% = Est. S &amp; C</v>
      </c>
      <c r="R88" s="455"/>
      <c r="S88" s="456">
        <f t="shared" si="36"/>
        <v>1.7502190412853239E-2</v>
      </c>
      <c r="T88" s="340">
        <f t="shared" si="44"/>
        <v>96389</v>
      </c>
      <c r="U88" s="2488" t="str">
        <f t="shared" si="45"/>
        <v>1.8% = Est. S &amp; C</v>
      </c>
      <c r="V88" s="2429"/>
      <c r="W88" s="2343"/>
      <c r="Y88" s="2370"/>
      <c r="AA88" s="1668"/>
      <c r="AC88" s="2370"/>
    </row>
    <row r="89" spans="1:29" s="340" customFormat="1" x14ac:dyDescent="0.25">
      <c r="A89" s="455"/>
      <c r="B89" s="2427">
        <v>2406</v>
      </c>
      <c r="C89" s="2386" t="s">
        <v>1018</v>
      </c>
      <c r="E89" s="2386"/>
      <c r="G89" s="456" t="s">
        <v>1038</v>
      </c>
      <c r="H89" s="340">
        <v>0</v>
      </c>
      <c r="I89" s="897"/>
      <c r="J89" s="455"/>
      <c r="K89" s="456" t="str">
        <f t="shared" si="41"/>
        <v>0.00%</v>
      </c>
      <c r="L89" s="340">
        <f t="shared" ref="L89:L111" si="50">ROUND(H89*(1+$M$37),0)</f>
        <v>0</v>
      </c>
      <c r="M89" s="2488"/>
      <c r="O89" s="456" t="str">
        <f t="shared" si="48"/>
        <v>0.00%</v>
      </c>
      <c r="P89" s="340">
        <f t="shared" si="49"/>
        <v>0</v>
      </c>
      <c r="Q89" s="2488" t="str">
        <f t="shared" si="43"/>
        <v>1.8% = Est. S &amp; C</v>
      </c>
      <c r="R89" s="455"/>
      <c r="S89" s="456" t="str">
        <f t="shared" si="36"/>
        <v>0.00%</v>
      </c>
      <c r="T89" s="340">
        <f t="shared" si="44"/>
        <v>0</v>
      </c>
      <c r="U89" s="2488" t="str">
        <f t="shared" si="45"/>
        <v>1.8% = Est. S &amp; C</v>
      </c>
      <c r="V89" s="2429"/>
      <c r="W89" s="2343"/>
      <c r="Y89" s="2370"/>
      <c r="AA89" s="1668"/>
      <c r="AC89" s="2370"/>
    </row>
    <row r="90" spans="1:29" s="340" customFormat="1" x14ac:dyDescent="0.25">
      <c r="A90" s="455"/>
      <c r="B90" s="2427">
        <v>2408</v>
      </c>
      <c r="C90" s="2386" t="s">
        <v>1019</v>
      </c>
      <c r="E90" s="2386"/>
      <c r="G90" s="456" t="s">
        <v>1038</v>
      </c>
      <c r="H90" s="340">
        <v>48972</v>
      </c>
      <c r="I90" s="897"/>
      <c r="J90" s="455"/>
      <c r="K90" s="456">
        <f t="shared" si="41"/>
        <v>3.7204933431348529E-2</v>
      </c>
      <c r="L90" s="340">
        <v>50794</v>
      </c>
      <c r="M90" s="2488"/>
      <c r="O90" s="456">
        <f t="shared" si="48"/>
        <v>1.7502067173288182E-2</v>
      </c>
      <c r="P90" s="340">
        <f t="shared" si="49"/>
        <v>51683</v>
      </c>
      <c r="Q90" s="2488" t="str">
        <f t="shared" si="43"/>
        <v>1.8% = Est. S &amp; C</v>
      </c>
      <c r="R90" s="455"/>
      <c r="S90" s="456">
        <f t="shared" si="36"/>
        <v>1.7491244703287348E-2</v>
      </c>
      <c r="T90" s="340">
        <f t="shared" si="44"/>
        <v>52587</v>
      </c>
      <c r="U90" s="2488" t="str">
        <f t="shared" si="45"/>
        <v>1.8% = Est. S &amp; C</v>
      </c>
      <c r="V90" s="2429"/>
      <c r="W90" s="2343"/>
      <c r="Y90" s="2370"/>
      <c r="AA90" s="1668"/>
      <c r="AC90" s="2370"/>
    </row>
    <row r="91" spans="1:29" s="340" customFormat="1" x14ac:dyDescent="0.25">
      <c r="A91" s="455"/>
      <c r="B91" s="2427">
        <v>2410</v>
      </c>
      <c r="C91" s="2386" t="s">
        <v>1017</v>
      </c>
      <c r="E91" s="2386"/>
      <c r="G91" s="456" t="s">
        <v>1038</v>
      </c>
      <c r="H91" s="340">
        <v>65540</v>
      </c>
      <c r="I91" s="897"/>
      <c r="J91" s="455"/>
      <c r="K91" s="456">
        <f t="shared" si="41"/>
        <v>-1.3304851998779371E-2</v>
      </c>
      <c r="L91" s="340">
        <v>64668</v>
      </c>
      <c r="M91" s="2488"/>
      <c r="O91" s="456">
        <f t="shared" si="48"/>
        <v>1.7504793715593492E-2</v>
      </c>
      <c r="P91" s="340">
        <f t="shared" si="49"/>
        <v>65800</v>
      </c>
      <c r="Q91" s="2488" t="str">
        <f t="shared" si="43"/>
        <v>1.8% = Est. S &amp; C</v>
      </c>
      <c r="R91" s="455"/>
      <c r="S91" s="456">
        <f t="shared" si="36"/>
        <v>1.7507598784194528E-2</v>
      </c>
      <c r="T91" s="340">
        <f t="shared" si="44"/>
        <v>66952</v>
      </c>
      <c r="U91" s="2488" t="str">
        <f t="shared" si="45"/>
        <v>1.8% = Est. S &amp; C</v>
      </c>
      <c r="V91" s="2429"/>
      <c r="W91" s="2343"/>
      <c r="Y91" s="2370"/>
      <c r="AA91" s="1668"/>
      <c r="AC91" s="2370"/>
    </row>
    <row r="92" spans="1:29" s="340" customFormat="1" x14ac:dyDescent="0.25">
      <c r="A92" s="455"/>
      <c r="B92" s="2427">
        <v>2411</v>
      </c>
      <c r="C92" s="2386" t="s">
        <v>1020</v>
      </c>
      <c r="E92" s="2386"/>
      <c r="G92" s="456" t="s">
        <v>1038</v>
      </c>
      <c r="H92" s="340">
        <v>58651</v>
      </c>
      <c r="I92" s="897"/>
      <c r="J92" s="455"/>
      <c r="K92" s="456">
        <f t="shared" si="41"/>
        <v>-1.3026205861792638E-2</v>
      </c>
      <c r="L92" s="340">
        <v>57887</v>
      </c>
      <c r="M92" s="2488"/>
      <c r="O92" s="456">
        <f t="shared" si="48"/>
        <v>1.7499611311693471E-2</v>
      </c>
      <c r="P92" s="340">
        <f t="shared" si="49"/>
        <v>58900</v>
      </c>
      <c r="Q92" s="2488" t="str">
        <f t="shared" si="43"/>
        <v>1.8% = Est. S &amp; C</v>
      </c>
      <c r="R92" s="455"/>
      <c r="S92" s="456">
        <f t="shared" si="36"/>
        <v>1.7504244482173175E-2</v>
      </c>
      <c r="T92" s="340">
        <f t="shared" si="44"/>
        <v>59931</v>
      </c>
      <c r="U92" s="2488" t="str">
        <f t="shared" si="45"/>
        <v>1.8% = Est. S &amp; C</v>
      </c>
      <c r="V92" s="2429"/>
      <c r="W92" s="2343"/>
      <c r="Y92" s="2370"/>
      <c r="AA92" s="1668"/>
      <c r="AC92" s="2370"/>
    </row>
    <row r="93" spans="1:29" s="340" customFormat="1" x14ac:dyDescent="0.25">
      <c r="A93" s="455"/>
      <c r="B93" s="2427">
        <v>2415</v>
      </c>
      <c r="C93" s="2386" t="s">
        <v>1021</v>
      </c>
      <c r="E93" s="2386"/>
      <c r="G93" s="456" t="s">
        <v>1038</v>
      </c>
      <c r="H93" s="340">
        <v>60546</v>
      </c>
      <c r="I93" s="897"/>
      <c r="J93" s="455"/>
      <c r="K93" s="456">
        <f t="shared" si="41"/>
        <v>-1.69292769134212E-2</v>
      </c>
      <c r="L93" s="340">
        <v>59521</v>
      </c>
      <c r="M93" s="2488"/>
      <c r="O93" s="456">
        <f t="shared" si="48"/>
        <v>1.7506426303321516E-2</v>
      </c>
      <c r="P93" s="340">
        <f t="shared" si="49"/>
        <v>60563</v>
      </c>
      <c r="Q93" s="2488" t="str">
        <f t="shared" si="43"/>
        <v>1.8% = Est. S &amp; C</v>
      </c>
      <c r="R93" s="455"/>
      <c r="S93" s="456">
        <f t="shared" si="36"/>
        <v>1.7502435480408831E-2</v>
      </c>
      <c r="T93" s="340">
        <f t="shared" si="44"/>
        <v>61623</v>
      </c>
      <c r="U93" s="2488" t="str">
        <f t="shared" si="45"/>
        <v>1.8% = Est. S &amp; C</v>
      </c>
      <c r="V93" s="2429"/>
      <c r="W93" s="2343"/>
      <c r="Y93" s="2370"/>
      <c r="AA93" s="1668"/>
      <c r="AC93" s="2370"/>
    </row>
    <row r="94" spans="1:29" s="340" customFormat="1" x14ac:dyDescent="0.25">
      <c r="A94" s="455"/>
      <c r="B94" s="2427">
        <v>2417</v>
      </c>
      <c r="C94" s="2386" t="s">
        <v>1022</v>
      </c>
      <c r="E94" s="2386"/>
      <c r="G94" s="456" t="s">
        <v>1038</v>
      </c>
      <c r="H94" s="340">
        <v>35758.28</v>
      </c>
      <c r="I94" s="897"/>
      <c r="J94" s="455"/>
      <c r="K94" s="456">
        <f t="shared" si="41"/>
        <v>-1</v>
      </c>
      <c r="L94" s="340">
        <v>0</v>
      </c>
      <c r="M94" s="2488" t="s">
        <v>1093</v>
      </c>
      <c r="O94" s="456" t="str">
        <f t="shared" si="48"/>
        <v>0.00%</v>
      </c>
      <c r="P94" s="340">
        <f t="shared" si="49"/>
        <v>0</v>
      </c>
      <c r="Q94" s="2488" t="str">
        <f t="shared" si="43"/>
        <v>1.8% = Est. S &amp; C</v>
      </c>
      <c r="R94" s="455"/>
      <c r="S94" s="456" t="str">
        <f t="shared" si="36"/>
        <v>0.00%</v>
      </c>
      <c r="T94" s="340">
        <f t="shared" si="44"/>
        <v>0</v>
      </c>
      <c r="U94" s="2488" t="str">
        <f t="shared" si="45"/>
        <v>1.8% = Est. S &amp; C</v>
      </c>
      <c r="V94" s="2429"/>
      <c r="W94" s="2343"/>
      <c r="Y94" s="2370"/>
      <c r="AA94" s="1668"/>
      <c r="AC94" s="2370"/>
    </row>
    <row r="95" spans="1:29" s="340" customFormat="1" x14ac:dyDescent="0.25">
      <c r="A95" s="455"/>
      <c r="B95" s="2427">
        <v>2418</v>
      </c>
      <c r="C95" s="2386" t="s">
        <v>1023</v>
      </c>
      <c r="E95" s="2386"/>
      <c r="G95" s="456" t="s">
        <v>1038</v>
      </c>
      <c r="H95" s="340">
        <v>52440</v>
      </c>
      <c r="I95" s="897"/>
      <c r="J95" s="455"/>
      <c r="K95" s="456">
        <f t="shared" si="41"/>
        <v>-0.16346300533943556</v>
      </c>
      <c r="L95" s="340">
        <v>43868</v>
      </c>
      <c r="M95" s="2488"/>
      <c r="O95" s="456">
        <f t="shared" si="48"/>
        <v>1.750706665450898E-2</v>
      </c>
      <c r="P95" s="340">
        <f t="shared" si="49"/>
        <v>44636</v>
      </c>
      <c r="Q95" s="2488" t="str">
        <f t="shared" si="43"/>
        <v>1.8% = Est. S &amp; C</v>
      </c>
      <c r="R95" s="455"/>
      <c r="S95" s="456">
        <f t="shared" si="36"/>
        <v>1.7497087552648088E-2</v>
      </c>
      <c r="T95" s="340">
        <f t="shared" si="44"/>
        <v>45417</v>
      </c>
      <c r="U95" s="2488" t="str">
        <f t="shared" si="45"/>
        <v>1.8% = Est. S &amp; C</v>
      </c>
      <c r="V95" s="2429"/>
      <c r="W95" s="2343"/>
      <c r="Y95" s="2370"/>
      <c r="AA95" s="1668"/>
      <c r="AC95" s="2370"/>
    </row>
    <row r="96" spans="1:29" s="340" customFormat="1" x14ac:dyDescent="0.25">
      <c r="A96" s="455"/>
      <c r="B96" s="2427">
        <v>2420</v>
      </c>
      <c r="C96" s="2386" t="s">
        <v>1024</v>
      </c>
      <c r="E96" s="2386"/>
      <c r="G96" s="456" t="s">
        <v>1038</v>
      </c>
      <c r="H96" s="340">
        <v>508489</v>
      </c>
      <c r="I96" s="897"/>
      <c r="J96" s="455"/>
      <c r="K96" s="456">
        <f t="shared" si="41"/>
        <v>-5.7857692103467336E-3</v>
      </c>
      <c r="L96" s="340">
        <v>505547</v>
      </c>
      <c r="M96" s="2488"/>
      <c r="O96" s="456">
        <f t="shared" si="48"/>
        <v>1.7499856590979673E-2</v>
      </c>
      <c r="P96" s="340">
        <f t="shared" si="49"/>
        <v>514394</v>
      </c>
      <c r="Q96" s="2488" t="str">
        <f t="shared" si="43"/>
        <v>1.8% = Est. S &amp; C</v>
      </c>
      <c r="R96" s="455"/>
      <c r="S96" s="456">
        <f t="shared" si="36"/>
        <v>1.7500204123687291E-2</v>
      </c>
      <c r="T96" s="340">
        <f t="shared" si="44"/>
        <v>523396</v>
      </c>
      <c r="U96" s="2488" t="str">
        <f t="shared" si="45"/>
        <v>1.8% = Est. S &amp; C</v>
      </c>
      <c r="V96" s="2429"/>
      <c r="W96" s="2343"/>
      <c r="Y96" s="2370"/>
      <c r="AA96" s="1668"/>
      <c r="AC96" s="2370"/>
    </row>
    <row r="97" spans="1:29" s="340" customFormat="1" x14ac:dyDescent="0.25">
      <c r="A97" s="455"/>
      <c r="B97" s="2427">
        <v>2422</v>
      </c>
      <c r="C97" s="2386" t="s">
        <v>1025</v>
      </c>
      <c r="E97" s="2386"/>
      <c r="G97" s="456" t="s">
        <v>1038</v>
      </c>
      <c r="H97" s="340">
        <v>55037</v>
      </c>
      <c r="I97" s="897"/>
      <c r="J97" s="455"/>
      <c r="K97" s="456">
        <f t="shared" si="41"/>
        <v>1.5498664534767521E-2</v>
      </c>
      <c r="L97" s="340">
        <v>55890</v>
      </c>
      <c r="M97" s="2488"/>
      <c r="O97" s="456">
        <f t="shared" si="48"/>
        <v>1.7498658078368222E-2</v>
      </c>
      <c r="P97" s="340">
        <f t="shared" si="49"/>
        <v>56868</v>
      </c>
      <c r="Q97" s="2488" t="str">
        <f t="shared" si="43"/>
        <v>1.8% = Est. S &amp; C</v>
      </c>
      <c r="R97" s="455"/>
      <c r="S97" s="456">
        <f t="shared" si="36"/>
        <v>1.7496658929450657E-2</v>
      </c>
      <c r="T97" s="340">
        <f t="shared" si="44"/>
        <v>57863</v>
      </c>
      <c r="U97" s="2488" t="str">
        <f t="shared" si="45"/>
        <v>1.8% = Est. S &amp; C</v>
      </c>
      <c r="V97" s="2429"/>
      <c r="W97" s="2343"/>
      <c r="Y97" s="2370"/>
      <c r="AA97" s="1668"/>
      <c r="AC97" s="2370"/>
    </row>
    <row r="98" spans="1:29" s="340" customFormat="1" x14ac:dyDescent="0.25">
      <c r="A98" s="455"/>
      <c r="B98" s="2427">
        <v>2423</v>
      </c>
      <c r="C98" s="2386" t="s">
        <v>1026</v>
      </c>
      <c r="E98" s="2386"/>
      <c r="G98" s="456" t="s">
        <v>1038</v>
      </c>
      <c r="H98" s="340">
        <v>51790</v>
      </c>
      <c r="I98" s="897"/>
      <c r="J98" s="455"/>
      <c r="K98" s="456">
        <f t="shared" si="41"/>
        <v>2.4522108515157366E-3</v>
      </c>
      <c r="L98" s="340">
        <v>51917</v>
      </c>
      <c r="M98" s="2488"/>
      <c r="O98" s="456">
        <f t="shared" si="48"/>
        <v>1.7508715834890307E-2</v>
      </c>
      <c r="P98" s="340">
        <f t="shared" si="49"/>
        <v>52826</v>
      </c>
      <c r="Q98" s="2488" t="str">
        <f t="shared" si="43"/>
        <v>1.8% = Est. S &amp; C</v>
      </c>
      <c r="R98" s="455"/>
      <c r="S98" s="456">
        <f t="shared" si="36"/>
        <v>1.7491386817097641E-2</v>
      </c>
      <c r="T98" s="340">
        <f t="shared" si="44"/>
        <v>53750</v>
      </c>
      <c r="U98" s="2488" t="str">
        <f t="shared" si="45"/>
        <v>1.8% = Est. S &amp; C</v>
      </c>
      <c r="V98" s="2429"/>
      <c r="W98" s="2343"/>
      <c r="Y98" s="2370"/>
      <c r="AA98" s="1668"/>
      <c r="AC98" s="2370"/>
    </row>
    <row r="99" spans="1:29" s="340" customFormat="1" x14ac:dyDescent="0.25">
      <c r="A99" s="455"/>
      <c r="B99" s="2427">
        <v>2427</v>
      </c>
      <c r="C99" s="2386" t="s">
        <v>1027</v>
      </c>
      <c r="E99" s="2386"/>
      <c r="G99" s="456" t="s">
        <v>1038</v>
      </c>
      <c r="H99" s="340">
        <v>157635</v>
      </c>
      <c r="I99" s="897"/>
      <c r="J99" s="455"/>
      <c r="K99" s="456">
        <f t="shared" si="41"/>
        <v>-2.0851968154280458E-2</v>
      </c>
      <c r="L99" s="340">
        <v>154348</v>
      </c>
      <c r="M99" s="2488" t="s">
        <v>1090</v>
      </c>
      <c r="O99" s="456">
        <f t="shared" si="48"/>
        <v>-0.11207790188405421</v>
      </c>
      <c r="P99" s="340">
        <f>ROUND(L99*(1+$Q$37),0)-20000</f>
        <v>137049</v>
      </c>
      <c r="Q99" s="2488" t="str">
        <f t="shared" si="43"/>
        <v>1.8% = Est. S &amp; C</v>
      </c>
      <c r="R99" s="455"/>
      <c r="S99" s="456">
        <f t="shared" si="36"/>
        <v>-0.12843581492750769</v>
      </c>
      <c r="T99" s="340">
        <f>ROUND(P99*(1+$Q$37),0)-20000</f>
        <v>119447</v>
      </c>
      <c r="U99" s="2488" t="str">
        <f t="shared" si="45"/>
        <v>1.8% = Est. S &amp; C</v>
      </c>
      <c r="V99" s="2429"/>
      <c r="W99" s="2343"/>
      <c r="Y99" s="2370"/>
      <c r="AA99" s="1668"/>
      <c r="AC99" s="2370"/>
    </row>
    <row r="100" spans="1:29" s="340" customFormat="1" x14ac:dyDescent="0.25">
      <c r="A100" s="455"/>
      <c r="B100" s="2427">
        <v>2432</v>
      </c>
      <c r="C100" s="2386" t="s">
        <v>1028</v>
      </c>
      <c r="E100" s="2386"/>
      <c r="G100" s="456" t="s">
        <v>1038</v>
      </c>
      <c r="H100" s="340">
        <v>51480</v>
      </c>
      <c r="I100" s="897"/>
      <c r="J100" s="455"/>
      <c r="K100" s="456">
        <f t="shared" si="41"/>
        <v>-1.3325563325563325E-2</v>
      </c>
      <c r="L100" s="340">
        <v>50794</v>
      </c>
      <c r="M100" s="2488"/>
      <c r="O100" s="456">
        <f t="shared" si="48"/>
        <v>1.7502067173288182E-2</v>
      </c>
      <c r="P100" s="340">
        <f t="shared" si="49"/>
        <v>51683</v>
      </c>
      <c r="Q100" s="2488" t="str">
        <f t="shared" si="43"/>
        <v>1.8% = Est. S &amp; C</v>
      </c>
      <c r="R100" s="455"/>
      <c r="S100" s="456">
        <f t="shared" si="36"/>
        <v>1.7491244703287348E-2</v>
      </c>
      <c r="T100" s="340">
        <f t="shared" ref="T100:T111" si="51">ROUND(P100*(1+$Q$37),0)</f>
        <v>52587</v>
      </c>
      <c r="U100" s="2488" t="str">
        <f t="shared" si="45"/>
        <v>1.8% = Est. S &amp; C</v>
      </c>
      <c r="V100" s="2429"/>
      <c r="W100" s="2343"/>
      <c r="Y100" s="2370"/>
      <c r="AA100" s="1668"/>
      <c r="AC100" s="2370"/>
    </row>
    <row r="101" spans="1:29" s="340" customFormat="1" x14ac:dyDescent="0.25">
      <c r="A101" s="455"/>
      <c r="B101" s="2427">
        <v>2439</v>
      </c>
      <c r="C101" s="2386" t="s">
        <v>1029</v>
      </c>
      <c r="E101" s="2386"/>
      <c r="G101" s="456" t="s">
        <v>1038</v>
      </c>
      <c r="H101" s="340">
        <v>24311</v>
      </c>
      <c r="I101" s="897"/>
      <c r="J101" s="455"/>
      <c r="K101" s="456">
        <f t="shared" si="41"/>
        <v>-1.851013944305047E-2</v>
      </c>
      <c r="L101" s="340">
        <v>23861</v>
      </c>
      <c r="M101" s="2488"/>
      <c r="O101" s="456">
        <f t="shared" si="48"/>
        <v>1.7518125811994467E-2</v>
      </c>
      <c r="P101" s="340">
        <f t="shared" si="49"/>
        <v>24279</v>
      </c>
      <c r="Q101" s="2488" t="str">
        <f t="shared" si="43"/>
        <v>1.8% = Est. S &amp; C</v>
      </c>
      <c r="R101" s="455"/>
      <c r="S101" s="456">
        <f t="shared" si="36"/>
        <v>1.7504839573293792E-2</v>
      </c>
      <c r="T101" s="340">
        <f t="shared" si="51"/>
        <v>24704</v>
      </c>
      <c r="U101" s="2488" t="str">
        <f t="shared" si="45"/>
        <v>1.8% = Est. S &amp; C</v>
      </c>
      <c r="V101" s="2429"/>
      <c r="W101" s="2343"/>
      <c r="Y101" s="2370"/>
      <c r="AA101" s="1668"/>
      <c r="AC101" s="2370"/>
    </row>
    <row r="102" spans="1:29" s="340" customFormat="1" x14ac:dyDescent="0.25">
      <c r="A102" s="455"/>
      <c r="B102" s="2427">
        <v>2473</v>
      </c>
      <c r="C102" s="2386" t="s">
        <v>1030</v>
      </c>
      <c r="E102" s="2386"/>
      <c r="G102" s="456" t="s">
        <v>1038</v>
      </c>
      <c r="H102" s="340">
        <v>36790</v>
      </c>
      <c r="I102" s="897"/>
      <c r="J102" s="455"/>
      <c r="K102" s="456">
        <f t="shared" si="41"/>
        <v>-0.29328621908127206</v>
      </c>
      <c r="L102" s="340">
        <v>26000</v>
      </c>
      <c r="M102" s="2488"/>
      <c r="O102" s="456">
        <f t="shared" si="48"/>
        <v>0</v>
      </c>
      <c r="P102" s="340">
        <f>L102</f>
        <v>26000</v>
      </c>
      <c r="Q102" s="2488" t="s">
        <v>173</v>
      </c>
      <c r="R102" s="455"/>
      <c r="S102" s="456">
        <f t="shared" si="36"/>
        <v>0</v>
      </c>
      <c r="T102" s="340">
        <f>P102</f>
        <v>26000</v>
      </c>
      <c r="U102" s="2488" t="s">
        <v>173</v>
      </c>
      <c r="V102" s="2429"/>
      <c r="W102" s="2343"/>
      <c r="Y102" s="2370"/>
      <c r="AA102" s="1668"/>
      <c r="AC102" s="2370"/>
    </row>
    <row r="103" spans="1:29" s="340" customFormat="1" x14ac:dyDescent="0.25">
      <c r="A103" s="455"/>
      <c r="B103" s="2427">
        <v>2481</v>
      </c>
      <c r="C103" s="2386" t="s">
        <v>1031</v>
      </c>
      <c r="E103" s="2386"/>
      <c r="G103" s="456" t="s">
        <v>1038</v>
      </c>
      <c r="H103" s="340">
        <v>66736</v>
      </c>
      <c r="I103" s="897"/>
      <c r="J103" s="455"/>
      <c r="K103" s="456">
        <f t="shared" si="41"/>
        <v>0.34543574682330375</v>
      </c>
      <c r="L103" s="340">
        <v>89789</v>
      </c>
      <c r="M103" s="2488"/>
      <c r="O103" s="456">
        <f t="shared" si="48"/>
        <v>0</v>
      </c>
      <c r="P103" s="340">
        <f>L103</f>
        <v>89789</v>
      </c>
      <c r="Q103" s="2488" t="s">
        <v>173</v>
      </c>
      <c r="R103" s="455"/>
      <c r="S103" s="456">
        <f t="shared" si="36"/>
        <v>0</v>
      </c>
      <c r="T103" s="340">
        <f>P103</f>
        <v>89789</v>
      </c>
      <c r="U103" s="2488" t="s">
        <v>173</v>
      </c>
      <c r="V103" s="2429"/>
      <c r="W103" s="2343"/>
      <c r="Y103" s="2370"/>
      <c r="AA103" s="1668"/>
      <c r="AC103" s="2370"/>
    </row>
    <row r="104" spans="1:29" s="340" customFormat="1" x14ac:dyDescent="0.25">
      <c r="A104" s="455"/>
      <c r="B104" s="2427">
        <v>2907</v>
      </c>
      <c r="C104" s="2386" t="s">
        <v>872</v>
      </c>
      <c r="E104" s="2386"/>
      <c r="G104" s="456" t="s">
        <v>1038</v>
      </c>
      <c r="H104" s="340">
        <v>296857</v>
      </c>
      <c r="I104" s="897"/>
      <c r="J104" s="455"/>
      <c r="K104" s="456">
        <f t="shared" si="41"/>
        <v>6.5634295300430842E-2</v>
      </c>
      <c r="L104" s="340">
        <v>316341</v>
      </c>
      <c r="M104" s="2488"/>
      <c r="O104" s="456">
        <f t="shared" si="48"/>
        <v>1.7500102737236085E-2</v>
      </c>
      <c r="P104" s="340">
        <f t="shared" si="49"/>
        <v>321877</v>
      </c>
      <c r="Q104" s="2488" t="str">
        <f t="shared" si="43"/>
        <v>1.8% = Est. S &amp; C</v>
      </c>
      <c r="R104" s="455"/>
      <c r="S104" s="456">
        <f t="shared" si="36"/>
        <v>1.7500473783463869E-2</v>
      </c>
      <c r="T104" s="340">
        <f t="shared" si="51"/>
        <v>327510</v>
      </c>
      <c r="U104" s="2488" t="str">
        <f t="shared" si="45"/>
        <v>1.8% = Est. S &amp; C</v>
      </c>
      <c r="V104" s="2429"/>
      <c r="W104" s="2343"/>
      <c r="Y104" s="2370"/>
      <c r="AA104" s="1668"/>
      <c r="AC104" s="2370"/>
    </row>
    <row r="105" spans="1:29" s="340" customFormat="1" x14ac:dyDescent="0.25">
      <c r="A105" s="455"/>
      <c r="B105" s="2427">
        <v>2908</v>
      </c>
      <c r="C105" s="2386" t="s">
        <v>1032</v>
      </c>
      <c r="E105" s="2386"/>
      <c r="G105" s="456" t="s">
        <v>1038</v>
      </c>
      <c r="H105" s="340">
        <v>0</v>
      </c>
      <c r="I105" s="897"/>
      <c r="J105" s="455"/>
      <c r="K105" s="456" t="str">
        <f t="shared" si="41"/>
        <v>0.00%</v>
      </c>
      <c r="L105" s="340">
        <f t="shared" si="50"/>
        <v>0</v>
      </c>
      <c r="M105" s="2488"/>
      <c r="O105" s="456" t="str">
        <f t="shared" si="48"/>
        <v>0.00%</v>
      </c>
      <c r="P105" s="340">
        <f t="shared" si="49"/>
        <v>0</v>
      </c>
      <c r="Q105" s="2488" t="str">
        <f t="shared" si="43"/>
        <v>1.8% = Est. S &amp; C</v>
      </c>
      <c r="R105" s="455"/>
      <c r="S105" s="456" t="str">
        <f t="shared" si="36"/>
        <v>0.00%</v>
      </c>
      <c r="T105" s="340">
        <f t="shared" si="51"/>
        <v>0</v>
      </c>
      <c r="U105" s="2488" t="str">
        <f t="shared" si="45"/>
        <v>1.8% = Est. S &amp; C</v>
      </c>
      <c r="V105" s="2429"/>
      <c r="W105" s="2343"/>
      <c r="Y105" s="2370"/>
      <c r="AA105" s="1668"/>
      <c r="AC105" s="2370"/>
    </row>
    <row r="106" spans="1:29" s="340" customFormat="1" x14ac:dyDescent="0.25">
      <c r="A106" s="455"/>
      <c r="B106" s="2427">
        <v>2909</v>
      </c>
      <c r="C106" s="2386" t="s">
        <v>1033</v>
      </c>
      <c r="E106" s="2386"/>
      <c r="G106" s="456" t="s">
        <v>1038</v>
      </c>
      <c r="H106" s="340">
        <v>6063</v>
      </c>
      <c r="I106" s="897"/>
      <c r="J106" s="455"/>
      <c r="K106" s="456">
        <f t="shared" si="41"/>
        <v>-1</v>
      </c>
      <c r="L106" s="340">
        <v>0</v>
      </c>
      <c r="M106" s="2488"/>
      <c r="O106" s="456" t="str">
        <f t="shared" si="48"/>
        <v>0.00%</v>
      </c>
      <c r="P106" s="340">
        <f t="shared" si="49"/>
        <v>0</v>
      </c>
      <c r="Q106" s="2488" t="str">
        <f t="shared" si="43"/>
        <v>1.8% = Est. S &amp; C</v>
      </c>
      <c r="R106" s="455"/>
      <c r="S106" s="456" t="str">
        <f t="shared" si="36"/>
        <v>0.00%</v>
      </c>
      <c r="T106" s="340">
        <f t="shared" si="51"/>
        <v>0</v>
      </c>
      <c r="U106" s="2488" t="str">
        <f t="shared" si="45"/>
        <v>1.8% = Est. S &amp; C</v>
      </c>
      <c r="V106" s="2429"/>
      <c r="W106" s="2343"/>
      <c r="Y106" s="2370"/>
      <c r="AA106" s="1668"/>
      <c r="AC106" s="2370"/>
    </row>
    <row r="107" spans="1:29" s="340" customFormat="1" x14ac:dyDescent="0.25">
      <c r="A107" s="455"/>
      <c r="B107" s="2427">
        <v>2930</v>
      </c>
      <c r="C107" s="2386" t="s">
        <v>1034</v>
      </c>
      <c r="E107" s="2386"/>
      <c r="G107" s="456" t="s">
        <v>1038</v>
      </c>
      <c r="H107" s="340">
        <v>213761</v>
      </c>
      <c r="I107" s="897"/>
      <c r="J107" s="455"/>
      <c r="K107" s="456">
        <f t="shared" si="41"/>
        <v>-1.5348917716515174E-2</v>
      </c>
      <c r="L107" s="340">
        <v>210480</v>
      </c>
      <c r="M107" s="2488"/>
      <c r="O107" s="456">
        <f t="shared" si="48"/>
        <v>1.7498099581908021E-2</v>
      </c>
      <c r="P107" s="340">
        <f t="shared" si="49"/>
        <v>214163</v>
      </c>
      <c r="Q107" s="2488" t="str">
        <f t="shared" si="43"/>
        <v>1.8% = Est. S &amp; C</v>
      </c>
      <c r="R107" s="455"/>
      <c r="S107" s="456">
        <f t="shared" si="36"/>
        <v>1.7500688727744754E-2</v>
      </c>
      <c r="T107" s="340">
        <f t="shared" si="51"/>
        <v>217911</v>
      </c>
      <c r="U107" s="2488" t="str">
        <f t="shared" si="45"/>
        <v>1.8% = Est. S &amp; C</v>
      </c>
      <c r="V107" s="2429"/>
      <c r="W107" s="2343"/>
      <c r="Y107" s="2370"/>
      <c r="AA107" s="1668"/>
      <c r="AC107" s="2370"/>
    </row>
    <row r="108" spans="1:29" s="340" customFormat="1" x14ac:dyDescent="0.25">
      <c r="A108" s="455"/>
      <c r="B108" s="2427">
        <v>2973</v>
      </c>
      <c r="C108" s="2386" t="s">
        <v>1035</v>
      </c>
      <c r="E108" s="2386"/>
      <c r="G108" s="456" t="s">
        <v>1038</v>
      </c>
      <c r="H108" s="340">
        <v>41</v>
      </c>
      <c r="I108" s="897"/>
      <c r="J108" s="455"/>
      <c r="K108" s="456">
        <f t="shared" si="41"/>
        <v>-1</v>
      </c>
      <c r="L108" s="340">
        <v>0</v>
      </c>
      <c r="M108" s="2488"/>
      <c r="O108" s="456" t="str">
        <f t="shared" si="48"/>
        <v>0.00%</v>
      </c>
      <c r="P108" s="340">
        <f t="shared" si="49"/>
        <v>0</v>
      </c>
      <c r="Q108" s="2488" t="str">
        <f t="shared" si="43"/>
        <v>1.8% = Est. S &amp; C</v>
      </c>
      <c r="R108" s="455"/>
      <c r="S108" s="456" t="str">
        <f t="shared" si="36"/>
        <v>0.00%</v>
      </c>
      <c r="T108" s="340">
        <f t="shared" si="51"/>
        <v>0</v>
      </c>
      <c r="U108" s="2488" t="str">
        <f t="shared" si="45"/>
        <v>1.8% = Est. S &amp; C</v>
      </c>
      <c r="V108" s="2429"/>
      <c r="W108" s="2343"/>
      <c r="Y108" s="2370"/>
      <c r="AA108" s="1668"/>
      <c r="AC108" s="2370"/>
    </row>
    <row r="109" spans="1:29" s="340" customFormat="1" x14ac:dyDescent="0.25">
      <c r="A109" s="455"/>
      <c r="B109" s="2427">
        <v>2975</v>
      </c>
      <c r="C109" s="2386" t="s">
        <v>1036</v>
      </c>
      <c r="E109" s="2386"/>
      <c r="G109" s="456" t="s">
        <v>1038</v>
      </c>
      <c r="H109" s="340">
        <v>66</v>
      </c>
      <c r="I109" s="897"/>
      <c r="J109" s="455"/>
      <c r="K109" s="456">
        <f t="shared" si="41"/>
        <v>-1</v>
      </c>
      <c r="L109" s="340">
        <v>0</v>
      </c>
      <c r="M109" s="2488"/>
      <c r="O109" s="456" t="str">
        <f t="shared" si="48"/>
        <v>0.00%</v>
      </c>
      <c r="P109" s="340">
        <f t="shared" si="49"/>
        <v>0</v>
      </c>
      <c r="Q109" s="2488" t="str">
        <f t="shared" si="43"/>
        <v>1.8% = Est. S &amp; C</v>
      </c>
      <c r="R109" s="455"/>
      <c r="S109" s="456" t="str">
        <f t="shared" si="36"/>
        <v>0.00%</v>
      </c>
      <c r="T109" s="340">
        <f t="shared" si="51"/>
        <v>0</v>
      </c>
      <c r="U109" s="2488" t="str">
        <f t="shared" si="45"/>
        <v>1.8% = Est. S &amp; C</v>
      </c>
      <c r="V109" s="2429"/>
      <c r="W109" s="2343"/>
      <c r="Y109" s="2370"/>
      <c r="AA109" s="1668"/>
      <c r="AC109" s="2370"/>
    </row>
    <row r="110" spans="1:29" s="340" customFormat="1" x14ac:dyDescent="0.25">
      <c r="A110" s="455"/>
      <c r="B110" s="2427">
        <v>2981</v>
      </c>
      <c r="C110" s="2386" t="s">
        <v>1037</v>
      </c>
      <c r="E110" s="2386"/>
      <c r="G110" s="456" t="s">
        <v>1038</v>
      </c>
      <c r="H110" s="340">
        <v>19024</v>
      </c>
      <c r="I110" s="897"/>
      <c r="J110" s="455"/>
      <c r="K110" s="456">
        <f t="shared" si="41"/>
        <v>-0.31665264928511355</v>
      </c>
      <c r="L110" s="340">
        <v>13000</v>
      </c>
      <c r="M110" s="2488"/>
      <c r="O110" s="456">
        <f t="shared" si="48"/>
        <v>0</v>
      </c>
      <c r="P110" s="340">
        <f>L110</f>
        <v>13000</v>
      </c>
      <c r="Q110" s="2488" t="s">
        <v>173</v>
      </c>
      <c r="R110" s="455"/>
      <c r="S110" s="456">
        <f t="shared" si="36"/>
        <v>0</v>
      </c>
      <c r="T110" s="340">
        <f>P110</f>
        <v>13000</v>
      </c>
      <c r="U110" s="2488" t="s">
        <v>173</v>
      </c>
      <c r="V110" s="2429"/>
      <c r="W110" s="2343"/>
      <c r="Y110" s="2370"/>
      <c r="AA110" s="1668"/>
      <c r="AC110" s="2370"/>
    </row>
    <row r="111" spans="1:29" s="340" customFormat="1" x14ac:dyDescent="0.25">
      <c r="A111" s="455"/>
      <c r="B111" s="2427"/>
      <c r="C111" s="2386"/>
      <c r="E111" s="2386"/>
      <c r="G111" s="456"/>
      <c r="I111" s="897"/>
      <c r="J111" s="455"/>
      <c r="K111" s="456" t="str">
        <f t="shared" si="41"/>
        <v>0.00%</v>
      </c>
      <c r="L111" s="340">
        <f t="shared" si="50"/>
        <v>0</v>
      </c>
      <c r="M111" s="2488"/>
      <c r="O111" s="456" t="str">
        <f t="shared" si="48"/>
        <v>0.00%</v>
      </c>
      <c r="P111" s="340">
        <f t="shared" si="49"/>
        <v>0</v>
      </c>
      <c r="Q111" s="2488" t="str">
        <f t="shared" si="43"/>
        <v>1.8% = Est. S &amp; C</v>
      </c>
      <c r="R111" s="455"/>
      <c r="S111" s="456" t="str">
        <f t="shared" si="36"/>
        <v>0.00%</v>
      </c>
      <c r="T111" s="340">
        <f t="shared" si="51"/>
        <v>0</v>
      </c>
      <c r="U111" s="2488" t="str">
        <f t="shared" si="45"/>
        <v>1.8% = Est. S &amp; C</v>
      </c>
      <c r="V111" s="2429"/>
      <c r="W111" s="2343"/>
      <c r="Y111" s="2370"/>
      <c r="AA111" s="1668"/>
      <c r="AC111" s="2370"/>
    </row>
    <row r="112" spans="1:29" s="340" customFormat="1" x14ac:dyDescent="0.25">
      <c r="A112" s="459"/>
      <c r="B112" s="2427"/>
      <c r="C112" s="2386"/>
      <c r="D112" s="458">
        <f>SUM(D68:D111)</f>
        <v>5774067.1899999985</v>
      </c>
      <c r="E112" s="2386"/>
      <c r="G112" s="456">
        <f>IF(D112=0,"0.00%",(H112-D112)/D112)</f>
        <v>1.7003454717332746E-2</v>
      </c>
      <c r="H112" s="458">
        <f>SUM(H68:H111)</f>
        <v>5872246.2800000003</v>
      </c>
      <c r="I112" s="2316">
        <f>+H112-D112</f>
        <v>98179.090000001714</v>
      </c>
      <c r="J112" s="459"/>
      <c r="K112" s="456">
        <f>IF(H112=0,"0.00%",(L112-H112)/H112)</f>
        <v>1.0862575743332027E-2</v>
      </c>
      <c r="L112" s="458">
        <f>SUM(L68:L111)</f>
        <v>5936034</v>
      </c>
      <c r="M112" s="2316">
        <f>+L112-H112</f>
        <v>63787.719999999739</v>
      </c>
      <c r="O112" s="456">
        <f>IF(L112=0,"0.00%",(P112-L112)/L112)</f>
        <v>1.3426136036282812E-2</v>
      </c>
      <c r="P112" s="458">
        <f>SUM(P68:P111)</f>
        <v>6015732</v>
      </c>
      <c r="Q112" s="2316">
        <f>+P112-L112</f>
        <v>79698</v>
      </c>
      <c r="R112" s="455"/>
      <c r="S112" s="456">
        <f>IF(P112=0,"0.00%",(T112-P112)/P112)</f>
        <v>1.347949011026422E-2</v>
      </c>
      <c r="T112" s="458">
        <f>SUM(T68:T111)</f>
        <v>6096821</v>
      </c>
      <c r="U112" s="2316">
        <f>+T112-P112</f>
        <v>81089</v>
      </c>
      <c r="V112" s="2429"/>
      <c r="W112" s="2241">
        <f>IF(T112=0,"0.00%",(X112-T112)/T112)</f>
        <v>-0.90518435755289517</v>
      </c>
      <c r="X112" s="458">
        <f>SUM(X68:X79)</f>
        <v>578074</v>
      </c>
      <c r="Y112" s="2370"/>
      <c r="AA112" s="456">
        <f>IF(X112=0,"0.00%",(AB112-X112)/X112)</f>
        <v>1.9999169656479965E-2</v>
      </c>
      <c r="AB112" s="458">
        <f>SUM(AB68:AB79)</f>
        <v>589635</v>
      </c>
      <c r="AC112" s="2370"/>
    </row>
    <row r="113" spans="1:29" s="340" customFormat="1" x14ac:dyDescent="0.25">
      <c r="A113" s="455"/>
      <c r="B113" s="2512" t="s">
        <v>28</v>
      </c>
      <c r="C113" s="2386"/>
      <c r="D113" s="340">
        <f>D112-5774067.19</f>
        <v>0</v>
      </c>
      <c r="E113" s="2386"/>
      <c r="G113" s="2338"/>
      <c r="I113" s="897"/>
      <c r="J113" s="455"/>
      <c r="K113" s="1668"/>
      <c r="M113" s="2340"/>
      <c r="O113" s="1668"/>
      <c r="Q113" s="2340"/>
      <c r="R113" s="455"/>
      <c r="S113" s="1668"/>
      <c r="U113" s="2340"/>
      <c r="V113" s="2429"/>
      <c r="W113" s="2343"/>
      <c r="Y113" s="2370"/>
      <c r="AA113" s="1668"/>
      <c r="AC113" s="2370"/>
    </row>
    <row r="114" spans="1:29" s="340" customFormat="1" x14ac:dyDescent="0.25">
      <c r="A114" s="460"/>
      <c r="B114" s="2511" t="s">
        <v>27</v>
      </c>
      <c r="C114" s="2386"/>
      <c r="E114" s="2386"/>
      <c r="G114" s="2338"/>
      <c r="I114" s="897"/>
      <c r="J114" s="455"/>
      <c r="K114" s="1668"/>
      <c r="M114" s="2340"/>
      <c r="O114" s="1668"/>
      <c r="Q114" s="2340"/>
      <c r="R114" s="455"/>
      <c r="S114" s="1668"/>
      <c r="U114" s="2340"/>
      <c r="V114" s="2429"/>
      <c r="W114" s="2343"/>
      <c r="Y114" s="2370"/>
      <c r="AA114" s="1668"/>
      <c r="AC114" s="2370"/>
    </row>
    <row r="115" spans="1:29" s="340" customFormat="1" x14ac:dyDescent="0.25">
      <c r="A115" s="455"/>
      <c r="B115" s="2427" t="s">
        <v>83</v>
      </c>
      <c r="C115" s="2386" t="s">
        <v>76</v>
      </c>
      <c r="D115" s="2529">
        <f>3593357.55+27364.65</f>
        <v>3620722.1999999997</v>
      </c>
      <c r="E115" s="897" t="str">
        <f>TEXT('MYP Assumptions'!$D$57,"0.00%")&amp;", STRS rate"</f>
        <v>12.58%, STRS rate</v>
      </c>
      <c r="G115" s="456">
        <f t="shared" ref="G115:G124" si="52">IF(D115=0,"0.00%",(H115-D115)/D115)</f>
        <v>0.15902208680909027</v>
      </c>
      <c r="H115" s="340">
        <v>4196497</v>
      </c>
      <c r="I115" s="897" t="str">
        <f>TEXT('MYP Assumptions'!E57,"0.00%")&amp;", projected STRS rate"</f>
        <v>14.43%, projected STRS rate</v>
      </c>
      <c r="J115" s="455"/>
      <c r="K115" s="456">
        <f t="shared" ref="K115:K124" si="53">IF(H115=0,"0.00%",(L115-H115)/H115)</f>
        <v>0.11991692118450221</v>
      </c>
      <c r="L115" s="340">
        <v>4699728</v>
      </c>
      <c r="M115" s="2488" t="str">
        <f>TEXT('MYP Assumptions'!F57,"0.00%")&amp;", projected STRS rate"</f>
        <v>16.28%, projected STRS rate</v>
      </c>
      <c r="O115" s="456">
        <f t="shared" ref="O115:O124" si="54">IF(L115=0,"0.00%",(P115-L115)/L115)</f>
        <v>0.11920902656494163</v>
      </c>
      <c r="P115" s="340">
        <f>ROUND(P65*LEFT(Q115,6),0)</f>
        <v>5259978</v>
      </c>
      <c r="Q115" s="2488" t="str">
        <f>TEXT('MYP Assumptions'!G57,"0.00%")&amp;", projected STRS rate"</f>
        <v>18.13%, projected STRS rate</v>
      </c>
      <c r="R115" s="455"/>
      <c r="S115" s="456">
        <f t="shared" ref="S115:S124" si="55">IF(P115=0,"0.00%",(T115-P115)/P115)</f>
        <v>7.1596307056797578E-2</v>
      </c>
      <c r="T115" s="340">
        <f>ROUND(T65*LEFT(U115,6),0)</f>
        <v>5636573</v>
      </c>
      <c r="U115" s="2488" t="str">
        <f>TEXT('MYP Assumptions'!H57,"0.00%")&amp;", projected STRS rate"</f>
        <v>19.10%, projected STRS rate</v>
      </c>
      <c r="V115" s="2429"/>
      <c r="W115" s="2241">
        <f t="shared" ref="W115:W124" si="56">IF(T115=0,"0.00%",(X115-T115)/T115)</f>
        <v>-9.3034189391319869E-2</v>
      </c>
      <c r="X115" s="340">
        <f>ROUND(X65*LEFT(Y115,6),0)</f>
        <v>5112179</v>
      </c>
      <c r="Y115" s="455" t="str">
        <f>TEXT('MYP Assumptions'!I57,"0.00%")&amp;", projected STRS rate"</f>
        <v>19.10%, projected STRS rate</v>
      </c>
      <c r="AA115" s="456" t="e">
        <f t="shared" ref="AA115:AA124" si="57">IF(X115=0,"0.00%",(AB115-X115)/X115)</f>
        <v>#VALUE!</v>
      </c>
      <c r="AB115" s="340" t="e">
        <f>ROUND(AB65*LEFT(AC115,6),0)</f>
        <v>#VALUE!</v>
      </c>
      <c r="AC115" s="455" t="str">
        <f>TEXT('MYP Assumptions'!J57,"0.00%")&amp;", projected STRS rate"</f>
        <v>0.00%, projected STRS rate</v>
      </c>
    </row>
    <row r="116" spans="1:29" s="340" customFormat="1" x14ac:dyDescent="0.25">
      <c r="A116" s="455"/>
      <c r="B116" s="2427" t="s">
        <v>84</v>
      </c>
      <c r="C116" s="2386" t="s">
        <v>77</v>
      </c>
      <c r="D116" s="2529">
        <f>697285.03</f>
        <v>697285.03</v>
      </c>
      <c r="E116" s="897" t="str">
        <f>TEXT('MYP Assumptions'!$D$58,"0.00%")&amp;", PERS rate"</f>
        <v>13.89%, PERS rate</v>
      </c>
      <c r="G116" s="456">
        <f t="shared" si="52"/>
        <v>0.19419170665402061</v>
      </c>
      <c r="H116" s="340">
        <v>832692</v>
      </c>
      <c r="I116" s="897" t="str">
        <f>TEXT('MYP Assumptions'!E58,"0.00%")&amp;", projected PERS rate"</f>
        <v>15.53%, projected PERS rate</v>
      </c>
      <c r="J116" s="455"/>
      <c r="K116" s="456">
        <f t="shared" si="53"/>
        <v>0.28867096117171775</v>
      </c>
      <c r="L116" s="340">
        <v>1073066</v>
      </c>
      <c r="M116" s="2488" t="str">
        <f>TEXT('MYP Assumptions'!F58,"0.000%")&amp;", projected PERS rate"</f>
        <v>18.062%, projected PERS rate</v>
      </c>
      <c r="O116" s="456">
        <f t="shared" si="54"/>
        <v>0.16607179800683275</v>
      </c>
      <c r="P116" s="340">
        <f>ROUND(P112*LEFT(Q116,6),0)</f>
        <v>1251272</v>
      </c>
      <c r="Q116" s="2488" t="str">
        <f>TEXT('MYP Assumptions'!G58,"0.00%")&amp;", projected PERS rate"</f>
        <v>20.80%, projected PERS rate</v>
      </c>
      <c r="R116" s="455"/>
      <c r="S116" s="456">
        <f t="shared" si="55"/>
        <v>0.14503721013496665</v>
      </c>
      <c r="T116" s="340">
        <f>ROUND(T112*LEFT(U116,6),0)</f>
        <v>1432753</v>
      </c>
      <c r="U116" s="2488" t="str">
        <f>TEXT('MYP Assumptions'!H58,"0.00%")&amp;", projected PERS rate"</f>
        <v>23.50%, projected PERS rate</v>
      </c>
      <c r="V116" s="2429"/>
      <c r="W116" s="2241">
        <f t="shared" si="56"/>
        <v>-0.90074632543083144</v>
      </c>
      <c r="X116" s="340">
        <f>ROUND(X112*LEFT(Y116,6),0)</f>
        <v>142206</v>
      </c>
      <c r="Y116" s="455" t="str">
        <f>TEXT('MYP Assumptions'!I58,"0.00%")&amp;", projected PERS rate"</f>
        <v>24.60%, projected PERS rate</v>
      </c>
      <c r="AA116" s="456" t="e">
        <f t="shared" si="57"/>
        <v>#VALUE!</v>
      </c>
      <c r="AB116" s="340" t="e">
        <f>ROUND(AB112*LEFT(AC116,6),0)</f>
        <v>#VALUE!</v>
      </c>
      <c r="AC116" s="455" t="str">
        <f>TEXT('MYP Assumptions'!J58,"0.00%")&amp;", projected PERS rate"</f>
        <v>0.00%, projected PERS rate</v>
      </c>
    </row>
    <row r="117" spans="1:29" s="340" customFormat="1" x14ac:dyDescent="0.25">
      <c r="A117" s="455"/>
      <c r="B117" s="2427" t="s">
        <v>85</v>
      </c>
      <c r="C117" s="2386" t="s">
        <v>78</v>
      </c>
      <c r="D117" s="2529">
        <f>5261.75+317646.33</f>
        <v>322908.08</v>
      </c>
      <c r="E117" s="897" t="str">
        <f>TEXT('MYP Assumptions'!$D$60,"0.00%")&amp;", SS rate"</f>
        <v>6.20%, SS rate</v>
      </c>
      <c r="G117" s="456">
        <f t="shared" si="52"/>
        <v>4.8186840044386572E-2</v>
      </c>
      <c r="H117" s="340">
        <v>338468</v>
      </c>
      <c r="I117" s="897" t="str">
        <f>TEXT('MYP Assumptions'!E60,"0.00%")&amp;", no rate change"</f>
        <v>6.20%, no rate change</v>
      </c>
      <c r="J117" s="455"/>
      <c r="K117" s="456">
        <f t="shared" si="53"/>
        <v>8.8324450169587676E-2</v>
      </c>
      <c r="L117" s="340">
        <v>368363</v>
      </c>
      <c r="M117" s="2488" t="str">
        <f>TEXT('MYP Assumptions'!F60,"0.00%")&amp;", no rate change"</f>
        <v>6.20%, no rate change</v>
      </c>
      <c r="O117" s="456">
        <f t="shared" si="54"/>
        <v>1.2520258549311413E-2</v>
      </c>
      <c r="P117" s="340">
        <f>ROUND(P112*LEFT(Q117,5),0)</f>
        <v>372975</v>
      </c>
      <c r="Q117" s="2488" t="str">
        <f>TEXT('MYP Assumptions'!G60,"0.00%")&amp;", no rate change"</f>
        <v>6.20%, no rate change</v>
      </c>
      <c r="R117" s="455"/>
      <c r="S117" s="456">
        <f t="shared" si="55"/>
        <v>1.3480796300020109E-2</v>
      </c>
      <c r="T117" s="340">
        <f>ROUND(T112*LEFT(U117,5),0)</f>
        <v>378003</v>
      </c>
      <c r="U117" s="2488" t="str">
        <f>TEXT('MYP Assumptions'!G60,"0.00%")&amp;", no rate change"</f>
        <v>6.20%, no rate change</v>
      </c>
      <c r="V117" s="2429"/>
      <c r="W117" s="2241">
        <f t="shared" si="56"/>
        <v>-0.90518329219609373</v>
      </c>
      <c r="X117" s="340">
        <f>ROUND(X112*LEFT(Y117,5),0)</f>
        <v>35841</v>
      </c>
      <c r="Y117" s="455" t="str">
        <f>TEXT('MYP Assumptions'!I60,"0.00%")&amp;", no rate change"</f>
        <v>6.20%, no rate change</v>
      </c>
      <c r="AA117" s="456">
        <f t="shared" si="57"/>
        <v>-1</v>
      </c>
      <c r="AB117" s="340">
        <f>ROUND(AB112*LEFT(AC117,5),0)</f>
        <v>0</v>
      </c>
      <c r="AC117" s="455" t="str">
        <f>TEXT('MYP Assumptions'!J60,"0.00%")&amp;", no rate change"</f>
        <v>0.00%, no rate change</v>
      </c>
    </row>
    <row r="118" spans="1:29" s="340" customFormat="1" x14ac:dyDescent="0.25">
      <c r="A118" s="455"/>
      <c r="B118" s="2427" t="s">
        <v>86</v>
      </c>
      <c r="C118" s="2386" t="s">
        <v>79</v>
      </c>
      <c r="D118" s="2529">
        <f>391175.5+78257.52</f>
        <v>469433.02</v>
      </c>
      <c r="E118" s="897" t="str">
        <f>TEXT('MYP Assumptions'!$D$61,"0.00%")&amp;", Medicare rate"</f>
        <v>1.45%, Medicare rate</v>
      </c>
      <c r="G118" s="456">
        <f t="shared" si="52"/>
        <v>3.6550432690056575E-2</v>
      </c>
      <c r="H118" s="340">
        <v>486591</v>
      </c>
      <c r="I118" s="897" t="str">
        <f>TEXT('MYP Assumptions'!E61,"0.00%")&amp;", no rate change"</f>
        <v>1.45%, no rate change</v>
      </c>
      <c r="J118" s="455"/>
      <c r="K118" s="456">
        <f t="shared" si="53"/>
        <v>3.7359918288665431E-2</v>
      </c>
      <c r="L118" s="340">
        <v>504770</v>
      </c>
      <c r="M118" s="2488" t="str">
        <f>TEXT('MYP Assumptions'!F61,"0.00%")&amp;", no rate change"</f>
        <v>1.45%, no rate change</v>
      </c>
      <c r="O118" s="456">
        <f t="shared" si="54"/>
        <v>6.2206549517602079E-3</v>
      </c>
      <c r="P118" s="340">
        <f>ROUND((P112+P65)*LEFT(Q118,5),0)</f>
        <v>507910</v>
      </c>
      <c r="Q118" s="2488" t="str">
        <f>TEXT('MYP Assumptions'!G61,"0.00%")&amp;", no rate change"</f>
        <v>1.45%, no rate change</v>
      </c>
      <c r="R118" s="455"/>
      <c r="S118" s="456">
        <f t="shared" si="55"/>
        <v>1.6540331948573565E-2</v>
      </c>
      <c r="T118" s="340">
        <f>ROUND((T112+T65)*LEFT(U118,5),0)</f>
        <v>516311</v>
      </c>
      <c r="U118" s="2488" t="str">
        <f>TEXT('MYP Assumptions'!H61,"0.00%")&amp;", no rate change"</f>
        <v>1.45%, no rate change</v>
      </c>
      <c r="V118" s="2429"/>
      <c r="W118" s="2241">
        <f t="shared" si="56"/>
        <v>-0.23209267282703641</v>
      </c>
      <c r="X118" s="340">
        <f>ROUND((X112+X65)*LEFT(Y118,5),0)</f>
        <v>396479</v>
      </c>
      <c r="Y118" s="455" t="str">
        <f>TEXT('MYP Assumptions'!I61,"0.00%")&amp;", no rate change"</f>
        <v>1.45%, no rate change</v>
      </c>
      <c r="AA118" s="456">
        <f t="shared" si="57"/>
        <v>-1</v>
      </c>
      <c r="AB118" s="340">
        <f>ROUND((AB112+AB65)*LEFT(AC118,5),0)</f>
        <v>0</v>
      </c>
      <c r="AC118" s="455" t="str">
        <f>TEXT('MYP Assumptions'!J61,"0.00%")&amp;", no rate change"</f>
        <v>0.00%, no rate change</v>
      </c>
    </row>
    <row r="119" spans="1:29" s="340" customFormat="1" x14ac:dyDescent="0.25">
      <c r="A119" s="455"/>
      <c r="B119" s="2427" t="s">
        <v>87</v>
      </c>
      <c r="C119" s="2386" t="s">
        <v>80</v>
      </c>
      <c r="D119" s="340">
        <f>3132052+824525.96-365638.23-94723.2</f>
        <v>3496216.53</v>
      </c>
      <c r="E119" s="897"/>
      <c r="G119" s="456">
        <f t="shared" si="52"/>
        <v>2.1648107132540846E-2</v>
      </c>
      <c r="H119" s="340">
        <f>3596163-24260</f>
        <v>3571903</v>
      </c>
      <c r="I119" s="897"/>
      <c r="J119" s="455"/>
      <c r="K119" s="456">
        <f t="shared" si="53"/>
        <v>6.2753943766110112E-2</v>
      </c>
      <c r="L119" s="340">
        <v>3796054</v>
      </c>
      <c r="M119" s="2488" t="str">
        <f>TEXT('MYP Assumptions'!$I$68,"0.00%")&amp;", projected increase"</f>
        <v>5.00%, projected increase</v>
      </c>
      <c r="O119" s="456">
        <f t="shared" si="54"/>
        <v>5.000007902943425E-2</v>
      </c>
      <c r="P119" s="340">
        <f>ROUND((L119)*(LEFT(Q119,5)+1),0)</f>
        <v>3985857</v>
      </c>
      <c r="Q119" s="2488" t="str">
        <f>TEXT('MYP Assumptions'!$I$68,"0.00%")&amp;", projected increase"</f>
        <v>5.00%, projected increase</v>
      </c>
      <c r="R119" s="455"/>
      <c r="S119" s="456">
        <f t="shared" si="55"/>
        <v>5.0000037633061094E-2</v>
      </c>
      <c r="T119" s="340">
        <f>ROUND((P119)*(LEFT(U119,5)+1),0)</f>
        <v>4185150</v>
      </c>
      <c r="U119" s="2488" t="str">
        <f>TEXT('MYP Assumptions'!$I$68,"0.00%")&amp;", projected increase"</f>
        <v>5.00%, projected increase</v>
      </c>
      <c r="V119" s="2429"/>
      <c r="W119" s="2241">
        <f t="shared" si="56"/>
        <v>5.000011947003094E-2</v>
      </c>
      <c r="X119" s="340">
        <f>ROUND((T119)*(LEFT(Y119,5)+1),0)</f>
        <v>4394408</v>
      </c>
      <c r="Y119" s="455" t="str">
        <f>TEXT('MYP Assumptions'!$I$68,"0.00%")&amp;", projected increase"</f>
        <v>5.00%, projected increase</v>
      </c>
      <c r="AA119" s="456">
        <f t="shared" si="57"/>
        <v>4.9999908975224876E-2</v>
      </c>
      <c r="AB119" s="340">
        <f>ROUND((X119)*(LEFT(AC119,5)+1),0)</f>
        <v>4614128</v>
      </c>
      <c r="AC119" s="455" t="str">
        <f>TEXT('MYP Assumptions'!$I$68,"0.00%")&amp;", projected increase"</f>
        <v>5.00%, projected increase</v>
      </c>
    </row>
    <row r="120" spans="1:29" s="340" customFormat="1" x14ac:dyDescent="0.25">
      <c r="A120" s="455"/>
      <c r="B120" s="2427" t="s">
        <v>88</v>
      </c>
      <c r="C120" s="2386" t="s">
        <v>81</v>
      </c>
      <c r="D120" s="2530">
        <f>13543.55+2680.87</f>
        <v>16224.419999999998</v>
      </c>
      <c r="E120" s="897" t="str">
        <f>TEXT('MYP Assumptions'!$D$62,"0.00%")&amp;", SUI rate"</f>
        <v>0.05%, SUI rate</v>
      </c>
      <c r="G120" s="456">
        <f t="shared" si="52"/>
        <v>5.2549182035475032E-2</v>
      </c>
      <c r="H120" s="340">
        <v>17077</v>
      </c>
      <c r="I120" s="897" t="str">
        <f>TEXT('MYP Assumptions'!E62,"0.00%")&amp;", no rate change"</f>
        <v>0.05%, no rate change</v>
      </c>
      <c r="J120" s="455"/>
      <c r="K120" s="456">
        <f t="shared" si="53"/>
        <v>2.1432335890378872E-2</v>
      </c>
      <c r="L120" s="340">
        <v>17443</v>
      </c>
      <c r="M120" s="2488" t="str">
        <f>TEXT('MYP Assumptions'!F62,"0.00%")&amp;", no rate change"</f>
        <v>0.05%, no rate change</v>
      </c>
      <c r="O120" s="456">
        <f t="shared" si="54"/>
        <v>4.0704007338187237E-3</v>
      </c>
      <c r="P120" s="340">
        <f>ROUND((P112+P65)*LEFT(Q120,5),0)</f>
        <v>17514</v>
      </c>
      <c r="Q120" s="2488" t="str">
        <f>TEXT('MYP Assumptions'!G62,"0.00%")&amp;", no rate change"</f>
        <v>0.05%, no rate change</v>
      </c>
      <c r="R120" s="455"/>
      <c r="S120" s="456">
        <f t="shared" si="55"/>
        <v>1.6558182025807926E-2</v>
      </c>
      <c r="T120" s="340">
        <f>ROUND((T112+T65)*LEFT(U120,5),0)</f>
        <v>17804</v>
      </c>
      <c r="U120" s="2488" t="str">
        <f>TEXT('MYP Assumptions'!H62,"0.00%")&amp;", no rate change"</f>
        <v>0.05%, no rate change</v>
      </c>
      <c r="V120" s="2429"/>
      <c r="W120" s="2241">
        <f t="shared" si="56"/>
        <v>-0.23208267804987642</v>
      </c>
      <c r="X120" s="340">
        <f>ROUND((X112+X65)*LEFT(Y120,5),0)</f>
        <v>13672</v>
      </c>
      <c r="Y120" s="455" t="str">
        <f>TEXT('MYP Assumptions'!I62,"0.00%")&amp;", no rate change"</f>
        <v>0.05%, no rate change</v>
      </c>
      <c r="AA120" s="456">
        <f t="shared" si="57"/>
        <v>-1</v>
      </c>
      <c r="AB120" s="340">
        <f>ROUND((AB112+AB65)*LEFT(AC120,5),0)</f>
        <v>0</v>
      </c>
      <c r="AC120" s="455" t="str">
        <f>TEXT('MYP Assumptions'!J62,"0.00%")&amp;", no rate change"</f>
        <v>0.00%, no rate change</v>
      </c>
    </row>
    <row r="121" spans="1:29" s="340" customFormat="1" x14ac:dyDescent="0.25">
      <c r="A121" s="455"/>
      <c r="B121" s="2427" t="s">
        <v>89</v>
      </c>
      <c r="C121" s="2386" t="s">
        <v>82</v>
      </c>
      <c r="D121" s="2530">
        <f>297273.26+59396.81</f>
        <v>356670.07</v>
      </c>
      <c r="E121" s="897" t="str">
        <f>TEXT('MYP Assumptions'!$D$63,"0.00%")&amp;", W/C rate"</f>
        <v>1.10%, W/C rate</v>
      </c>
      <c r="G121" s="456">
        <f t="shared" si="52"/>
        <v>-0.12724103819532714</v>
      </c>
      <c r="H121" s="340">
        <v>311287</v>
      </c>
      <c r="I121" s="897" t="str">
        <f>TEXT('MYP Assumptions'!E63,"0.00%")&amp;", no rate change"</f>
        <v>0.80%, no rate change</v>
      </c>
      <c r="J121" s="455"/>
      <c r="K121" s="456">
        <f t="shared" si="53"/>
        <v>-0.10548786168391228</v>
      </c>
      <c r="L121" s="340">
        <v>278450</v>
      </c>
      <c r="M121" s="2488" t="str">
        <f>TEXT('MYP Assumptions'!F63,"0.00%")&amp;", no rate change"</f>
        <v>0.80%, no rate change</v>
      </c>
      <c r="O121" s="456">
        <f t="shared" si="54"/>
        <v>6.3781648410845757E-3</v>
      </c>
      <c r="P121" s="340">
        <f>ROUND((P112+P65)*LEFT(Q121,5),0)</f>
        <v>280226</v>
      </c>
      <c r="Q121" s="2488" t="str">
        <f>TEXT('MYP Assumptions'!G63,"0.00%")&amp;", no rate change"</f>
        <v>0.80%, no rate change</v>
      </c>
      <c r="R121" s="455"/>
      <c r="S121" s="456">
        <f t="shared" si="55"/>
        <v>1.6540221107249148E-2</v>
      </c>
      <c r="T121" s="340">
        <f>ROUND((T112+T65)*LEFT(U121,5),0)</f>
        <v>284861</v>
      </c>
      <c r="U121" s="2488" t="str">
        <f>TEXT('MYP Assumptions'!H63,"0.00%")&amp;", no rate change"</f>
        <v>0.80%, no rate change</v>
      </c>
      <c r="V121" s="2429"/>
      <c r="W121" s="2241">
        <f t="shared" si="56"/>
        <v>-0.23209214318562388</v>
      </c>
      <c r="X121" s="340">
        <f>ROUND((X112+X65)*LEFT(Y121,5),0)</f>
        <v>218747</v>
      </c>
      <c r="Y121" s="455" t="str">
        <f>TEXT('MYP Assumptions'!I63,"0.00%")&amp;", no rate change"</f>
        <v>0.80%, no rate change</v>
      </c>
      <c r="AA121" s="456">
        <f t="shared" si="57"/>
        <v>-1</v>
      </c>
      <c r="AB121" s="340">
        <f>ROUND((AB112+AB65)*LEFT(AC121,5),0)</f>
        <v>0</v>
      </c>
      <c r="AC121" s="455" t="str">
        <f>TEXT('MYP Assumptions'!J63,"0.00%")&amp;", no rate change"</f>
        <v>0.00%, no rate change</v>
      </c>
    </row>
    <row r="122" spans="1:29" s="340" customFormat="1" x14ac:dyDescent="0.25">
      <c r="A122" s="455"/>
      <c r="B122" s="2427" t="s">
        <v>469</v>
      </c>
      <c r="C122" s="2386" t="s">
        <v>470</v>
      </c>
      <c r="D122" s="2530">
        <f>317003.11+23623.08</f>
        <v>340626.19</v>
      </c>
      <c r="E122" s="2386"/>
      <c r="G122" s="456">
        <f t="shared" si="52"/>
        <v>-3.1800813672019763E-2</v>
      </c>
      <c r="H122" s="340">
        <v>329794</v>
      </c>
      <c r="I122" s="897"/>
      <c r="J122" s="455"/>
      <c r="K122" s="456">
        <f t="shared" si="53"/>
        <v>4.8363523896735542E-3</v>
      </c>
      <c r="L122" s="340">
        <v>331389</v>
      </c>
      <c r="M122" s="2488" t="s">
        <v>165</v>
      </c>
      <c r="O122" s="456">
        <f t="shared" si="54"/>
        <v>0</v>
      </c>
      <c r="P122" s="340">
        <f>L122</f>
        <v>331389</v>
      </c>
      <c r="Q122" s="2488" t="s">
        <v>165</v>
      </c>
      <c r="R122" s="455"/>
      <c r="S122" s="456">
        <f t="shared" si="55"/>
        <v>0</v>
      </c>
      <c r="T122" s="340">
        <f>P122</f>
        <v>331389</v>
      </c>
      <c r="U122" s="2488" t="s">
        <v>165</v>
      </c>
      <c r="V122" s="2429"/>
      <c r="W122" s="2241">
        <f t="shared" si="56"/>
        <v>0</v>
      </c>
      <c r="X122" s="340">
        <f>T122</f>
        <v>331389</v>
      </c>
      <c r="Y122" s="455" t="s">
        <v>165</v>
      </c>
      <c r="AA122" s="456">
        <f t="shared" si="57"/>
        <v>0</v>
      </c>
      <c r="AB122" s="340">
        <f>X122</f>
        <v>331389</v>
      </c>
      <c r="AC122" s="455" t="s">
        <v>165</v>
      </c>
    </row>
    <row r="123" spans="1:29" s="340" customFormat="1" x14ac:dyDescent="0.25">
      <c r="A123" s="455"/>
      <c r="B123" s="2427" t="s">
        <v>91</v>
      </c>
      <c r="C123" s="2386" t="s">
        <v>93</v>
      </c>
      <c r="D123" s="340">
        <f>204034.78+3000+30585.66+2291.14+45330.59+19000</f>
        <v>304242.17000000004</v>
      </c>
      <c r="E123" s="2386"/>
      <c r="G123" s="456">
        <f t="shared" ref="G123" si="58">IF(D123=0,"0.00%",(H123-D123)/D123)</f>
        <v>6.1700289608110394E-2</v>
      </c>
      <c r="H123" s="340">
        <v>323014</v>
      </c>
      <c r="I123" s="897"/>
      <c r="J123" s="455"/>
      <c r="K123" s="456">
        <f t="shared" ref="K123" si="59">IF(H123=0,"0.00%",(L123-H123)/H123)</f>
        <v>-1.0513476196078189E-2</v>
      </c>
      <c r="L123" s="340">
        <f>208234+35264+76120</f>
        <v>319618</v>
      </c>
      <c r="M123" s="2488" t="s">
        <v>173</v>
      </c>
      <c r="O123" s="456">
        <f t="shared" ref="O123" si="60">IF(L123=0,"0.00%",(P123-L123)/L123)</f>
        <v>0</v>
      </c>
      <c r="P123" s="340">
        <f>+L123</f>
        <v>319618</v>
      </c>
      <c r="Q123" s="2488" t="s">
        <v>173</v>
      </c>
      <c r="R123" s="455"/>
      <c r="S123" s="456">
        <f t="shared" si="55"/>
        <v>0</v>
      </c>
      <c r="T123" s="340">
        <f>+P123</f>
        <v>319618</v>
      </c>
      <c r="U123" s="2488" t="s">
        <v>173</v>
      </c>
      <c r="V123" s="2429"/>
      <c r="W123" s="2241"/>
      <c r="Y123" s="455"/>
      <c r="AA123" s="456"/>
      <c r="AC123" s="455"/>
    </row>
    <row r="124" spans="1:29" s="340" customFormat="1" x14ac:dyDescent="0.25">
      <c r="A124" s="459"/>
      <c r="B124" s="2427"/>
      <c r="C124" s="2386"/>
      <c r="D124" s="458">
        <f>SUM(D115:D123)</f>
        <v>9624327.709999999</v>
      </c>
      <c r="E124" s="2386"/>
      <c r="G124" s="456">
        <f t="shared" si="52"/>
        <v>8.1355842568249487E-2</v>
      </c>
      <c r="H124" s="458">
        <f>SUM(H115:H123)</f>
        <v>10407323</v>
      </c>
      <c r="I124" s="2316">
        <f>+H124-D124</f>
        <v>782995.29000000097</v>
      </c>
      <c r="J124" s="459"/>
      <c r="K124" s="456">
        <f t="shared" si="53"/>
        <v>9.4314167053333509E-2</v>
      </c>
      <c r="L124" s="458">
        <f>SUM(L115:L123)</f>
        <v>11388881</v>
      </c>
      <c r="M124" s="2316">
        <f>+L124-H124</f>
        <v>981558</v>
      </c>
      <c r="O124" s="456">
        <f t="shared" si="54"/>
        <v>8.2348564358517756E-2</v>
      </c>
      <c r="P124" s="458">
        <f>SUM(P115:P123)</f>
        <v>12326739</v>
      </c>
      <c r="Q124" s="2316">
        <f>+P124-L124</f>
        <v>937858</v>
      </c>
      <c r="R124" s="455"/>
      <c r="S124" s="456">
        <f t="shared" si="55"/>
        <v>6.293010665675651E-2</v>
      </c>
      <c r="T124" s="458">
        <f>SUM(T115:T123)</f>
        <v>13102462</v>
      </c>
      <c r="U124" s="2316">
        <f>+T124-P124</f>
        <v>775723</v>
      </c>
      <c r="V124" s="2429"/>
      <c r="W124" s="2241">
        <f t="shared" si="56"/>
        <v>-0.18756329917232348</v>
      </c>
      <c r="X124" s="458">
        <f>SUM(X115:X123)</f>
        <v>10644921</v>
      </c>
      <c r="Y124" s="2370"/>
      <c r="AA124" s="456" t="e">
        <f t="shared" si="57"/>
        <v>#VALUE!</v>
      </c>
      <c r="AB124" s="458" t="e">
        <f>SUM(AB115:AB123)</f>
        <v>#VALUE!</v>
      </c>
      <c r="AC124" s="2370"/>
    </row>
    <row r="125" spans="1:29" s="340" customFormat="1" x14ac:dyDescent="0.25">
      <c r="A125" s="460"/>
      <c r="B125" s="2427"/>
      <c r="C125" s="2386"/>
      <c r="E125" s="2386"/>
      <c r="G125" s="2338"/>
      <c r="I125" s="897"/>
      <c r="J125" s="455"/>
      <c r="K125" s="1668"/>
      <c r="M125" s="2340"/>
      <c r="O125" s="1668"/>
      <c r="Q125" s="2340"/>
      <c r="R125" s="455"/>
      <c r="S125" s="1668"/>
      <c r="U125" s="2340"/>
      <c r="V125" s="2429"/>
      <c r="W125" s="2343"/>
      <c r="Y125" s="2370"/>
      <c r="AA125" s="1668"/>
      <c r="AC125" s="2370"/>
    </row>
    <row r="126" spans="1:29" s="340" customFormat="1" x14ac:dyDescent="0.25">
      <c r="A126" s="459"/>
      <c r="B126" s="2511" t="s">
        <v>26</v>
      </c>
      <c r="C126" s="2386"/>
      <c r="D126" s="458">
        <f>SUM(D124,D112,D65)</f>
        <v>44129587.460000001</v>
      </c>
      <c r="E126" s="2386"/>
      <c r="G126" s="456">
        <f>IF(D126=0,"0.00%",(H126-D126)/D126)</f>
        <v>2.9392930563325925E-2</v>
      </c>
      <c r="H126" s="458">
        <f>SUM(H124,H112,H65)</f>
        <v>45426685.359999999</v>
      </c>
      <c r="I126" s="2316">
        <f>+H126-D126</f>
        <v>1297097.8999999985</v>
      </c>
      <c r="J126" s="459"/>
      <c r="K126" s="456">
        <f>IF(H126=0,"0.00%",(L126-H126)/H126)</f>
        <v>1.9175483157021622E-2</v>
      </c>
      <c r="L126" s="458">
        <f>SUM(L124,L112,L65)</f>
        <v>46297764</v>
      </c>
      <c r="M126" s="2316">
        <f>+L126-H126</f>
        <v>871078.6400000006</v>
      </c>
      <c r="O126" s="456">
        <f>IF(L126=0,"0.00%",(P126-L126)/L126)</f>
        <v>2.2836372832173924E-2</v>
      </c>
      <c r="P126" s="458">
        <f>SUM(P124,P112,P65)</f>
        <v>47355037</v>
      </c>
      <c r="Q126" s="2316">
        <f>+P126-L126</f>
        <v>1057273</v>
      </c>
      <c r="R126" s="455"/>
      <c r="S126" s="456">
        <f>IF(P126=0,"0.00%",(T126-P126)/P126)</f>
        <v>2.8615730993938406E-2</v>
      </c>
      <c r="T126" s="458">
        <f>SUM(T124,T112,T65)</f>
        <v>48710136</v>
      </c>
      <c r="U126" s="2316">
        <f>+T126-P126</f>
        <v>1355099</v>
      </c>
      <c r="V126" s="2429"/>
      <c r="W126" s="2241">
        <f>IF(T126=0,"0.00%",(X126-T126)/T126)</f>
        <v>-0.22011445420723111</v>
      </c>
      <c r="X126" s="458">
        <f>SUM(X124,X112,X65)</f>
        <v>37988331</v>
      </c>
      <c r="Y126" s="2370"/>
      <c r="AA126" s="456" t="e">
        <f>IF(X126=0,"0.00%",(AB126-X126)/X126)</f>
        <v>#VALUE!</v>
      </c>
      <c r="AB126" s="458" t="e">
        <f>SUM(AB124,AB112,AB65)</f>
        <v>#VALUE!</v>
      </c>
      <c r="AC126" s="2370"/>
    </row>
    <row r="127" spans="1:29" s="340" customFormat="1" x14ac:dyDescent="0.25">
      <c r="A127" s="455"/>
      <c r="B127" s="2512"/>
      <c r="C127" s="2386"/>
      <c r="E127" s="2386"/>
      <c r="G127" s="2338"/>
      <c r="I127" s="897"/>
      <c r="J127" s="455"/>
      <c r="K127" s="1668"/>
      <c r="M127" s="2340"/>
      <c r="O127" s="1668"/>
      <c r="Q127" s="2340"/>
      <c r="R127" s="455"/>
      <c r="S127" s="1668"/>
      <c r="U127" s="2340"/>
      <c r="V127" s="2429"/>
      <c r="W127" s="2343"/>
      <c r="Y127" s="2370"/>
      <c r="AA127" s="1668"/>
      <c r="AC127" s="2370"/>
    </row>
    <row r="128" spans="1:29" s="340" customFormat="1" x14ac:dyDescent="0.25">
      <c r="A128" s="455"/>
      <c r="B128" s="2512"/>
      <c r="C128" s="2386"/>
      <c r="E128" s="2386"/>
      <c r="G128" s="2338"/>
      <c r="I128" s="897"/>
      <c r="J128" s="455"/>
      <c r="K128" s="1668"/>
      <c r="M128" s="2340"/>
      <c r="O128" s="1668"/>
      <c r="Q128" s="2340"/>
      <c r="R128" s="455"/>
      <c r="S128" s="1668"/>
      <c r="U128" s="2340"/>
      <c r="V128" s="2429"/>
      <c r="W128" s="2343"/>
      <c r="Y128" s="2370"/>
      <c r="AA128" s="1668"/>
      <c r="AC128" s="2370"/>
    </row>
    <row r="129" spans="1:29" s="340" customFormat="1" x14ac:dyDescent="0.25">
      <c r="A129" s="455"/>
      <c r="B129" s="2516" t="s">
        <v>25</v>
      </c>
      <c r="C129" s="868"/>
      <c r="D129" s="2497" t="s">
        <v>468</v>
      </c>
      <c r="E129" s="2386"/>
      <c r="G129" s="2338"/>
      <c r="H129" s="606"/>
      <c r="I129" s="897"/>
      <c r="J129" s="455"/>
      <c r="K129" s="1668"/>
      <c r="L129" s="606"/>
      <c r="M129" s="2488"/>
      <c r="O129" s="1668"/>
      <c r="P129" s="606"/>
      <c r="Q129" s="2488"/>
      <c r="R129" s="455"/>
      <c r="S129" s="1668"/>
      <c r="T129" s="606"/>
      <c r="U129" s="2488"/>
      <c r="V129" s="2429"/>
      <c r="W129" s="2343"/>
      <c r="Y129" s="2370"/>
      <c r="AA129" s="1668"/>
      <c r="AC129" s="2370"/>
    </row>
    <row r="130" spans="1:29" s="340" customFormat="1" x14ac:dyDescent="0.25">
      <c r="A130" s="455"/>
      <c r="B130" s="2427">
        <v>4212</v>
      </c>
      <c r="C130" s="2386" t="s">
        <v>1039</v>
      </c>
      <c r="D130" s="340">
        <f>41403.67+858.98+1644.9+2285.48+1189.26</f>
        <v>47382.290000000008</v>
      </c>
      <c r="E130" s="2386"/>
      <c r="G130" s="456" t="s">
        <v>1038</v>
      </c>
      <c r="H130" s="340">
        <v>3822</v>
      </c>
      <c r="I130" s="897"/>
      <c r="J130" s="455"/>
      <c r="K130" s="456">
        <f t="shared" ref="K130:K141" si="61">IF(H130=0,"0.00%",(L130-H130)/H130)</f>
        <v>-1</v>
      </c>
      <c r="L130" s="340">
        <v>0</v>
      </c>
      <c r="M130" s="2488"/>
      <c r="O130" s="456" t="str">
        <f t="shared" ref="O130:O141" si="62">IF(L130=0,"0.00%",(P130-L130)/L130)</f>
        <v>0.00%</v>
      </c>
      <c r="P130" s="340">
        <f>+(1-$P$129)*L130</f>
        <v>0</v>
      </c>
      <c r="Q130" s="2488"/>
      <c r="R130" s="455"/>
      <c r="S130" s="456" t="str">
        <f t="shared" ref="S130:S141" si="63">IF(P130=0,"0.00%",(T130-P130)/P130)</f>
        <v>0.00%</v>
      </c>
      <c r="T130" s="340">
        <f>+(1-$P$129)*P130</f>
        <v>0</v>
      </c>
      <c r="U130" s="2488"/>
      <c r="V130" s="2429"/>
      <c r="W130" s="2241" t="str">
        <f t="shared" ref="W130:W141" si="64">IF(T130=0,"0.00%",(X130-T130)/T130)</f>
        <v>0.00%</v>
      </c>
      <c r="X130" s="340">
        <f>ROUND(T130*(LEFT(Y130,5)+1),0)</f>
        <v>0</v>
      </c>
      <c r="Y130" s="455" t="str">
        <f>TEXT('MYP Assumptions'!I78,"0.00%")&amp;", CPI"</f>
        <v>2.73%, CPI</v>
      </c>
      <c r="AA130" s="456" t="str">
        <f t="shared" ref="AA130:AA141" si="65">IF(X130=0,"0.00%",(AB130-X130)/X130)</f>
        <v>0.00%</v>
      </c>
      <c r="AB130" s="340">
        <f>ROUND(X130*(LEFT(AC130,5)+1),0)</f>
        <v>0</v>
      </c>
      <c r="AC130" s="455" t="str">
        <f>TEXT('MYP Assumptions'!J78,"0.00%")&amp;", CPI"</f>
        <v>2.73%, CPI</v>
      </c>
    </row>
    <row r="131" spans="1:29" s="340" customFormat="1" x14ac:dyDescent="0.25">
      <c r="A131" s="455"/>
      <c r="B131" s="2427">
        <v>4310</v>
      </c>
      <c r="C131" s="2386" t="s">
        <v>274</v>
      </c>
      <c r="D131" s="340">
        <f>16759.04+1493.25+1932.15</f>
        <v>20184.440000000002</v>
      </c>
      <c r="E131" s="2386"/>
      <c r="G131" s="456" t="s">
        <v>1038</v>
      </c>
      <c r="H131" s="340">
        <v>107045</v>
      </c>
      <c r="I131" s="897"/>
      <c r="J131" s="455"/>
      <c r="K131" s="456">
        <f t="shared" si="61"/>
        <v>-1</v>
      </c>
      <c r="L131" s="340">
        <v>0</v>
      </c>
      <c r="M131" s="2488"/>
      <c r="O131" s="456" t="str">
        <f t="shared" si="62"/>
        <v>0.00%</v>
      </c>
      <c r="P131" s="340">
        <f t="shared" ref="P131:P135" si="66">+(1-$P$129)*L131</f>
        <v>0</v>
      </c>
      <c r="Q131" s="2488"/>
      <c r="R131" s="455"/>
      <c r="S131" s="456" t="str">
        <f t="shared" si="63"/>
        <v>0.00%</v>
      </c>
      <c r="T131" s="340">
        <f t="shared" ref="T131:T135" si="67">+(1-$P$129)*P131</f>
        <v>0</v>
      </c>
      <c r="U131" s="2488"/>
      <c r="V131" s="2429"/>
      <c r="W131" s="2241" t="str">
        <f t="shared" si="64"/>
        <v>0.00%</v>
      </c>
      <c r="X131" s="340">
        <f t="shared" ref="X131:X140" si="68">ROUND(T131*(LEFT(Y131,5)+1),0)</f>
        <v>0</v>
      </c>
      <c r="Y131" s="455" t="str">
        <f>TEXT('MYP Assumptions'!I78,"0.00%")&amp;", CPI"</f>
        <v>2.73%, CPI</v>
      </c>
      <c r="AA131" s="456" t="str">
        <f t="shared" si="65"/>
        <v>0.00%</v>
      </c>
      <c r="AB131" s="340">
        <f t="shared" ref="AB131:AB140" si="69">ROUND(X131*(LEFT(AC131,5)+1),0)</f>
        <v>0</v>
      </c>
      <c r="AC131" s="455" t="str">
        <f>TEXT('MYP Assumptions'!J78,"0.00%")&amp;", CPI"</f>
        <v>2.73%, CPI</v>
      </c>
    </row>
    <row r="132" spans="1:29" x14ac:dyDescent="0.25">
      <c r="A132" s="66"/>
      <c r="B132" s="2164">
        <v>4340</v>
      </c>
      <c r="C132" s="848" t="s">
        <v>1040</v>
      </c>
      <c r="D132" s="1868">
        <v>110575.47</v>
      </c>
      <c r="G132" s="83" t="s">
        <v>1038</v>
      </c>
      <c r="H132" s="2">
        <v>49512</v>
      </c>
      <c r="K132" s="83">
        <f t="shared" si="61"/>
        <v>-0.12142510906446922</v>
      </c>
      <c r="L132" s="2">
        <v>43500</v>
      </c>
      <c r="M132" s="956"/>
      <c r="O132" s="83">
        <f t="shared" si="62"/>
        <v>-8.0459770114942528E-2</v>
      </c>
      <c r="P132" s="2">
        <v>40000</v>
      </c>
      <c r="Q132" s="956"/>
      <c r="S132" s="83">
        <f t="shared" si="63"/>
        <v>-0.125</v>
      </c>
      <c r="T132" s="2">
        <v>35000</v>
      </c>
      <c r="U132" s="956"/>
      <c r="W132" s="2239">
        <f t="shared" si="64"/>
        <v>2.7314285714285715E-2</v>
      </c>
      <c r="X132" s="2">
        <f t="shared" si="68"/>
        <v>35956</v>
      </c>
      <c r="Y132" s="36" t="str">
        <f>TEXT('MYP Assumptions'!I78,"0.00%")&amp;", CPI"</f>
        <v>2.73%, CPI</v>
      </c>
      <c r="AA132" s="83">
        <f t="shared" si="65"/>
        <v>2.7311158082100346E-2</v>
      </c>
      <c r="AB132" s="2">
        <f t="shared" si="69"/>
        <v>36938</v>
      </c>
      <c r="AC132" s="36" t="str">
        <f>TEXT('MYP Assumptions'!J78,"0.00%")&amp;", CPI"</f>
        <v>2.73%, CPI</v>
      </c>
    </row>
    <row r="133" spans="1:29" x14ac:dyDescent="0.25">
      <c r="A133" s="66"/>
      <c r="B133" s="2164">
        <v>4344</v>
      </c>
      <c r="C133" s="848" t="s">
        <v>811</v>
      </c>
      <c r="D133" s="1868">
        <f>65.44+14411.09</f>
        <v>14476.53</v>
      </c>
      <c r="G133" s="83" t="s">
        <v>1038</v>
      </c>
      <c r="H133" s="2">
        <v>300</v>
      </c>
      <c r="K133" s="83">
        <f t="shared" si="61"/>
        <v>-1</v>
      </c>
      <c r="L133" s="2">
        <v>0</v>
      </c>
      <c r="M133" s="956"/>
      <c r="O133" s="83" t="str">
        <f t="shared" si="62"/>
        <v>0.00%</v>
      </c>
      <c r="P133" s="2">
        <f t="shared" si="66"/>
        <v>0</v>
      </c>
      <c r="Q133" s="956"/>
      <c r="S133" s="83" t="str">
        <f t="shared" si="63"/>
        <v>0.00%</v>
      </c>
      <c r="T133" s="2">
        <f t="shared" si="67"/>
        <v>0</v>
      </c>
      <c r="U133" s="956"/>
      <c r="W133" s="2239" t="str">
        <f t="shared" si="64"/>
        <v>0.00%</v>
      </c>
      <c r="X133" s="2">
        <f t="shared" si="68"/>
        <v>0</v>
      </c>
      <c r="Y133" s="36" t="str">
        <f>TEXT('MYP Assumptions'!I78,"0.00%")&amp;", CPI"</f>
        <v>2.73%, CPI</v>
      </c>
      <c r="AA133" s="83" t="str">
        <f t="shared" si="65"/>
        <v>0.00%</v>
      </c>
      <c r="AB133" s="2">
        <f t="shared" si="69"/>
        <v>0</v>
      </c>
      <c r="AC133" s="36" t="str">
        <f>TEXT('MYP Assumptions'!J78,"0.00%")&amp;", CPI"</f>
        <v>2.73%, CPI</v>
      </c>
    </row>
    <row r="134" spans="1:29" x14ac:dyDescent="0.25">
      <c r="A134" s="66"/>
      <c r="B134" s="2164">
        <v>4345</v>
      </c>
      <c r="C134" s="848" t="s">
        <v>1041</v>
      </c>
      <c r="D134" s="1868">
        <v>0</v>
      </c>
      <c r="G134" s="83" t="s">
        <v>1038</v>
      </c>
      <c r="H134" s="577">
        <v>57126</v>
      </c>
      <c r="I134" s="903"/>
      <c r="J134" s="763"/>
      <c r="K134" s="1760">
        <f t="shared" si="61"/>
        <v>-1.8100339600182053E-2</v>
      </c>
      <c r="L134" s="577">
        <v>56092</v>
      </c>
      <c r="M134" s="956"/>
      <c r="N134" s="577"/>
      <c r="O134" s="1760">
        <f t="shared" si="62"/>
        <v>-1.9468016829494401E-2</v>
      </c>
      <c r="P134" s="577">
        <v>55000</v>
      </c>
      <c r="Q134" s="956"/>
      <c r="S134" s="1760">
        <f t="shared" si="63"/>
        <v>-0.18181818181818182</v>
      </c>
      <c r="T134" s="577">
        <v>45000</v>
      </c>
      <c r="U134" s="956"/>
      <c r="W134" s="2239">
        <f t="shared" si="64"/>
        <v>2.7311111111111112E-2</v>
      </c>
      <c r="X134" s="2">
        <f t="shared" si="68"/>
        <v>46229</v>
      </c>
      <c r="Y134" s="36" t="str">
        <f>TEXT('MYP Assumptions'!I78,"0.00%")&amp;", CPI"</f>
        <v>2.73%, CPI</v>
      </c>
      <c r="AA134" s="83">
        <f t="shared" si="65"/>
        <v>2.7298881654372796E-2</v>
      </c>
      <c r="AB134" s="2">
        <f t="shared" si="69"/>
        <v>47491</v>
      </c>
      <c r="AC134" s="36" t="str">
        <f>TEXT('MYP Assumptions'!J78,"0.00%")&amp;", CPI"</f>
        <v>2.73%, CPI</v>
      </c>
    </row>
    <row r="135" spans="1:29" x14ac:dyDescent="0.25">
      <c r="A135" s="66"/>
      <c r="B135" s="2164">
        <v>4347</v>
      </c>
      <c r="C135" s="848" t="s">
        <v>311</v>
      </c>
      <c r="D135" s="1868">
        <v>0</v>
      </c>
      <c r="G135" s="83" t="s">
        <v>1038</v>
      </c>
      <c r="H135" s="2">
        <v>12500</v>
      </c>
      <c r="I135" s="903"/>
      <c r="K135" s="83">
        <f t="shared" si="61"/>
        <v>-0.28799999999999998</v>
      </c>
      <c r="L135" s="2">
        <v>8900</v>
      </c>
      <c r="M135" s="956"/>
      <c r="O135" s="83">
        <f t="shared" si="62"/>
        <v>0</v>
      </c>
      <c r="P135" s="2">
        <f t="shared" si="66"/>
        <v>8900</v>
      </c>
      <c r="Q135" s="956"/>
      <c r="S135" s="83">
        <f t="shared" si="63"/>
        <v>0</v>
      </c>
      <c r="T135" s="2">
        <f t="shared" si="67"/>
        <v>8900</v>
      </c>
      <c r="U135" s="956"/>
      <c r="W135" s="2239">
        <f t="shared" si="64"/>
        <v>2.7303370786516856E-2</v>
      </c>
      <c r="X135" s="2">
        <f t="shared" si="68"/>
        <v>9143</v>
      </c>
      <c r="Y135" s="36" t="str">
        <f>TEXT('MYP Assumptions'!I78,"0.00%")&amp;", CPI"</f>
        <v>2.73%, CPI</v>
      </c>
      <c r="AA135" s="83">
        <f t="shared" si="65"/>
        <v>2.7343322760581865E-2</v>
      </c>
      <c r="AB135" s="2">
        <f t="shared" si="69"/>
        <v>9393</v>
      </c>
      <c r="AC135" s="36" t="str">
        <f>TEXT('MYP Assumptions'!J78,"0.00%")&amp;", CPI"</f>
        <v>2.73%, CPI</v>
      </c>
    </row>
    <row r="136" spans="1:29" x14ac:dyDescent="0.25">
      <c r="A136" s="66"/>
      <c r="B136" s="2164">
        <v>4349</v>
      </c>
      <c r="C136" s="848" t="s">
        <v>313</v>
      </c>
      <c r="D136" s="1868"/>
      <c r="G136" s="83" t="s">
        <v>1038</v>
      </c>
      <c r="H136" s="2">
        <v>400</v>
      </c>
      <c r="K136" s="83">
        <f t="shared" si="61"/>
        <v>-1</v>
      </c>
      <c r="L136" s="2">
        <v>0</v>
      </c>
      <c r="M136" s="956"/>
      <c r="O136" s="83" t="str">
        <f t="shared" si="62"/>
        <v>0.00%</v>
      </c>
      <c r="P136" s="2">
        <v>0</v>
      </c>
      <c r="Q136" s="956"/>
      <c r="S136" s="83" t="str">
        <f t="shared" si="63"/>
        <v>0.00%</v>
      </c>
      <c r="T136" s="2">
        <v>0</v>
      </c>
      <c r="U136" s="956"/>
      <c r="W136" s="2239"/>
      <c r="Y136" s="36"/>
      <c r="AA136" s="83"/>
      <c r="AC136" s="36"/>
    </row>
    <row r="137" spans="1:29" x14ac:dyDescent="0.25">
      <c r="A137" s="66"/>
      <c r="B137" s="2164">
        <v>4352</v>
      </c>
      <c r="C137" s="848" t="s">
        <v>314</v>
      </c>
      <c r="D137" s="1868">
        <v>0</v>
      </c>
      <c r="G137" s="83" t="s">
        <v>1038</v>
      </c>
      <c r="H137" s="2">
        <v>27989</v>
      </c>
      <c r="K137" s="83">
        <f t="shared" si="61"/>
        <v>-0.28150344778305764</v>
      </c>
      <c r="L137" s="2">
        <v>20110</v>
      </c>
      <c r="M137" s="956"/>
      <c r="O137" s="83">
        <f t="shared" si="62"/>
        <v>-0.50273495773247145</v>
      </c>
      <c r="P137" s="2">
        <v>10000</v>
      </c>
      <c r="Q137" s="956"/>
      <c r="S137" s="83">
        <f t="shared" si="63"/>
        <v>-0.2</v>
      </c>
      <c r="T137" s="2">
        <v>8000</v>
      </c>
      <c r="U137" s="956"/>
      <c r="W137" s="2239"/>
      <c r="Y137" s="36"/>
      <c r="AA137" s="83"/>
      <c r="AC137" s="36"/>
    </row>
    <row r="138" spans="1:29" x14ac:dyDescent="0.25">
      <c r="A138" s="66"/>
      <c r="B138" s="2164">
        <v>4343</v>
      </c>
      <c r="C138" s="848" t="s">
        <v>1042</v>
      </c>
      <c r="D138" s="1868"/>
      <c r="G138" s="83" t="s">
        <v>1038</v>
      </c>
      <c r="H138" s="2">
        <v>9753</v>
      </c>
      <c r="K138" s="83">
        <f t="shared" si="61"/>
        <v>-0.91797395673126214</v>
      </c>
      <c r="L138" s="2">
        <v>800</v>
      </c>
      <c r="M138" s="956"/>
      <c r="O138" s="83">
        <f t="shared" si="62"/>
        <v>-0.375</v>
      </c>
      <c r="P138" s="2">
        <v>500</v>
      </c>
      <c r="Q138" s="956"/>
      <c r="S138" s="83">
        <f t="shared" si="63"/>
        <v>0</v>
      </c>
      <c r="T138" s="2">
        <v>500</v>
      </c>
      <c r="U138" s="956"/>
      <c r="W138" s="2239"/>
      <c r="Y138" s="36"/>
      <c r="AA138" s="83"/>
      <c r="AC138" s="36"/>
    </row>
    <row r="139" spans="1:29" x14ac:dyDescent="0.25">
      <c r="A139" s="66"/>
      <c r="B139" s="2164">
        <v>4400</v>
      </c>
      <c r="C139" s="848" t="s">
        <v>1043</v>
      </c>
      <c r="D139" s="1868"/>
      <c r="G139" s="83" t="s">
        <v>1038</v>
      </c>
      <c r="H139" s="2">
        <v>34814</v>
      </c>
      <c r="K139" s="83">
        <f t="shared" ref="K139" si="70">IF(H139=0,"0.00%",(L139-H139)/H139)</f>
        <v>-1</v>
      </c>
      <c r="L139" s="2">
        <v>0</v>
      </c>
      <c r="M139" s="956"/>
      <c r="O139" s="83" t="str">
        <f t="shared" ref="O139" si="71">IF(L139=0,"0.00%",(P139-L139)/L139)</f>
        <v>0.00%</v>
      </c>
      <c r="P139" s="2">
        <v>0</v>
      </c>
      <c r="Q139" s="956"/>
      <c r="S139" s="83" t="str">
        <f t="shared" si="63"/>
        <v>0.00%</v>
      </c>
      <c r="T139" s="2">
        <v>0</v>
      </c>
      <c r="U139" s="956"/>
      <c r="W139" s="2239" t="str">
        <f t="shared" ref="W139" si="72">IF(T139=0,"0.00%",(X139-T139)/T139)</f>
        <v>0.00%</v>
      </c>
      <c r="X139" s="2" t="e">
        <f t="shared" ref="X139" si="73">ROUND(T139*(LEFT(Y139,5)+1),0)</f>
        <v>#VALUE!</v>
      </c>
      <c r="Y139" s="36" t="str">
        <f>TEXT('MYP Assumptions'!I77,"0.00%")&amp;", CPI"</f>
        <v>2021-22, CPI</v>
      </c>
      <c r="AA139" s="83" t="e">
        <f t="shared" ref="AA139" si="74">IF(X139=0,"0.00%",(AB139-X139)/X139)</f>
        <v>#VALUE!</v>
      </c>
      <c r="AB139" s="2" t="e">
        <f t="shared" ref="AB139" si="75">ROUND(X139*(LEFT(AC139,5)+1),0)</f>
        <v>#VALUE!</v>
      </c>
      <c r="AC139" s="36" t="str">
        <f>TEXT('MYP Assumptions'!J77,"0.00%")&amp;", CPI"</f>
        <v>0.00%, CPI</v>
      </c>
    </row>
    <row r="140" spans="1:29" x14ac:dyDescent="0.25">
      <c r="A140" s="66"/>
      <c r="B140" s="2164" t="s">
        <v>247</v>
      </c>
      <c r="D140" s="1868"/>
      <c r="G140" s="83" t="s">
        <v>1038</v>
      </c>
      <c r="H140" s="2">
        <v>0</v>
      </c>
      <c r="K140" s="83" t="str">
        <f t="shared" si="61"/>
        <v>0.00%</v>
      </c>
      <c r="L140" s="2">
        <v>0</v>
      </c>
      <c r="M140" s="956"/>
      <c r="O140" s="83" t="str">
        <f t="shared" si="62"/>
        <v>0.00%</v>
      </c>
      <c r="P140" s="2">
        <v>0</v>
      </c>
      <c r="Q140" s="956"/>
      <c r="S140" s="83" t="str">
        <f t="shared" si="63"/>
        <v>0.00%</v>
      </c>
      <c r="T140" s="2">
        <v>0</v>
      </c>
      <c r="U140" s="956"/>
      <c r="W140" s="2239" t="str">
        <f t="shared" si="64"/>
        <v>0.00%</v>
      </c>
      <c r="X140" s="2">
        <f t="shared" si="68"/>
        <v>0</v>
      </c>
      <c r="Y140" s="36" t="str">
        <f>TEXT('MYP Assumptions'!I78,"0.00%")&amp;", CPI"</f>
        <v>2.73%, CPI</v>
      </c>
      <c r="AA140" s="83" t="str">
        <f t="shared" si="65"/>
        <v>0.00%</v>
      </c>
      <c r="AB140" s="2">
        <f t="shared" si="69"/>
        <v>0</v>
      </c>
      <c r="AC140" s="36" t="str">
        <f>TEXT('MYP Assumptions'!J78,"0.00%")&amp;", CPI"</f>
        <v>2.73%, CPI</v>
      </c>
    </row>
    <row r="141" spans="1:29" x14ac:dyDescent="0.25">
      <c r="A141" s="29"/>
      <c r="B141" s="290"/>
      <c r="D141" s="8">
        <f>SUM(D130:D140)</f>
        <v>192618.73</v>
      </c>
      <c r="G141" s="83">
        <f t="shared" ref="G141" si="76">IF(D141=0,"0.00%",(H141-D141)/D141)</f>
        <v>0.5744107543435677</v>
      </c>
      <c r="H141" s="8">
        <f>SUM(H130:H140)</f>
        <v>303261</v>
      </c>
      <c r="I141" s="1138">
        <f>+H141-D141</f>
        <v>110642.26999999999</v>
      </c>
      <c r="J141" s="29"/>
      <c r="K141" s="83">
        <f t="shared" si="61"/>
        <v>-0.57329824804376428</v>
      </c>
      <c r="L141" s="8">
        <f>SUM(L130:L140)</f>
        <v>129402</v>
      </c>
      <c r="M141" s="1138">
        <f>+L141-H141</f>
        <v>-173859</v>
      </c>
      <c r="O141" s="83">
        <f t="shared" si="62"/>
        <v>-0.11593329314848302</v>
      </c>
      <c r="P141" s="8">
        <f>SUM(P130:P140)</f>
        <v>114400</v>
      </c>
      <c r="Q141" s="1138">
        <f>+P141-L141</f>
        <v>-15002</v>
      </c>
      <c r="S141" s="83">
        <f t="shared" si="63"/>
        <v>-0.14860139860139859</v>
      </c>
      <c r="T141" s="8">
        <f>SUM(T130:T140)</f>
        <v>97400</v>
      </c>
      <c r="U141" s="1138">
        <f>+T141-P141</f>
        <v>-17000</v>
      </c>
      <c r="W141" s="2239" t="e">
        <f t="shared" si="64"/>
        <v>#VALUE!</v>
      </c>
      <c r="X141" s="8" t="e">
        <f>SUM(X130:X140)</f>
        <v>#VALUE!</v>
      </c>
      <c r="Y141" s="122"/>
      <c r="AA141" s="83" t="e">
        <f t="shared" si="65"/>
        <v>#VALUE!</v>
      </c>
      <c r="AB141" s="8" t="e">
        <f>SUM(AB130:AB140)</f>
        <v>#VALUE!</v>
      </c>
      <c r="AC141" s="122"/>
    </row>
    <row r="142" spans="1:29" x14ac:dyDescent="0.25">
      <c r="A142" s="66"/>
      <c r="H142" s="2"/>
      <c r="L142" s="2"/>
      <c r="M142" s="916"/>
      <c r="Q142" s="916"/>
      <c r="S142" s="333"/>
      <c r="U142" s="916"/>
      <c r="Y142" s="122"/>
      <c r="AC142" s="122"/>
    </row>
    <row r="143" spans="1:29" s="6" customFormat="1" x14ac:dyDescent="0.25">
      <c r="A143" s="57"/>
      <c r="B143" s="2163" t="s">
        <v>16</v>
      </c>
      <c r="C143" s="849"/>
      <c r="E143" s="849"/>
      <c r="G143" s="329"/>
      <c r="I143" s="849"/>
      <c r="J143" s="57"/>
      <c r="K143" s="336"/>
      <c r="M143" s="917"/>
      <c r="O143" s="336"/>
      <c r="Q143" s="917"/>
      <c r="S143" s="336"/>
      <c r="U143" s="917"/>
      <c r="V143" s="287"/>
      <c r="W143" s="2247"/>
      <c r="Y143" s="126"/>
      <c r="AA143" s="336"/>
      <c r="AC143" s="126"/>
    </row>
    <row r="144" spans="1:29" x14ac:dyDescent="0.25">
      <c r="A144" s="66"/>
      <c r="B144" s="2164">
        <v>5204</v>
      </c>
      <c r="C144" s="848" t="s">
        <v>1044</v>
      </c>
      <c r="D144" s="1868">
        <f>524.65+75</f>
        <v>599.65</v>
      </c>
      <c r="G144" s="83" t="s">
        <v>1038</v>
      </c>
      <c r="H144" s="2">
        <v>2035</v>
      </c>
      <c r="K144" s="83">
        <f t="shared" ref="K144:K185" si="77">IF(H144=0,"0.00%",(L144-H144)/H144)</f>
        <v>-1</v>
      </c>
      <c r="L144" s="2">
        <v>0</v>
      </c>
      <c r="M144" s="956"/>
      <c r="O144" s="83" t="str">
        <f t="shared" ref="O144:O185" si="78">IF(L144=0,"0.00%",(P144-L144)/L144)</f>
        <v>0.00%</v>
      </c>
      <c r="P144" s="2">
        <f>+L144</f>
        <v>0</v>
      </c>
      <c r="Q144" s="956"/>
      <c r="S144" s="83" t="str">
        <f t="shared" ref="S144" si="79">IF(P144=0,"0.00%",(T144-P144)/P144)</f>
        <v>0.00%</v>
      </c>
      <c r="T144" s="2">
        <f>+P144</f>
        <v>0</v>
      </c>
      <c r="U144" s="956"/>
      <c r="W144" s="2239" t="str">
        <f t="shared" ref="W144:W185" si="80">IF(T144=0,"0.00%",(X144-T144)/T144)</f>
        <v>0.00%</v>
      </c>
      <c r="X144" s="2">
        <f>ROUND(T144*(LEFT(Y144,5)+1),0)</f>
        <v>0</v>
      </c>
      <c r="Y144" s="36" t="str">
        <f>TEXT('MYP Assumptions'!I78,"0.00%")&amp;", CPI"</f>
        <v>2.73%, CPI</v>
      </c>
      <c r="AA144" s="83" t="str">
        <f t="shared" ref="AA144:AA185" si="81">IF(X144=0,"0.00%",(AB144-X144)/X144)</f>
        <v>0.00%</v>
      </c>
      <c r="AB144" s="2">
        <f>ROUND(X144*(LEFT(AC144,5)+1),0)</f>
        <v>0</v>
      </c>
      <c r="AC144" s="36" t="str">
        <f>TEXT('MYP Assumptions'!J78,"0.00%")&amp;", CPI"</f>
        <v>2.73%, CPI</v>
      </c>
    </row>
    <row r="145" spans="1:29" x14ac:dyDescent="0.25">
      <c r="A145" s="66"/>
      <c r="B145" s="2164">
        <v>5213</v>
      </c>
      <c r="C145" s="848" t="s">
        <v>1045</v>
      </c>
      <c r="D145" s="1868"/>
      <c r="G145" s="83" t="s">
        <v>1038</v>
      </c>
      <c r="H145" s="2">
        <v>325</v>
      </c>
      <c r="K145" s="83">
        <f t="shared" ref="K145:K146" si="82">IF(H145=0,"0.00%",(L145-H145)/H145)</f>
        <v>-1</v>
      </c>
      <c r="L145" s="2">
        <v>0</v>
      </c>
      <c r="M145" s="956"/>
      <c r="O145" s="83" t="str">
        <f t="shared" ref="O145:O146" si="83">IF(L145=0,"0.00%",(P145-L145)/L145)</f>
        <v>0.00%</v>
      </c>
      <c r="P145" s="2">
        <f t="shared" ref="P145:P146" si="84">+L145</f>
        <v>0</v>
      </c>
      <c r="Q145" s="956"/>
      <c r="S145" s="83" t="str">
        <f t="shared" ref="S145:S146" si="85">IF(P145=0,"0.00%",(T145-P145)/P145)</f>
        <v>0.00%</v>
      </c>
      <c r="T145" s="2">
        <f t="shared" ref="T145:T146" si="86">+P145</f>
        <v>0</v>
      </c>
      <c r="U145" s="956"/>
      <c r="W145" s="2239"/>
      <c r="Y145" s="36"/>
      <c r="AA145" s="83"/>
      <c r="AC145" s="36"/>
    </row>
    <row r="146" spans="1:29" x14ac:dyDescent="0.25">
      <c r="A146" s="66"/>
      <c r="B146" s="2164">
        <v>5310</v>
      </c>
      <c r="C146" s="848" t="s">
        <v>1046</v>
      </c>
      <c r="D146" s="1868"/>
      <c r="G146" s="83" t="s">
        <v>1038</v>
      </c>
      <c r="H146" s="2">
        <v>2050</v>
      </c>
      <c r="K146" s="83">
        <f t="shared" si="82"/>
        <v>0</v>
      </c>
      <c r="L146" s="2">
        <v>2050</v>
      </c>
      <c r="M146" s="956"/>
      <c r="O146" s="83">
        <f t="shared" si="83"/>
        <v>0</v>
      </c>
      <c r="P146" s="2">
        <f t="shared" si="84"/>
        <v>2050</v>
      </c>
      <c r="Q146" s="956"/>
      <c r="S146" s="83">
        <f t="shared" si="85"/>
        <v>0</v>
      </c>
      <c r="T146" s="2">
        <f t="shared" si="86"/>
        <v>2050</v>
      </c>
      <c r="U146" s="956"/>
      <c r="W146" s="2239"/>
      <c r="Y146" s="36"/>
      <c r="AA146" s="83"/>
      <c r="AC146" s="36"/>
    </row>
    <row r="147" spans="1:29" ht="14.25" customHeight="1" x14ac:dyDescent="0.25">
      <c r="A147" s="66"/>
      <c r="B147" s="2164" t="s">
        <v>471</v>
      </c>
      <c r="C147" s="848" t="s">
        <v>422</v>
      </c>
      <c r="D147" s="2">
        <v>240348.15</v>
      </c>
      <c r="G147" s="83">
        <f>IF(D147=0,"0.00%",(H147-D147)/D147)</f>
        <v>8.46723804614265E-2</v>
      </c>
      <c r="H147" s="2">
        <v>260699</v>
      </c>
      <c r="I147" s="954"/>
      <c r="K147" s="83">
        <f t="shared" si="77"/>
        <v>0</v>
      </c>
      <c r="L147" s="2">
        <v>260699</v>
      </c>
      <c r="M147" s="956"/>
      <c r="O147" s="83">
        <f t="shared" si="78"/>
        <v>3.3598134246775019E-2</v>
      </c>
      <c r="P147" s="2">
        <f t="shared" ref="P147:P154" si="87">ROUND(L147*(LEFT(Q147,5)+1),0)</f>
        <v>269458</v>
      </c>
      <c r="Q147" s="956" t="str">
        <f>TEXT('MYP Assumptions'!G78,"0.00%")&amp;", CPI"</f>
        <v>3.36%, CPI</v>
      </c>
      <c r="S147" s="83">
        <f t="shared" ref="S147:S185" si="88">IF(P147=0,"0.00%",(T147-P147)/P147)</f>
        <v>2.7299245151377952E-2</v>
      </c>
      <c r="T147" s="2">
        <f t="shared" ref="T147:T150" si="89">ROUND(P147*(LEFT(U147,5)+1),0)</f>
        <v>276814</v>
      </c>
      <c r="U147" s="956" t="str">
        <f>TEXT('MYP Assumptions'!K78,"0.00%")&amp;", CPI"</f>
        <v>2.73%, CPI</v>
      </c>
      <c r="W147" s="2239">
        <f t="shared" si="80"/>
        <v>2.7299919801744132E-2</v>
      </c>
      <c r="X147" s="2">
        <f t="shared" ref="X147:X158" si="90">ROUND(T147*(LEFT(Y147,5)+1),0)</f>
        <v>284371</v>
      </c>
      <c r="Y147" s="36" t="str">
        <f>TEXT('MYP Assumptions'!I78,"0.00%")&amp;", CPI"</f>
        <v>2.73%, CPI</v>
      </c>
      <c r="AA147" s="83">
        <f t="shared" si="81"/>
        <v>2.7298845522222729E-2</v>
      </c>
      <c r="AB147" s="2">
        <f t="shared" ref="AB147:AB158" si="91">ROUND(X147*(LEFT(AC147,5)+1),0)</f>
        <v>292134</v>
      </c>
      <c r="AC147" s="36" t="str">
        <f>TEXT('MYP Assumptions'!J78,"0.00%")&amp;", CPI"</f>
        <v>2.73%, CPI</v>
      </c>
    </row>
    <row r="148" spans="1:29" x14ac:dyDescent="0.25">
      <c r="A148" s="66"/>
      <c r="B148" s="2164" t="s">
        <v>472</v>
      </c>
      <c r="C148" s="848" t="s">
        <v>476</v>
      </c>
      <c r="D148" s="2">
        <v>274218.65999999997</v>
      </c>
      <c r="G148" s="83">
        <f t="shared" ref="G148:G151" si="92">IF(D148=0,"0.00%",(H148-D148)/D148)</f>
        <v>-6.4615077617256156E-2</v>
      </c>
      <c r="H148" s="2">
        <v>256500</v>
      </c>
      <c r="K148" s="83">
        <f t="shared" si="77"/>
        <v>6.2046783625730996E-2</v>
      </c>
      <c r="L148" s="2">
        <v>272415</v>
      </c>
      <c r="M148" s="956"/>
      <c r="O148" s="83">
        <f t="shared" si="78"/>
        <v>3.3599471394746984E-2</v>
      </c>
      <c r="P148" s="2">
        <f t="shared" si="87"/>
        <v>281568</v>
      </c>
      <c r="Q148" s="956" t="str">
        <f>TEXT('MYP Assumptions'!G78,"0.00%")&amp;", CPI"</f>
        <v>3.36%, CPI</v>
      </c>
      <c r="S148" s="83">
        <f t="shared" si="88"/>
        <v>2.7300687578133878E-2</v>
      </c>
      <c r="T148" s="2">
        <f t="shared" si="89"/>
        <v>289255</v>
      </c>
      <c r="U148" s="956" t="str">
        <f>TEXT('MYP Assumptions'!K78,"0.00%")&amp;", CPI"</f>
        <v>2.73%, CPI</v>
      </c>
      <c r="W148" s="2239">
        <f t="shared" si="80"/>
        <v>2.7301170247705311E-2</v>
      </c>
      <c r="X148" s="2">
        <f t="shared" si="90"/>
        <v>297152</v>
      </c>
      <c r="Y148" s="36" t="str">
        <f>TEXT('MYP Assumptions'!I78,"0.00%")&amp;", CPI"</f>
        <v>2.73%, CPI</v>
      </c>
      <c r="AA148" s="83">
        <f t="shared" si="81"/>
        <v>2.729916002584536E-2</v>
      </c>
      <c r="AB148" s="2">
        <f t="shared" si="91"/>
        <v>305264</v>
      </c>
      <c r="AC148" s="36" t="str">
        <f>TEXT('MYP Assumptions'!J78,"0.00%")&amp;", CPI"</f>
        <v>2.73%, CPI</v>
      </c>
    </row>
    <row r="149" spans="1:29" x14ac:dyDescent="0.25">
      <c r="A149" s="66"/>
      <c r="B149" s="2164" t="s">
        <v>473</v>
      </c>
      <c r="C149" s="848" t="s">
        <v>477</v>
      </c>
      <c r="D149" s="2">
        <v>64756.160000000003</v>
      </c>
      <c r="G149" s="83">
        <f t="shared" si="92"/>
        <v>4.0827621650202796E-2</v>
      </c>
      <c r="H149" s="2">
        <v>67400</v>
      </c>
      <c r="K149" s="83">
        <f t="shared" si="77"/>
        <v>0.57807121661721073</v>
      </c>
      <c r="L149" s="2">
        <v>106362</v>
      </c>
      <c r="M149" s="956"/>
      <c r="O149" s="83">
        <f t="shared" si="78"/>
        <v>3.3602226359038E-2</v>
      </c>
      <c r="P149" s="2">
        <f t="shared" si="87"/>
        <v>109936</v>
      </c>
      <c r="Q149" s="956" t="str">
        <f>TEXT('MYP Assumptions'!G78,"0.00%")&amp;", CPI"</f>
        <v>3.36%, CPI</v>
      </c>
      <c r="S149" s="83">
        <f t="shared" si="88"/>
        <v>2.7297700480279435E-2</v>
      </c>
      <c r="T149" s="2">
        <f t="shared" si="89"/>
        <v>112937</v>
      </c>
      <c r="U149" s="956" t="str">
        <f>TEXT('MYP Assumptions'!K78,"0.00%")&amp;", CPI"</f>
        <v>2.73%, CPI</v>
      </c>
      <c r="W149" s="2239">
        <f t="shared" si="80"/>
        <v>2.7298405305612863E-2</v>
      </c>
      <c r="X149" s="2">
        <f t="shared" si="90"/>
        <v>116020</v>
      </c>
      <c r="Y149" s="36" t="str">
        <f>TEXT('MYP Assumptions'!I78,"0.00%")&amp;", CPI"</f>
        <v>2.73%, CPI</v>
      </c>
      <c r="AA149" s="83">
        <f t="shared" si="81"/>
        <v>2.7297017755559386E-2</v>
      </c>
      <c r="AB149" s="2">
        <f t="shared" si="91"/>
        <v>119187</v>
      </c>
      <c r="AC149" s="36" t="str">
        <f>TEXT('MYP Assumptions'!J78,"0.00%")&amp;", CPI"</f>
        <v>2.73%, CPI</v>
      </c>
    </row>
    <row r="150" spans="1:29" x14ac:dyDescent="0.25">
      <c r="A150" s="66"/>
      <c r="B150" s="2164" t="s">
        <v>474</v>
      </c>
      <c r="C150" s="848" t="s">
        <v>478</v>
      </c>
      <c r="D150" s="2">
        <v>792391.93</v>
      </c>
      <c r="G150" s="83">
        <f t="shared" si="92"/>
        <v>7.5765536885263329E-2</v>
      </c>
      <c r="H150" s="2">
        <v>852427.93</v>
      </c>
      <c r="K150" s="83">
        <f t="shared" si="77"/>
        <v>-0.11592643380420448</v>
      </c>
      <c r="L150" s="2">
        <v>753609</v>
      </c>
      <c r="M150" s="956"/>
      <c r="O150" s="83">
        <f t="shared" si="78"/>
        <v>3.3599651808829248E-2</v>
      </c>
      <c r="P150" s="2">
        <f t="shared" si="87"/>
        <v>778930</v>
      </c>
      <c r="Q150" s="956" t="str">
        <f>TEXT('MYP Assumptions'!G78,"0.00%")&amp;", CPI"</f>
        <v>3.36%, CPI</v>
      </c>
      <c r="S150" s="83">
        <f t="shared" si="88"/>
        <v>2.730027088441837E-2</v>
      </c>
      <c r="T150" s="2">
        <f t="shared" si="89"/>
        <v>800195</v>
      </c>
      <c r="U150" s="956" t="str">
        <f>TEXT('MYP Assumptions'!K78,"0.00%")&amp;", CPI"</f>
        <v>2.73%, CPI</v>
      </c>
      <c r="W150" s="2239">
        <f t="shared" si="80"/>
        <v>2.7299595723542385E-2</v>
      </c>
      <c r="X150" s="2">
        <f t="shared" si="90"/>
        <v>822040</v>
      </c>
      <c r="Y150" s="36" t="str">
        <f>TEXT('MYP Assumptions'!I78,"0.00%")&amp;", CPI"</f>
        <v>2.73%, CPI</v>
      </c>
      <c r="AA150" s="83">
        <f t="shared" si="81"/>
        <v>2.7300374677631259E-2</v>
      </c>
      <c r="AB150" s="2">
        <f t="shared" si="91"/>
        <v>844482</v>
      </c>
      <c r="AC150" s="36" t="str">
        <f>TEXT('MYP Assumptions'!J78,"0.00%")&amp;", CPI"</f>
        <v>2.73%, CPI</v>
      </c>
    </row>
    <row r="151" spans="1:29" x14ac:dyDescent="0.25">
      <c r="A151" s="66"/>
      <c r="B151" s="2164" t="s">
        <v>475</v>
      </c>
      <c r="C151" s="848" t="s">
        <v>479</v>
      </c>
      <c r="D151" s="2">
        <v>108844.66</v>
      </c>
      <c r="G151" s="83">
        <f t="shared" si="92"/>
        <v>-3.3328782505269466E-2</v>
      </c>
      <c r="H151" s="2">
        <v>105217</v>
      </c>
      <c r="K151" s="83">
        <f t="shared" si="77"/>
        <v>-0.13002651662754117</v>
      </c>
      <c r="L151" s="2">
        <v>91536</v>
      </c>
      <c r="M151" s="956"/>
      <c r="O151" s="83">
        <f t="shared" si="78"/>
        <v>3.3604264988638347E-2</v>
      </c>
      <c r="P151" s="2">
        <f t="shared" si="87"/>
        <v>94612</v>
      </c>
      <c r="Q151" s="956" t="str">
        <f>TEXT('MYP Assumptions'!G78,"0.00%")&amp;", CPI"</f>
        <v>3.36%, CPI</v>
      </c>
      <c r="S151" s="83">
        <f t="shared" si="88"/>
        <v>2.7300976620301863E-2</v>
      </c>
      <c r="T151" s="2">
        <f t="shared" ref="T151:T154" si="93">ROUND(P151*(LEFT(U151,5)+1),0)</f>
        <v>97195</v>
      </c>
      <c r="U151" s="956" t="str">
        <f>TEXT('MYP Assumptions'!K78,"0.00%")&amp;", CPI"</f>
        <v>2.73%, CPI</v>
      </c>
      <c r="W151" s="2239">
        <f t="shared" si="80"/>
        <v>2.7295642779978393E-2</v>
      </c>
      <c r="X151" s="2">
        <f t="shared" si="90"/>
        <v>99848</v>
      </c>
      <c r="Y151" s="36" t="str">
        <f>TEXT('MYP Assumptions'!I78,"0.00%")&amp;", CPI"</f>
        <v>2.73%, CPI</v>
      </c>
      <c r="AA151" s="83">
        <f t="shared" si="81"/>
        <v>2.7301498277381622E-2</v>
      </c>
      <c r="AB151" s="2">
        <f t="shared" si="91"/>
        <v>102574</v>
      </c>
      <c r="AC151" s="36" t="str">
        <f>TEXT('MYP Assumptions'!J78,"0.00%")&amp;", CPI"</f>
        <v>2.73%, CPI</v>
      </c>
    </row>
    <row r="152" spans="1:29" x14ac:dyDescent="0.25">
      <c r="A152" s="66"/>
      <c r="B152" s="2275" t="s">
        <v>483</v>
      </c>
      <c r="C152" s="894" t="s">
        <v>480</v>
      </c>
      <c r="D152" s="2">
        <v>3363.33</v>
      </c>
      <c r="G152" s="83">
        <f>IF(D152=0,"0.00%",(H152-D152)/D152)</f>
        <v>-8.1267672217712777E-2</v>
      </c>
      <c r="H152" s="2">
        <v>3090</v>
      </c>
      <c r="K152" s="83">
        <f t="shared" si="77"/>
        <v>0</v>
      </c>
      <c r="L152" s="2">
        <v>3090</v>
      </c>
      <c r="M152" s="956"/>
      <c r="O152" s="83">
        <f t="shared" si="78"/>
        <v>3.3656957928802592E-2</v>
      </c>
      <c r="P152" s="2">
        <f t="shared" si="87"/>
        <v>3194</v>
      </c>
      <c r="Q152" s="956" t="str">
        <f>TEXT('MYP Assumptions'!G78,"0.00%")&amp;", CPI"</f>
        <v>3.36%, CPI</v>
      </c>
      <c r="S152" s="83">
        <f t="shared" si="88"/>
        <v>2.7238572323105822E-2</v>
      </c>
      <c r="T152" s="2">
        <f t="shared" si="93"/>
        <v>3281</v>
      </c>
      <c r="U152" s="956" t="str">
        <f>TEXT('MYP Assumptions'!K78,"0.00%")&amp;", CPI"</f>
        <v>2.73%, CPI</v>
      </c>
      <c r="W152" s="2239">
        <f t="shared" si="80"/>
        <v>2.7430661383724474E-2</v>
      </c>
      <c r="X152" s="2">
        <f t="shared" si="90"/>
        <v>3371</v>
      </c>
      <c r="Y152" s="36" t="str">
        <f>TEXT('MYP Assumptions'!I78,"0.00%")&amp;", CPI"</f>
        <v>2.73%, CPI</v>
      </c>
      <c r="AA152" s="83">
        <f t="shared" si="81"/>
        <v>2.7291604865025215E-2</v>
      </c>
      <c r="AB152" s="2">
        <f t="shared" si="91"/>
        <v>3463</v>
      </c>
      <c r="AC152" s="36" t="str">
        <f>TEXT('MYP Assumptions'!J78,"0.00%")&amp;", CPI"</f>
        <v>2.73%, CPI</v>
      </c>
    </row>
    <row r="153" spans="1:29" x14ac:dyDescent="0.25">
      <c r="A153" s="66"/>
      <c r="B153" s="2275" t="s">
        <v>484</v>
      </c>
      <c r="C153" s="894" t="s">
        <v>481</v>
      </c>
      <c r="D153" s="2">
        <v>38996.32</v>
      </c>
      <c r="G153" s="83">
        <f t="shared" ref="G153:G185" si="94">IF(D153=0,"0.00%",(H153-D153)/D153)</f>
        <v>-0.26659746355553549</v>
      </c>
      <c r="H153" s="2">
        <v>28600</v>
      </c>
      <c r="K153" s="83">
        <f t="shared" si="77"/>
        <v>0.18814685314685314</v>
      </c>
      <c r="L153" s="2">
        <v>33981</v>
      </c>
      <c r="M153" s="956"/>
      <c r="O153" s="83">
        <f t="shared" si="78"/>
        <v>3.3607015685235865E-2</v>
      </c>
      <c r="P153" s="2">
        <f t="shared" si="87"/>
        <v>35123</v>
      </c>
      <c r="Q153" s="956" t="str">
        <f>TEXT('MYP Assumptions'!G78,"0.00%")&amp;", CPI"</f>
        <v>3.36%, CPI</v>
      </c>
      <c r="S153" s="83">
        <f t="shared" si="88"/>
        <v>2.7304045781966234E-2</v>
      </c>
      <c r="T153" s="2">
        <f t="shared" si="93"/>
        <v>36082</v>
      </c>
      <c r="U153" s="956" t="str">
        <f>TEXT('MYP Assumptions'!K78,"0.00%")&amp;", CPI"</f>
        <v>2.73%, CPI</v>
      </c>
      <c r="W153" s="2239">
        <f t="shared" si="80"/>
        <v>2.729893021451139E-2</v>
      </c>
      <c r="X153" s="2">
        <f t="shared" si="90"/>
        <v>37067</v>
      </c>
      <c r="Y153" s="36" t="str">
        <f>TEXT('MYP Assumptions'!I78,"0.00%")&amp;", CPI"</f>
        <v>2.73%, CPI</v>
      </c>
      <c r="AA153" s="83">
        <f t="shared" si="81"/>
        <v>2.730191275258316E-2</v>
      </c>
      <c r="AB153" s="2">
        <f t="shared" si="91"/>
        <v>38079</v>
      </c>
      <c r="AC153" s="36" t="str">
        <f>TEXT('MYP Assumptions'!J78,"0.00%")&amp;", CPI"</f>
        <v>2.73%, CPI</v>
      </c>
    </row>
    <row r="154" spans="1:29" x14ac:dyDescent="0.25">
      <c r="A154" s="66"/>
      <c r="B154" s="2275" t="s">
        <v>485</v>
      </c>
      <c r="C154" s="894" t="s">
        <v>482</v>
      </c>
      <c r="D154" s="2">
        <v>130569.94</v>
      </c>
      <c r="G154" s="83">
        <f t="shared" si="94"/>
        <v>1.0028346493840772</v>
      </c>
      <c r="H154" s="2">
        <v>261510</v>
      </c>
      <c r="K154" s="83">
        <f t="shared" si="77"/>
        <v>0.11983862949791595</v>
      </c>
      <c r="L154" s="2">
        <v>292849</v>
      </c>
      <c r="M154" s="956"/>
      <c r="O154" s="83">
        <f t="shared" si="78"/>
        <v>3.3600934269879701E-2</v>
      </c>
      <c r="P154" s="2">
        <f t="shared" si="87"/>
        <v>302689</v>
      </c>
      <c r="Q154" s="956" t="str">
        <f>TEXT('MYP Assumptions'!G78,"0.00%")&amp;", CPI"</f>
        <v>3.36%, CPI</v>
      </c>
      <c r="S154" s="83">
        <f t="shared" si="88"/>
        <v>2.7298646465514109E-2</v>
      </c>
      <c r="T154" s="2">
        <f t="shared" si="93"/>
        <v>310952</v>
      </c>
      <c r="U154" s="956" t="str">
        <f>TEXT('MYP Assumptions'!K78,"0.00%")&amp;", CPI"</f>
        <v>2.73%, CPI</v>
      </c>
      <c r="W154" s="2239">
        <f t="shared" si="80"/>
        <v>2.7300033445676504E-2</v>
      </c>
      <c r="X154" s="2">
        <f t="shared" si="90"/>
        <v>319441</v>
      </c>
      <c r="Y154" s="36" t="str">
        <f>TEXT('MYP Assumptions'!I78,"0.00%")&amp;", CPI"</f>
        <v>2.73%, CPI</v>
      </c>
      <c r="AA154" s="83">
        <f t="shared" si="81"/>
        <v>2.7300816113147656E-2</v>
      </c>
      <c r="AB154" s="2">
        <f t="shared" si="91"/>
        <v>328162</v>
      </c>
      <c r="AC154" s="36" t="str">
        <f>TEXT('MYP Assumptions'!J78,"0.00%")&amp;", CPI"</f>
        <v>2.73%, CPI</v>
      </c>
    </row>
    <row r="155" spans="1:29" x14ac:dyDescent="0.25">
      <c r="A155" s="66"/>
      <c r="B155" s="2164" t="s">
        <v>486</v>
      </c>
      <c r="C155" s="848" t="s">
        <v>321</v>
      </c>
      <c r="D155" s="1868">
        <f>3958.44+131.61</f>
        <v>4090.05</v>
      </c>
      <c r="G155" s="83">
        <f t="shared" si="94"/>
        <v>1.4657522524174476E-2</v>
      </c>
      <c r="H155" s="2">
        <v>4150</v>
      </c>
      <c r="K155" s="83">
        <f t="shared" si="77"/>
        <v>0</v>
      </c>
      <c r="L155" s="2">
        <v>4150</v>
      </c>
      <c r="M155" s="956"/>
      <c r="O155" s="83">
        <f t="shared" si="78"/>
        <v>-3.614457831325301E-2</v>
      </c>
      <c r="P155" s="2">
        <v>4000</v>
      </c>
      <c r="Q155" s="956"/>
      <c r="S155" s="83">
        <f t="shared" si="88"/>
        <v>0</v>
      </c>
      <c r="T155" s="2">
        <v>4000</v>
      </c>
      <c r="U155" s="956"/>
      <c r="W155" s="2239">
        <f t="shared" si="80"/>
        <v>2.725E-2</v>
      </c>
      <c r="X155" s="2">
        <f t="shared" si="90"/>
        <v>4109</v>
      </c>
      <c r="Y155" s="36" t="str">
        <f>TEXT('MYP Assumptions'!I78,"0.00%")&amp;", CPI"</f>
        <v>2.73%, CPI</v>
      </c>
      <c r="AA155" s="83">
        <f t="shared" si="81"/>
        <v>2.7257240204429302E-2</v>
      </c>
      <c r="AB155" s="2">
        <f t="shared" si="91"/>
        <v>4221</v>
      </c>
      <c r="AC155" s="36" t="str">
        <f>TEXT('MYP Assumptions'!J78,"0.00%")&amp;", CPI"</f>
        <v>2.73%, CPI</v>
      </c>
    </row>
    <row r="156" spans="1:29" x14ac:dyDescent="0.25">
      <c r="A156" s="66"/>
      <c r="B156" s="2164">
        <v>5603</v>
      </c>
      <c r="C156" s="848" t="s">
        <v>1047</v>
      </c>
      <c r="D156" s="1868"/>
      <c r="G156" s="83" t="str">
        <f t="shared" si="94"/>
        <v>0.00%</v>
      </c>
      <c r="H156" s="2">
        <v>950</v>
      </c>
      <c r="K156" s="83">
        <f t="shared" ref="K156" si="95">IF(H156=0,"0.00%",(L156-H156)/H156)</f>
        <v>-1</v>
      </c>
      <c r="L156" s="2">
        <v>0</v>
      </c>
      <c r="M156" s="956"/>
      <c r="O156" s="83" t="str">
        <f t="shared" ref="O156" si="96">IF(L156=0,"0.00%",(P156-L156)/L156)</f>
        <v>0.00%</v>
      </c>
      <c r="P156" s="2">
        <v>0</v>
      </c>
      <c r="Q156" s="956"/>
      <c r="S156" s="83" t="str">
        <f t="shared" si="88"/>
        <v>0.00%</v>
      </c>
      <c r="T156" s="2">
        <v>0</v>
      </c>
      <c r="U156" s="956"/>
      <c r="W156" s="2239"/>
      <c r="Y156" s="36"/>
      <c r="AA156" s="83"/>
      <c r="AC156" s="36"/>
    </row>
    <row r="157" spans="1:29" x14ac:dyDescent="0.25">
      <c r="A157" s="66"/>
      <c r="B157" s="2164" t="s">
        <v>487</v>
      </c>
      <c r="C157" s="848" t="s">
        <v>429</v>
      </c>
      <c r="D157" s="2">
        <v>336.59</v>
      </c>
      <c r="G157" s="83">
        <f t="shared" si="94"/>
        <v>6.4541727324044089</v>
      </c>
      <c r="H157" s="2">
        <v>2509</v>
      </c>
      <c r="K157" s="83">
        <f t="shared" si="77"/>
        <v>-1</v>
      </c>
      <c r="L157" s="2">
        <v>0</v>
      </c>
      <c r="M157" s="956"/>
      <c r="O157" s="83" t="str">
        <f t="shared" si="78"/>
        <v>0.00%</v>
      </c>
      <c r="P157" s="2">
        <v>0</v>
      </c>
      <c r="Q157" s="956"/>
      <c r="S157" s="83" t="str">
        <f t="shared" si="88"/>
        <v>0.00%</v>
      </c>
      <c r="T157" s="2">
        <v>0</v>
      </c>
      <c r="U157" s="956"/>
      <c r="W157" s="2239" t="str">
        <f t="shared" si="80"/>
        <v>0.00%</v>
      </c>
      <c r="X157" s="2">
        <f t="shared" si="90"/>
        <v>0</v>
      </c>
      <c r="Y157" s="36" t="str">
        <f>TEXT('MYP Assumptions'!I78,"0.00%")&amp;", CPI"</f>
        <v>2.73%, CPI</v>
      </c>
      <c r="AA157" s="83" t="str">
        <f t="shared" si="81"/>
        <v>0.00%</v>
      </c>
      <c r="AB157" s="2">
        <f t="shared" si="91"/>
        <v>0</v>
      </c>
      <c r="AC157" s="36" t="str">
        <f>TEXT('MYP Assumptions'!J78,"0.00%")&amp;", CPI"</f>
        <v>2.73%, CPI</v>
      </c>
    </row>
    <row r="158" spans="1:29" x14ac:dyDescent="0.25">
      <c r="A158" s="66"/>
      <c r="B158" s="2164" t="s">
        <v>128</v>
      </c>
      <c r="C158" s="848" t="s">
        <v>129</v>
      </c>
      <c r="D158" s="341">
        <v>3903.07</v>
      </c>
      <c r="G158" s="83">
        <f t="shared" si="94"/>
        <v>0.42247000438116655</v>
      </c>
      <c r="H158" s="2">
        <v>5552</v>
      </c>
      <c r="K158" s="83">
        <f t="shared" si="77"/>
        <v>4.0345821325648415E-2</v>
      </c>
      <c r="L158" s="2">
        <v>5776</v>
      </c>
      <c r="M158" s="956"/>
      <c r="O158" s="83">
        <f t="shared" si="78"/>
        <v>-0.13434903047091412</v>
      </c>
      <c r="P158" s="2">
        <v>5000</v>
      </c>
      <c r="Q158" s="956"/>
      <c r="S158" s="83">
        <f t="shared" si="88"/>
        <v>0</v>
      </c>
      <c r="T158" s="2">
        <v>5000</v>
      </c>
      <c r="U158" s="956"/>
      <c r="W158" s="2239">
        <f t="shared" si="80"/>
        <v>2.7400000000000001E-2</v>
      </c>
      <c r="X158" s="2">
        <f t="shared" si="90"/>
        <v>5137</v>
      </c>
      <c r="Y158" s="36" t="str">
        <f>TEXT('MYP Assumptions'!I78,"0.00%")&amp;", CPI"</f>
        <v>2.73%, CPI</v>
      </c>
      <c r="AA158" s="83">
        <f t="shared" si="81"/>
        <v>2.7253260657971578E-2</v>
      </c>
      <c r="AB158" s="2">
        <f t="shared" si="91"/>
        <v>5277</v>
      </c>
      <c r="AC158" s="36" t="str">
        <f>TEXT('MYP Assumptions'!J78,"0.00%")&amp;", CPI"</f>
        <v>2.73%, CPI</v>
      </c>
    </row>
    <row r="159" spans="1:29" x14ac:dyDescent="0.25">
      <c r="A159" s="66"/>
      <c r="B159" s="2164">
        <v>5608</v>
      </c>
      <c r="C159" s="848" t="s">
        <v>1048</v>
      </c>
      <c r="D159" s="341"/>
      <c r="G159" s="83" t="str">
        <f t="shared" si="94"/>
        <v>0.00%</v>
      </c>
      <c r="H159" s="2">
        <v>399</v>
      </c>
      <c r="K159" s="83">
        <f>IF(H159=0,"0.00%",(L159-H159)/H159)</f>
        <v>-1</v>
      </c>
      <c r="L159" s="2">
        <v>0</v>
      </c>
      <c r="M159" s="956"/>
      <c r="O159" s="83" t="str">
        <f t="shared" ref="O159" si="97">IF(L159=0,"0.00%",(P159-L159)/L159)</f>
        <v>0.00%</v>
      </c>
      <c r="P159" s="2">
        <v>0</v>
      </c>
      <c r="Q159" s="956"/>
      <c r="S159" s="83" t="str">
        <f t="shared" si="88"/>
        <v>0.00%</v>
      </c>
      <c r="T159" s="2">
        <v>0</v>
      </c>
      <c r="U159" s="956"/>
      <c r="W159" s="2239"/>
      <c r="Y159" s="36"/>
      <c r="AA159" s="83"/>
      <c r="AC159" s="36"/>
    </row>
    <row r="160" spans="1:29" x14ac:dyDescent="0.25">
      <c r="A160" s="66"/>
      <c r="B160" s="2164" t="s">
        <v>488</v>
      </c>
      <c r="C160" s="848" t="s">
        <v>503</v>
      </c>
      <c r="D160" s="341">
        <v>-144.68</v>
      </c>
      <c r="G160" s="83">
        <f t="shared" ref="G160:G178" si="98">IF(D160=0,"0.00%",(H160-D160)/D160)</f>
        <v>-0.58529167818634231</v>
      </c>
      <c r="H160" s="2">
        <v>-60</v>
      </c>
      <c r="K160" s="83">
        <f t="shared" ref="K160:K178" si="99">IF(H160=0,"0.00%",(L160-H160)/H160)</f>
        <v>-1</v>
      </c>
      <c r="L160" s="2">
        <v>0</v>
      </c>
      <c r="M160" s="956"/>
      <c r="O160" s="83" t="str">
        <f t="shared" ref="O160:O178" si="100">IF(L160=0,"0.00%",(P160-L160)/L160)</f>
        <v>0.00%</v>
      </c>
      <c r="P160" s="2">
        <f>+L160</f>
        <v>0</v>
      </c>
      <c r="Q160" s="956"/>
      <c r="S160" s="83" t="str">
        <f t="shared" si="88"/>
        <v>0.00%</v>
      </c>
      <c r="T160" s="2">
        <f>+P160</f>
        <v>0</v>
      </c>
      <c r="U160" s="956"/>
      <c r="W160" s="2239"/>
      <c r="Y160" s="36"/>
      <c r="AA160" s="83"/>
      <c r="AC160" s="36"/>
    </row>
    <row r="161" spans="1:29" x14ac:dyDescent="0.25">
      <c r="A161" s="66"/>
      <c r="B161" s="2164" t="s">
        <v>11</v>
      </c>
      <c r="C161" s="848" t="s">
        <v>413</v>
      </c>
      <c r="D161" s="341">
        <v>3199.9</v>
      </c>
      <c r="G161" s="83">
        <f t="shared" si="98"/>
        <v>-0.19966248945279541</v>
      </c>
      <c r="H161" s="2">
        <v>2561</v>
      </c>
      <c r="K161" s="83">
        <f t="shared" si="99"/>
        <v>-1</v>
      </c>
      <c r="L161" s="2">
        <v>0</v>
      </c>
      <c r="M161" s="956"/>
      <c r="O161" s="83" t="str">
        <f t="shared" si="100"/>
        <v>0.00%</v>
      </c>
      <c r="P161" s="2">
        <v>0</v>
      </c>
      <c r="Q161" s="956"/>
      <c r="S161" s="83" t="str">
        <f t="shared" si="88"/>
        <v>0.00%</v>
      </c>
      <c r="T161" s="2">
        <v>0</v>
      </c>
      <c r="U161" s="956"/>
      <c r="W161" s="2239"/>
      <c r="Y161" s="36"/>
      <c r="AA161" s="83"/>
      <c r="AC161" s="36"/>
    </row>
    <row r="162" spans="1:29" x14ac:dyDescent="0.25">
      <c r="A162" s="66"/>
      <c r="B162" s="2164" t="s">
        <v>120</v>
      </c>
      <c r="C162" s="848" t="s">
        <v>414</v>
      </c>
      <c r="D162" s="341">
        <v>1013.05</v>
      </c>
      <c r="G162" s="83">
        <f t="shared" si="98"/>
        <v>0.13222447065791426</v>
      </c>
      <c r="H162" s="2">
        <v>1147</v>
      </c>
      <c r="K162" s="83">
        <f t="shared" si="99"/>
        <v>-0.73844812554489969</v>
      </c>
      <c r="L162" s="2">
        <v>300</v>
      </c>
      <c r="M162" s="956"/>
      <c r="O162" s="83">
        <f t="shared" si="100"/>
        <v>0</v>
      </c>
      <c r="P162" s="2">
        <v>300</v>
      </c>
      <c r="Q162" s="956"/>
      <c r="S162" s="83">
        <f t="shared" si="88"/>
        <v>0</v>
      </c>
      <c r="T162" s="2">
        <v>300</v>
      </c>
      <c r="U162" s="956"/>
      <c r="W162" s="2239"/>
      <c r="Y162" s="36"/>
      <c r="AA162" s="83"/>
      <c r="AC162" s="36"/>
    </row>
    <row r="163" spans="1:29" x14ac:dyDescent="0.25">
      <c r="A163" s="66"/>
      <c r="B163" s="2164" t="s">
        <v>489</v>
      </c>
      <c r="C163" s="848" t="s">
        <v>504</v>
      </c>
      <c r="D163" s="341">
        <v>-12000</v>
      </c>
      <c r="G163" s="83">
        <f t="shared" si="98"/>
        <v>0</v>
      </c>
      <c r="H163" s="2">
        <v>-12000</v>
      </c>
      <c r="K163" s="83">
        <f t="shared" si="99"/>
        <v>0</v>
      </c>
      <c r="L163" s="2">
        <v>-12000</v>
      </c>
      <c r="M163" s="956"/>
      <c r="O163" s="83">
        <f t="shared" si="100"/>
        <v>0</v>
      </c>
      <c r="P163" s="2">
        <v>-12000</v>
      </c>
      <c r="Q163" s="956"/>
      <c r="S163" s="83">
        <f t="shared" si="88"/>
        <v>0</v>
      </c>
      <c r="T163" s="2">
        <v>-12000</v>
      </c>
      <c r="U163" s="956"/>
      <c r="W163" s="2239"/>
      <c r="Y163" s="36"/>
      <c r="AA163" s="83"/>
      <c r="AC163" s="36"/>
    </row>
    <row r="164" spans="1:29" x14ac:dyDescent="0.25">
      <c r="A164" s="66"/>
      <c r="B164" s="2164" t="s">
        <v>490</v>
      </c>
      <c r="C164" s="848" t="s">
        <v>505</v>
      </c>
      <c r="D164" s="341">
        <v>-3129.75</v>
      </c>
      <c r="G164" s="83">
        <f t="shared" si="98"/>
        <v>0.11830018372074447</v>
      </c>
      <c r="H164" s="2">
        <v>-3500</v>
      </c>
      <c r="K164" s="83">
        <f t="shared" si="99"/>
        <v>0</v>
      </c>
      <c r="L164" s="2">
        <v>-3500</v>
      </c>
      <c r="M164" s="956"/>
      <c r="O164" s="83">
        <f t="shared" si="100"/>
        <v>0</v>
      </c>
      <c r="P164" s="2">
        <v>-3500</v>
      </c>
      <c r="Q164" s="956"/>
      <c r="S164" s="83">
        <f t="shared" si="88"/>
        <v>0</v>
      </c>
      <c r="T164" s="2">
        <v>-3500</v>
      </c>
      <c r="U164" s="956"/>
      <c r="W164" s="2239"/>
      <c r="Y164" s="36"/>
      <c r="AA164" s="83"/>
      <c r="AC164" s="36"/>
    </row>
    <row r="165" spans="1:29" x14ac:dyDescent="0.25">
      <c r="A165" s="66"/>
      <c r="B165" s="2164" t="s">
        <v>491</v>
      </c>
      <c r="C165" s="848" t="s">
        <v>506</v>
      </c>
      <c r="D165" s="341">
        <v>4669.21</v>
      </c>
      <c r="G165" s="83">
        <f t="shared" si="98"/>
        <v>7.0844960924867362E-2</v>
      </c>
      <c r="H165" s="2">
        <v>5000</v>
      </c>
      <c r="K165" s="83">
        <f t="shared" si="99"/>
        <v>-0.82</v>
      </c>
      <c r="L165" s="2">
        <v>900</v>
      </c>
      <c r="M165" s="956"/>
      <c r="O165" s="83">
        <f t="shared" si="100"/>
        <v>0.1111111111111111</v>
      </c>
      <c r="P165" s="2">
        <v>1000</v>
      </c>
      <c r="Q165" s="956"/>
      <c r="S165" s="83">
        <f t="shared" si="88"/>
        <v>4</v>
      </c>
      <c r="T165" s="2">
        <v>5000</v>
      </c>
      <c r="U165" s="956"/>
      <c r="W165" s="2239"/>
      <c r="Y165" s="36"/>
      <c r="AA165" s="83"/>
      <c r="AC165" s="36"/>
    </row>
    <row r="166" spans="1:29" x14ac:dyDescent="0.25">
      <c r="A166" s="66"/>
      <c r="B166" s="2164" t="s">
        <v>492</v>
      </c>
      <c r="C166" s="848" t="s">
        <v>507</v>
      </c>
      <c r="D166" s="341">
        <v>113572.03</v>
      </c>
      <c r="G166" s="83">
        <f t="shared" si="98"/>
        <v>0.18153210786141624</v>
      </c>
      <c r="H166" s="2">
        <v>134189</v>
      </c>
      <c r="K166" s="83">
        <f t="shared" si="99"/>
        <v>-0.36656506867179872</v>
      </c>
      <c r="L166" s="2">
        <v>85000</v>
      </c>
      <c r="M166" s="956"/>
      <c r="O166" s="83">
        <f t="shared" si="100"/>
        <v>-0.23529411764705882</v>
      </c>
      <c r="P166" s="2">
        <v>65000</v>
      </c>
      <c r="Q166" s="956"/>
      <c r="S166" s="83">
        <f t="shared" si="88"/>
        <v>0</v>
      </c>
      <c r="T166" s="2">
        <f>+P166</f>
        <v>65000</v>
      </c>
      <c r="U166" s="956"/>
      <c r="W166" s="2239"/>
      <c r="Y166" s="36"/>
      <c r="AA166" s="83"/>
      <c r="AC166" s="36"/>
    </row>
    <row r="167" spans="1:29" x14ac:dyDescent="0.25">
      <c r="A167" s="66"/>
      <c r="B167" s="2164" t="s">
        <v>493</v>
      </c>
      <c r="C167" s="848" t="s">
        <v>508</v>
      </c>
      <c r="D167" s="341">
        <v>16527.5</v>
      </c>
      <c r="G167" s="83">
        <f t="shared" si="98"/>
        <v>0.7289366207835426</v>
      </c>
      <c r="H167" s="2">
        <v>28575</v>
      </c>
      <c r="K167" s="83">
        <f t="shared" si="99"/>
        <v>-5.8092738407699039E-2</v>
      </c>
      <c r="L167" s="2">
        <v>26915</v>
      </c>
      <c r="M167" s="956"/>
      <c r="O167" s="83">
        <f t="shared" si="100"/>
        <v>0.11462010031580903</v>
      </c>
      <c r="P167" s="2">
        <v>30000</v>
      </c>
      <c r="Q167" s="956"/>
      <c r="S167" s="83">
        <f t="shared" si="88"/>
        <v>0</v>
      </c>
      <c r="T167" s="2">
        <v>30000</v>
      </c>
      <c r="U167" s="956"/>
      <c r="W167" s="2239"/>
      <c r="Y167" s="36"/>
      <c r="AA167" s="83"/>
      <c r="AC167" s="36"/>
    </row>
    <row r="168" spans="1:29" x14ac:dyDescent="0.25">
      <c r="A168" s="66"/>
      <c r="B168" s="2164" t="s">
        <v>126</v>
      </c>
      <c r="C168" s="848" t="s">
        <v>509</v>
      </c>
      <c r="D168" s="341">
        <v>485</v>
      </c>
      <c r="G168" s="83">
        <f t="shared" si="98"/>
        <v>-1</v>
      </c>
      <c r="H168" s="2">
        <v>0</v>
      </c>
      <c r="K168" s="83" t="str">
        <f t="shared" si="99"/>
        <v>0.00%</v>
      </c>
      <c r="L168" s="2">
        <v>0</v>
      </c>
      <c r="M168" s="956"/>
      <c r="O168" s="83" t="str">
        <f t="shared" si="100"/>
        <v>0.00%</v>
      </c>
      <c r="P168" s="2">
        <v>0</v>
      </c>
      <c r="Q168" s="956"/>
      <c r="S168" s="83" t="str">
        <f t="shared" si="88"/>
        <v>0.00%</v>
      </c>
      <c r="T168" s="2">
        <v>0</v>
      </c>
      <c r="U168" s="956"/>
      <c r="W168" s="2239"/>
      <c r="Y168" s="36"/>
      <c r="AA168" s="83"/>
      <c r="AC168" s="36"/>
    </row>
    <row r="169" spans="1:29" x14ac:dyDescent="0.25">
      <c r="A169" s="66"/>
      <c r="B169" s="2164" t="s">
        <v>9</v>
      </c>
      <c r="C169" s="848" t="s">
        <v>8</v>
      </c>
      <c r="D169" s="341">
        <v>3660</v>
      </c>
      <c r="G169" s="83">
        <f t="shared" si="98"/>
        <v>0.24180327868852458</v>
      </c>
      <c r="H169" s="2">
        <v>4545</v>
      </c>
      <c r="K169" s="83">
        <f t="shared" si="99"/>
        <v>13.691089108910891</v>
      </c>
      <c r="L169" s="2">
        <v>66771</v>
      </c>
      <c r="M169" s="956"/>
      <c r="O169" s="83">
        <f t="shared" si="100"/>
        <v>-2.6523490736996599E-2</v>
      </c>
      <c r="P169" s="2">
        <v>65000</v>
      </c>
      <c r="Q169" s="956"/>
      <c r="S169" s="83">
        <f t="shared" si="88"/>
        <v>0</v>
      </c>
      <c r="T169" s="2">
        <f>+P169</f>
        <v>65000</v>
      </c>
      <c r="U169" s="956"/>
      <c r="W169" s="2239"/>
      <c r="Y169" s="36"/>
      <c r="AA169" s="83"/>
      <c r="AC169" s="36"/>
    </row>
    <row r="170" spans="1:29" x14ac:dyDescent="0.25">
      <c r="A170" s="66"/>
      <c r="B170" s="2164" t="s">
        <v>122</v>
      </c>
      <c r="C170" s="848" t="s">
        <v>123</v>
      </c>
      <c r="D170" s="341">
        <v>39733.57</v>
      </c>
      <c r="G170" s="83">
        <f t="shared" si="98"/>
        <v>0.20057170800408824</v>
      </c>
      <c r="H170" s="2">
        <v>47703</v>
      </c>
      <c r="K170" s="83">
        <f t="shared" si="99"/>
        <v>1.8300106911514999</v>
      </c>
      <c r="L170" s="2">
        <v>135000</v>
      </c>
      <c r="M170" s="956" t="s">
        <v>1091</v>
      </c>
      <c r="O170" s="83">
        <f t="shared" si="100"/>
        <v>0</v>
      </c>
      <c r="P170" s="2">
        <f>+L170</f>
        <v>135000</v>
      </c>
      <c r="Q170" s="956"/>
      <c r="S170" s="83">
        <f t="shared" si="88"/>
        <v>0</v>
      </c>
      <c r="T170" s="2">
        <f>+P170</f>
        <v>135000</v>
      </c>
      <c r="U170" s="956"/>
      <c r="W170" s="2239"/>
      <c r="Y170" s="36"/>
      <c r="AA170" s="83"/>
      <c r="AC170" s="36"/>
    </row>
    <row r="171" spans="1:29" x14ac:dyDescent="0.25">
      <c r="A171" s="66"/>
      <c r="B171" s="2164" t="s">
        <v>494</v>
      </c>
      <c r="C171" s="848" t="s">
        <v>415</v>
      </c>
      <c r="D171" s="341">
        <v>5356.95</v>
      </c>
      <c r="G171" s="83">
        <f t="shared" si="98"/>
        <v>-6.6633065457023091E-2</v>
      </c>
      <c r="H171" s="2">
        <v>5000</v>
      </c>
      <c r="K171" s="83">
        <f t="shared" si="99"/>
        <v>2.8</v>
      </c>
      <c r="L171" s="2">
        <v>19000</v>
      </c>
      <c r="M171" s="956"/>
      <c r="O171" s="83">
        <f t="shared" si="100"/>
        <v>0</v>
      </c>
      <c r="P171" s="2">
        <f>+L171</f>
        <v>19000</v>
      </c>
      <c r="Q171" s="956"/>
      <c r="S171" s="83">
        <f t="shared" si="88"/>
        <v>0</v>
      </c>
      <c r="T171" s="2">
        <f>+P171</f>
        <v>19000</v>
      </c>
      <c r="U171" s="956"/>
      <c r="W171" s="2239"/>
      <c r="Y171" s="36"/>
      <c r="AA171" s="83"/>
      <c r="AC171" s="36"/>
    </row>
    <row r="172" spans="1:29" x14ac:dyDescent="0.25">
      <c r="A172" s="66"/>
      <c r="B172" s="2164" t="s">
        <v>7</v>
      </c>
      <c r="C172" s="848" t="s">
        <v>6</v>
      </c>
      <c r="D172" s="341">
        <v>113210.67</v>
      </c>
      <c r="G172" s="83">
        <f t="shared" si="98"/>
        <v>-7.0361477411978915E-2</v>
      </c>
      <c r="H172" s="2">
        <v>105245</v>
      </c>
      <c r="K172" s="83">
        <f t="shared" si="99"/>
        <v>-0.94413036248752913</v>
      </c>
      <c r="L172" s="2">
        <v>5880</v>
      </c>
      <c r="M172" s="956"/>
      <c r="O172" s="83">
        <f t="shared" si="100"/>
        <v>0</v>
      </c>
      <c r="P172" s="2">
        <f>+L172</f>
        <v>5880</v>
      </c>
      <c r="Q172" s="956"/>
      <c r="S172" s="83">
        <f t="shared" si="88"/>
        <v>0</v>
      </c>
      <c r="T172" s="2">
        <f>+P172</f>
        <v>5880</v>
      </c>
      <c r="U172" s="956"/>
      <c r="W172" s="2239"/>
      <c r="Y172" s="36"/>
      <c r="AA172" s="83"/>
      <c r="AC172" s="36"/>
    </row>
    <row r="173" spans="1:29" x14ac:dyDescent="0.25">
      <c r="A173" s="66"/>
      <c r="B173" s="2164" t="s">
        <v>5</v>
      </c>
      <c r="C173" s="848" t="s">
        <v>4</v>
      </c>
      <c r="D173" s="341">
        <v>87478.34</v>
      </c>
      <c r="G173" s="83">
        <f t="shared" si="98"/>
        <v>-5.847550376470332E-2</v>
      </c>
      <c r="H173" s="2">
        <v>82363</v>
      </c>
      <c r="K173" s="83">
        <f t="shared" si="99"/>
        <v>-0.43056955186187973</v>
      </c>
      <c r="L173" s="2">
        <v>46900</v>
      </c>
      <c r="M173" s="956"/>
      <c r="O173" s="83">
        <f t="shared" si="100"/>
        <v>0</v>
      </c>
      <c r="P173" s="2">
        <f>+L173</f>
        <v>46900</v>
      </c>
      <c r="Q173" s="956"/>
      <c r="S173" s="83">
        <f t="shared" si="88"/>
        <v>0</v>
      </c>
      <c r="T173" s="2">
        <f>+P173</f>
        <v>46900</v>
      </c>
      <c r="U173" s="956"/>
      <c r="W173" s="2239"/>
      <c r="Y173" s="36"/>
      <c r="AA173" s="83"/>
      <c r="AC173" s="36"/>
    </row>
    <row r="174" spans="1:29" x14ac:dyDescent="0.25">
      <c r="A174" s="66"/>
      <c r="B174" s="2164">
        <v>5817</v>
      </c>
      <c r="C174" s="848" t="s">
        <v>259</v>
      </c>
      <c r="D174" s="341">
        <v>2476.9</v>
      </c>
      <c r="G174" s="83">
        <f t="shared" si="98"/>
        <v>0.11469982639589806</v>
      </c>
      <c r="H174" s="2">
        <v>2761</v>
      </c>
      <c r="K174" s="83">
        <f t="shared" si="99"/>
        <v>-1</v>
      </c>
      <c r="L174" s="2">
        <v>0</v>
      </c>
      <c r="M174" s="956"/>
      <c r="O174" s="83" t="str">
        <f t="shared" si="100"/>
        <v>0.00%</v>
      </c>
      <c r="P174" s="2">
        <v>0</v>
      </c>
      <c r="Q174" s="956"/>
      <c r="S174" s="83" t="str">
        <f t="shared" si="88"/>
        <v>0.00%</v>
      </c>
      <c r="T174" s="2">
        <v>0</v>
      </c>
      <c r="U174" s="956"/>
      <c r="W174" s="2239"/>
      <c r="Y174" s="36"/>
      <c r="AA174" s="83"/>
      <c r="AC174" s="36"/>
    </row>
    <row r="175" spans="1:29" x14ac:dyDescent="0.25">
      <c r="A175" s="66"/>
      <c r="B175" s="2164" t="s">
        <v>495</v>
      </c>
      <c r="C175" s="848" t="s">
        <v>510</v>
      </c>
      <c r="D175" s="341">
        <v>507.96</v>
      </c>
      <c r="G175" s="83">
        <f t="shared" si="98"/>
        <v>3.1577289550358337E-2</v>
      </c>
      <c r="H175" s="2">
        <v>524</v>
      </c>
      <c r="K175" s="83">
        <f t="shared" si="99"/>
        <v>-1.9083969465648854E-3</v>
      </c>
      <c r="L175" s="2">
        <v>523</v>
      </c>
      <c r="M175" s="956"/>
      <c r="O175" s="83">
        <f t="shared" si="100"/>
        <v>0</v>
      </c>
      <c r="P175" s="2">
        <f>+L175</f>
        <v>523</v>
      </c>
      <c r="Q175" s="956"/>
      <c r="S175" s="83">
        <f t="shared" si="88"/>
        <v>0</v>
      </c>
      <c r="T175" s="2">
        <f>+P175</f>
        <v>523</v>
      </c>
      <c r="U175" s="956"/>
      <c r="W175" s="2239"/>
      <c r="Y175" s="36"/>
      <c r="AA175" s="83"/>
      <c r="AC175" s="36"/>
    </row>
    <row r="176" spans="1:29" x14ac:dyDescent="0.25">
      <c r="A176" s="66"/>
      <c r="B176" s="2164" t="s">
        <v>496</v>
      </c>
      <c r="C176" s="848" t="s">
        <v>511</v>
      </c>
      <c r="D176" s="341">
        <v>22750</v>
      </c>
      <c r="G176" s="83">
        <f t="shared" si="98"/>
        <v>-0.56043956043956045</v>
      </c>
      <c r="H176" s="2">
        <v>10000</v>
      </c>
      <c r="K176" s="83">
        <f t="shared" si="99"/>
        <v>0.75249999999999995</v>
      </c>
      <c r="L176" s="2">
        <v>17525</v>
      </c>
      <c r="M176" s="956"/>
      <c r="O176" s="83">
        <f t="shared" si="100"/>
        <v>0</v>
      </c>
      <c r="P176" s="2">
        <f>+L176</f>
        <v>17525</v>
      </c>
      <c r="Q176" s="956"/>
      <c r="S176" s="83">
        <f t="shared" si="88"/>
        <v>0</v>
      </c>
      <c r="T176" s="2">
        <f>+P176</f>
        <v>17525</v>
      </c>
      <c r="U176" s="956"/>
      <c r="W176" s="2239"/>
      <c r="Y176" s="36"/>
      <c r="AA176" s="83"/>
      <c r="AC176" s="36"/>
    </row>
    <row r="177" spans="1:29" x14ac:dyDescent="0.25">
      <c r="A177" s="66"/>
      <c r="B177" s="2164" t="s">
        <v>497</v>
      </c>
      <c r="C177" s="848" t="s">
        <v>512</v>
      </c>
      <c r="D177" s="341">
        <v>94304.03</v>
      </c>
      <c r="G177" s="83">
        <f t="shared" si="98"/>
        <v>-0.68187997904225306</v>
      </c>
      <c r="H177" s="2">
        <v>30000</v>
      </c>
      <c r="K177" s="83">
        <f t="shared" si="99"/>
        <v>-0.33333333333333331</v>
      </c>
      <c r="L177" s="2">
        <v>20000</v>
      </c>
      <c r="M177" s="956"/>
      <c r="O177" s="83">
        <f t="shared" si="100"/>
        <v>-0.25</v>
      </c>
      <c r="P177" s="2">
        <v>15000</v>
      </c>
      <c r="Q177" s="956"/>
      <c r="S177" s="83">
        <f t="shared" si="88"/>
        <v>0</v>
      </c>
      <c r="T177" s="2">
        <f>+P177</f>
        <v>15000</v>
      </c>
      <c r="U177" s="956"/>
      <c r="W177" s="2239"/>
      <c r="Y177" s="36"/>
      <c r="AA177" s="83"/>
      <c r="AC177" s="36"/>
    </row>
    <row r="178" spans="1:29" x14ac:dyDescent="0.25">
      <c r="A178" s="66"/>
      <c r="B178" s="2164" t="s">
        <v>498</v>
      </c>
      <c r="C178" s="848" t="s">
        <v>513</v>
      </c>
      <c r="D178" s="341">
        <v>10040</v>
      </c>
      <c r="G178" s="83">
        <f t="shared" si="98"/>
        <v>-3.047808764940239E-2</v>
      </c>
      <c r="H178" s="2">
        <v>9734</v>
      </c>
      <c r="K178" s="83">
        <f t="shared" si="99"/>
        <v>-9.2459420587630986E-4</v>
      </c>
      <c r="L178" s="2">
        <v>9725</v>
      </c>
      <c r="M178" s="956"/>
      <c r="O178" s="83">
        <f t="shared" si="100"/>
        <v>0</v>
      </c>
      <c r="P178" s="2">
        <f>+L178</f>
        <v>9725</v>
      </c>
      <c r="Q178" s="956"/>
      <c r="S178" s="83">
        <f t="shared" si="88"/>
        <v>0</v>
      </c>
      <c r="T178" s="2">
        <f>+P178</f>
        <v>9725</v>
      </c>
      <c r="U178" s="956"/>
      <c r="W178" s="2239"/>
      <c r="Y178" s="36"/>
      <c r="AA178" s="83"/>
      <c r="AC178" s="36"/>
    </row>
    <row r="179" spans="1:29" x14ac:dyDescent="0.25">
      <c r="A179" s="66"/>
      <c r="B179" s="2164" t="s">
        <v>499</v>
      </c>
      <c r="C179" s="848" t="s">
        <v>514</v>
      </c>
      <c r="D179" s="341">
        <v>20428.04</v>
      </c>
      <c r="G179" s="83">
        <f t="shared" ref="G179:G183" si="101">IF(D179=0,"0.00%",(H179-D179)/D179)</f>
        <v>-0.15351644112699997</v>
      </c>
      <c r="H179" s="2">
        <v>17292</v>
      </c>
      <c r="K179" s="83">
        <f t="shared" ref="K179:K184" si="102">IF(H179=0,"0.00%",(L179-H179)/H179)</f>
        <v>0.10224381216747629</v>
      </c>
      <c r="L179" s="2">
        <v>19060</v>
      </c>
      <c r="M179" s="956"/>
      <c r="O179" s="83">
        <f t="shared" ref="O179:O184" si="103">IF(L179=0,"0.00%",(P179-L179)/L179)</f>
        <v>0</v>
      </c>
      <c r="P179" s="2">
        <f t="shared" ref="P179:P182" si="104">+L179</f>
        <v>19060</v>
      </c>
      <c r="Q179" s="956"/>
      <c r="S179" s="83">
        <f t="shared" si="88"/>
        <v>0</v>
      </c>
      <c r="T179" s="2">
        <f t="shared" ref="T179:T182" si="105">+P179</f>
        <v>19060</v>
      </c>
      <c r="U179" s="956"/>
      <c r="W179" s="2239"/>
      <c r="Y179" s="36"/>
      <c r="AA179" s="83"/>
      <c r="AC179" s="36"/>
    </row>
    <row r="180" spans="1:29" x14ac:dyDescent="0.25">
      <c r="A180" s="66"/>
      <c r="B180" s="2164" t="s">
        <v>500</v>
      </c>
      <c r="C180" s="848" t="s">
        <v>515</v>
      </c>
      <c r="D180" s="341">
        <v>10000</v>
      </c>
      <c r="G180" s="83">
        <f t="shared" si="101"/>
        <v>0</v>
      </c>
      <c r="H180" s="2">
        <v>10000</v>
      </c>
      <c r="K180" s="83">
        <f t="shared" si="102"/>
        <v>0</v>
      </c>
      <c r="L180" s="2">
        <f t="shared" ref="L180" si="106">+H180</f>
        <v>10000</v>
      </c>
      <c r="M180" s="956"/>
      <c r="O180" s="83">
        <f t="shared" si="103"/>
        <v>0</v>
      </c>
      <c r="P180" s="2">
        <f t="shared" si="104"/>
        <v>10000</v>
      </c>
      <c r="Q180" s="956"/>
      <c r="S180" s="83">
        <f t="shared" si="88"/>
        <v>0</v>
      </c>
      <c r="T180" s="2">
        <f t="shared" si="105"/>
        <v>10000</v>
      </c>
      <c r="U180" s="956"/>
      <c r="W180" s="2239"/>
      <c r="Y180" s="36"/>
      <c r="AA180" s="83"/>
      <c r="AC180" s="36"/>
    </row>
    <row r="181" spans="1:29" x14ac:dyDescent="0.25">
      <c r="A181" s="66"/>
      <c r="B181" s="2164" t="s">
        <v>501</v>
      </c>
      <c r="C181" s="848" t="s">
        <v>516</v>
      </c>
      <c r="D181" s="341">
        <v>83949</v>
      </c>
      <c r="G181" s="83">
        <f t="shared" si="101"/>
        <v>6.1108530179037272E-2</v>
      </c>
      <c r="H181" s="2">
        <v>89079</v>
      </c>
      <c r="K181" s="83">
        <f t="shared" si="102"/>
        <v>-1.8489206210217896E-2</v>
      </c>
      <c r="L181" s="2">
        <v>87432</v>
      </c>
      <c r="M181" s="956"/>
      <c r="O181" s="83">
        <f t="shared" si="103"/>
        <v>0</v>
      </c>
      <c r="P181" s="2">
        <f t="shared" si="104"/>
        <v>87432</v>
      </c>
      <c r="Q181" s="956"/>
      <c r="S181" s="83">
        <f t="shared" si="88"/>
        <v>0</v>
      </c>
      <c r="T181" s="2">
        <f t="shared" si="105"/>
        <v>87432</v>
      </c>
      <c r="U181" s="956"/>
      <c r="W181" s="2239"/>
      <c r="Y181" s="36"/>
      <c r="AA181" s="83"/>
      <c r="AC181" s="36"/>
    </row>
    <row r="182" spans="1:29" x14ac:dyDescent="0.25">
      <c r="A182" s="66"/>
      <c r="B182" s="2164" t="s">
        <v>502</v>
      </c>
      <c r="C182" s="848" t="s">
        <v>517</v>
      </c>
      <c r="D182" s="341">
        <v>3185</v>
      </c>
      <c r="G182" s="83">
        <f t="shared" si="101"/>
        <v>2.3547880690737835E-2</v>
      </c>
      <c r="H182" s="2">
        <v>3260</v>
      </c>
      <c r="K182" s="83">
        <f t="shared" si="102"/>
        <v>2.3006134969325152E-2</v>
      </c>
      <c r="L182" s="2">
        <v>3335</v>
      </c>
      <c r="M182" s="956"/>
      <c r="O182" s="83">
        <f t="shared" si="103"/>
        <v>0</v>
      </c>
      <c r="P182" s="2">
        <f t="shared" si="104"/>
        <v>3335</v>
      </c>
      <c r="Q182" s="956"/>
      <c r="S182" s="83">
        <f t="shared" si="88"/>
        <v>0</v>
      </c>
      <c r="T182" s="2">
        <f t="shared" si="105"/>
        <v>3335</v>
      </c>
      <c r="U182" s="956"/>
      <c r="W182" s="2239"/>
      <c r="Y182" s="36"/>
      <c r="AA182" s="83"/>
      <c r="AC182" s="36"/>
    </row>
    <row r="183" spans="1:29" x14ac:dyDescent="0.25">
      <c r="A183" s="66"/>
      <c r="B183" s="2164" t="s">
        <v>124</v>
      </c>
      <c r="C183" s="848" t="s">
        <v>431</v>
      </c>
      <c r="D183" s="341">
        <v>7.08</v>
      </c>
      <c r="G183" s="83">
        <f t="shared" si="101"/>
        <v>-1</v>
      </c>
      <c r="H183" s="2">
        <v>0</v>
      </c>
      <c r="K183" s="83" t="str">
        <f t="shared" si="102"/>
        <v>0.00%</v>
      </c>
      <c r="L183" s="2">
        <v>0</v>
      </c>
      <c r="M183" s="956"/>
      <c r="O183" s="83" t="str">
        <f t="shared" si="103"/>
        <v>0.00%</v>
      </c>
      <c r="P183" s="2">
        <v>0</v>
      </c>
      <c r="Q183" s="956"/>
      <c r="S183" s="83" t="str">
        <f t="shared" si="88"/>
        <v>0.00%</v>
      </c>
      <c r="T183" s="2">
        <v>0</v>
      </c>
      <c r="U183" s="956"/>
      <c r="W183" s="2239"/>
      <c r="Y183" s="36"/>
      <c r="AA183" s="83"/>
      <c r="AC183" s="36"/>
    </row>
    <row r="184" spans="1:29" x14ac:dyDescent="0.25">
      <c r="A184" s="66"/>
      <c r="B184" s="2164"/>
      <c r="D184" s="341"/>
      <c r="G184" s="83"/>
      <c r="H184" s="2"/>
      <c r="K184" s="83" t="str">
        <f t="shared" si="102"/>
        <v>0.00%</v>
      </c>
      <c r="L184" s="1870">
        <v>0</v>
      </c>
      <c r="M184" s="2235"/>
      <c r="O184" s="83" t="str">
        <f t="shared" si="103"/>
        <v>0.00%</v>
      </c>
      <c r="P184" s="2">
        <f>+L184</f>
        <v>0</v>
      </c>
      <c r="Q184" s="956"/>
      <c r="S184" s="83" t="str">
        <f t="shared" si="88"/>
        <v>0.00%</v>
      </c>
      <c r="T184" s="2">
        <f>+P184</f>
        <v>0</v>
      </c>
      <c r="U184" s="956"/>
      <c r="W184" s="2239"/>
      <c r="Y184" s="36"/>
      <c r="AA184" s="83"/>
      <c r="AC184" s="36"/>
    </row>
    <row r="185" spans="1:29" x14ac:dyDescent="0.25">
      <c r="A185" s="29"/>
      <c r="D185" s="600">
        <f>SUM(D144:D184)</f>
        <v>2283698.31</v>
      </c>
      <c r="G185" s="83">
        <f t="shared" si="94"/>
        <v>6.2676238526445341E-2</v>
      </c>
      <c r="H185" s="8">
        <f>SUM(H144:H184)</f>
        <v>2426831.9300000002</v>
      </c>
      <c r="I185" s="1138">
        <f>+H185-D185</f>
        <v>143133.62000000011</v>
      </c>
      <c r="J185" s="29"/>
      <c r="K185" s="83">
        <f t="shared" si="77"/>
        <v>-2.5361842836805003E-2</v>
      </c>
      <c r="L185" s="8">
        <f>SUM(L144:L184)</f>
        <v>2365283</v>
      </c>
      <c r="M185" s="1138">
        <f>+L185-H185</f>
        <v>-61548.930000000168</v>
      </c>
      <c r="O185" s="83">
        <f t="shared" si="78"/>
        <v>1.5413377595831028E-2</v>
      </c>
      <c r="P185" s="8">
        <f>SUM(P144:P184)</f>
        <v>2401740</v>
      </c>
      <c r="Q185" s="1138">
        <f>+P185-L185</f>
        <v>36457</v>
      </c>
      <c r="S185" s="83">
        <f t="shared" si="88"/>
        <v>2.2983753445418739E-2</v>
      </c>
      <c r="T185" s="8">
        <f>SUM(T144:T184)</f>
        <v>2456941</v>
      </c>
      <c r="U185" s="1138">
        <f>+T185-P185</f>
        <v>55201</v>
      </c>
      <c r="W185" s="2239">
        <f t="shared" si="80"/>
        <v>-0.19063746341487239</v>
      </c>
      <c r="X185" s="8">
        <f>SUM(X144:X184)</f>
        <v>1988556</v>
      </c>
      <c r="Y185" s="122"/>
      <c r="AA185" s="83">
        <f t="shared" si="81"/>
        <v>2.7299708934523343E-2</v>
      </c>
      <c r="AB185" s="8">
        <f>SUM(AB144:AB184)</f>
        <v>2042843</v>
      </c>
      <c r="AC185" s="122"/>
    </row>
    <row r="186" spans="1:29" x14ac:dyDescent="0.25">
      <c r="A186" s="66"/>
      <c r="B186" s="2163"/>
      <c r="D186" s="1405">
        <f>+D185-2283698.31</f>
        <v>0</v>
      </c>
      <c r="G186" s="83"/>
      <c r="H186" s="2"/>
      <c r="L186" s="2"/>
      <c r="M186" s="916"/>
      <c r="Q186" s="916"/>
      <c r="S186" s="333"/>
      <c r="U186" s="916"/>
      <c r="Y186" s="122"/>
      <c r="AC186" s="122"/>
    </row>
    <row r="187" spans="1:29" s="39" customFormat="1" x14ac:dyDescent="0.25">
      <c r="A187" s="149"/>
      <c r="B187" s="21" t="s">
        <v>328</v>
      </c>
      <c r="C187" s="844"/>
      <c r="D187" s="2"/>
      <c r="E187" s="848"/>
      <c r="F187" s="2"/>
      <c r="G187" s="83"/>
      <c r="H187" s="2"/>
      <c r="I187" s="856"/>
      <c r="J187" s="66"/>
      <c r="K187" s="333"/>
      <c r="L187" s="2"/>
      <c r="M187" s="890"/>
      <c r="O187" s="333"/>
      <c r="P187" s="2"/>
      <c r="Q187" s="890"/>
      <c r="R187" s="51"/>
      <c r="S187" s="333"/>
      <c r="T187" s="2"/>
      <c r="U187" s="890"/>
      <c r="V187" s="109"/>
      <c r="W187" s="2244"/>
      <c r="X187" s="2"/>
      <c r="Y187" s="73"/>
      <c r="AA187" s="333"/>
      <c r="AB187" s="2"/>
      <c r="AC187" s="73"/>
    </row>
    <row r="188" spans="1:29" s="39" customFormat="1" x14ac:dyDescent="0.25">
      <c r="A188" s="149"/>
      <c r="B188" s="12">
        <v>6400</v>
      </c>
      <c r="C188" s="844" t="s">
        <v>329</v>
      </c>
      <c r="D188" s="2">
        <v>25000</v>
      </c>
      <c r="E188" s="848"/>
      <c r="F188" s="2"/>
      <c r="G188" s="83"/>
      <c r="H188" s="2">
        <v>453</v>
      </c>
      <c r="I188" s="856"/>
      <c r="J188" s="66"/>
      <c r="K188" s="83"/>
      <c r="L188" s="2">
        <v>0</v>
      </c>
      <c r="M188" s="890"/>
      <c r="O188" s="83"/>
      <c r="P188" s="2">
        <v>0</v>
      </c>
      <c r="Q188" s="890"/>
      <c r="R188" s="51"/>
      <c r="S188" s="83"/>
      <c r="T188" s="2">
        <v>0</v>
      </c>
      <c r="U188" s="890"/>
      <c r="V188" s="109"/>
      <c r="W188" s="2239"/>
      <c r="X188" s="2">
        <v>0</v>
      </c>
      <c r="Y188" s="73"/>
      <c r="AA188" s="83"/>
      <c r="AB188" s="2">
        <v>0</v>
      </c>
      <c r="AC188" s="73"/>
    </row>
    <row r="189" spans="1:29" s="39" customFormat="1" ht="23.25" hidden="1" customHeight="1" x14ac:dyDescent="0.25">
      <c r="A189" s="149"/>
      <c r="B189" s="12"/>
      <c r="C189" s="844"/>
      <c r="D189" s="2">
        <v>0</v>
      </c>
      <c r="E189" s="848"/>
      <c r="F189" s="2"/>
      <c r="G189" s="83"/>
      <c r="H189" s="2">
        <v>0</v>
      </c>
      <c r="I189" s="856"/>
      <c r="J189" s="66"/>
      <c r="K189" s="83"/>
      <c r="L189" s="2">
        <v>0</v>
      </c>
      <c r="M189" s="890"/>
      <c r="O189" s="83"/>
      <c r="P189" s="2">
        <v>0</v>
      </c>
      <c r="Q189" s="890"/>
      <c r="R189" s="51"/>
      <c r="S189" s="83"/>
      <c r="T189" s="2">
        <v>0</v>
      </c>
      <c r="U189" s="890"/>
      <c r="V189" s="109"/>
      <c r="W189" s="2239"/>
      <c r="X189" s="2">
        <v>0</v>
      </c>
      <c r="Y189" s="73"/>
      <c r="AA189" s="83"/>
      <c r="AB189" s="2">
        <v>0</v>
      </c>
      <c r="AC189" s="73"/>
    </row>
    <row r="190" spans="1:29" s="39" customFormat="1" hidden="1" x14ac:dyDescent="0.25">
      <c r="A190" s="149"/>
      <c r="B190" s="21"/>
      <c r="C190" s="844"/>
      <c r="D190" s="2">
        <v>0</v>
      </c>
      <c r="E190" s="848"/>
      <c r="F190" s="2"/>
      <c r="G190" s="83"/>
      <c r="H190" s="2">
        <v>0</v>
      </c>
      <c r="I190" s="856"/>
      <c r="J190" s="66"/>
      <c r="K190" s="83"/>
      <c r="L190" s="2">
        <v>0</v>
      </c>
      <c r="M190" s="890"/>
      <c r="O190" s="83"/>
      <c r="P190" s="2">
        <v>0</v>
      </c>
      <c r="Q190" s="890"/>
      <c r="R190" s="51"/>
      <c r="S190" s="83"/>
      <c r="T190" s="2">
        <v>0</v>
      </c>
      <c r="U190" s="890"/>
      <c r="V190" s="109"/>
      <c r="W190" s="2239"/>
      <c r="X190" s="2">
        <v>0</v>
      </c>
      <c r="Y190" s="73"/>
      <c r="AA190" s="83"/>
      <c r="AB190" s="2">
        <v>0</v>
      </c>
      <c r="AC190" s="73"/>
    </row>
    <row r="191" spans="1:29" s="39" customFormat="1" x14ac:dyDescent="0.25">
      <c r="A191" s="149"/>
      <c r="B191" s="21"/>
      <c r="C191" s="844"/>
      <c r="D191" s="112">
        <f>SUM(D188:D190)</f>
        <v>25000</v>
      </c>
      <c r="E191" s="848"/>
      <c r="F191" s="2"/>
      <c r="G191" s="83"/>
      <c r="H191" s="112">
        <f>SUM(H188:H190)</f>
        <v>453</v>
      </c>
      <c r="I191" s="856"/>
      <c r="J191" s="66"/>
      <c r="K191" s="83"/>
      <c r="L191" s="112">
        <f>SUM(L188:L190)</f>
        <v>0</v>
      </c>
      <c r="M191" s="890"/>
      <c r="O191" s="83"/>
      <c r="P191" s="112">
        <f>SUM(P188:P190)</f>
        <v>0</v>
      </c>
      <c r="Q191" s="890"/>
      <c r="R191" s="51"/>
      <c r="S191" s="83"/>
      <c r="T191" s="112">
        <f>SUM(T188:T190)</f>
        <v>0</v>
      </c>
      <c r="U191" s="890"/>
      <c r="V191" s="109"/>
      <c r="W191" s="2239"/>
      <c r="X191" s="112">
        <f>SUM(X188:X190)</f>
        <v>0</v>
      </c>
      <c r="Y191" s="73"/>
      <c r="AA191" s="83"/>
      <c r="AB191" s="112">
        <f>SUM(AB188:AB190)</f>
        <v>0</v>
      </c>
      <c r="AC191" s="73"/>
    </row>
    <row r="192" spans="1:29" s="39" customFormat="1" x14ac:dyDescent="0.25">
      <c r="A192" s="149"/>
      <c r="B192" s="20"/>
      <c r="C192" s="844"/>
      <c r="D192" s="2"/>
      <c r="E192" s="848"/>
      <c r="F192" s="2"/>
      <c r="G192" s="52"/>
      <c r="H192" s="2"/>
      <c r="I192" s="856"/>
      <c r="J192" s="66"/>
      <c r="K192" s="52"/>
      <c r="L192" s="2"/>
      <c r="M192" s="890"/>
      <c r="O192" s="52"/>
      <c r="P192" s="2"/>
      <c r="Q192" s="890"/>
      <c r="R192" s="51"/>
      <c r="S192" s="52"/>
      <c r="T192" s="2"/>
      <c r="U192" s="890"/>
      <c r="V192" s="109"/>
      <c r="W192" s="2246"/>
      <c r="X192" s="2"/>
      <c r="Y192" s="73"/>
      <c r="AA192" s="52"/>
      <c r="AB192" s="2"/>
      <c r="AC192" s="73"/>
    </row>
    <row r="193" spans="1:29" s="39" customFormat="1" x14ac:dyDescent="0.25">
      <c r="A193" s="149"/>
      <c r="B193" s="21" t="s">
        <v>518</v>
      </c>
      <c r="C193" s="844"/>
      <c r="D193" s="2"/>
      <c r="E193" s="848"/>
      <c r="F193" s="2"/>
      <c r="G193" s="83"/>
      <c r="H193" s="2"/>
      <c r="I193" s="856"/>
      <c r="J193" s="66"/>
      <c r="K193" s="333"/>
      <c r="L193" s="2"/>
      <c r="M193" s="890"/>
      <c r="O193" s="333"/>
      <c r="P193" s="2"/>
      <c r="Q193" s="890"/>
      <c r="R193" s="51"/>
      <c r="S193" s="333"/>
      <c r="T193" s="2"/>
      <c r="U193" s="890"/>
      <c r="V193" s="109"/>
      <c r="W193" s="2244"/>
      <c r="X193" s="2"/>
      <c r="Y193" s="73"/>
      <c r="AA193" s="333"/>
      <c r="AB193" s="2"/>
      <c r="AC193" s="73"/>
    </row>
    <row r="194" spans="1:29" s="56" customFormat="1" x14ac:dyDescent="0.25">
      <c r="A194" s="896"/>
      <c r="B194" s="2426" t="s">
        <v>519</v>
      </c>
      <c r="C194" s="931" t="s">
        <v>525</v>
      </c>
      <c r="D194" s="108">
        <v>17998</v>
      </c>
      <c r="E194" s="894"/>
      <c r="F194" s="108"/>
      <c r="G194" s="1666">
        <f t="shared" ref="G194:G199" si="107">IF(D194=0,"0.00%",(H194-D194)/D194)</f>
        <v>-0.58328703189243247</v>
      </c>
      <c r="H194" s="108">
        <v>7500</v>
      </c>
      <c r="I194" s="1864" t="str">
        <f>"T. Other Outgo = "&amp;SUM(H194:H195,H198)</f>
        <v>T. Other Outgo = 197959</v>
      </c>
      <c r="J194" s="66"/>
      <c r="K194" s="1666">
        <f t="shared" ref="K194:K199" si="108">IF(H194=0,"0.00%",(L194-H194)/H194)</f>
        <v>0</v>
      </c>
      <c r="L194" s="108">
        <f>+H194</f>
        <v>7500</v>
      </c>
      <c r="M194" s="1864" t="str">
        <f>"T. Other Outgo = "&amp;SUM(L194:L195,L198)</f>
        <v>T. Other Outgo = 173251</v>
      </c>
      <c r="O194" s="1666">
        <f t="shared" ref="O194:O199" si="109">IF(L194=0,"0.00%",(P194-L194)/L194)</f>
        <v>0</v>
      </c>
      <c r="P194" s="108">
        <f>+L194</f>
        <v>7500</v>
      </c>
      <c r="Q194" s="1864" t="str">
        <f>"T. Other Outgo = "&amp;SUM(P194:P195,P198)</f>
        <v>T. Other Outgo = 173251</v>
      </c>
      <c r="R194" s="59"/>
      <c r="S194" s="1666">
        <f t="shared" ref="S194:S201" si="110">IF(P194=0,"0.00%",(T194-P194)/P194)</f>
        <v>0</v>
      </c>
      <c r="T194" s="108">
        <f>+P194</f>
        <v>7500</v>
      </c>
      <c r="U194" s="1864" t="str">
        <f>"T. Other Outgo = "&amp;SUM(T194:T195,T198)</f>
        <v>T. Other Outgo = 173251</v>
      </c>
      <c r="V194" s="2252"/>
      <c r="W194" s="2315"/>
      <c r="X194" s="108">
        <f>+T194</f>
        <v>7500</v>
      </c>
      <c r="Y194" s="66" t="s">
        <v>173</v>
      </c>
      <c r="AA194" s="1667"/>
      <c r="AB194" s="108">
        <f>+X194</f>
        <v>7500</v>
      </c>
      <c r="AC194" s="66" t="s">
        <v>173</v>
      </c>
    </row>
    <row r="195" spans="1:29" s="56" customFormat="1" x14ac:dyDescent="0.25">
      <c r="A195" s="896"/>
      <c r="B195" s="2426" t="s">
        <v>521</v>
      </c>
      <c r="C195" s="931" t="s">
        <v>526</v>
      </c>
      <c r="D195" s="108">
        <v>103636.83</v>
      </c>
      <c r="E195" s="894"/>
      <c r="F195" s="108"/>
      <c r="G195" s="1666">
        <f t="shared" ref="G195:G196" si="111">IF(D195=0,"0.00%",(H195-D195)/D195)</f>
        <v>0.13255104387117975</v>
      </c>
      <c r="H195" s="108">
        <v>117374</v>
      </c>
      <c r="I195" s="895"/>
      <c r="J195" s="66"/>
      <c r="K195" s="1666">
        <f t="shared" ref="K195:K196" si="112">IF(H195=0,"0.00%",(L195-H195)/H195)</f>
        <v>-0.21050658578560841</v>
      </c>
      <c r="L195" s="108">
        <v>92666</v>
      </c>
      <c r="M195" s="895"/>
      <c r="O195" s="1666">
        <f t="shared" ref="O195:O196" si="113">IF(L195=0,"0.00%",(P195-L195)/L195)</f>
        <v>0</v>
      </c>
      <c r="P195" s="108">
        <f>+L195</f>
        <v>92666</v>
      </c>
      <c r="Q195" s="895"/>
      <c r="R195" s="59"/>
      <c r="S195" s="1666">
        <f t="shared" si="110"/>
        <v>0</v>
      </c>
      <c r="T195" s="108">
        <f>+P195</f>
        <v>92666</v>
      </c>
      <c r="U195" s="895"/>
      <c r="V195" s="2252"/>
      <c r="W195" s="2315"/>
      <c r="X195" s="108">
        <v>0</v>
      </c>
      <c r="Y195" s="66"/>
      <c r="AA195" s="1667"/>
      <c r="AB195" s="108">
        <v>0</v>
      </c>
      <c r="AC195" s="66"/>
    </row>
    <row r="196" spans="1:29" s="56" customFormat="1" x14ac:dyDescent="0.25">
      <c r="A196" s="896"/>
      <c r="B196" s="2426" t="s">
        <v>522</v>
      </c>
      <c r="C196" s="931" t="s">
        <v>527</v>
      </c>
      <c r="D196" s="108">
        <v>-575725.48</v>
      </c>
      <c r="E196" s="894"/>
      <c r="F196" s="108"/>
      <c r="G196" s="1666">
        <f t="shared" si="111"/>
        <v>0.29863628755843846</v>
      </c>
      <c r="H196" s="108">
        <v>-747658</v>
      </c>
      <c r="I196" s="1864" t="str">
        <f>"Total I/C = "&amp;SUM(H196:H197)</f>
        <v>Total I/C = -895066</v>
      </c>
      <c r="J196" s="66"/>
      <c r="K196" s="1666">
        <f t="shared" si="112"/>
        <v>0.22952339171118347</v>
      </c>
      <c r="L196" s="108">
        <v>-919263</v>
      </c>
      <c r="M196" s="1864" t="str">
        <f>"Total I/C = "&amp;SUM(L196:L197)</f>
        <v>Total I/C = -1129223</v>
      </c>
      <c r="O196" s="1666">
        <f t="shared" si="113"/>
        <v>3.3599742402337526E-2</v>
      </c>
      <c r="P196" s="108">
        <f>ROUND(L196*(LEFT(Q197,5)+1),0)</f>
        <v>-950150</v>
      </c>
      <c r="Q196" s="1864" t="str">
        <f>"Total I/C = "&amp;SUM(P196:P197)</f>
        <v>Total I/C = -1167165</v>
      </c>
      <c r="R196" s="59"/>
      <c r="S196" s="1666">
        <f t="shared" si="110"/>
        <v>3.3599957901383995E-2</v>
      </c>
      <c r="T196" s="108">
        <f>ROUND(P196*(LEFT(U197,5)+1),0)</f>
        <v>-982075</v>
      </c>
      <c r="U196" s="1864" t="str">
        <f>"Total I/C = "&amp;SUM(T196:T197)</f>
        <v>Total I/C = -1206382</v>
      </c>
      <c r="V196" s="2252"/>
      <c r="W196" s="2315"/>
      <c r="X196" s="108">
        <v>0</v>
      </c>
      <c r="Y196" s="66"/>
      <c r="AA196" s="1667"/>
      <c r="AB196" s="108">
        <v>0</v>
      </c>
      <c r="AC196" s="66"/>
    </row>
    <row r="197" spans="1:29" s="56" customFormat="1" x14ac:dyDescent="0.25">
      <c r="A197" s="896"/>
      <c r="B197" s="2426" t="s">
        <v>523</v>
      </c>
      <c r="C197" s="931" t="s">
        <v>528</v>
      </c>
      <c r="D197" s="108">
        <v>-118817.66</v>
      </c>
      <c r="E197" s="894"/>
      <c r="F197" s="108"/>
      <c r="G197" s="1666">
        <f t="shared" si="107"/>
        <v>0.24062365813297448</v>
      </c>
      <c r="H197" s="108">
        <v>-147408</v>
      </c>
      <c r="I197" s="895"/>
      <c r="J197" s="66"/>
      <c r="K197" s="1666">
        <f t="shared" si="108"/>
        <v>0.42434603277976773</v>
      </c>
      <c r="L197" s="108">
        <v>-209960</v>
      </c>
      <c r="M197" s="895" t="str">
        <f>TEXT('MYP Assumptions'!$F$78,"0.00%")&amp;", CPI"</f>
        <v>3.58%, CPI</v>
      </c>
      <c r="O197" s="1666">
        <f t="shared" si="109"/>
        <v>3.3601638407315677E-2</v>
      </c>
      <c r="P197" s="108">
        <f t="shared" ref="P197" si="114">ROUND(L197*(LEFT(Q197,5)+1),0)</f>
        <v>-217015</v>
      </c>
      <c r="Q197" s="895" t="str">
        <f>TEXT('MYP Assumptions'!$G$78,"0.00%")&amp;", CPI"</f>
        <v>3.36%, CPI</v>
      </c>
      <c r="R197" s="59"/>
      <c r="S197" s="1666">
        <f t="shared" si="110"/>
        <v>3.3601363961016519E-2</v>
      </c>
      <c r="T197" s="108">
        <f t="shared" ref="T197" si="115">ROUND(P197*(LEFT(U197,5)+1),0)</f>
        <v>-224307</v>
      </c>
      <c r="U197" s="895" t="str">
        <f>TEXT('MYP Assumptions'!$G$78,"0.00%")&amp;", CPI"</f>
        <v>3.36%, CPI</v>
      </c>
      <c r="V197" s="2252"/>
      <c r="W197" s="2315"/>
      <c r="X197" s="108">
        <v>0</v>
      </c>
      <c r="Y197" s="66"/>
      <c r="AA197" s="1667"/>
      <c r="AB197" s="108">
        <v>0</v>
      </c>
      <c r="AC197" s="66"/>
    </row>
    <row r="198" spans="1:29" s="56" customFormat="1" x14ac:dyDescent="0.25">
      <c r="A198" s="896"/>
      <c r="B198" s="2426">
        <v>7439</v>
      </c>
      <c r="C198" s="931" t="s">
        <v>847</v>
      </c>
      <c r="D198" s="108">
        <v>0</v>
      </c>
      <c r="E198" s="894"/>
      <c r="F198" s="108"/>
      <c r="G198" s="1666" t="s">
        <v>849</v>
      </c>
      <c r="H198" s="108">
        <v>73085</v>
      </c>
      <c r="I198" s="895" t="s">
        <v>848</v>
      </c>
      <c r="J198" s="66"/>
      <c r="K198" s="1666">
        <f t="shared" si="108"/>
        <v>0</v>
      </c>
      <c r="L198" s="108">
        <f>+H198</f>
        <v>73085</v>
      </c>
      <c r="M198" s="895" t="s">
        <v>173</v>
      </c>
      <c r="O198" s="1666">
        <f t="shared" si="109"/>
        <v>0</v>
      </c>
      <c r="P198" s="108">
        <f>+L198</f>
        <v>73085</v>
      </c>
      <c r="Q198" s="895" t="s">
        <v>173</v>
      </c>
      <c r="R198" s="59"/>
      <c r="S198" s="1666">
        <f t="shared" si="110"/>
        <v>0</v>
      </c>
      <c r="T198" s="108">
        <f>+P198</f>
        <v>73085</v>
      </c>
      <c r="U198" s="895" t="s">
        <v>173</v>
      </c>
      <c r="V198" s="2252"/>
      <c r="W198" s="2315"/>
      <c r="X198" s="108"/>
      <c r="Y198" s="66"/>
      <c r="AA198" s="1667"/>
      <c r="AB198" s="108"/>
      <c r="AC198" s="66"/>
    </row>
    <row r="199" spans="1:29" s="56" customFormat="1" x14ac:dyDescent="0.25">
      <c r="A199" s="896"/>
      <c r="B199" s="2426" t="s">
        <v>524</v>
      </c>
      <c r="C199" s="931" t="s">
        <v>529</v>
      </c>
      <c r="D199" s="108">
        <v>337000</v>
      </c>
      <c r="E199" s="894"/>
      <c r="F199" s="108"/>
      <c r="G199" s="1666">
        <f t="shared" si="107"/>
        <v>0</v>
      </c>
      <c r="H199" s="108">
        <f>+D199</f>
        <v>337000</v>
      </c>
      <c r="I199" s="895" t="s">
        <v>173</v>
      </c>
      <c r="J199" s="66"/>
      <c r="K199" s="1666">
        <f t="shared" si="108"/>
        <v>0</v>
      </c>
      <c r="L199" s="108">
        <f>+H199</f>
        <v>337000</v>
      </c>
      <c r="M199" s="895" t="s">
        <v>173</v>
      </c>
      <c r="O199" s="1666">
        <f t="shared" si="109"/>
        <v>0</v>
      </c>
      <c r="P199" s="108">
        <f>+L199</f>
        <v>337000</v>
      </c>
      <c r="Q199" s="895" t="s">
        <v>173</v>
      </c>
      <c r="R199" s="59"/>
      <c r="S199" s="1666">
        <f t="shared" si="110"/>
        <v>0</v>
      </c>
      <c r="T199" s="108">
        <f>+P199</f>
        <v>337000</v>
      </c>
      <c r="U199" s="895" t="s">
        <v>173</v>
      </c>
      <c r="V199" s="2252"/>
      <c r="W199" s="2315"/>
      <c r="X199" s="108">
        <v>0</v>
      </c>
      <c r="Y199" s="66"/>
      <c r="AA199" s="1667"/>
      <c r="AB199" s="108">
        <v>0</v>
      </c>
      <c r="AC199" s="66"/>
    </row>
    <row r="200" spans="1:29" s="56" customFormat="1" x14ac:dyDescent="0.25">
      <c r="A200" s="896"/>
      <c r="B200" s="2426" t="s">
        <v>524</v>
      </c>
      <c r="C200" s="931" t="s">
        <v>531</v>
      </c>
      <c r="D200" s="108">
        <v>200000</v>
      </c>
      <c r="E200" s="894"/>
      <c r="F200" s="108"/>
      <c r="G200" s="1666">
        <f t="shared" ref="G200:G201" si="116">IF(D200=0,"0.00%",(H200-D200)/D200)</f>
        <v>0</v>
      </c>
      <c r="H200" s="108">
        <f t="shared" ref="H200:H201" si="117">+D200</f>
        <v>200000</v>
      </c>
      <c r="I200" s="895" t="s">
        <v>173</v>
      </c>
      <c r="J200" s="66"/>
      <c r="K200" s="1666">
        <f t="shared" ref="K200:K201" si="118">IF(H200=0,"0.00%",(L200-H200)/H200)</f>
        <v>0</v>
      </c>
      <c r="L200" s="108">
        <f>+H200</f>
        <v>200000</v>
      </c>
      <c r="M200" s="895" t="s">
        <v>173</v>
      </c>
      <c r="O200" s="1666">
        <f t="shared" ref="O200:O201" si="119">IF(L200=0,"0.00%",(P200-L200)/L200)</f>
        <v>0</v>
      </c>
      <c r="P200" s="108">
        <f t="shared" ref="P200:P201" si="120">+L200</f>
        <v>200000</v>
      </c>
      <c r="Q200" s="895" t="s">
        <v>173</v>
      </c>
      <c r="R200" s="59"/>
      <c r="S200" s="1666">
        <f t="shared" si="110"/>
        <v>0</v>
      </c>
      <c r="T200" s="108">
        <f t="shared" ref="T200:T201" si="121">+P200</f>
        <v>200000</v>
      </c>
      <c r="U200" s="895" t="s">
        <v>173</v>
      </c>
      <c r="V200" s="2252"/>
      <c r="W200" s="2315"/>
      <c r="X200" s="108"/>
      <c r="Y200" s="66"/>
      <c r="AA200" s="1667"/>
      <c r="AB200" s="108"/>
      <c r="AC200" s="66"/>
    </row>
    <row r="201" spans="1:29" s="56" customFormat="1" x14ac:dyDescent="0.25">
      <c r="A201" s="896"/>
      <c r="B201" s="2426" t="s">
        <v>524</v>
      </c>
      <c r="C201" s="931" t="s">
        <v>530</v>
      </c>
      <c r="D201" s="108">
        <v>25000</v>
      </c>
      <c r="E201" s="2425">
        <f>+SUM(D199:D201)</f>
        <v>562000</v>
      </c>
      <c r="F201" s="108"/>
      <c r="G201" s="1666">
        <f t="shared" si="116"/>
        <v>0</v>
      </c>
      <c r="H201" s="108">
        <f t="shared" si="117"/>
        <v>25000</v>
      </c>
      <c r="I201" s="1864" t="str">
        <f>"Total TFs =  "&amp;SUM(H199:H201)</f>
        <v>Total TFs =  562000</v>
      </c>
      <c r="J201" s="66"/>
      <c r="K201" s="1666">
        <f t="shared" si="118"/>
        <v>0</v>
      </c>
      <c r="L201" s="108">
        <f>+H201</f>
        <v>25000</v>
      </c>
      <c r="O201" s="1666">
        <f t="shared" si="119"/>
        <v>0</v>
      </c>
      <c r="P201" s="108">
        <f t="shared" si="120"/>
        <v>25000</v>
      </c>
      <c r="R201" s="59"/>
      <c r="S201" s="1666">
        <f t="shared" si="110"/>
        <v>0</v>
      </c>
      <c r="T201" s="108">
        <f t="shared" si="121"/>
        <v>25000</v>
      </c>
      <c r="V201" s="2252"/>
      <c r="W201" s="2315"/>
      <c r="X201" s="108"/>
      <c r="Y201" s="66"/>
      <c r="AA201" s="1667"/>
      <c r="AB201" s="108"/>
      <c r="AC201" s="66"/>
    </row>
    <row r="202" spans="1:29" s="56" customFormat="1" x14ac:dyDescent="0.25">
      <c r="A202" s="896"/>
      <c r="B202" s="2426">
        <v>7619</v>
      </c>
      <c r="C202" s="931" t="s">
        <v>1092</v>
      </c>
      <c r="D202" s="108">
        <v>0</v>
      </c>
      <c r="E202" s="894"/>
      <c r="F202" s="108"/>
      <c r="G202" s="1666"/>
      <c r="H202" s="108">
        <v>0</v>
      </c>
      <c r="I202" s="895"/>
      <c r="J202" s="66"/>
      <c r="K202" s="1666"/>
      <c r="L202" s="108">
        <v>100000</v>
      </c>
      <c r="M202" s="1864" t="str">
        <f>"Total TFs =  "&amp;SUM(L199:L203)</f>
        <v>Total TFs =  662000</v>
      </c>
      <c r="O202" s="1666"/>
      <c r="P202" s="108">
        <f>L202</f>
        <v>100000</v>
      </c>
      <c r="Q202" s="1864" t="str">
        <f>"Total TFs =  "&amp;SUM(P199:P203)</f>
        <v>Total TFs =  662000</v>
      </c>
      <c r="R202" s="59"/>
      <c r="S202" s="1666"/>
      <c r="T202" s="108">
        <f>P202</f>
        <v>100000</v>
      </c>
      <c r="U202" s="1864" t="str">
        <f>"Total TFs =  "&amp;SUM(T199:T203)</f>
        <v>Total TFs =  662000</v>
      </c>
      <c r="V202" s="2252"/>
      <c r="W202" s="2315"/>
      <c r="X202" s="108"/>
      <c r="Y202" s="66"/>
      <c r="AA202" s="1667"/>
      <c r="AB202" s="108"/>
      <c r="AC202" s="66"/>
    </row>
    <row r="203" spans="1:29" s="56" customFormat="1" ht="9" customHeight="1" x14ac:dyDescent="0.25">
      <c r="A203" s="896"/>
      <c r="B203" s="2165"/>
      <c r="C203" s="910"/>
      <c r="D203" s="108"/>
      <c r="E203" s="894"/>
      <c r="F203" s="108"/>
      <c r="G203" s="1666"/>
      <c r="H203" s="108"/>
      <c r="I203" s="896"/>
      <c r="J203" s="66"/>
      <c r="K203" s="1667"/>
      <c r="L203" s="108"/>
      <c r="M203" s="1865"/>
      <c r="O203" s="1667"/>
      <c r="P203" s="108"/>
      <c r="Q203" s="1865"/>
      <c r="R203" s="59"/>
      <c r="S203" s="1667"/>
      <c r="T203" s="108"/>
      <c r="U203" s="1865"/>
      <c r="V203" s="2252"/>
      <c r="W203" s="2315"/>
      <c r="X203" s="108"/>
      <c r="Y203" s="66"/>
      <c r="AA203" s="1667"/>
      <c r="AB203" s="108"/>
      <c r="AC203" s="66"/>
    </row>
    <row r="204" spans="1:29" s="13" customFormat="1" x14ac:dyDescent="0.25">
      <c r="A204" s="151"/>
      <c r="B204" s="298"/>
      <c r="C204" s="880"/>
      <c r="D204" s="155">
        <f>SUM(D194:D203)</f>
        <v>-10908.309999999939</v>
      </c>
      <c r="E204" s="847"/>
      <c r="F204" s="10"/>
      <c r="G204" s="83">
        <f t="shared" ref="G204" si="122">IF(D204=0,"0.00%",(H204-D204)/D204)</f>
        <v>11.385694942663047</v>
      </c>
      <c r="H204" s="155">
        <f>SUM(H194:H203)</f>
        <v>-135107</v>
      </c>
      <c r="I204" s="1138">
        <f>+H204-D204</f>
        <v>-124198.69000000006</v>
      </c>
      <c r="J204" s="57"/>
      <c r="K204" s="83">
        <f t="shared" ref="K204" si="123">IF(H204=0,"0.00%",(L204-H204)/H204)</f>
        <v>1.1758458110978707</v>
      </c>
      <c r="L204" s="155">
        <f>SUM(L194:L203)</f>
        <v>-293972</v>
      </c>
      <c r="M204" s="1138">
        <f>+L204-H204</f>
        <v>-158865</v>
      </c>
      <c r="O204" s="83">
        <f t="shared" ref="O204" si="124">IF(L204=0,"0.00%",(P204-L204)/L204)</f>
        <v>0.12906671383669194</v>
      </c>
      <c r="P204" s="155">
        <f>SUM(P194:P203)</f>
        <v>-331914</v>
      </c>
      <c r="Q204" s="1138">
        <f>+P204-L204</f>
        <v>-37942</v>
      </c>
      <c r="R204" s="4"/>
      <c r="S204" s="83">
        <f t="shared" ref="S204" si="125">IF(P204=0,"0.00%",(T204-P204)/P204)</f>
        <v>0.11815410015847479</v>
      </c>
      <c r="T204" s="155">
        <f>SUM(T194:T203)</f>
        <v>-371131</v>
      </c>
      <c r="U204" s="1138">
        <f>+T204-P204</f>
        <v>-39217</v>
      </c>
      <c r="V204" s="111"/>
      <c r="W204" s="2247"/>
      <c r="X204" s="155">
        <f>SUM(X194:X203)</f>
        <v>7500</v>
      </c>
      <c r="Y204" s="6"/>
      <c r="AA204" s="335"/>
      <c r="AB204" s="155">
        <f>SUM(AB194:AB203)</f>
        <v>7500</v>
      </c>
      <c r="AC204" s="6"/>
    </row>
    <row r="205" spans="1:29" s="39" customFormat="1" x14ac:dyDescent="0.25">
      <c r="A205" s="149"/>
      <c r="B205" s="20"/>
      <c r="C205" s="844"/>
      <c r="D205" s="2"/>
      <c r="E205" s="848"/>
      <c r="F205" s="2"/>
      <c r="G205" s="52"/>
      <c r="H205" s="2"/>
      <c r="I205" s="856"/>
      <c r="J205" s="66"/>
      <c r="K205" s="52"/>
      <c r="L205" s="2"/>
      <c r="M205" s="890"/>
      <c r="O205" s="52"/>
      <c r="P205" s="2"/>
      <c r="Q205" s="890"/>
      <c r="R205" s="51"/>
      <c r="S205" s="52"/>
      <c r="T205" s="2"/>
      <c r="U205" s="890"/>
      <c r="V205" s="109"/>
      <c r="W205" s="2246"/>
      <c r="X205" s="2"/>
      <c r="Y205" s="73"/>
      <c r="AA205" s="52"/>
      <c r="AB205" s="2"/>
      <c r="AC205" s="73"/>
    </row>
    <row r="206" spans="1:29" x14ac:dyDescent="0.25">
      <c r="A206" s="66"/>
      <c r="H206" s="2"/>
      <c r="L206" s="2"/>
      <c r="M206" s="916"/>
      <c r="Q206" s="916"/>
      <c r="S206" s="333"/>
      <c r="U206" s="916"/>
      <c r="Y206" s="122"/>
      <c r="AC206" s="122"/>
    </row>
    <row r="207" spans="1:29" x14ac:dyDescent="0.25">
      <c r="A207" s="29"/>
      <c r="B207" s="2163" t="s">
        <v>0</v>
      </c>
      <c r="D207" s="8">
        <f>SUM(D185,D141,D126,D31,D191,D204)</f>
        <v>46619996.189999998</v>
      </c>
      <c r="G207" s="83">
        <f>IF(D207=0,"0.00%",(H207-D207)/D207)</f>
        <v>3.0075680278600244E-2</v>
      </c>
      <c r="H207" s="8">
        <f>SUM(H185,H141,H126,H31,H191,H204)</f>
        <v>48022124.289999999</v>
      </c>
      <c r="I207" s="1138">
        <f>+H207-D207</f>
        <v>1402128.1000000015</v>
      </c>
      <c r="J207" s="29"/>
      <c r="K207" s="83">
        <f>IF(H207=0,"0.00%",(L207-H207)/H207)</f>
        <v>9.9194426952744219E-3</v>
      </c>
      <c r="L207" s="8">
        <f>SUM(L185,L141,L126,L31,L191,L204)</f>
        <v>48498477</v>
      </c>
      <c r="M207" s="1138">
        <f>+L207-H207</f>
        <v>476352.71000000089</v>
      </c>
      <c r="O207" s="83">
        <f>IF(L207=0,"0.00%",(P207-L207)/L207)</f>
        <v>2.1460179048509092E-2</v>
      </c>
      <c r="P207" s="8">
        <f>SUM(P185,P141,P126,P31,P191,P204)</f>
        <v>49539263</v>
      </c>
      <c r="Q207" s="1138">
        <f>+P207-L207</f>
        <v>1040786</v>
      </c>
      <c r="S207" s="83">
        <f>IF(P207=0,"0.00%",(T207-P207)/P207)</f>
        <v>2.7333531384994565E-2</v>
      </c>
      <c r="T207" s="8">
        <f>SUM(T185,T141,T126,T31,T191,T204)</f>
        <v>50893346</v>
      </c>
      <c r="U207" s="1138">
        <f>+T207-P207</f>
        <v>1354083</v>
      </c>
      <c r="W207" s="2239" t="e">
        <f>IF(T207=0,"0.00%",(X207-T207)/T207)</f>
        <v>#VALUE!</v>
      </c>
      <c r="X207" s="8" t="e">
        <f>SUM(X185,X141,X126,X31)</f>
        <v>#VALUE!</v>
      </c>
      <c r="Y207" s="122"/>
      <c r="AA207" s="83" t="e">
        <f>IF(X207=0,"0.00%",(AB207-X207)/X207)</f>
        <v>#VALUE!</v>
      </c>
      <c r="AB207" s="8" t="e">
        <f>SUM(AB185,AB141,AB126,AB31)</f>
        <v>#VALUE!</v>
      </c>
      <c r="AC207" s="122"/>
    </row>
    <row r="208" spans="1:29" x14ac:dyDescent="0.25">
      <c r="A208" s="66"/>
      <c r="H208" s="2"/>
      <c r="L208" s="2"/>
      <c r="M208" s="916"/>
      <c r="Q208" s="916"/>
      <c r="S208" s="333"/>
      <c r="U208" s="916"/>
      <c r="Y208" s="122"/>
      <c r="AC208" s="122"/>
    </row>
    <row r="209" spans="1:29" x14ac:dyDescent="0.25">
      <c r="A209" s="66"/>
      <c r="B209" s="2163" t="s">
        <v>138</v>
      </c>
      <c r="D209" s="3">
        <f>D29-D207</f>
        <v>-541686.20000000298</v>
      </c>
      <c r="G209" s="83">
        <f>IF(D209=0,"0.00%",(H209-D209)/D209)</f>
        <v>5.8337153318655313</v>
      </c>
      <c r="H209" s="3">
        <f>H29-H207</f>
        <v>-3701729.2899999991</v>
      </c>
      <c r="K209" s="83">
        <f>IF(H209=0,"0.00%",(L209-H209)/H209)</f>
        <v>4.0208426478425957E-2</v>
      </c>
      <c r="L209" s="3">
        <f>L29-L207</f>
        <v>-3850570</v>
      </c>
      <c r="M209" s="916"/>
      <c r="O209" s="83">
        <f>IF(L209=0,"0.00%",(P209-L209)/L209)</f>
        <v>9.9835037410045003E-3</v>
      </c>
      <c r="P209" s="3">
        <f>P29-P207</f>
        <v>-3889012.1799999997</v>
      </c>
      <c r="Q209" s="916"/>
      <c r="S209" s="83">
        <f>IF(P209=0,"0.00%",(T209-P209)/P209)</f>
        <v>6.6480249491016E-3</v>
      </c>
      <c r="T209" s="3">
        <f>T29-T207</f>
        <v>-3914866.4299999997</v>
      </c>
      <c r="U209" s="916"/>
      <c r="W209" s="2239" t="e">
        <f>IF(T209=0,"0.00%",(X209-T209)/T209)</f>
        <v>#VALUE!</v>
      </c>
      <c r="X209" s="3" t="e">
        <f>X29-X207</f>
        <v>#VALUE!</v>
      </c>
      <c r="Y209" s="122"/>
      <c r="AA209" s="83" t="e">
        <f>IF(X209=0,"0.00%",(AB209-X209)/X209)</f>
        <v>#VALUE!</v>
      </c>
      <c r="AB209" s="3" t="e">
        <f>AB29-AB207</f>
        <v>#VALUE!</v>
      </c>
      <c r="AC209" s="122"/>
    </row>
    <row r="210" spans="1:29" x14ac:dyDescent="0.25">
      <c r="B210" s="2163"/>
      <c r="C210" s="907"/>
      <c r="D210" s="3"/>
      <c r="H210" s="3"/>
      <c r="L210" s="3"/>
      <c r="M210" s="916"/>
      <c r="P210" s="3"/>
      <c r="Q210" s="916"/>
      <c r="S210" s="333"/>
      <c r="T210" s="3"/>
      <c r="U210" s="916"/>
      <c r="X210" s="3"/>
      <c r="Y210" s="122"/>
      <c r="AB210" s="3"/>
      <c r="AC210" s="122"/>
    </row>
    <row r="211" spans="1:29" x14ac:dyDescent="0.25">
      <c r="B211" s="2163" t="s">
        <v>136</v>
      </c>
      <c r="C211" s="908"/>
      <c r="D211" s="3">
        <f>D7+D209</f>
        <v>8215661.1799999978</v>
      </c>
      <c r="G211" s="83">
        <f>IF(D211=0,"0.00%",(H211-D211)/D211)</f>
        <v>-0.48786225504981179</v>
      </c>
      <c r="H211" s="3">
        <f>H7+H209</f>
        <v>4207550.1900000013</v>
      </c>
      <c r="K211" s="83">
        <f>IF(H211=0,"0.00%",(L211-H211)/H211)</f>
        <v>-0.91515723547435535</v>
      </c>
      <c r="L211" s="3">
        <f>L7+L209</f>
        <v>356980.19000000134</v>
      </c>
      <c r="M211" s="916"/>
      <c r="O211" s="83">
        <f>IF(L211=0,"0.00%",(P211-L211)/L211)</f>
        <v>-10.894196061691785</v>
      </c>
      <c r="P211" s="3">
        <f>P7+P209</f>
        <v>-3532031.9899999984</v>
      </c>
      <c r="Q211" s="916"/>
      <c r="S211" s="83">
        <f>IF(P211=0,"0.00%",(T211-P211)/P211)</f>
        <v>1.1083892900981345</v>
      </c>
      <c r="T211" s="3">
        <f>T7+T209</f>
        <v>-7446898.4199999981</v>
      </c>
      <c r="U211" s="916"/>
      <c r="W211" s="2239" t="e">
        <f>IF(T211=0,"0.00%",(X211-T211)/T211)</f>
        <v>#VALUE!</v>
      </c>
      <c r="X211" s="3" t="e">
        <f>X7+X209</f>
        <v>#VALUE!</v>
      </c>
      <c r="Y211" s="122"/>
      <c r="AA211" s="83" t="e">
        <f>IF(X211=0,"0.00%",(AB211-X211)/X211)</f>
        <v>#VALUE!</v>
      </c>
      <c r="AB211" s="3" t="e">
        <f>AB7+AB209</f>
        <v>#VALUE!</v>
      </c>
      <c r="AC211" s="122"/>
    </row>
    <row r="212" spans="1:29" x14ac:dyDescent="0.25">
      <c r="C212" s="849"/>
      <c r="G212" s="330"/>
      <c r="H212" s="5"/>
      <c r="I212" s="857"/>
      <c r="J212" s="29"/>
      <c r="L212" s="5"/>
      <c r="M212" s="916"/>
      <c r="P212" s="5"/>
      <c r="Q212" s="916"/>
      <c r="S212" s="333"/>
      <c r="T212" s="5"/>
      <c r="U212" s="916"/>
      <c r="X212" s="5"/>
      <c r="Y212" s="122"/>
      <c r="AB212" s="5"/>
      <c r="AC212" s="122"/>
    </row>
    <row r="213" spans="1:29" x14ac:dyDescent="0.25">
      <c r="C213" s="856"/>
      <c r="G213" s="330"/>
      <c r="H213" s="36"/>
      <c r="L213" s="2"/>
      <c r="M213" s="916"/>
      <c r="Q213" s="916"/>
      <c r="S213" s="333"/>
      <c r="U213" s="916"/>
      <c r="Y213" s="122"/>
      <c r="AC213" s="122"/>
    </row>
    <row r="214" spans="1:29" x14ac:dyDescent="0.25">
      <c r="C214" s="856"/>
      <c r="G214" s="330"/>
      <c r="H214" s="36"/>
      <c r="L214" s="2"/>
      <c r="M214" s="916"/>
      <c r="Q214" s="916"/>
      <c r="S214" s="333"/>
      <c r="U214" s="916"/>
      <c r="Y214" s="122"/>
      <c r="AC214" s="122"/>
    </row>
    <row r="215" spans="1:29" x14ac:dyDescent="0.25">
      <c r="C215" s="856"/>
      <c r="G215" s="330"/>
      <c r="H215" s="36"/>
      <c r="L215" s="2"/>
      <c r="M215" s="916"/>
      <c r="Q215" s="916"/>
      <c r="S215" s="333"/>
      <c r="U215" s="916"/>
      <c r="Y215" s="122"/>
      <c r="AC215" s="122"/>
    </row>
    <row r="216" spans="1:29" x14ac:dyDescent="0.25">
      <c r="C216" s="856"/>
      <c r="G216" s="330"/>
      <c r="H216" s="36"/>
      <c r="L216" s="2"/>
      <c r="M216" s="916"/>
      <c r="Q216" s="916"/>
      <c r="S216" s="333"/>
      <c r="U216" s="916"/>
      <c r="Y216" s="122"/>
      <c r="AC216" s="122"/>
    </row>
    <row r="217" spans="1:29" s="141" customFormat="1" ht="11.25" x14ac:dyDescent="0.2">
      <c r="A217" s="288"/>
      <c r="B217" s="2166"/>
      <c r="C217" s="911" t="s">
        <v>263</v>
      </c>
      <c r="D217" s="131">
        <f>+D204+D191+D185+D141+D126</f>
        <v>46619996.189999998</v>
      </c>
      <c r="E217" s="851"/>
      <c r="G217" s="130" t="s">
        <v>221</v>
      </c>
      <c r="H217" s="131">
        <f>+H204+H191+H185+H141+H126</f>
        <v>48022124.289999999</v>
      </c>
      <c r="I217" s="859"/>
      <c r="J217" s="132"/>
      <c r="K217" s="130" t="s">
        <v>221</v>
      </c>
      <c r="L217" s="131">
        <f>+L204+L191+L185+L141+L126</f>
        <v>48498477</v>
      </c>
      <c r="M217" s="918"/>
      <c r="O217" s="130" t="s">
        <v>221</v>
      </c>
      <c r="P217" s="131">
        <f>+P204+P191+P185+P141+P126</f>
        <v>49539263</v>
      </c>
      <c r="Q217" s="918"/>
      <c r="R217" s="926"/>
      <c r="S217" s="130" t="s">
        <v>221</v>
      </c>
      <c r="T217" s="131">
        <f>+T204+T191+T185+T141+T126</f>
        <v>50893346</v>
      </c>
      <c r="U217" s="918"/>
      <c r="V217" s="289"/>
      <c r="W217" s="2240" t="s">
        <v>221</v>
      </c>
      <c r="X217" s="131" t="e">
        <f>+X185+X141+X124+X112+X65</f>
        <v>#VALUE!</v>
      </c>
      <c r="Y217" s="133"/>
      <c r="AA217" s="130" t="s">
        <v>221</v>
      </c>
      <c r="AB217" s="131" t="e">
        <f>+AB185+AB141+AB124+AB112+AB65</f>
        <v>#VALUE!</v>
      </c>
      <c r="AC217" s="133"/>
    </row>
    <row r="218" spans="1:29" s="926" customFormat="1" x14ac:dyDescent="0.25">
      <c r="A218" s="137"/>
      <c r="B218" s="2166"/>
      <c r="C218" s="928"/>
      <c r="D218" s="929">
        <f>+D207-D217</f>
        <v>0</v>
      </c>
      <c r="E218" s="915"/>
      <c r="G218" s="1659"/>
      <c r="H218" s="929">
        <f>+H207-H217</f>
        <v>0</v>
      </c>
      <c r="I218" s="915"/>
      <c r="J218" s="137"/>
      <c r="K218" s="1659"/>
      <c r="L218" s="929">
        <f>+L207-L217</f>
        <v>0</v>
      </c>
      <c r="M218" s="927"/>
      <c r="O218" s="1659"/>
      <c r="P218" s="929">
        <f>+P207-P217</f>
        <v>0</v>
      </c>
      <c r="Q218" s="959"/>
      <c r="R218" s="36"/>
      <c r="S218" s="1659"/>
      <c r="T218" s="929">
        <f>+T207-T217</f>
        <v>0</v>
      </c>
      <c r="U218" s="959"/>
      <c r="V218" s="289"/>
      <c r="W218" s="2248"/>
      <c r="X218" s="929"/>
      <c r="AA218" s="1659"/>
      <c r="AB218" s="929"/>
    </row>
    <row r="219" spans="1:29" s="926" customFormat="1" ht="11.25" x14ac:dyDescent="0.2">
      <c r="A219" s="137"/>
      <c r="B219" s="2166"/>
      <c r="C219" s="928"/>
      <c r="D219" s="929"/>
      <c r="E219" s="915"/>
      <c r="G219" s="1659"/>
      <c r="H219" s="929"/>
      <c r="I219" s="915"/>
      <c r="J219" s="137"/>
      <c r="K219" s="1659"/>
      <c r="L219" s="929"/>
      <c r="M219" s="959"/>
      <c r="O219" s="1659"/>
      <c r="P219" s="929"/>
      <c r="Q219" s="959"/>
      <c r="S219" s="1659"/>
      <c r="T219" s="929"/>
      <c r="U219" s="959"/>
      <c r="V219" s="289"/>
      <c r="W219" s="2248"/>
      <c r="X219" s="929"/>
      <c r="AA219" s="1659"/>
      <c r="AB219" s="929"/>
    </row>
    <row r="220" spans="1:29" s="36" customFormat="1" ht="15" customHeight="1" x14ac:dyDescent="0.25">
      <c r="A220" s="66"/>
      <c r="B220" s="2167"/>
      <c r="C220" s="912"/>
      <c r="D220" s="5"/>
      <c r="E220" s="856"/>
      <c r="G220" s="332"/>
      <c r="H220" s="5"/>
      <c r="I220" s="856"/>
      <c r="J220" s="66"/>
      <c r="K220" s="332"/>
      <c r="L220" s="5"/>
      <c r="M220" s="956"/>
      <c r="O220" s="332"/>
      <c r="P220" s="5"/>
      <c r="Q220" s="956"/>
      <c r="S220" s="332"/>
      <c r="T220" s="5"/>
      <c r="U220" s="956"/>
      <c r="V220" s="280"/>
      <c r="W220" s="2249"/>
      <c r="X220" s="5"/>
      <c r="AA220" s="332"/>
      <c r="AB220" s="5"/>
    </row>
    <row r="221" spans="1:29" x14ac:dyDescent="0.25">
      <c r="A221" s="66"/>
      <c r="B221" s="2167"/>
      <c r="C221" s="912"/>
      <c r="D221" s="36"/>
      <c r="R221" s="926"/>
      <c r="S221" s="333"/>
      <c r="U221" s="957"/>
    </row>
    <row r="222" spans="1:29" x14ac:dyDescent="0.25">
      <c r="A222" s="66"/>
      <c r="B222" s="2160"/>
      <c r="C222" s="856"/>
      <c r="D222" s="25"/>
      <c r="S222" s="333"/>
      <c r="U222" s="957"/>
    </row>
    <row r="223" spans="1:29" x14ac:dyDescent="0.25">
      <c r="B223" s="2160"/>
      <c r="C223" s="856"/>
      <c r="D223" s="36"/>
      <c r="R223" s="926"/>
      <c r="S223" s="333"/>
      <c r="U223" s="957"/>
    </row>
    <row r="224" spans="1:29" x14ac:dyDescent="0.25">
      <c r="B224" s="2160"/>
      <c r="C224" s="856"/>
      <c r="D224" s="36"/>
      <c r="S224" s="333"/>
      <c r="U224" s="957"/>
    </row>
    <row r="225" spans="2:21" ht="15" customHeight="1" x14ac:dyDescent="0.25">
      <c r="B225" s="2160"/>
      <c r="C225" s="856"/>
      <c r="D225" s="36"/>
      <c r="S225" s="333"/>
      <c r="U225" s="957"/>
    </row>
    <row r="226" spans="2:21" x14ac:dyDescent="0.25">
      <c r="B226" s="2160"/>
      <c r="C226" s="856"/>
      <c r="D226" s="36"/>
      <c r="S226" s="333"/>
      <c r="U226" s="957"/>
    </row>
    <row r="227" spans="2:21" x14ac:dyDescent="0.25">
      <c r="B227" s="2160"/>
      <c r="C227" s="856"/>
      <c r="D227" s="36"/>
      <c r="S227" s="333"/>
      <c r="U227" s="957"/>
    </row>
    <row r="228" spans="2:21" ht="15" customHeight="1" x14ac:dyDescent="0.25">
      <c r="B228" s="2563"/>
      <c r="C228" s="2563"/>
      <c r="D228" s="36"/>
      <c r="S228" s="333"/>
      <c r="U228" s="957"/>
    </row>
    <row r="229" spans="2:21" x14ac:dyDescent="0.25">
      <c r="B229" s="2563"/>
      <c r="C229" s="2563"/>
      <c r="D229" s="36"/>
      <c r="S229" s="333"/>
      <c r="U229" s="957"/>
    </row>
    <row r="230" spans="2:21" x14ac:dyDescent="0.25">
      <c r="B230" s="2160"/>
      <c r="C230" s="856"/>
      <c r="D230" s="6"/>
      <c r="S230" s="333"/>
      <c r="U230" s="957"/>
    </row>
    <row r="231" spans="2:21" x14ac:dyDescent="0.25">
      <c r="B231" s="2160"/>
      <c r="C231" s="856"/>
      <c r="D231" s="36"/>
      <c r="S231" s="333"/>
      <c r="U231" s="957"/>
    </row>
    <row r="232" spans="2:21" x14ac:dyDescent="0.25">
      <c r="B232" s="2160"/>
      <c r="C232" s="856"/>
      <c r="D232" s="36"/>
    </row>
    <row r="233" spans="2:21" ht="28.5" customHeight="1" x14ac:dyDescent="0.25">
      <c r="B233" s="2160"/>
      <c r="C233" s="856"/>
      <c r="D233" s="25"/>
    </row>
    <row r="234" spans="2:21" x14ac:dyDescent="0.25">
      <c r="B234" s="2160"/>
      <c r="C234" s="856"/>
      <c r="D234" s="36"/>
    </row>
    <row r="235" spans="2:21" x14ac:dyDescent="0.25">
      <c r="B235" s="2160"/>
      <c r="C235" s="856"/>
      <c r="D235" s="36"/>
    </row>
    <row r="236" spans="2:21" x14ac:dyDescent="0.25">
      <c r="B236" s="2160"/>
      <c r="C236" s="856"/>
      <c r="D236" s="36"/>
    </row>
    <row r="237" spans="2:21" x14ac:dyDescent="0.25">
      <c r="B237" s="2160"/>
      <c r="C237" s="856"/>
      <c r="D237" s="36"/>
    </row>
    <row r="238" spans="2:21" x14ac:dyDescent="0.25">
      <c r="B238" s="2160"/>
      <c r="C238" s="856"/>
      <c r="D238" s="36"/>
    </row>
    <row r="239" spans="2:21" x14ac:dyDescent="0.25">
      <c r="B239" s="2160"/>
      <c r="C239" s="856"/>
      <c r="D239" s="36"/>
    </row>
    <row r="240" spans="2:21" x14ac:dyDescent="0.25">
      <c r="B240" s="2160"/>
      <c r="C240" s="856"/>
      <c r="D240" s="36"/>
    </row>
    <row r="241" spans="2:4" x14ac:dyDescent="0.25">
      <c r="B241" s="2160"/>
      <c r="C241" s="856"/>
      <c r="D241" s="36"/>
    </row>
    <row r="242" spans="2:4" x14ac:dyDescent="0.25">
      <c r="B242" s="2160"/>
      <c r="C242" s="856"/>
      <c r="D242" s="36"/>
    </row>
    <row r="243" spans="2:4" x14ac:dyDescent="0.25">
      <c r="B243" s="2160"/>
      <c r="C243" s="856"/>
      <c r="D243" s="36"/>
    </row>
    <row r="244" spans="2:4" x14ac:dyDescent="0.25">
      <c r="B244" s="2160"/>
      <c r="C244" s="856"/>
      <c r="D244" s="36"/>
    </row>
    <row r="245" spans="2:4" x14ac:dyDescent="0.25">
      <c r="B245" s="2160"/>
      <c r="C245" s="856"/>
      <c r="D245" s="36"/>
    </row>
    <row r="246" spans="2:4" x14ac:dyDescent="0.25">
      <c r="B246" s="2160"/>
      <c r="C246" s="856"/>
      <c r="D246" s="36"/>
    </row>
    <row r="247" spans="2:4" x14ac:dyDescent="0.25">
      <c r="B247" s="2160"/>
      <c r="C247" s="856"/>
      <c r="D247" s="36"/>
    </row>
    <row r="248" spans="2:4" x14ac:dyDescent="0.25">
      <c r="B248" s="2160"/>
      <c r="C248" s="856"/>
      <c r="D248" s="36"/>
    </row>
  </sheetData>
  <sheetProtection password="E247" sheet="1" objects="1" scenarios="1"/>
  <mergeCells count="1">
    <mergeCell ref="B228:C229"/>
  </mergeCells>
  <pageMargins left="0.25" right="0.25" top="0.5" bottom="0.5" header="0.25" footer="0.25"/>
  <pageSetup paperSize="17" scale="35" orientation="portrait" r:id="rId1"/>
  <headerFooter>
    <oddHeader>&amp;L&amp;F</oddHeader>
    <oddFooter>&amp;R&amp;A</oddFooter>
  </headerFooter>
  <rowBreaks count="1" manualBreakCount="1">
    <brk id="220" max="16383" man="1"/>
  </rowBreaks>
  <ignoredErrors>
    <ignoredError sqref="B24:B25 B15 B17:B19"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fitToPage="1"/>
  </sheetPr>
  <dimension ref="A1:AC139"/>
  <sheetViews>
    <sheetView zoomScaleNormal="100" workbookViewId="0">
      <pane xSplit="3" ySplit="6" topLeftCell="H7" activePane="bottomRight" state="frozen"/>
      <selection activeCell="H7" sqref="H7"/>
      <selection pane="topRight" activeCell="H7" sqref="H7"/>
      <selection pane="bottomLeft" activeCell="H7" sqref="H7"/>
      <selection pane="bottomRight" activeCell="H7" sqref="H7"/>
    </sheetView>
  </sheetViews>
  <sheetFormatPr defaultRowHeight="15" x14ac:dyDescent="0.25"/>
  <cols>
    <col min="1" max="1" width="2.42578125" style="108" customWidth="1"/>
    <col min="2" max="2" width="8.5703125" style="2159" customWidth="1"/>
    <col min="3" max="3" width="51.42578125" style="848" bestFit="1" customWidth="1"/>
    <col min="4" max="4" width="16" style="2" hidden="1" customWidth="1"/>
    <col min="5" max="5" width="23.28515625" style="848" hidden="1" customWidth="1"/>
    <col min="6" max="6" width="6" style="2" hidden="1" customWidth="1"/>
    <col min="7" max="7" width="10.7109375" style="52" hidden="1" customWidth="1"/>
    <col min="8" max="8" width="17.85546875" style="121" bestFit="1" customWidth="1"/>
    <col min="9" max="9" width="26" style="856" hidden="1" customWidth="1"/>
    <col min="10" max="10" width="5.7109375" style="66" hidden="1" customWidth="1"/>
    <col min="11" max="11" width="9.85546875" style="333" hidden="1" customWidth="1"/>
    <col min="12" max="12" width="15.42578125" style="122" bestFit="1" customWidth="1"/>
    <col min="13" max="13" width="26.140625" style="957" hidden="1" customWidth="1"/>
    <col min="14" max="14" width="5.7109375" style="2" hidden="1" customWidth="1"/>
    <col min="15" max="15" width="9.5703125" style="333" hidden="1" customWidth="1"/>
    <col min="16" max="16" width="15.42578125" style="2" bestFit="1" customWidth="1"/>
    <col min="17" max="17" width="25" style="957" hidden="1" customWidth="1"/>
    <col min="18" max="18" width="5.28515625" style="36" hidden="1" customWidth="1"/>
    <col min="19" max="19" width="9.42578125" style="338" hidden="1" customWidth="1"/>
    <col min="20" max="20" width="14" style="2" customWidth="1"/>
    <col min="21" max="21" width="24.85546875" style="2" hidden="1" customWidth="1"/>
    <col min="22" max="22" width="5.7109375" style="280" customWidth="1"/>
    <col min="23" max="23" width="9.42578125" style="2244" hidden="1" customWidth="1"/>
    <col min="24" max="24" width="14" style="2" hidden="1" customWidth="1"/>
    <col min="25" max="25" width="24.85546875" style="2" hidden="1" customWidth="1"/>
    <col min="26" max="26" width="5.7109375" style="2" hidden="1" customWidth="1"/>
    <col min="27" max="27" width="9.42578125" style="333" hidden="1" customWidth="1"/>
    <col min="28" max="28" width="14" style="2" hidden="1" customWidth="1"/>
    <col min="29" max="29" width="24.85546875" style="2" hidden="1" customWidth="1"/>
    <col min="30" max="16384" width="9.140625" style="2"/>
  </cols>
  <sheetData>
    <row r="1" spans="1:29" x14ac:dyDescent="0.25">
      <c r="B1" s="2159" t="s">
        <v>61</v>
      </c>
      <c r="C1" s="873" t="s">
        <v>976</v>
      </c>
      <c r="D1" s="97">
        <v>0</v>
      </c>
      <c r="E1" s="904"/>
      <c r="F1" s="121"/>
      <c r="G1" s="325"/>
      <c r="H1" s="99">
        <v>0</v>
      </c>
      <c r="I1" s="904"/>
      <c r="L1" s="121">
        <v>0</v>
      </c>
      <c r="M1" s="904"/>
      <c r="P1" s="121">
        <v>0</v>
      </c>
      <c r="Q1" s="904"/>
      <c r="T1" s="121">
        <v>0</v>
      </c>
      <c r="U1" s="121"/>
      <c r="X1" s="121">
        <v>0</v>
      </c>
      <c r="Y1" s="121"/>
      <c r="AB1" s="121">
        <v>0</v>
      </c>
      <c r="AC1" s="121"/>
    </row>
    <row r="2" spans="1:29" ht="17.25" x14ac:dyDescent="0.4">
      <c r="B2" s="2160" t="s">
        <v>59</v>
      </c>
      <c r="C2" s="1863">
        <v>32</v>
      </c>
      <c r="D2" s="99">
        <v>0</v>
      </c>
      <c r="E2" s="904"/>
      <c r="F2" s="121"/>
      <c r="G2" s="326"/>
      <c r="H2" s="99">
        <v>0</v>
      </c>
      <c r="I2" s="904"/>
      <c r="L2" s="87">
        <v>0</v>
      </c>
      <c r="M2" s="904"/>
      <c r="P2" s="87">
        <v>0</v>
      </c>
      <c r="Q2" s="904"/>
      <c r="T2" s="87">
        <v>0</v>
      </c>
      <c r="U2" s="121"/>
      <c r="X2" s="87">
        <v>0</v>
      </c>
      <c r="Y2" s="121"/>
      <c r="AB2" s="87">
        <v>0</v>
      </c>
      <c r="AC2" s="121"/>
    </row>
    <row r="3" spans="1:29" x14ac:dyDescent="0.25">
      <c r="C3" s="1690"/>
      <c r="D3" s="281">
        <f>+SUM(D1:D2)</f>
        <v>0</v>
      </c>
      <c r="E3" s="905"/>
      <c r="F3" s="99"/>
      <c r="G3" s="83"/>
      <c r="H3" s="281">
        <f>+SUM(H1:H2)</f>
        <v>0</v>
      </c>
      <c r="I3" s="913"/>
      <c r="L3" s="121">
        <f>SUM(L1:L2)</f>
        <v>0</v>
      </c>
      <c r="M3" s="956"/>
      <c r="P3" s="121">
        <f>SUM(P1:P2)</f>
        <v>0</v>
      </c>
      <c r="Q3" s="956"/>
      <c r="T3" s="121">
        <f>SUM(T1:T2)</f>
        <v>0</v>
      </c>
      <c r="U3" s="36"/>
      <c r="X3" s="121">
        <f>SUM(X1:X2)</f>
        <v>0</v>
      </c>
      <c r="Y3" s="36"/>
      <c r="AB3" s="121">
        <f>SUM(AB1:AB2)</f>
        <v>0</v>
      </c>
      <c r="AC3" s="36"/>
    </row>
    <row r="4" spans="1:29" x14ac:dyDescent="0.25">
      <c r="L4" s="121"/>
      <c r="M4" s="956"/>
      <c r="P4" s="121"/>
      <c r="Q4" s="956"/>
      <c r="T4" s="121"/>
      <c r="U4" s="36"/>
      <c r="X4" s="121"/>
      <c r="Y4" s="36"/>
      <c r="AB4" s="121"/>
      <c r="AC4" s="36"/>
    </row>
    <row r="5" spans="1:29" ht="15.75" x14ac:dyDescent="0.25">
      <c r="B5" s="2161" t="s">
        <v>56</v>
      </c>
      <c r="P5" s="122"/>
      <c r="T5" s="122"/>
      <c r="X5" s="122"/>
      <c r="AB5" s="122"/>
    </row>
    <row r="6" spans="1:29" s="242" customFormat="1" ht="15.75" x14ac:dyDescent="0.25">
      <c r="A6" s="241"/>
      <c r="B6" s="2162"/>
      <c r="C6" s="909"/>
      <c r="D6" s="1831" t="s">
        <v>55</v>
      </c>
      <c r="E6" s="906"/>
      <c r="G6" s="327"/>
      <c r="H6" s="282" t="str">
        <f>LEFT(D6,4)+1&amp;"-"&amp;RIGHT(D6,4)+1</f>
        <v>2017-2018</v>
      </c>
      <c r="I6" s="914"/>
      <c r="J6" s="283"/>
      <c r="K6" s="334"/>
      <c r="L6" s="123" t="str">
        <f>LEFT(H6,4)+1&amp;"-"&amp;RIGHT(H6,4)+1</f>
        <v>2018-2019</v>
      </c>
      <c r="M6" s="958"/>
      <c r="N6" s="284"/>
      <c r="O6" s="337"/>
      <c r="P6" s="123" t="str">
        <f>LEFT(L6,4)+1&amp;"-"&amp;RIGHT(L6,4)+1</f>
        <v>2019-2020</v>
      </c>
      <c r="Q6" s="958"/>
      <c r="R6" s="2236"/>
      <c r="S6" s="2242"/>
      <c r="T6" s="123" t="str">
        <f>LEFT(P6,4)+1&amp;"-"&amp;RIGHT(P6,4)+1</f>
        <v>2020-2021</v>
      </c>
      <c r="U6" s="123"/>
      <c r="V6" s="285"/>
      <c r="W6" s="2245"/>
      <c r="X6" s="123" t="str">
        <f>LEFT(T6,4)+1&amp;"-"&amp;RIGHT(T6,4)+1</f>
        <v>2021-2022</v>
      </c>
      <c r="Y6" s="123"/>
      <c r="Z6" s="284"/>
      <c r="AA6" s="337"/>
      <c r="AB6" s="123" t="str">
        <f>LEFT(X6,4)+1&amp;"-"&amp;RIGHT(X6,4)+1</f>
        <v>2022-2023</v>
      </c>
      <c r="AC6" s="123"/>
    </row>
    <row r="7" spans="1:29" s="340" customFormat="1" x14ac:dyDescent="0.25">
      <c r="B7" s="2511" t="s">
        <v>54</v>
      </c>
      <c r="C7" s="2386"/>
      <c r="D7" s="340">
        <v>0</v>
      </c>
      <c r="E7" s="2386"/>
      <c r="G7" s="2338"/>
      <c r="H7" s="340">
        <v>302098.92</v>
      </c>
      <c r="I7" s="2386"/>
      <c r="J7" s="455"/>
      <c r="K7" s="1668"/>
      <c r="L7" s="340">
        <f>H102</f>
        <v>256127.91999999998</v>
      </c>
      <c r="M7" s="2347"/>
      <c r="O7" s="1668"/>
      <c r="P7" s="340">
        <f>L102</f>
        <v>46272.919999999984</v>
      </c>
      <c r="Q7" s="2347"/>
      <c r="R7" s="455"/>
      <c r="S7" s="2341"/>
      <c r="T7" s="340">
        <f>P102</f>
        <v>-173647.08000000002</v>
      </c>
      <c r="V7" s="2429"/>
      <c r="W7" s="2343"/>
      <c r="X7" s="340">
        <f>T102</f>
        <v>-402224.08</v>
      </c>
      <c r="AA7" s="1668"/>
      <c r="AB7" s="340" t="e">
        <f>X102</f>
        <v>#REF!</v>
      </c>
    </row>
    <row r="8" spans="1:29" s="340" customFormat="1" x14ac:dyDescent="0.25">
      <c r="B8" s="2512"/>
      <c r="C8" s="2386"/>
      <c r="E8" s="2386"/>
      <c r="G8" s="2338"/>
      <c r="I8" s="2386"/>
      <c r="J8" s="455"/>
      <c r="K8" s="1668"/>
      <c r="M8" s="2347"/>
      <c r="O8" s="1668"/>
      <c r="Q8" s="2347"/>
      <c r="R8" s="455"/>
      <c r="S8" s="2341"/>
      <c r="V8" s="2429"/>
      <c r="W8" s="2343"/>
      <c r="AA8" s="1668"/>
    </row>
    <row r="9" spans="1:29" s="340" customFormat="1" x14ac:dyDescent="0.25">
      <c r="B9" s="2512" t="s">
        <v>52</v>
      </c>
      <c r="C9" s="2386"/>
      <c r="E9" s="2386"/>
      <c r="G9" s="456"/>
      <c r="H9" s="833"/>
      <c r="I9" s="2386"/>
      <c r="J9" s="342"/>
      <c r="K9" s="456"/>
      <c r="L9" s="833"/>
      <c r="M9" s="2347"/>
      <c r="O9" s="456"/>
      <c r="P9" s="833"/>
      <c r="Q9" s="2347"/>
      <c r="R9" s="455"/>
      <c r="S9" s="2238"/>
      <c r="T9" s="833"/>
      <c r="V9" s="2429"/>
      <c r="W9" s="2241" t="str">
        <f>IF(T9=0,"0.00%",(X9-T9)/T9)</f>
        <v>0.00%</v>
      </c>
      <c r="X9" s="833">
        <f>X3</f>
        <v>0</v>
      </c>
      <c r="AA9" s="456" t="str">
        <f>IF(X9=0,"0.00%",(AB9-X9)/X9)</f>
        <v>0.00%</v>
      </c>
      <c r="AB9" s="833">
        <f>AB3</f>
        <v>0</v>
      </c>
    </row>
    <row r="10" spans="1:29" s="340" customFormat="1" x14ac:dyDescent="0.25">
      <c r="B10" s="2427">
        <v>8290</v>
      </c>
      <c r="C10" s="2386" t="s">
        <v>977</v>
      </c>
      <c r="D10" s="340">
        <v>0</v>
      </c>
      <c r="E10" s="2386"/>
      <c r="G10" s="456" t="str">
        <f t="shared" ref="G10:G13" si="0">IF(D10=0,"0.00%",(H10-D10)/D10)</f>
        <v>0.00%</v>
      </c>
      <c r="H10" s="833">
        <v>162560</v>
      </c>
      <c r="I10" s="2386"/>
      <c r="J10" s="342"/>
      <c r="K10" s="456">
        <f t="shared" ref="K10:K14" si="1">IF(H10=0,"0.00%",(L10-H10)/H10)</f>
        <v>-1</v>
      </c>
      <c r="L10" s="833">
        <v>0</v>
      </c>
      <c r="M10" s="2347"/>
      <c r="O10" s="456" t="str">
        <f t="shared" ref="O10:O14" si="2">IF(L10=0,"0.00%",(P10-L10)/L10)</f>
        <v>0.00%</v>
      </c>
      <c r="P10" s="833">
        <v>0</v>
      </c>
      <c r="Q10" s="2347"/>
      <c r="R10" s="455"/>
      <c r="S10" s="2238" t="str">
        <f t="shared" ref="S10:S13" si="3">IF(P10=0,"0.00%",(T10-P10)/P10)</f>
        <v>0.00%</v>
      </c>
      <c r="T10" s="833">
        <v>0</v>
      </c>
      <c r="V10" s="2429"/>
      <c r="W10" s="2241"/>
      <c r="X10" s="833"/>
      <c r="AA10" s="456"/>
      <c r="AB10" s="833"/>
    </row>
    <row r="11" spans="1:29" s="340" customFormat="1" x14ac:dyDescent="0.25">
      <c r="B11" s="2427"/>
      <c r="C11" s="2386"/>
      <c r="D11" s="340">
        <v>0</v>
      </c>
      <c r="E11" s="2386"/>
      <c r="G11" s="456" t="str">
        <f t="shared" si="0"/>
        <v>0.00%</v>
      </c>
      <c r="H11" s="833">
        <v>0</v>
      </c>
      <c r="I11" s="2386"/>
      <c r="J11" s="342"/>
      <c r="K11" s="456" t="str">
        <f t="shared" si="1"/>
        <v>0.00%</v>
      </c>
      <c r="L11" s="833">
        <v>0</v>
      </c>
      <c r="M11" s="2347"/>
      <c r="O11" s="456" t="str">
        <f t="shared" si="2"/>
        <v>0.00%</v>
      </c>
      <c r="P11" s="833">
        <v>0</v>
      </c>
      <c r="Q11" s="2347"/>
      <c r="R11" s="455"/>
      <c r="S11" s="2238" t="str">
        <f t="shared" si="3"/>
        <v>0.00%</v>
      </c>
      <c r="T11" s="833">
        <v>0</v>
      </c>
      <c r="V11" s="2429"/>
      <c r="W11" s="2241"/>
      <c r="X11" s="833"/>
      <c r="AA11" s="456"/>
      <c r="AB11" s="833"/>
    </row>
    <row r="12" spans="1:29" s="340" customFormat="1" x14ac:dyDescent="0.25">
      <c r="B12" s="2427"/>
      <c r="C12" s="2386"/>
      <c r="D12" s="340">
        <v>0</v>
      </c>
      <c r="E12" s="2386"/>
      <c r="G12" s="456" t="str">
        <f t="shared" si="0"/>
        <v>0.00%</v>
      </c>
      <c r="H12" s="833">
        <v>0</v>
      </c>
      <c r="I12" s="2386"/>
      <c r="J12" s="342"/>
      <c r="K12" s="456" t="str">
        <f t="shared" si="1"/>
        <v>0.00%</v>
      </c>
      <c r="L12" s="833">
        <v>0</v>
      </c>
      <c r="M12" s="2347"/>
      <c r="O12" s="456" t="str">
        <f t="shared" si="2"/>
        <v>0.00%</v>
      </c>
      <c r="P12" s="833">
        <v>0</v>
      </c>
      <c r="Q12" s="2347"/>
      <c r="R12" s="455"/>
      <c r="S12" s="2238" t="str">
        <f t="shared" si="3"/>
        <v>0.00%</v>
      </c>
      <c r="T12" s="833">
        <v>0</v>
      </c>
      <c r="V12" s="2429"/>
      <c r="W12" s="2241"/>
      <c r="X12" s="833"/>
      <c r="AA12" s="456"/>
      <c r="AB12" s="833"/>
    </row>
    <row r="13" spans="1:29" s="340" customFormat="1" x14ac:dyDescent="0.25">
      <c r="B13" s="2427"/>
      <c r="C13" s="2386"/>
      <c r="E13" s="2386"/>
      <c r="G13" s="456" t="str">
        <f t="shared" si="0"/>
        <v>0.00%</v>
      </c>
      <c r="H13" s="833">
        <v>0</v>
      </c>
      <c r="I13" s="2386"/>
      <c r="J13" s="342"/>
      <c r="K13" s="456" t="str">
        <f t="shared" si="1"/>
        <v>0.00%</v>
      </c>
      <c r="L13" s="833">
        <v>0</v>
      </c>
      <c r="M13" s="2347"/>
      <c r="O13" s="456" t="str">
        <f t="shared" si="2"/>
        <v>0.00%</v>
      </c>
      <c r="P13" s="833">
        <v>0</v>
      </c>
      <c r="Q13" s="2347"/>
      <c r="R13" s="455"/>
      <c r="S13" s="2238" t="str">
        <f t="shared" si="3"/>
        <v>0.00%</v>
      </c>
      <c r="T13" s="833">
        <v>0</v>
      </c>
      <c r="V13" s="2429"/>
      <c r="W13" s="2241"/>
      <c r="X13" s="833"/>
      <c r="AA13" s="456"/>
      <c r="AB13" s="833"/>
    </row>
    <row r="14" spans="1:29" s="340" customFormat="1" x14ac:dyDescent="0.25">
      <c r="B14" s="2511" t="s">
        <v>137</v>
      </c>
      <c r="C14" s="2386"/>
      <c r="D14" s="458">
        <f>SUM(D9:D13)</f>
        <v>0</v>
      </c>
      <c r="E14" s="2386"/>
      <c r="G14" s="456" t="str">
        <f t="shared" ref="G14:G18" si="4">IF(D14=0,"0.00%",(H14-D14)/D14)</f>
        <v>0.00%</v>
      </c>
      <c r="H14" s="458">
        <f>SUM(H9:H13)</f>
        <v>162560</v>
      </c>
      <c r="I14" s="2386"/>
      <c r="J14" s="342"/>
      <c r="K14" s="456">
        <f t="shared" si="1"/>
        <v>-1</v>
      </c>
      <c r="L14" s="458">
        <f>SUM(L9:L13)</f>
        <v>0</v>
      </c>
      <c r="M14" s="2316">
        <f>+L14-H14</f>
        <v>-162560</v>
      </c>
      <c r="O14" s="456" t="str">
        <f t="shared" si="2"/>
        <v>0.00%</v>
      </c>
      <c r="P14" s="458">
        <f>SUM(P9:P13)</f>
        <v>0</v>
      </c>
      <c r="Q14" s="2316">
        <f>+P14-L14</f>
        <v>0</v>
      </c>
      <c r="R14" s="455"/>
      <c r="S14" s="2238" t="str">
        <f>IF(P14=0,"0.00%",(T14-P14)/P14)</f>
        <v>0.00%</v>
      </c>
      <c r="T14" s="458">
        <f>SUM(T9:T10)</f>
        <v>0</v>
      </c>
      <c r="V14" s="2429"/>
      <c r="W14" s="2241" t="str">
        <f>IF(T14=0,"0.00%",(X14-T14)/T14)</f>
        <v>0.00%</v>
      </c>
      <c r="X14" s="458">
        <f>SUM(X9:X10)</f>
        <v>0</v>
      </c>
      <c r="AA14" s="456" t="str">
        <f>IF(X14=0,"0.00%",(AB14-X14)/X14)</f>
        <v>0.00%</v>
      </c>
      <c r="AB14" s="458">
        <f>SUM(AB9:AB10)</f>
        <v>0</v>
      </c>
    </row>
    <row r="15" spans="1:29" s="340" customFormat="1" x14ac:dyDescent="0.25">
      <c r="B15" s="2512"/>
      <c r="C15" s="2386"/>
      <c r="E15" s="2386"/>
      <c r="G15" s="2338"/>
      <c r="H15" s="833"/>
      <c r="I15" s="2386"/>
      <c r="J15" s="342"/>
      <c r="K15" s="2338"/>
      <c r="L15" s="833"/>
      <c r="M15" s="2347"/>
      <c r="O15" s="2338"/>
      <c r="P15" s="833"/>
      <c r="Q15" s="2347"/>
      <c r="R15" s="455"/>
      <c r="S15" s="2355"/>
      <c r="T15" s="833"/>
      <c r="V15" s="2429"/>
      <c r="W15" s="2357"/>
      <c r="X15" s="833"/>
      <c r="AA15" s="2338"/>
      <c r="AB15" s="833"/>
    </row>
    <row r="16" spans="1:29" s="340" customFormat="1" x14ac:dyDescent="0.25">
      <c r="B16" s="2513"/>
      <c r="C16" s="2375" t="s">
        <v>64</v>
      </c>
      <c r="D16" s="2359">
        <f>ROUND(D14-(D14/(1+E16)),0)</f>
        <v>0</v>
      </c>
      <c r="E16" s="2431">
        <v>0</v>
      </c>
      <c r="G16" s="456" t="str">
        <f t="shared" si="4"/>
        <v>0.00%</v>
      </c>
      <c r="H16" s="2359">
        <f>ROUND(H14-(H14/(1+B16)),0)</f>
        <v>0</v>
      </c>
      <c r="I16" s="2386"/>
      <c r="J16" s="342"/>
      <c r="K16" s="456" t="str">
        <f>IF(H16=0,"0.00%",(L16-H16)/H16)</f>
        <v>0.00%</v>
      </c>
      <c r="L16" s="2359">
        <f>ROUND(L14-(L14/(1+B16)),0)</f>
        <v>0</v>
      </c>
      <c r="M16" s="2347"/>
      <c r="O16" s="456" t="str">
        <f>IF(L16=0,"0.00%",(P16-L16)/L16)</f>
        <v>0.00%</v>
      </c>
      <c r="P16" s="2359">
        <f>ROUND(P14-(P14/(1+B16)),0)</f>
        <v>0</v>
      </c>
      <c r="Q16" s="2347"/>
      <c r="R16" s="455"/>
      <c r="S16" s="2238" t="str">
        <f>IF(P16=0,"0.00%",(T16-P16)/P16)</f>
        <v>0.00%</v>
      </c>
      <c r="T16" s="2359">
        <f>ROUND(T14-(T14/(1+B16)),0)</f>
        <v>0</v>
      </c>
      <c r="V16" s="2429"/>
      <c r="W16" s="2241" t="str">
        <f>IF(T16=0,"0.00%",(X16-T16)/T16)</f>
        <v>0.00%</v>
      </c>
      <c r="X16" s="2359">
        <f>ROUND(X14-(X14/(1+B16)),0)</f>
        <v>0</v>
      </c>
      <c r="AA16" s="456" t="str">
        <f>IF(X16=0,"0.00%",(AB16-X16)/X16)</f>
        <v>0.00%</v>
      </c>
      <c r="AB16" s="2359">
        <f>ROUND(AB14-(AB14/(1+G16)),0)</f>
        <v>0</v>
      </c>
    </row>
    <row r="17" spans="1:29" s="340" customFormat="1" x14ac:dyDescent="0.25">
      <c r="B17" s="2512"/>
      <c r="C17" s="2386"/>
      <c r="E17" s="2386"/>
      <c r="G17" s="2338"/>
      <c r="H17" s="833"/>
      <c r="I17" s="2386"/>
      <c r="J17" s="342"/>
      <c r="K17" s="2338"/>
      <c r="L17" s="833"/>
      <c r="M17" s="2347"/>
      <c r="O17" s="2338"/>
      <c r="P17" s="833"/>
      <c r="Q17" s="2347"/>
      <c r="R17" s="455"/>
      <c r="S17" s="2355"/>
      <c r="T17" s="833"/>
      <c r="V17" s="2429"/>
      <c r="W17" s="2357"/>
      <c r="X17" s="833"/>
      <c r="AA17" s="2338"/>
      <c r="AB17" s="833"/>
    </row>
    <row r="18" spans="1:29" s="340" customFormat="1" x14ac:dyDescent="0.25">
      <c r="B18" s="2511" t="s">
        <v>50</v>
      </c>
      <c r="C18" s="2386"/>
      <c r="D18" s="1866">
        <f>D14-D16+D7</f>
        <v>0</v>
      </c>
      <c r="E18" s="2386"/>
      <c r="G18" s="456" t="str">
        <f t="shared" si="4"/>
        <v>0.00%</v>
      </c>
      <c r="H18" s="1866">
        <f>H14-H16+H7</f>
        <v>464658.92</v>
      </c>
      <c r="J18" s="2488"/>
      <c r="K18" s="456">
        <f>IF(H18=0,"0.00%",(L18-H18)/H18)</f>
        <v>-0.44878294814613695</v>
      </c>
      <c r="L18" s="1866">
        <f>L14-L16+L7</f>
        <v>256127.91999999998</v>
      </c>
      <c r="M18" s="2316">
        <f>+L18-H18</f>
        <v>-208531</v>
      </c>
      <c r="O18" s="456">
        <f>IF(L18=0,"0.00%",(P18-L18)/L18)</f>
        <v>-0.81933668145198701</v>
      </c>
      <c r="P18" s="1866">
        <f>P14-P16+P7</f>
        <v>46272.919999999984</v>
      </c>
      <c r="Q18" s="2316">
        <f>+P18-L18</f>
        <v>-209855</v>
      </c>
      <c r="R18" s="455"/>
      <c r="S18" s="2238">
        <f>IF(P18=0,"0.00%",(T18-P18)/P18)</f>
        <v>-4.7526717570449426</v>
      </c>
      <c r="T18" s="1866">
        <f>T14-T16+T7</f>
        <v>-173647.08000000002</v>
      </c>
      <c r="V18" s="2429"/>
      <c r="W18" s="2241">
        <f>IF(T18=0,"0.00%",(X18-T18)/T18)</f>
        <v>-1</v>
      </c>
      <c r="X18" s="2359">
        <f>X14-X16</f>
        <v>0</v>
      </c>
      <c r="AA18" s="456" t="str">
        <f>IF(X18=0,"0.00%",(AB18-X18)/X18)</f>
        <v>0.00%</v>
      </c>
      <c r="AB18" s="2359">
        <f>AB14-AB16</f>
        <v>0</v>
      </c>
    </row>
    <row r="19" spans="1:29" s="340" customFormat="1" x14ac:dyDescent="0.25">
      <c r="B19" s="2512"/>
      <c r="C19" s="2386"/>
      <c r="E19" s="2386"/>
      <c r="G19" s="2338"/>
      <c r="H19" s="833"/>
      <c r="I19" s="2386"/>
      <c r="J19" s="342"/>
      <c r="K19" s="1668"/>
      <c r="L19" s="833"/>
      <c r="M19" s="2347"/>
      <c r="O19" s="1668"/>
      <c r="P19" s="833"/>
      <c r="Q19" s="2347"/>
      <c r="R19" s="455"/>
      <c r="S19" s="2341"/>
      <c r="T19" s="833"/>
      <c r="V19" s="2429"/>
      <c r="W19" s="2343"/>
      <c r="X19" s="833"/>
      <c r="AA19" s="1668"/>
      <c r="AB19" s="833"/>
    </row>
    <row r="20" spans="1:29" s="340" customFormat="1" x14ac:dyDescent="0.25">
      <c r="B20" s="2512"/>
      <c r="C20" s="2489"/>
      <c r="E20" s="2386"/>
      <c r="G20" s="2338"/>
      <c r="H20" s="833"/>
      <c r="I20" s="2386"/>
      <c r="J20" s="342"/>
      <c r="K20" s="1668"/>
      <c r="L20" s="833"/>
      <c r="M20" s="2347"/>
      <c r="O20" s="1668"/>
      <c r="P20" s="833"/>
      <c r="Q20" s="2347"/>
      <c r="R20" s="455"/>
      <c r="S20" s="2341"/>
      <c r="T20" s="833"/>
      <c r="V20" s="2429"/>
      <c r="W20" s="2343"/>
      <c r="X20" s="833"/>
      <c r="AA20" s="1668"/>
      <c r="AB20" s="833"/>
    </row>
    <row r="21" spans="1:29" s="340" customFormat="1" x14ac:dyDescent="0.25">
      <c r="A21" s="2433"/>
      <c r="B21" s="2512"/>
      <c r="C21" s="2386"/>
      <c r="D21" s="459" t="s">
        <v>807</v>
      </c>
      <c r="E21" s="1867"/>
      <c r="F21" s="2433"/>
      <c r="G21" s="2338"/>
      <c r="H21" s="459" t="s">
        <v>176</v>
      </c>
      <c r="I21" s="1867"/>
      <c r="J21" s="459"/>
      <c r="K21" s="1668"/>
      <c r="L21" s="2370"/>
      <c r="M21" s="1867"/>
      <c r="O21" s="1668"/>
      <c r="Q21" s="1867"/>
      <c r="R21" s="455"/>
      <c r="S21" s="2341"/>
      <c r="U21" s="2433"/>
      <c r="V21" s="2429"/>
      <c r="W21" s="2343"/>
      <c r="Y21" s="2433"/>
      <c r="AA21" s="1668"/>
      <c r="AC21" s="2433"/>
    </row>
    <row r="22" spans="1:29" s="340" customFormat="1" ht="17.25" x14ac:dyDescent="0.4">
      <c r="A22" s="2436"/>
      <c r="B22" s="2512"/>
      <c r="C22" s="2386"/>
      <c r="D22" s="2435" t="s">
        <v>808</v>
      </c>
      <c r="E22" s="2434"/>
      <c r="F22" s="2436"/>
      <c r="G22" s="2338"/>
      <c r="H22" s="2435" t="s">
        <v>48</v>
      </c>
      <c r="I22" s="2438"/>
      <c r="J22" s="459"/>
      <c r="K22" s="1668"/>
      <c r="L22" s="2372" t="s">
        <v>48</v>
      </c>
      <c r="M22" s="2373"/>
      <c r="O22" s="1668"/>
      <c r="P22" s="2372" t="s">
        <v>48</v>
      </c>
      <c r="Q22" s="2438">
        <v>1.7500000000000002E-2</v>
      </c>
      <c r="R22" s="455"/>
      <c r="S22" s="2341"/>
      <c r="T22" s="2372" t="s">
        <v>48</v>
      </c>
      <c r="U22" s="2438">
        <v>1.7500000000000002E-2</v>
      </c>
      <c r="V22" s="2429"/>
      <c r="W22" s="2343"/>
      <c r="X22" s="2372" t="s">
        <v>48</v>
      </c>
      <c r="Y22" s="2490">
        <v>0.02</v>
      </c>
      <c r="AA22" s="1668"/>
      <c r="AB22" s="2372" t="s">
        <v>48</v>
      </c>
      <c r="AC22" s="2490">
        <v>0.02</v>
      </c>
    </row>
    <row r="23" spans="1:29" s="1866" customFormat="1" x14ac:dyDescent="0.25">
      <c r="A23" s="460"/>
      <c r="B23" s="2511" t="s">
        <v>46</v>
      </c>
      <c r="C23" s="2375"/>
      <c r="E23" s="2375"/>
      <c r="G23" s="2376"/>
      <c r="I23" s="868"/>
      <c r="J23" s="460"/>
      <c r="K23" s="606"/>
      <c r="M23" s="2377"/>
      <c r="O23" s="606"/>
      <c r="Q23" s="2377"/>
      <c r="R23" s="460"/>
      <c r="S23" s="1669"/>
      <c r="U23" s="2491"/>
      <c r="V23" s="2492"/>
      <c r="W23" s="2382"/>
      <c r="Y23" s="2491"/>
      <c r="AA23" s="606"/>
      <c r="AC23" s="2491"/>
    </row>
    <row r="24" spans="1:29" s="340" customFormat="1" x14ac:dyDescent="0.25">
      <c r="A24" s="2493"/>
      <c r="B24" s="2514" t="s">
        <v>39</v>
      </c>
      <c r="C24" s="2495" t="s">
        <v>38</v>
      </c>
      <c r="D24" s="340">
        <v>0</v>
      </c>
      <c r="E24" s="2386"/>
      <c r="G24" s="456" t="str">
        <f t="shared" ref="G24:G29" si="5">IF(D24=0,"0.00%",(H24-D24)/D24)</f>
        <v>0.00%</v>
      </c>
      <c r="H24" s="340">
        <v>6252</v>
      </c>
      <c r="I24" s="897"/>
      <c r="J24" s="455"/>
      <c r="K24" s="456">
        <f t="shared" ref="K24:K28" si="6">IF(H24=0,"0.00%",(L24-H24)/H24)</f>
        <v>3.9987204094689699E-2</v>
      </c>
      <c r="L24" s="340">
        <v>6502</v>
      </c>
      <c r="M24" s="2488"/>
      <c r="O24" s="456">
        <f t="shared" ref="O24:O29" si="7">IF(L24=0,"0.00%",(P24-L24)/L24)</f>
        <v>1.7533066748692708E-2</v>
      </c>
      <c r="P24" s="340">
        <f t="shared" ref="P24:P25" si="8">ROUND(L24*(1+$Q$22),0)</f>
        <v>6616</v>
      </c>
      <c r="Q24" s="2488"/>
      <c r="R24" s="455"/>
      <c r="S24" s="456">
        <f t="shared" ref="S24:S29" si="9">IF(P24=0,"0.00%",(T24-P24)/P24)</f>
        <v>1.7533252720677146E-2</v>
      </c>
      <c r="T24" s="340">
        <f t="shared" ref="T24:T25" si="10">ROUND(P24*(1+$Q$22),0)</f>
        <v>6732</v>
      </c>
      <c r="U24" s="2488"/>
      <c r="V24" s="2429"/>
      <c r="W24" s="2343"/>
      <c r="Y24" s="2370"/>
      <c r="AA24" s="1668"/>
      <c r="AC24" s="2370"/>
    </row>
    <row r="25" spans="1:29" s="340" customFormat="1" x14ac:dyDescent="0.25">
      <c r="A25" s="2493"/>
      <c r="B25" s="2515"/>
      <c r="C25" s="1656"/>
      <c r="D25" s="340">
        <v>0</v>
      </c>
      <c r="E25" s="2386"/>
      <c r="G25" s="456" t="str">
        <f t="shared" si="5"/>
        <v>0.00%</v>
      </c>
      <c r="H25" s="340">
        <v>0</v>
      </c>
      <c r="I25" s="897"/>
      <c r="J25" s="455"/>
      <c r="K25" s="456" t="str">
        <f t="shared" si="6"/>
        <v>0.00%</v>
      </c>
      <c r="L25" s="340">
        <f t="shared" ref="L25" si="11">ROUND(H25*(1+$M$22),0)</f>
        <v>0</v>
      </c>
      <c r="M25" s="1867"/>
      <c r="O25" s="456" t="str">
        <f t="shared" si="7"/>
        <v>0.00%</v>
      </c>
      <c r="P25" s="340">
        <f t="shared" si="8"/>
        <v>0</v>
      </c>
      <c r="Q25" s="2488"/>
      <c r="R25" s="455"/>
      <c r="S25" s="456" t="str">
        <f t="shared" si="9"/>
        <v>0.00%</v>
      </c>
      <c r="T25" s="340">
        <f t="shared" si="10"/>
        <v>0</v>
      </c>
      <c r="U25" s="2488"/>
      <c r="V25" s="2429"/>
      <c r="W25" s="2343"/>
      <c r="Y25" s="2370"/>
      <c r="AA25" s="1668"/>
      <c r="AC25" s="2370"/>
    </row>
    <row r="26" spans="1:29" s="340" customFormat="1" x14ac:dyDescent="0.25">
      <c r="A26" s="2493"/>
      <c r="B26" s="2514"/>
      <c r="C26" s="2495"/>
      <c r="D26" s="340">
        <v>0</v>
      </c>
      <c r="E26" s="2386"/>
      <c r="G26" s="456" t="str">
        <f t="shared" si="5"/>
        <v>0.00%</v>
      </c>
      <c r="H26" s="340">
        <v>0</v>
      </c>
      <c r="I26" s="897"/>
      <c r="J26" s="455"/>
      <c r="K26" s="456" t="str">
        <f t="shared" si="6"/>
        <v>0.00%</v>
      </c>
      <c r="L26" s="340">
        <f>ROUND(H26*(1+$M$22),0)</f>
        <v>0</v>
      </c>
      <c r="M26" s="2488"/>
      <c r="O26" s="456" t="str">
        <f t="shared" si="7"/>
        <v>0.00%</v>
      </c>
      <c r="P26" s="340">
        <f>ROUND(L26*(1+$Q$22),0)</f>
        <v>0</v>
      </c>
      <c r="Q26" s="2488"/>
      <c r="R26" s="455"/>
      <c r="S26" s="456" t="str">
        <f t="shared" si="9"/>
        <v>0.00%</v>
      </c>
      <c r="T26" s="340">
        <f>ROUND(P26*(1+$Q$22),0)</f>
        <v>0</v>
      </c>
      <c r="U26" s="2488"/>
      <c r="V26" s="2429"/>
      <c r="W26" s="2343"/>
      <c r="Y26" s="2370"/>
      <c r="AA26" s="1668"/>
      <c r="AC26" s="2370"/>
    </row>
    <row r="27" spans="1:29" s="340" customFormat="1" x14ac:dyDescent="0.25">
      <c r="A27" s="2493"/>
      <c r="B27" s="2514"/>
      <c r="C27" s="2495"/>
      <c r="D27" s="340">
        <v>0</v>
      </c>
      <c r="E27" s="2386"/>
      <c r="G27" s="456" t="str">
        <f t="shared" si="5"/>
        <v>0.00%</v>
      </c>
      <c r="H27" s="340">
        <v>0</v>
      </c>
      <c r="I27" s="897"/>
      <c r="J27" s="455"/>
      <c r="K27" s="456" t="str">
        <f t="shared" si="6"/>
        <v>0.00%</v>
      </c>
      <c r="L27" s="340">
        <f>+H27</f>
        <v>0</v>
      </c>
      <c r="M27" s="2488"/>
      <c r="O27" s="456" t="str">
        <f t="shared" si="7"/>
        <v>0.00%</v>
      </c>
      <c r="P27" s="340">
        <f>+L27</f>
        <v>0</v>
      </c>
      <c r="Q27" s="2488"/>
      <c r="R27" s="455"/>
      <c r="S27" s="456" t="str">
        <f t="shared" si="9"/>
        <v>0.00%</v>
      </c>
      <c r="T27" s="340">
        <f>+P27</f>
        <v>0</v>
      </c>
      <c r="U27" s="2488"/>
      <c r="V27" s="2429"/>
      <c r="W27" s="2343"/>
      <c r="Y27" s="2370"/>
      <c r="AA27" s="1668"/>
      <c r="AC27" s="2370"/>
    </row>
    <row r="28" spans="1:29" s="340" customFormat="1" x14ac:dyDescent="0.25">
      <c r="A28" s="455"/>
      <c r="B28" s="2514"/>
      <c r="C28" s="2386"/>
      <c r="D28" s="340">
        <v>0</v>
      </c>
      <c r="E28" s="2386"/>
      <c r="G28" s="456" t="str">
        <f t="shared" si="5"/>
        <v>0.00%</v>
      </c>
      <c r="H28" s="340">
        <v>0</v>
      </c>
      <c r="I28" s="897"/>
      <c r="J28" s="455"/>
      <c r="K28" s="456" t="str">
        <f t="shared" si="6"/>
        <v>0.00%</v>
      </c>
      <c r="L28" s="340">
        <f>+H28</f>
        <v>0</v>
      </c>
      <c r="M28" s="2488"/>
      <c r="O28" s="456" t="str">
        <f t="shared" si="7"/>
        <v>0.00%</v>
      </c>
      <c r="P28" s="340">
        <f>+L28</f>
        <v>0</v>
      </c>
      <c r="Q28" s="2488"/>
      <c r="R28" s="455"/>
      <c r="S28" s="456" t="str">
        <f t="shared" si="9"/>
        <v>0.00%</v>
      </c>
      <c r="T28" s="340">
        <f>+P28</f>
        <v>0</v>
      </c>
      <c r="U28" s="2488"/>
      <c r="V28" s="2429"/>
      <c r="W28" s="2343"/>
      <c r="Y28" s="2370"/>
      <c r="AA28" s="1668"/>
      <c r="AC28" s="2370"/>
    </row>
    <row r="29" spans="1:29" s="340" customFormat="1" x14ac:dyDescent="0.25">
      <c r="A29" s="459"/>
      <c r="B29" s="2427"/>
      <c r="C29" s="2386"/>
      <c r="D29" s="458">
        <f>SUM(D24:D28)</f>
        <v>0</v>
      </c>
      <c r="E29" s="2386"/>
      <c r="G29" s="456" t="str">
        <f t="shared" si="5"/>
        <v>0.00%</v>
      </c>
      <c r="H29" s="458">
        <f>SUM(H24:H28)</f>
        <v>6252</v>
      </c>
      <c r="I29" s="2316">
        <f>+H29-D29</f>
        <v>6252</v>
      </c>
      <c r="J29" s="459"/>
      <c r="K29" s="456">
        <f>IF(H29=0,"0.00%",(L29-H29)/H29)</f>
        <v>3.9987204094689699E-2</v>
      </c>
      <c r="L29" s="458">
        <f>SUM(L24:L28)</f>
        <v>6502</v>
      </c>
      <c r="M29" s="2316">
        <f>+L29-H29</f>
        <v>250</v>
      </c>
      <c r="O29" s="456">
        <f t="shared" si="7"/>
        <v>1.7533066748692708E-2</v>
      </c>
      <c r="P29" s="458">
        <f>SUM(P24:P28)</f>
        <v>6616</v>
      </c>
      <c r="Q29" s="2316">
        <f>+P29-L29</f>
        <v>114</v>
      </c>
      <c r="R29" s="455"/>
      <c r="S29" s="456">
        <f t="shared" si="9"/>
        <v>1.7533252720677146E-2</v>
      </c>
      <c r="T29" s="458">
        <f>SUM(T24:T28)</f>
        <v>6732</v>
      </c>
      <c r="U29" s="2316">
        <f>+T29-P29</f>
        <v>116</v>
      </c>
      <c r="V29" s="2429"/>
      <c r="W29" s="2241" t="e">
        <f>IF(T29=0,"0.00%",(X29-T29)/T29)</f>
        <v>#REF!</v>
      </c>
      <c r="X29" s="458" t="e">
        <f>SUM(#REF!)</f>
        <v>#REF!</v>
      </c>
      <c r="Y29" s="2370"/>
      <c r="AA29" s="456" t="e">
        <f>IF(X29=0,"0.00%",(AB29-X29)/X29)</f>
        <v>#REF!</v>
      </c>
      <c r="AB29" s="458" t="e">
        <f>SUM(#REF!)</f>
        <v>#REF!</v>
      </c>
      <c r="AC29" s="2370"/>
    </row>
    <row r="30" spans="1:29" s="340" customFormat="1" x14ac:dyDescent="0.25">
      <c r="A30" s="455"/>
      <c r="B30" s="2512"/>
      <c r="C30" s="2386"/>
      <c r="E30" s="2386"/>
      <c r="G30" s="2338"/>
      <c r="I30" s="897"/>
      <c r="J30" s="455"/>
      <c r="K30" s="1668"/>
      <c r="M30" s="2340"/>
      <c r="O30" s="1668"/>
      <c r="Q30" s="2340"/>
      <c r="R30" s="455"/>
      <c r="S30" s="2341"/>
      <c r="U30" s="2370"/>
      <c r="V30" s="2429"/>
      <c r="W30" s="2343"/>
      <c r="Y30" s="2370"/>
      <c r="AA30" s="1668"/>
      <c r="AC30" s="2370"/>
    </row>
    <row r="31" spans="1:29" s="460" customFormat="1" x14ac:dyDescent="0.25">
      <c r="B31" s="2516" t="s">
        <v>35</v>
      </c>
      <c r="C31" s="897"/>
      <c r="D31" s="2497"/>
      <c r="E31" s="868"/>
      <c r="G31" s="2389"/>
      <c r="I31" s="868"/>
      <c r="K31" s="1669"/>
      <c r="M31" s="2390"/>
      <c r="O31" s="1669"/>
      <c r="Q31" s="2390"/>
      <c r="S31" s="1669"/>
      <c r="U31" s="2498"/>
      <c r="V31" s="2492"/>
      <c r="W31" s="2382"/>
      <c r="Y31" s="2498"/>
      <c r="AA31" s="1669"/>
      <c r="AC31" s="2498"/>
    </row>
    <row r="32" spans="1:29" s="340" customFormat="1" x14ac:dyDescent="0.25">
      <c r="A32" s="455"/>
      <c r="B32" s="2427">
        <v>2203</v>
      </c>
      <c r="C32" s="2386" t="s">
        <v>978</v>
      </c>
      <c r="D32" s="340">
        <v>0</v>
      </c>
      <c r="E32" s="2386"/>
      <c r="G32" s="456" t="str">
        <f t="shared" ref="G32:G41" si="12">IF(D32=0,"0.00%",(H32-D32)/D32)</f>
        <v>0.00%</v>
      </c>
      <c r="H32" s="340">
        <v>69998</v>
      </c>
      <c r="I32" s="897"/>
      <c r="J32" s="455"/>
      <c r="K32" s="456">
        <f t="shared" ref="K32:K41" si="13">IF(H32=0,"0.00%",(L32-H32)/H32)</f>
        <v>-1.1714620417726221E-3</v>
      </c>
      <c r="L32" s="340">
        <v>69916</v>
      </c>
      <c r="M32" s="2488"/>
      <c r="O32" s="456">
        <f t="shared" ref="O32:O41" si="14">IF(L32=0,"0.00%",(P32-L32)/L32)</f>
        <v>1.7506722352537332E-2</v>
      </c>
      <c r="P32" s="340">
        <f>ROUND(L32*(1+Q22),0)</f>
        <v>71140</v>
      </c>
      <c r="Q32" s="2488" t="str">
        <f t="shared" ref="Q32:Q33" si="15">TEXT($Q$22,"0.0%")&amp;" = Est. S &amp; C"</f>
        <v>1.8% = Est. S &amp; C</v>
      </c>
      <c r="R32" s="455"/>
      <c r="S32" s="2238">
        <f t="shared" ref="S32:S34" si="16">IF(P32=0,"0.00%",(T32-P32)/P32)</f>
        <v>1.7500702839471464E-2</v>
      </c>
      <c r="T32" s="340">
        <f>ROUND(P32*(1+U22),0)</f>
        <v>72385</v>
      </c>
      <c r="U32" s="455" t="str">
        <f>TEXT(U22,"0.0%")&amp;" = Est. S &amp; C"</f>
        <v>1.8% = Est. S &amp; C</v>
      </c>
      <c r="V32" s="2429"/>
      <c r="W32" s="2241">
        <f t="shared" ref="W32:W34" si="17">IF(T32=0,"0.00%",(X32-T32)/T32)</f>
        <v>2.000414450507702E-2</v>
      </c>
      <c r="X32" s="340">
        <f>ROUND(T32*(1+Y22),0)</f>
        <v>73833</v>
      </c>
      <c r="Y32" s="455" t="str">
        <f>TEXT(Y22,"0.0%")&amp;" = Est. S &amp; C"</f>
        <v>2.0% = Est. S &amp; C</v>
      </c>
      <c r="AA32" s="456">
        <f t="shared" ref="AA32:AA34" si="18">IF(X32=0,"0.00%",(AB32-X32)/X32)</f>
        <v>2.0004604986929964E-2</v>
      </c>
      <c r="AB32" s="340">
        <f>ROUND(X32*(1+AC22),0)</f>
        <v>75310</v>
      </c>
      <c r="AC32" s="455" t="str">
        <f>TEXT(AC22,"0.0%")&amp;" = Est. S &amp; C"</f>
        <v>2.0% = Est. S &amp; C</v>
      </c>
    </row>
    <row r="33" spans="1:29" s="340" customFormat="1" x14ac:dyDescent="0.25">
      <c r="A33" s="455"/>
      <c r="B33" s="2427">
        <v>2204</v>
      </c>
      <c r="C33" s="2386" t="s">
        <v>230</v>
      </c>
      <c r="D33" s="340">
        <v>0</v>
      </c>
      <c r="E33" s="2386"/>
      <c r="G33" s="456" t="str">
        <f t="shared" si="12"/>
        <v>0.00%</v>
      </c>
      <c r="H33" s="340">
        <v>66729</v>
      </c>
      <c r="I33" s="897"/>
      <c r="J33" s="455"/>
      <c r="K33" s="456">
        <f t="shared" si="13"/>
        <v>1.2828005814563384E-2</v>
      </c>
      <c r="L33" s="340">
        <v>67585</v>
      </c>
      <c r="M33" s="2488"/>
      <c r="O33" s="456">
        <f t="shared" si="14"/>
        <v>1.7503883997928533E-2</v>
      </c>
      <c r="P33" s="340">
        <f>ROUND(L33*(1+Q22),0)</f>
        <v>68768</v>
      </c>
      <c r="Q33" s="2488" t="str">
        <f t="shared" si="15"/>
        <v>1.8% = Est. S &amp; C</v>
      </c>
      <c r="R33" s="455"/>
      <c r="S33" s="2238">
        <f t="shared" si="16"/>
        <v>1.7493601675197767E-2</v>
      </c>
      <c r="T33" s="340">
        <f>ROUND(P33*(1+U22),0)</f>
        <v>69971</v>
      </c>
      <c r="U33" s="455" t="str">
        <f>TEXT(U22,"0.0%")&amp;" = Est. S &amp; C"</f>
        <v>1.8% = Est. S &amp; C</v>
      </c>
      <c r="V33" s="2429"/>
      <c r="W33" s="2241">
        <f t="shared" si="17"/>
        <v>1.9993997513255493E-2</v>
      </c>
      <c r="X33" s="340">
        <f>ROUND(T33*(1+Y22),0)</f>
        <v>71370</v>
      </c>
      <c r="Y33" s="455" t="str">
        <f>TEXT(Y22,"0.0%")&amp;" = Est. S &amp; C"</f>
        <v>2.0% = Est. S &amp; C</v>
      </c>
      <c r="AA33" s="456">
        <f t="shared" si="18"/>
        <v>1.9994395404231469E-2</v>
      </c>
      <c r="AB33" s="340">
        <f>ROUND(X33*(1+AC22),0)</f>
        <v>72797</v>
      </c>
      <c r="AC33" s="455" t="str">
        <f>TEXT(AC22,"0.0%")&amp;" = Est. S &amp; C"</f>
        <v>2.0% = Est. S &amp; C</v>
      </c>
    </row>
    <row r="34" spans="1:29" s="340" customFormat="1" x14ac:dyDescent="0.25">
      <c r="A34" s="455"/>
      <c r="B34" s="2427">
        <v>2273</v>
      </c>
      <c r="C34" s="2386" t="s">
        <v>980</v>
      </c>
      <c r="D34" s="340">
        <v>0</v>
      </c>
      <c r="E34" s="2386"/>
      <c r="G34" s="456" t="str">
        <f t="shared" si="12"/>
        <v>0.00%</v>
      </c>
      <c r="H34" s="340">
        <v>2762</v>
      </c>
      <c r="I34" s="897"/>
      <c r="J34" s="455"/>
      <c r="K34" s="456">
        <f t="shared" si="13"/>
        <v>-5.8653149891383052E-2</v>
      </c>
      <c r="L34" s="340">
        <v>2600</v>
      </c>
      <c r="M34" s="2488"/>
      <c r="O34" s="456">
        <f t="shared" si="14"/>
        <v>1.7692307692307691E-2</v>
      </c>
      <c r="P34" s="340">
        <f>ROUND(L34*(1+Q22),0)</f>
        <v>2646</v>
      </c>
      <c r="Q34" s="2488" t="str">
        <f>TEXT($Q$22,"0.0%")&amp;" = Est. S &amp; C"</f>
        <v>1.8% = Est. S &amp; C</v>
      </c>
      <c r="R34" s="455"/>
      <c r="S34" s="2238">
        <f t="shared" si="16"/>
        <v>1.7384731670445956E-2</v>
      </c>
      <c r="T34" s="340">
        <f>ROUND(P34*(1+U22),0)</f>
        <v>2692</v>
      </c>
      <c r="U34" s="455" t="str">
        <f>TEXT(U22,"0.0%")&amp;" = Est. S &amp; C"</f>
        <v>1.8% = Est. S &amp; C</v>
      </c>
      <c r="V34" s="2429"/>
      <c r="W34" s="2241">
        <f t="shared" si="17"/>
        <v>2.0059435364041606E-2</v>
      </c>
      <c r="X34" s="340">
        <f>ROUND(T34*(1+Y22),0)</f>
        <v>2746</v>
      </c>
      <c r="Y34" s="455" t="str">
        <f>TEXT(Y22,"0.0%")&amp;" = Est. S &amp; C"</f>
        <v>2.0% = Est. S &amp; C</v>
      </c>
      <c r="AA34" s="456">
        <f t="shared" si="18"/>
        <v>2.0029133284777859E-2</v>
      </c>
      <c r="AB34" s="340">
        <f>ROUND(X34*(1+AC22),0)</f>
        <v>2801</v>
      </c>
      <c r="AC34" s="455" t="str">
        <f>TEXT(AC22,"0.0%")&amp;" = Est. S &amp; C"</f>
        <v>2.0% = Est. S &amp; C</v>
      </c>
    </row>
    <row r="35" spans="1:29" s="340" customFormat="1" x14ac:dyDescent="0.25">
      <c r="A35" s="455"/>
      <c r="B35" s="2427">
        <v>2281</v>
      </c>
      <c r="C35" s="2386" t="s">
        <v>979</v>
      </c>
      <c r="D35" s="340">
        <v>0</v>
      </c>
      <c r="E35" s="2386"/>
      <c r="G35" s="456" t="str">
        <f t="shared" si="12"/>
        <v>0.00%</v>
      </c>
      <c r="H35" s="340">
        <v>10000</v>
      </c>
      <c r="I35" s="897"/>
      <c r="J35" s="455"/>
      <c r="K35" s="456">
        <f t="shared" si="13"/>
        <v>-0.28000000000000003</v>
      </c>
      <c r="L35" s="340">
        <v>7200</v>
      </c>
      <c r="M35" s="2488"/>
      <c r="O35" s="456">
        <f t="shared" si="14"/>
        <v>1.7500000000000002E-2</v>
      </c>
      <c r="P35" s="340">
        <f t="shared" ref="P35:P41" si="19">ROUND(L35*(1+$Q$22),0)</f>
        <v>7326</v>
      </c>
      <c r="Q35" s="2488" t="str">
        <f t="shared" ref="Q35:Q41" si="20">TEXT($Q$22,"0.0%")&amp;" = Est. S &amp; C"</f>
        <v>1.8% = Est. S &amp; C</v>
      </c>
      <c r="R35" s="455"/>
      <c r="S35" s="2238">
        <f t="shared" ref="S35:S41" si="21">IF(P35=0,"0.00%",(T35-P35)/P35)</f>
        <v>1.7472017472017473E-2</v>
      </c>
      <c r="T35" s="340">
        <f>ROUND(P35*(1+$U$22),0)</f>
        <v>7454</v>
      </c>
      <c r="U35" s="455" t="str">
        <f>TEXT($U$22,"0.0%")&amp;" = Est. S &amp; C"</f>
        <v>1.8% = Est. S &amp; C</v>
      </c>
      <c r="V35" s="2429"/>
      <c r="W35" s="2241"/>
      <c r="Y35" s="455"/>
      <c r="AA35" s="456"/>
      <c r="AC35" s="455"/>
    </row>
    <row r="36" spans="1:29" s="340" customFormat="1" x14ac:dyDescent="0.25">
      <c r="A36" s="455"/>
      <c r="B36" s="2427">
        <v>2404</v>
      </c>
      <c r="C36" s="2386" t="s">
        <v>31</v>
      </c>
      <c r="D36" s="340">
        <v>0</v>
      </c>
      <c r="E36" s="2428"/>
      <c r="G36" s="456" t="str">
        <f t="shared" si="12"/>
        <v>0.00%</v>
      </c>
      <c r="H36" s="340">
        <v>4442</v>
      </c>
      <c r="I36" s="2393"/>
      <c r="J36" s="455"/>
      <c r="K36" s="456">
        <f t="shared" si="13"/>
        <v>-5.9207564160288162E-2</v>
      </c>
      <c r="L36" s="340">
        <v>4179</v>
      </c>
      <c r="M36" s="2488"/>
      <c r="O36" s="456">
        <f t="shared" si="14"/>
        <v>1.7468293850203397E-2</v>
      </c>
      <c r="P36" s="340">
        <f t="shared" si="19"/>
        <v>4252</v>
      </c>
      <c r="Q36" s="2488" t="str">
        <f t="shared" si="20"/>
        <v>1.8% = Est. S &amp; C</v>
      </c>
      <c r="R36" s="455"/>
      <c r="S36" s="2238">
        <f t="shared" si="21"/>
        <v>1.7403574788334902E-2</v>
      </c>
      <c r="T36" s="340">
        <f t="shared" ref="T36:T41" si="22">ROUND(P36*(1+$U$22),0)</f>
        <v>4326</v>
      </c>
      <c r="U36" s="455" t="str">
        <f t="shared" ref="U36:U41" si="23">TEXT($U$22,"0.0%")&amp;" = Est. S &amp; C"</f>
        <v>1.8% = Est. S &amp; C</v>
      </c>
      <c r="V36" s="2429"/>
      <c r="W36" s="2241"/>
      <c r="Y36" s="455"/>
      <c r="AA36" s="456"/>
      <c r="AC36" s="455"/>
    </row>
    <row r="37" spans="1:29" s="340" customFormat="1" x14ac:dyDescent="0.25">
      <c r="A37" s="455"/>
      <c r="B37" s="2427">
        <v>2475</v>
      </c>
      <c r="C37" s="2386" t="s">
        <v>981</v>
      </c>
      <c r="D37" s="340">
        <v>0</v>
      </c>
      <c r="E37" s="2386"/>
      <c r="G37" s="456" t="str">
        <f t="shared" si="12"/>
        <v>0.00%</v>
      </c>
      <c r="H37" s="340">
        <v>500</v>
      </c>
      <c r="I37" s="897"/>
      <c r="J37" s="455"/>
      <c r="K37" s="456">
        <f t="shared" si="13"/>
        <v>-1</v>
      </c>
      <c r="L37" s="340">
        <v>0</v>
      </c>
      <c r="M37" s="2488"/>
      <c r="O37" s="456" t="str">
        <f t="shared" si="14"/>
        <v>0.00%</v>
      </c>
      <c r="P37" s="340">
        <f t="shared" si="19"/>
        <v>0</v>
      </c>
      <c r="Q37" s="2488" t="str">
        <f t="shared" si="20"/>
        <v>1.8% = Est. S &amp; C</v>
      </c>
      <c r="R37" s="455"/>
      <c r="S37" s="2238" t="str">
        <f t="shared" si="21"/>
        <v>0.00%</v>
      </c>
      <c r="T37" s="340">
        <f t="shared" si="22"/>
        <v>0</v>
      </c>
      <c r="U37" s="455" t="str">
        <f t="shared" si="23"/>
        <v>1.8% = Est. S &amp; C</v>
      </c>
      <c r="V37" s="2429"/>
      <c r="W37" s="2241"/>
      <c r="Y37" s="455"/>
      <c r="AA37" s="456"/>
      <c r="AC37" s="455"/>
    </row>
    <row r="38" spans="1:29" s="340" customFormat="1" x14ac:dyDescent="0.25">
      <c r="A38" s="455"/>
      <c r="B38" s="2427"/>
      <c r="C38" s="2386"/>
      <c r="D38" s="340">
        <v>0</v>
      </c>
      <c r="E38" s="2386"/>
      <c r="G38" s="456" t="str">
        <f t="shared" si="12"/>
        <v>0.00%</v>
      </c>
      <c r="H38" s="340">
        <v>0</v>
      </c>
      <c r="I38" s="2393"/>
      <c r="J38" s="455"/>
      <c r="K38" s="456" t="str">
        <f t="shared" si="13"/>
        <v>0.00%</v>
      </c>
      <c r="L38" s="340">
        <f t="shared" ref="L38:L41" si="24">ROUND(H38*(1+$M$22),0)</f>
        <v>0</v>
      </c>
      <c r="M38" s="2488"/>
      <c r="O38" s="456" t="str">
        <f t="shared" si="14"/>
        <v>0.00%</v>
      </c>
      <c r="P38" s="340">
        <f t="shared" si="19"/>
        <v>0</v>
      </c>
      <c r="Q38" s="2488" t="str">
        <f t="shared" si="20"/>
        <v>1.8% = Est. S &amp; C</v>
      </c>
      <c r="R38" s="455"/>
      <c r="S38" s="2238" t="str">
        <f t="shared" si="21"/>
        <v>0.00%</v>
      </c>
      <c r="T38" s="340">
        <f t="shared" si="22"/>
        <v>0</v>
      </c>
      <c r="U38" s="455" t="str">
        <f t="shared" si="23"/>
        <v>1.8% = Est. S &amp; C</v>
      </c>
      <c r="V38" s="2429"/>
      <c r="W38" s="2241"/>
      <c r="Y38" s="455"/>
      <c r="AA38" s="456"/>
      <c r="AC38" s="455"/>
    </row>
    <row r="39" spans="1:29" s="340" customFormat="1" x14ac:dyDescent="0.25">
      <c r="A39" s="455"/>
      <c r="B39" s="2427"/>
      <c r="C39" s="2386"/>
      <c r="D39" s="340">
        <v>0</v>
      </c>
      <c r="E39" s="2386"/>
      <c r="G39" s="456" t="str">
        <f t="shared" si="12"/>
        <v>0.00%</v>
      </c>
      <c r="H39" s="340">
        <v>0</v>
      </c>
      <c r="I39" s="897"/>
      <c r="J39" s="455"/>
      <c r="K39" s="456" t="str">
        <f t="shared" si="13"/>
        <v>0.00%</v>
      </c>
      <c r="L39" s="340">
        <f t="shared" si="24"/>
        <v>0</v>
      </c>
      <c r="M39" s="2488"/>
      <c r="O39" s="456" t="str">
        <f t="shared" si="14"/>
        <v>0.00%</v>
      </c>
      <c r="P39" s="340">
        <f t="shared" si="19"/>
        <v>0</v>
      </c>
      <c r="Q39" s="2488" t="str">
        <f t="shared" si="20"/>
        <v>1.8% = Est. S &amp; C</v>
      </c>
      <c r="R39" s="455"/>
      <c r="S39" s="2238" t="str">
        <f t="shared" si="21"/>
        <v>0.00%</v>
      </c>
      <c r="T39" s="340">
        <f t="shared" si="22"/>
        <v>0</v>
      </c>
      <c r="U39" s="455" t="str">
        <f t="shared" si="23"/>
        <v>1.8% = Est. S &amp; C</v>
      </c>
      <c r="V39" s="2429"/>
      <c r="W39" s="2241"/>
      <c r="Y39" s="455"/>
      <c r="AA39" s="456"/>
      <c r="AC39" s="455"/>
    </row>
    <row r="40" spans="1:29" s="340" customFormat="1" x14ac:dyDescent="0.25">
      <c r="A40" s="455"/>
      <c r="B40" s="2427"/>
      <c r="C40" s="2386"/>
      <c r="D40" s="340">
        <v>0</v>
      </c>
      <c r="E40" s="2386"/>
      <c r="G40" s="456" t="str">
        <f t="shared" si="12"/>
        <v>0.00%</v>
      </c>
      <c r="H40" s="340">
        <v>0</v>
      </c>
      <c r="I40" s="897"/>
      <c r="J40" s="455"/>
      <c r="K40" s="456" t="str">
        <f t="shared" si="13"/>
        <v>0.00%</v>
      </c>
      <c r="L40" s="340">
        <f>ROUND(H40*(1+$M$22),0)</f>
        <v>0</v>
      </c>
      <c r="M40" s="2488"/>
      <c r="O40" s="456" t="str">
        <f t="shared" si="14"/>
        <v>0.00%</v>
      </c>
      <c r="P40" s="340">
        <f t="shared" si="19"/>
        <v>0</v>
      </c>
      <c r="Q40" s="2488" t="str">
        <f t="shared" si="20"/>
        <v>1.8% = Est. S &amp; C</v>
      </c>
      <c r="R40" s="455"/>
      <c r="S40" s="2238" t="str">
        <f t="shared" si="21"/>
        <v>0.00%</v>
      </c>
      <c r="T40" s="340">
        <f t="shared" si="22"/>
        <v>0</v>
      </c>
      <c r="U40" s="455" t="str">
        <f t="shared" si="23"/>
        <v>1.8% = Est. S &amp; C</v>
      </c>
      <c r="V40" s="2429"/>
      <c r="W40" s="2241"/>
      <c r="Y40" s="455"/>
      <c r="AA40" s="456"/>
      <c r="AC40" s="455"/>
    </row>
    <row r="41" spans="1:29" s="340" customFormat="1" x14ac:dyDescent="0.25">
      <c r="A41" s="455"/>
      <c r="B41" s="2427"/>
      <c r="C41" s="2386"/>
      <c r="D41" s="340">
        <v>0</v>
      </c>
      <c r="E41" s="2386"/>
      <c r="G41" s="456" t="str">
        <f t="shared" si="12"/>
        <v>0.00%</v>
      </c>
      <c r="H41" s="340">
        <v>0</v>
      </c>
      <c r="I41" s="897"/>
      <c r="J41" s="455"/>
      <c r="K41" s="456" t="str">
        <f t="shared" si="13"/>
        <v>0.00%</v>
      </c>
      <c r="L41" s="340">
        <f t="shared" si="24"/>
        <v>0</v>
      </c>
      <c r="M41" s="2488"/>
      <c r="O41" s="456" t="str">
        <f t="shared" si="14"/>
        <v>0.00%</v>
      </c>
      <c r="P41" s="340">
        <f t="shared" si="19"/>
        <v>0</v>
      </c>
      <c r="Q41" s="2488" t="str">
        <f t="shared" si="20"/>
        <v>1.8% = Est. S &amp; C</v>
      </c>
      <c r="R41" s="455"/>
      <c r="S41" s="2238" t="str">
        <f t="shared" si="21"/>
        <v>0.00%</v>
      </c>
      <c r="T41" s="340">
        <f t="shared" si="22"/>
        <v>0</v>
      </c>
      <c r="U41" s="455" t="str">
        <f t="shared" si="23"/>
        <v>1.8% = Est. S &amp; C</v>
      </c>
      <c r="V41" s="2429"/>
      <c r="W41" s="2241"/>
      <c r="Y41" s="455"/>
      <c r="AA41" s="456"/>
      <c r="AC41" s="455"/>
    </row>
    <row r="42" spans="1:29" s="340" customFormat="1" x14ac:dyDescent="0.25">
      <c r="A42" s="459"/>
      <c r="B42" s="2427"/>
      <c r="C42" s="2386"/>
      <c r="D42" s="458">
        <f>SUM(D32:D41)</f>
        <v>0</v>
      </c>
      <c r="E42" s="2386"/>
      <c r="G42" s="456" t="str">
        <f>IF(D42=0,"0.00%",(H42-D42)/D42)</f>
        <v>0.00%</v>
      </c>
      <c r="H42" s="458">
        <f>SUM(H32:H41)</f>
        <v>154431</v>
      </c>
      <c r="I42" s="2316">
        <f>+H42-D42</f>
        <v>154431</v>
      </c>
      <c r="J42" s="459"/>
      <c r="K42" s="456">
        <f>IF(H42=0,"0.00%",(L42-H42)/H42)</f>
        <v>-1.9108857677538837E-2</v>
      </c>
      <c r="L42" s="458">
        <f>SUM(L32:L41)</f>
        <v>151480</v>
      </c>
      <c r="M42" s="2316">
        <f>+L42-H42</f>
        <v>-2951</v>
      </c>
      <c r="O42" s="456">
        <f>IF(L42=0,"0.00%",(P42-L42)/L42)</f>
        <v>1.7507261684710854E-2</v>
      </c>
      <c r="P42" s="458">
        <f>SUM(P32:P41)</f>
        <v>154132</v>
      </c>
      <c r="Q42" s="2316">
        <f>+P42-L42</f>
        <v>2652</v>
      </c>
      <c r="R42" s="455"/>
      <c r="S42" s="2238">
        <f>IF(P42=0,"0.00%",(T42-P42)/P42)</f>
        <v>1.7491500791529339E-2</v>
      </c>
      <c r="T42" s="458">
        <f>SUM(T32:T41)</f>
        <v>156828</v>
      </c>
      <c r="U42" s="2370"/>
      <c r="V42" s="2429"/>
      <c r="W42" s="2241">
        <f>IF(T42=0,"0.00%",(X42-T42)/T42)</f>
        <v>-5.6616165480653964E-2</v>
      </c>
      <c r="X42" s="458">
        <f>SUM(X32:X41)</f>
        <v>147949</v>
      </c>
      <c r="Y42" s="2370"/>
      <c r="AA42" s="456">
        <f>IF(X42=0,"0.00%",(AB42-X42)/X42)</f>
        <v>2.0000135181718025E-2</v>
      </c>
      <c r="AB42" s="458">
        <f>SUM(AB32:AB41)</f>
        <v>150908</v>
      </c>
      <c r="AC42" s="2370"/>
    </row>
    <row r="43" spans="1:29" s="340" customFormat="1" x14ac:dyDescent="0.25">
      <c r="A43" s="455"/>
      <c r="B43" s="2512" t="s">
        <v>28</v>
      </c>
      <c r="C43" s="2386"/>
      <c r="E43" s="2386"/>
      <c r="G43" s="2338"/>
      <c r="I43" s="897"/>
      <c r="J43" s="455"/>
      <c r="K43" s="1668"/>
      <c r="M43" s="2340"/>
      <c r="O43" s="1668"/>
      <c r="Q43" s="2340"/>
      <c r="R43" s="455"/>
      <c r="S43" s="2341"/>
      <c r="U43" s="2370"/>
      <c r="V43" s="2429"/>
      <c r="W43" s="2343"/>
      <c r="Y43" s="2370"/>
      <c r="AA43" s="1668"/>
      <c r="AC43" s="2370"/>
    </row>
    <row r="44" spans="1:29" s="340" customFormat="1" x14ac:dyDescent="0.25">
      <c r="A44" s="460"/>
      <c r="B44" s="2511" t="s">
        <v>27</v>
      </c>
      <c r="C44" s="2386"/>
      <c r="E44" s="2386"/>
      <c r="G44" s="2338"/>
      <c r="I44" s="897"/>
      <c r="J44" s="455"/>
      <c r="K44" s="1668"/>
      <c r="M44" s="2340"/>
      <c r="O44" s="1668"/>
      <c r="Q44" s="2340"/>
      <c r="R44" s="455"/>
      <c r="S44" s="2341"/>
      <c r="U44" s="2370"/>
      <c r="V44" s="2429"/>
      <c r="W44" s="2343"/>
      <c r="Y44" s="2370"/>
      <c r="AA44" s="1668"/>
      <c r="AC44" s="2370"/>
    </row>
    <row r="45" spans="1:29" s="340" customFormat="1" x14ac:dyDescent="0.25">
      <c r="A45" s="455"/>
      <c r="B45" s="2427" t="s">
        <v>83</v>
      </c>
      <c r="C45" s="2386" t="s">
        <v>76</v>
      </c>
      <c r="D45" s="340">
        <v>0</v>
      </c>
      <c r="E45" s="897" t="str">
        <f>TEXT('MYP Assumptions'!$D$57,"0.00%")&amp;", STRS rate"</f>
        <v>12.58%, STRS rate</v>
      </c>
      <c r="G45" s="456" t="str">
        <f t="shared" ref="G45:G54" si="25">IF(D45=0,"0.00%",(H45-D45)/D45)</f>
        <v>0.00%</v>
      </c>
      <c r="H45" s="340">
        <f>897+3159</f>
        <v>4056</v>
      </c>
      <c r="I45" s="897" t="str">
        <f>TEXT('MYP Assumptions'!E57,"0.00%")&amp;", projected STRS rate"</f>
        <v>14.43%, projected STRS rate</v>
      </c>
      <c r="J45" s="455"/>
      <c r="K45" s="456">
        <f t="shared" ref="K45:K54" si="26">IF(H45=0,"0.00%",(L45-H45)/H45)</f>
        <v>-0.73915187376725833</v>
      </c>
      <c r="L45" s="340">
        <v>1058</v>
      </c>
      <c r="M45" s="2488" t="str">
        <f>TEXT('MYP Assumptions'!F57,"0.00%")&amp;", projected STRS rate"</f>
        <v>16.28%, projected STRS rate</v>
      </c>
      <c r="O45" s="456">
        <f>IF(L45=0,"0.00%",(P45-L45)/L45)</f>
        <v>1.890359168241966E-2</v>
      </c>
      <c r="P45" s="340">
        <f>ROUND(((LEFT(Q45,6)-LEFT(M45,6))+1)*L45,0)</f>
        <v>1078</v>
      </c>
      <c r="Q45" s="2488" t="str">
        <f>TEXT('MYP Assumptions'!G57,"0.00%")&amp;", projected STRS rate"</f>
        <v>18.13%, projected STRS rate</v>
      </c>
      <c r="R45" s="455"/>
      <c r="S45" s="2238">
        <f t="shared" ref="S45:S54" si="27">IF(P45=0,"0.00%",(T45-P45)/P45)</f>
        <v>0.19294990723562153</v>
      </c>
      <c r="T45" s="340">
        <f>ROUND(T29*LEFT(U45,6),0)</f>
        <v>1286</v>
      </c>
      <c r="U45" s="455" t="str">
        <f>TEXT('MYP Assumptions'!H57,"0.00%")&amp;", projected STRS rate"</f>
        <v>19.10%, projected STRS rate</v>
      </c>
      <c r="V45" s="2429"/>
      <c r="W45" s="2241" t="e">
        <f t="shared" ref="W45:W54" si="28">IF(T45=0,"0.00%",(X45-T45)/T45)</f>
        <v>#REF!</v>
      </c>
      <c r="X45" s="340" t="e">
        <f>ROUND(X29*LEFT(Y45,6),0)</f>
        <v>#REF!</v>
      </c>
      <c r="Y45" s="455" t="str">
        <f>TEXT('MYP Assumptions'!I57,"0.00%")&amp;", projected STRS rate"</f>
        <v>19.10%, projected STRS rate</v>
      </c>
      <c r="AA45" s="456" t="e">
        <f t="shared" ref="AA45:AA54" si="29">IF(X45=0,"0.00%",(AB45-X45)/X45)</f>
        <v>#REF!</v>
      </c>
      <c r="AB45" s="340" t="e">
        <f>ROUND(AB29*LEFT(AC45,6),0)</f>
        <v>#REF!</v>
      </c>
      <c r="AC45" s="455" t="str">
        <f>TEXT('MYP Assumptions'!J57,"0.00%")&amp;", projected STRS rate"</f>
        <v>0.00%, projected STRS rate</v>
      </c>
    </row>
    <row r="46" spans="1:29" s="340" customFormat="1" x14ac:dyDescent="0.25">
      <c r="A46" s="455"/>
      <c r="B46" s="2427" t="s">
        <v>84</v>
      </c>
      <c r="C46" s="2386" t="s">
        <v>77</v>
      </c>
      <c r="D46" s="340">
        <v>0</v>
      </c>
      <c r="E46" s="897" t="str">
        <f>TEXT('MYP Assumptions'!$D$58,"0.00%")&amp;", PERS rate"</f>
        <v>13.89%, PERS rate</v>
      </c>
      <c r="G46" s="456" t="str">
        <f t="shared" si="25"/>
        <v>0.00%</v>
      </c>
      <c r="H46" s="340">
        <v>20006</v>
      </c>
      <c r="I46" s="897" t="str">
        <f>TEXT('MYP Assumptions'!E58,"0.00%")&amp;", projected PERS rate"</f>
        <v>15.53%, projected PERS rate</v>
      </c>
      <c r="J46" s="455"/>
      <c r="K46" s="456">
        <f t="shared" si="26"/>
        <v>0.27911626512046384</v>
      </c>
      <c r="L46" s="340">
        <v>25590</v>
      </c>
      <c r="M46" s="2488" t="str">
        <f>TEXT('MYP Assumptions'!F58,"0.00%")&amp;", projected PERS rate"</f>
        <v>18.06%, projected PERS rate</v>
      </c>
      <c r="O46" s="456">
        <f t="shared" ref="O46:O54" si="30">IF(L46=0,"0.00%",(P46-L46)/L46)</f>
        <v>0.2527940601797577</v>
      </c>
      <c r="P46" s="340">
        <f>ROUND(P42*LEFT(Q46,6),0)</f>
        <v>32059</v>
      </c>
      <c r="Q46" s="2488" t="str">
        <f>TEXT('MYP Assumptions'!G58,"0.00%")&amp;", projected PERS rate"</f>
        <v>20.80%, projected PERS rate</v>
      </c>
      <c r="R46" s="455"/>
      <c r="S46" s="2238">
        <f t="shared" si="27"/>
        <v>0.14959917651829441</v>
      </c>
      <c r="T46" s="340">
        <f>ROUND(T42*LEFT(U46,6),0)</f>
        <v>36855</v>
      </c>
      <c r="U46" s="455" t="str">
        <f>TEXT('MYP Assumptions'!H58,"0.00%")&amp;", projected PERS rate"</f>
        <v>23.50%, projected PERS rate</v>
      </c>
      <c r="V46" s="2429"/>
      <c r="W46" s="2241">
        <f t="shared" si="28"/>
        <v>-1.2481345814679148E-2</v>
      </c>
      <c r="X46" s="340">
        <f>ROUND(X42*LEFT(Y46,6),0)</f>
        <v>36395</v>
      </c>
      <c r="Y46" s="455" t="str">
        <f>TEXT('MYP Assumptions'!I58,"0.00%")&amp;", projected PERS rate"</f>
        <v>24.60%, projected PERS rate</v>
      </c>
      <c r="AA46" s="456" t="e">
        <f t="shared" si="29"/>
        <v>#VALUE!</v>
      </c>
      <c r="AB46" s="340" t="e">
        <f>ROUND(AB42*LEFT(AC46,6),0)</f>
        <v>#VALUE!</v>
      </c>
      <c r="AC46" s="455" t="str">
        <f>TEXT('MYP Assumptions'!J58,"0.00%")&amp;", projected PERS rate"</f>
        <v>0.00%, projected PERS rate</v>
      </c>
    </row>
    <row r="47" spans="1:29" s="340" customFormat="1" x14ac:dyDescent="0.25">
      <c r="A47" s="455"/>
      <c r="B47" s="2427" t="s">
        <v>85</v>
      </c>
      <c r="C47" s="2386" t="s">
        <v>78</v>
      </c>
      <c r="D47" s="340">
        <v>0</v>
      </c>
      <c r="E47" s="897" t="str">
        <f>TEXT('MYP Assumptions'!$D$60,"0.00%")&amp;", SS rate"</f>
        <v>6.20%, SS rate</v>
      </c>
      <c r="G47" s="456" t="str">
        <f t="shared" si="25"/>
        <v>0.00%</v>
      </c>
      <c r="H47" s="340">
        <v>7584</v>
      </c>
      <c r="I47" s="897" t="str">
        <f>TEXT('MYP Assumptions'!E60,"0.00%")&amp;", no rate change"</f>
        <v>6.20%, no rate change</v>
      </c>
      <c r="J47" s="455"/>
      <c r="K47" s="456">
        <f t="shared" si="26"/>
        <v>0.23813291139240506</v>
      </c>
      <c r="L47" s="340">
        <v>9390</v>
      </c>
      <c r="M47" s="2488" t="str">
        <f>TEXT('MYP Assumptions'!F60,"0.00%")&amp;", no rate change"</f>
        <v>6.20%, no rate change</v>
      </c>
      <c r="O47" s="456">
        <f t="shared" si="30"/>
        <v>1.7678381256656016E-2</v>
      </c>
      <c r="P47" s="340">
        <f>ROUND(P42*LEFT(Q47,5),0)</f>
        <v>9556</v>
      </c>
      <c r="Q47" s="2488" t="str">
        <f>TEXT('MYP Assumptions'!G60,"0.00%")&amp;", no rate change"</f>
        <v>6.20%, no rate change</v>
      </c>
      <c r="R47" s="455"/>
      <c r="S47" s="2238">
        <f t="shared" si="27"/>
        <v>1.7475931352030138E-2</v>
      </c>
      <c r="T47" s="340">
        <f>ROUND(T42*LEFT(U47,5),0)</f>
        <v>9723</v>
      </c>
      <c r="U47" s="455" t="str">
        <f>TEXT('MYP Assumptions'!H60,"0.00%")&amp;", no rate change"</f>
        <v>6.20%, no rate change</v>
      </c>
      <c r="V47" s="2429"/>
      <c r="W47" s="2241">
        <f t="shared" si="28"/>
        <v>-5.6566903219171037E-2</v>
      </c>
      <c r="X47" s="340">
        <f>ROUND(X42*LEFT(Y47,5),0)</f>
        <v>9173</v>
      </c>
      <c r="Y47" s="455" t="str">
        <f>TEXT('MYP Assumptions'!I60,"0.00%")&amp;", no rate change"</f>
        <v>6.20%, no rate change</v>
      </c>
      <c r="AA47" s="456">
        <f t="shared" si="29"/>
        <v>-1</v>
      </c>
      <c r="AB47" s="340">
        <f>ROUND(AB42*LEFT(AC47,5),0)</f>
        <v>0</v>
      </c>
      <c r="AC47" s="455" t="str">
        <f>TEXT('MYP Assumptions'!J60,"0.00%")&amp;", no rate change"</f>
        <v>0.00%, no rate change</v>
      </c>
    </row>
    <row r="48" spans="1:29" s="340" customFormat="1" x14ac:dyDescent="0.25">
      <c r="A48" s="455"/>
      <c r="B48" s="2427" t="s">
        <v>86</v>
      </c>
      <c r="C48" s="2386" t="s">
        <v>79</v>
      </c>
      <c r="D48" s="340">
        <v>0</v>
      </c>
      <c r="E48" s="897" t="str">
        <f>TEXT('MYP Assumptions'!$D$61,"0.00%")&amp;", Medicare rate"</f>
        <v>1.45%, Medicare rate</v>
      </c>
      <c r="G48" s="456" t="str">
        <f t="shared" si="25"/>
        <v>0.00%</v>
      </c>
      <c r="H48" s="340">
        <f>95+2107</f>
        <v>2202</v>
      </c>
      <c r="I48" s="897" t="str">
        <f>TEXT('MYP Assumptions'!E61,"0.00%")&amp;", no rate change"</f>
        <v>1.45%, no rate change</v>
      </c>
      <c r="J48" s="455"/>
      <c r="K48" s="456">
        <f t="shared" si="26"/>
        <v>3.9963669391462307E-2</v>
      </c>
      <c r="L48" s="340">
        <f>94+2196</f>
        <v>2290</v>
      </c>
      <c r="M48" s="2488" t="str">
        <f>TEXT('MYP Assumptions'!F61,"0.00%")&amp;", no rate change"</f>
        <v>1.45%, no rate change</v>
      </c>
      <c r="O48" s="456">
        <f t="shared" si="30"/>
        <v>1.7903930131004366E-2</v>
      </c>
      <c r="P48" s="340">
        <f>ROUND((P42+P29)*LEFT(Q48,5),0)</f>
        <v>2331</v>
      </c>
      <c r="Q48" s="2488" t="str">
        <f>TEXT('MYP Assumptions'!G61,"0.00%")&amp;", no rate change"</f>
        <v>1.45%, no rate change</v>
      </c>
      <c r="R48" s="455"/>
      <c r="S48" s="2238">
        <f t="shared" si="27"/>
        <v>1.758901758901759E-2</v>
      </c>
      <c r="T48" s="340">
        <f>ROUND((T42+T29)*LEFT(U48,5),0)</f>
        <v>2372</v>
      </c>
      <c r="U48" s="455" t="str">
        <f>TEXT('MYP Assumptions'!H61,"0.00%")&amp;", no rate change"</f>
        <v>1.45%, no rate change</v>
      </c>
      <c r="V48" s="2429"/>
      <c r="W48" s="2241" t="e">
        <f t="shared" si="28"/>
        <v>#REF!</v>
      </c>
      <c r="X48" s="340" t="e">
        <f>ROUND((X42+X29)*LEFT(Y48,5),0)</f>
        <v>#REF!</v>
      </c>
      <c r="Y48" s="455" t="str">
        <f>TEXT('MYP Assumptions'!I61,"0.00%")&amp;", no rate change"</f>
        <v>1.45%, no rate change</v>
      </c>
      <c r="AA48" s="456" t="e">
        <f t="shared" si="29"/>
        <v>#REF!</v>
      </c>
      <c r="AB48" s="340" t="e">
        <f>ROUND((AB42+AB29)*LEFT(AC48,5),0)</f>
        <v>#REF!</v>
      </c>
      <c r="AC48" s="455" t="str">
        <f>TEXT('MYP Assumptions'!J61,"0.00%")&amp;", no rate change"</f>
        <v>0.00%, no rate change</v>
      </c>
    </row>
    <row r="49" spans="1:29" s="340" customFormat="1" x14ac:dyDescent="0.25">
      <c r="A49" s="455"/>
      <c r="B49" s="2427" t="s">
        <v>87</v>
      </c>
      <c r="C49" s="2386" t="s">
        <v>80</v>
      </c>
      <c r="D49" s="340">
        <v>0</v>
      </c>
      <c r="E49" s="897"/>
      <c r="G49" s="456" t="str">
        <f t="shared" si="25"/>
        <v>0.00%</v>
      </c>
      <c r="H49" s="340">
        <f>627+11175</f>
        <v>11802</v>
      </c>
      <c r="I49" s="897"/>
      <c r="J49" s="455"/>
      <c r="K49" s="456">
        <f t="shared" si="26"/>
        <v>-1.7793594306049824E-2</v>
      </c>
      <c r="L49" s="340">
        <f>583+11009</f>
        <v>11592</v>
      </c>
      <c r="M49" s="2488" t="str">
        <f>TEXT('MYP Assumptions'!$I$68,"0.00%")&amp;", projected increase"</f>
        <v>5.00%, projected increase</v>
      </c>
      <c r="O49" s="456">
        <f t="shared" si="30"/>
        <v>5.0034506556245688E-2</v>
      </c>
      <c r="P49" s="340">
        <f>ROUND((L49)*(LEFT(Q49,5)+1),0)</f>
        <v>12172</v>
      </c>
      <c r="Q49" s="2488" t="str">
        <f>TEXT('MYP Assumptions'!$I$68,"0.00%")&amp;", projected increase"</f>
        <v>5.00%, projected increase</v>
      </c>
      <c r="R49" s="455"/>
      <c r="S49" s="2238">
        <f t="shared" si="27"/>
        <v>5.0032862306933948E-2</v>
      </c>
      <c r="T49" s="340">
        <f>ROUND((P49)*(LEFT(U49,5)+1),0)</f>
        <v>12781</v>
      </c>
      <c r="U49" s="455" t="str">
        <f>TEXT('MYP Assumptions'!$I$68,"0.00%")&amp;", projected increase"</f>
        <v>5.00%, projected increase</v>
      </c>
      <c r="V49" s="2429"/>
      <c r="W49" s="2241">
        <f t="shared" si="28"/>
        <v>4.9996087943040453E-2</v>
      </c>
      <c r="X49" s="340">
        <f>ROUND((T49)*(LEFT(Y49,5)+1),0)</f>
        <v>13420</v>
      </c>
      <c r="Y49" s="455" t="str">
        <f>TEXT('MYP Assumptions'!$I$68,"0.00%")&amp;", projected increase"</f>
        <v>5.00%, projected increase</v>
      </c>
      <c r="AA49" s="456">
        <f t="shared" si="29"/>
        <v>0.05</v>
      </c>
      <c r="AB49" s="340">
        <f>ROUND((X49)*(LEFT(AC49,5)+1),0)</f>
        <v>14091</v>
      </c>
      <c r="AC49" s="455" t="str">
        <f>TEXT('MYP Assumptions'!$I$68,"0.00%")&amp;", projected increase"</f>
        <v>5.00%, projected increase</v>
      </c>
    </row>
    <row r="50" spans="1:29" s="340" customFormat="1" x14ac:dyDescent="0.25">
      <c r="A50" s="455"/>
      <c r="B50" s="2427" t="s">
        <v>88</v>
      </c>
      <c r="C50" s="2386" t="s">
        <v>81</v>
      </c>
      <c r="D50" s="340">
        <v>0</v>
      </c>
      <c r="E50" s="897" t="str">
        <f>TEXT('MYP Assumptions'!$D$62,"0.00%")&amp;", SUI rate"</f>
        <v>0.05%, SUI rate</v>
      </c>
      <c r="G50" s="456" t="str">
        <f t="shared" si="25"/>
        <v>0.00%</v>
      </c>
      <c r="H50" s="340">
        <f>3+74</f>
        <v>77</v>
      </c>
      <c r="I50" s="897" t="str">
        <f>TEXT('MYP Assumptions'!E62,"0.00%")&amp;", no rate change"</f>
        <v>0.05%, no rate change</v>
      </c>
      <c r="J50" s="455"/>
      <c r="K50" s="456">
        <f t="shared" si="26"/>
        <v>5.1948051948051951E-2</v>
      </c>
      <c r="L50" s="340">
        <f>3+78</f>
        <v>81</v>
      </c>
      <c r="M50" s="2488" t="str">
        <f>TEXT('MYP Assumptions'!F62,"0.00%")&amp;", no rate change"</f>
        <v>0.05%, no rate change</v>
      </c>
      <c r="O50" s="456">
        <f t="shared" si="30"/>
        <v>-1.2345679012345678E-2</v>
      </c>
      <c r="P50" s="340">
        <f>ROUND((P42+P29)*LEFT(Q50,5),0)</f>
        <v>80</v>
      </c>
      <c r="Q50" s="2488" t="str">
        <f>TEXT('MYP Assumptions'!G62,"0.00%")&amp;", no rate change"</f>
        <v>0.05%, no rate change</v>
      </c>
      <c r="R50" s="455"/>
      <c r="S50" s="2238">
        <f t="shared" si="27"/>
        <v>2.5000000000000001E-2</v>
      </c>
      <c r="T50" s="340">
        <f>ROUND((T42+T29)*LEFT(U50,5),0)</f>
        <v>82</v>
      </c>
      <c r="U50" s="455" t="str">
        <f>TEXT('MYP Assumptions'!H62,"0.00%")&amp;", no rate change"</f>
        <v>0.05%, no rate change</v>
      </c>
      <c r="V50" s="2429"/>
      <c r="W50" s="2241" t="e">
        <f t="shared" si="28"/>
        <v>#REF!</v>
      </c>
      <c r="X50" s="340" t="e">
        <f>ROUND((X42+X29)*LEFT(Y50,5),0)</f>
        <v>#REF!</v>
      </c>
      <c r="Y50" s="455" t="str">
        <f>TEXT('MYP Assumptions'!I62,"0.00%")&amp;", no rate change"</f>
        <v>0.05%, no rate change</v>
      </c>
      <c r="AA50" s="456" t="e">
        <f t="shared" si="29"/>
        <v>#REF!</v>
      </c>
      <c r="AB50" s="340" t="e">
        <f>ROUND((AB42+AB29)*LEFT(AC50,5),0)</f>
        <v>#REF!</v>
      </c>
      <c r="AC50" s="455" t="str">
        <f>TEXT('MYP Assumptions'!J62,"0.00%")&amp;", no rate change"</f>
        <v>0.00%, no rate change</v>
      </c>
    </row>
    <row r="51" spans="1:29" s="340" customFormat="1" x14ac:dyDescent="0.25">
      <c r="A51" s="455"/>
      <c r="B51" s="2427" t="s">
        <v>89</v>
      </c>
      <c r="C51" s="2386" t="s">
        <v>82</v>
      </c>
      <c r="D51" s="340">
        <v>0</v>
      </c>
      <c r="E51" s="897" t="str">
        <f>TEXT('MYP Assumptions'!$D$63,"0.00%")&amp;", W/C rate"</f>
        <v>1.10%, W/C rate</v>
      </c>
      <c r="G51" s="456" t="str">
        <f t="shared" si="25"/>
        <v>0.00%</v>
      </c>
      <c r="H51" s="340">
        <f>69+1442</f>
        <v>1511</v>
      </c>
      <c r="I51" s="897" t="str">
        <f>TEXT('MYP Assumptions'!E63,"0.00%")&amp;", no rate change"</f>
        <v>0.80%, no rate change</v>
      </c>
      <c r="J51" s="455"/>
      <c r="K51" s="456">
        <f t="shared" si="26"/>
        <v>-0.16479152878888154</v>
      </c>
      <c r="L51" s="340">
        <f>1210+52</f>
        <v>1262</v>
      </c>
      <c r="M51" s="2488" t="str">
        <f>TEXT('MYP Assumptions'!F63,"0.00%")&amp;", no rate change"</f>
        <v>0.80%, no rate change</v>
      </c>
      <c r="O51" s="456">
        <f t="shared" si="30"/>
        <v>1.9017432646592711E-2</v>
      </c>
      <c r="P51" s="340">
        <f>ROUND((P42+P29)*LEFT(Q51,5),0)</f>
        <v>1286</v>
      </c>
      <c r="Q51" s="2488" t="str">
        <f>TEXT('MYP Assumptions'!G63,"0.00%")&amp;", no rate change"</f>
        <v>0.80%, no rate change</v>
      </c>
      <c r="R51" s="455"/>
      <c r="S51" s="2238">
        <f t="shared" si="27"/>
        <v>1.7107309486780714E-2</v>
      </c>
      <c r="T51" s="340">
        <f>ROUND((T42+T29)*LEFT(U51,5),0)</f>
        <v>1308</v>
      </c>
      <c r="U51" s="455" t="str">
        <f>TEXT('MYP Assumptions'!H63,"0.00%")&amp;", no rate change"</f>
        <v>0.80%, no rate change</v>
      </c>
      <c r="V51" s="2429"/>
      <c r="W51" s="2241" t="e">
        <f t="shared" si="28"/>
        <v>#REF!</v>
      </c>
      <c r="X51" s="340" t="e">
        <f>ROUND((X42+X29)*LEFT(Y51,5),0)</f>
        <v>#REF!</v>
      </c>
      <c r="Y51" s="455" t="str">
        <f>TEXT('MYP Assumptions'!I63,"0.00%")&amp;", no rate change"</f>
        <v>0.80%, no rate change</v>
      </c>
      <c r="AA51" s="456" t="e">
        <f t="shared" si="29"/>
        <v>#REF!</v>
      </c>
      <c r="AB51" s="340" t="e">
        <f>ROUND((AB42+AB29)*LEFT(AC51,5),0)</f>
        <v>#REF!</v>
      </c>
      <c r="AC51" s="455" t="str">
        <f>TEXT('MYP Assumptions'!J63,"0.00%")&amp;", no rate change"</f>
        <v>0.00%, no rate change</v>
      </c>
    </row>
    <row r="52" spans="1:29" s="340" customFormat="1" x14ac:dyDescent="0.25">
      <c r="A52" s="455"/>
      <c r="B52" s="2427" t="s">
        <v>469</v>
      </c>
      <c r="C52" s="2386" t="s">
        <v>470</v>
      </c>
      <c r="D52" s="340">
        <v>0</v>
      </c>
      <c r="E52" s="2386"/>
      <c r="G52" s="456" t="str">
        <f t="shared" si="25"/>
        <v>0.00%</v>
      </c>
      <c r="H52" s="340">
        <v>0</v>
      </c>
      <c r="I52" s="897"/>
      <c r="J52" s="455"/>
      <c r="K52" s="456" t="str">
        <f t="shared" si="26"/>
        <v>0.00%</v>
      </c>
      <c r="L52" s="340">
        <f>H52</f>
        <v>0</v>
      </c>
      <c r="M52" s="2488" t="s">
        <v>165</v>
      </c>
      <c r="O52" s="456" t="str">
        <f t="shared" si="30"/>
        <v>0.00%</v>
      </c>
      <c r="P52" s="340">
        <f>L52</f>
        <v>0</v>
      </c>
      <c r="Q52" s="2488" t="s">
        <v>165</v>
      </c>
      <c r="R52" s="455"/>
      <c r="S52" s="2238" t="str">
        <f t="shared" si="27"/>
        <v>0.00%</v>
      </c>
      <c r="T52" s="340">
        <f>P52</f>
        <v>0</v>
      </c>
      <c r="U52" s="455" t="s">
        <v>165</v>
      </c>
      <c r="V52" s="2429"/>
      <c r="W52" s="2241" t="str">
        <f t="shared" si="28"/>
        <v>0.00%</v>
      </c>
      <c r="X52" s="340">
        <f>T52</f>
        <v>0</v>
      </c>
      <c r="Y52" s="455" t="s">
        <v>165</v>
      </c>
      <c r="AA52" s="456" t="str">
        <f t="shared" si="29"/>
        <v>0.00%</v>
      </c>
      <c r="AB52" s="340">
        <f>X52</f>
        <v>0</v>
      </c>
      <c r="AC52" s="455" t="s">
        <v>165</v>
      </c>
    </row>
    <row r="53" spans="1:29" s="340" customFormat="1" x14ac:dyDescent="0.25">
      <c r="A53" s="455"/>
      <c r="B53" s="2427" t="s">
        <v>91</v>
      </c>
      <c r="C53" s="2386" t="s">
        <v>93</v>
      </c>
      <c r="D53" s="340">
        <v>0</v>
      </c>
      <c r="E53" s="2386"/>
      <c r="G53" s="456" t="str">
        <f t="shared" si="25"/>
        <v>0.00%</v>
      </c>
      <c r="H53" s="340">
        <v>0</v>
      </c>
      <c r="I53" s="897"/>
      <c r="J53" s="455"/>
      <c r="K53" s="456" t="str">
        <f t="shared" si="26"/>
        <v>0.00%</v>
      </c>
      <c r="L53" s="340">
        <f>+H53</f>
        <v>0</v>
      </c>
      <c r="M53" s="2488" t="s">
        <v>173</v>
      </c>
      <c r="O53" s="456" t="str">
        <f t="shared" si="30"/>
        <v>0.00%</v>
      </c>
      <c r="P53" s="340">
        <f>+L53</f>
        <v>0</v>
      </c>
      <c r="Q53" s="2488" t="s">
        <v>173</v>
      </c>
      <c r="R53" s="455"/>
      <c r="S53" s="2238"/>
      <c r="T53" s="340">
        <f>P53</f>
        <v>0</v>
      </c>
      <c r="U53" s="455" t="s">
        <v>165</v>
      </c>
      <c r="V53" s="2429"/>
      <c r="W53" s="2241"/>
      <c r="Y53" s="455"/>
      <c r="AA53" s="456"/>
      <c r="AC53" s="455"/>
    </row>
    <row r="54" spans="1:29" s="340" customFormat="1" x14ac:dyDescent="0.25">
      <c r="A54" s="459"/>
      <c r="B54" s="2427"/>
      <c r="C54" s="2386"/>
      <c r="D54" s="458">
        <f>SUM(D45:D53)</f>
        <v>0</v>
      </c>
      <c r="E54" s="2386"/>
      <c r="G54" s="456" t="str">
        <f t="shared" si="25"/>
        <v>0.00%</v>
      </c>
      <c r="H54" s="458">
        <f>SUM(H45:H53)</f>
        <v>47238</v>
      </c>
      <c r="I54" s="2316">
        <f>+H54-D54</f>
        <v>47238</v>
      </c>
      <c r="J54" s="459"/>
      <c r="K54" s="456">
        <f t="shared" si="26"/>
        <v>8.5206825013760104E-2</v>
      </c>
      <c r="L54" s="458">
        <f>SUM(L45:L53)</f>
        <v>51263</v>
      </c>
      <c r="M54" s="2316">
        <f>+L54-H54</f>
        <v>4025</v>
      </c>
      <c r="O54" s="456">
        <f t="shared" si="30"/>
        <v>0.14238339543140277</v>
      </c>
      <c r="P54" s="458">
        <f>SUM(P45:P53)</f>
        <v>58562</v>
      </c>
      <c r="Q54" s="2316">
        <f>+P54-L54</f>
        <v>7299</v>
      </c>
      <c r="R54" s="455"/>
      <c r="S54" s="2238">
        <f t="shared" si="27"/>
        <v>9.9808749701171415E-2</v>
      </c>
      <c r="T54" s="458">
        <f>SUM(T45:T53)</f>
        <v>64407</v>
      </c>
      <c r="U54" s="2370"/>
      <c r="V54" s="2429"/>
      <c r="W54" s="2241" t="e">
        <f t="shared" si="28"/>
        <v>#REF!</v>
      </c>
      <c r="X54" s="458" t="e">
        <f>SUM(X45:X53)</f>
        <v>#REF!</v>
      </c>
      <c r="Y54" s="2370"/>
      <c r="AA54" s="456" t="e">
        <f t="shared" si="29"/>
        <v>#REF!</v>
      </c>
      <c r="AB54" s="458" t="e">
        <f>SUM(AB45:AB53)</f>
        <v>#REF!</v>
      </c>
      <c r="AC54" s="2370"/>
    </row>
    <row r="55" spans="1:29" s="340" customFormat="1" x14ac:dyDescent="0.25">
      <c r="A55" s="460"/>
      <c r="B55" s="2427"/>
      <c r="C55" s="2386"/>
      <c r="E55" s="2386"/>
      <c r="G55" s="2338"/>
      <c r="I55" s="897"/>
      <c r="J55" s="455"/>
      <c r="K55" s="1668"/>
      <c r="M55" s="2340"/>
      <c r="O55" s="1668"/>
      <c r="Q55" s="2340"/>
      <c r="R55" s="455"/>
      <c r="S55" s="2341"/>
      <c r="U55" s="2370"/>
      <c r="V55" s="2429"/>
      <c r="W55" s="2343"/>
      <c r="Y55" s="2370"/>
      <c r="AA55" s="1668"/>
      <c r="AC55" s="2370"/>
    </row>
    <row r="56" spans="1:29" s="340" customFormat="1" x14ac:dyDescent="0.25">
      <c r="A56" s="459"/>
      <c r="B56" s="2511" t="s">
        <v>26</v>
      </c>
      <c r="C56" s="2386"/>
      <c r="D56" s="458">
        <f>SUM(D54,D42,D29)</f>
        <v>0</v>
      </c>
      <c r="E56" s="2386"/>
      <c r="G56" s="456" t="str">
        <f>IF(D56=0,"0.00%",(H56-D56)/D56)</f>
        <v>0.00%</v>
      </c>
      <c r="H56" s="458">
        <f>SUM(H54,H42,H29)</f>
        <v>207921</v>
      </c>
      <c r="I56" s="2316">
        <f>+H56-D56</f>
        <v>207921</v>
      </c>
      <c r="J56" s="459"/>
      <c r="K56" s="456">
        <f>IF(H56=0,"0.00%",(L56-H56)/H56)</f>
        <v>6.3678031560063676E-3</v>
      </c>
      <c r="L56" s="458">
        <f>SUM(L54,L42,L29)</f>
        <v>209245</v>
      </c>
      <c r="M56" s="2316">
        <f>+L56-H56</f>
        <v>1324</v>
      </c>
      <c r="O56" s="456">
        <f>IF(L56=0,"0.00%",(P56-L56)/L56)</f>
        <v>4.8101507801859067E-2</v>
      </c>
      <c r="P56" s="458">
        <f>SUM(P54,P42,P29)</f>
        <v>219310</v>
      </c>
      <c r="Q56" s="2316">
        <f>+P56-L56</f>
        <v>10065</v>
      </c>
      <c r="R56" s="455"/>
      <c r="S56" s="2238">
        <f>IF(P56=0,"0.00%",(T56-P56)/P56)</f>
        <v>3.9473804204094659E-2</v>
      </c>
      <c r="T56" s="458">
        <f>SUM(T54,T42,T29)</f>
        <v>227967</v>
      </c>
      <c r="U56" s="2370"/>
      <c r="V56" s="2429"/>
      <c r="W56" s="2241" t="e">
        <f>IF(T56=0,"0.00%",(X56-T56)/T56)</f>
        <v>#REF!</v>
      </c>
      <c r="X56" s="458" t="e">
        <f>SUM(X54,X42,X29)</f>
        <v>#REF!</v>
      </c>
      <c r="Y56" s="2370"/>
      <c r="AA56" s="456" t="e">
        <f>IF(X56=0,"0.00%",(AB56-X56)/X56)</f>
        <v>#REF!</v>
      </c>
      <c r="AB56" s="458" t="e">
        <f>SUM(AB54,AB42,AB29)</f>
        <v>#REF!</v>
      </c>
      <c r="AC56" s="2370"/>
    </row>
    <row r="57" spans="1:29" s="340" customFormat="1" x14ac:dyDescent="0.25">
      <c r="A57" s="455"/>
      <c r="B57" s="2512"/>
      <c r="C57" s="2386"/>
      <c r="E57" s="2386"/>
      <c r="G57" s="2338"/>
      <c r="I57" s="897"/>
      <c r="J57" s="455"/>
      <c r="K57" s="1668"/>
      <c r="M57" s="2340"/>
      <c r="O57" s="1668"/>
      <c r="Q57" s="2340"/>
      <c r="R57" s="455"/>
      <c r="S57" s="2341"/>
      <c r="U57" s="2370"/>
      <c r="V57" s="2429"/>
      <c r="W57" s="2343"/>
      <c r="Y57" s="2370"/>
      <c r="AA57" s="1668"/>
      <c r="AC57" s="2370"/>
    </row>
    <row r="58" spans="1:29" s="340" customFormat="1" x14ac:dyDescent="0.25">
      <c r="A58" s="455"/>
      <c r="B58" s="2512"/>
      <c r="C58" s="2386"/>
      <c r="E58" s="2386"/>
      <c r="G58" s="2338"/>
      <c r="I58" s="897"/>
      <c r="J58" s="455"/>
      <c r="K58" s="1668"/>
      <c r="M58" s="2340"/>
      <c r="N58" s="456"/>
      <c r="O58" s="1668"/>
      <c r="Q58" s="2340"/>
      <c r="R58" s="455"/>
      <c r="S58" s="2341"/>
      <c r="U58" s="2370"/>
      <c r="V58" s="2429"/>
      <c r="W58" s="2343"/>
      <c r="Y58" s="2370"/>
      <c r="AA58" s="1668"/>
      <c r="AC58" s="2370"/>
    </row>
    <row r="59" spans="1:29" s="340" customFormat="1" x14ac:dyDescent="0.25">
      <c r="A59" s="455"/>
      <c r="B59" s="2516" t="s">
        <v>25</v>
      </c>
      <c r="C59" s="868" t="s">
        <v>947</v>
      </c>
      <c r="D59" s="2497"/>
      <c r="E59" s="2386"/>
      <c r="G59" s="2338"/>
      <c r="H59" s="606"/>
      <c r="I59" s="897"/>
      <c r="J59" s="455"/>
      <c r="K59" s="1668"/>
      <c r="L59" s="606"/>
      <c r="M59" s="2488"/>
      <c r="O59" s="1668"/>
      <c r="P59" s="606"/>
      <c r="Q59" s="2488"/>
      <c r="R59" s="455"/>
      <c r="S59" s="2341"/>
      <c r="U59" s="2370"/>
      <c r="V59" s="2429"/>
      <c r="W59" s="2343"/>
      <c r="Y59" s="2370"/>
      <c r="AA59" s="1668"/>
      <c r="AC59" s="2370"/>
    </row>
    <row r="60" spans="1:29" s="340" customFormat="1" x14ac:dyDescent="0.25">
      <c r="A60" s="455"/>
      <c r="B60" s="2427">
        <v>4353</v>
      </c>
      <c r="C60" s="2386" t="s">
        <v>982</v>
      </c>
      <c r="D60" s="340">
        <v>0</v>
      </c>
      <c r="E60" s="2386"/>
      <c r="G60" s="456" t="str">
        <f t="shared" ref="G60:G70" si="31">IF(D60=0,"0.00%",(H60-D60)/D60)</f>
        <v>0.00%</v>
      </c>
      <c r="H60" s="340">
        <v>610</v>
      </c>
      <c r="I60" s="897"/>
      <c r="J60" s="455"/>
      <c r="K60" s="456">
        <f t="shared" ref="K60:K70" si="32">IF(H60=0,"0.00%",(L60-H60)/H60)</f>
        <v>0</v>
      </c>
      <c r="L60" s="340">
        <f>+H60</f>
        <v>610</v>
      </c>
      <c r="M60" s="2488"/>
      <c r="O60" s="456">
        <f t="shared" ref="O60:O70" si="33">IF(L60=0,"0.00%",(P60-L60)/L60)</f>
        <v>0</v>
      </c>
      <c r="P60" s="340">
        <f>+(1-$P$59)*L60</f>
        <v>610</v>
      </c>
      <c r="Q60" s="2488"/>
      <c r="R60" s="455"/>
      <c r="S60" s="2238">
        <f t="shared" ref="S60:S70" si="34">IF(P60=0,"0.00%",(T60-P60)/P60)</f>
        <v>0</v>
      </c>
      <c r="T60" s="340">
        <f>P60</f>
        <v>610</v>
      </c>
      <c r="U60" s="455"/>
      <c r="V60" s="2429"/>
      <c r="W60" s="2241">
        <f t="shared" ref="W60:W70" si="35">IF(T60=0,"0.00%",(X60-T60)/T60)</f>
        <v>2.7868852459016394E-2</v>
      </c>
      <c r="X60" s="340">
        <f>ROUND(T60*(LEFT(Y60,5)+1),0)</f>
        <v>627</v>
      </c>
      <c r="Y60" s="455" t="str">
        <f>TEXT('MYP Assumptions'!I78,"0.00%")&amp;", CPI"</f>
        <v>2.73%, CPI</v>
      </c>
      <c r="AA60" s="456">
        <f t="shared" ref="AA60:AA70" si="36">IF(X60=0,"0.00%",(AB60-X60)/X60)</f>
        <v>2.7113237639553429E-2</v>
      </c>
      <c r="AB60" s="340">
        <f>ROUND(X60*(LEFT(AC60,5)+1),0)</f>
        <v>644</v>
      </c>
      <c r="AC60" s="455" t="str">
        <f>TEXT('MYP Assumptions'!J78,"0.00%")&amp;", CPI"</f>
        <v>2.73%, CPI</v>
      </c>
    </row>
    <row r="61" spans="1:29" s="340" customFormat="1" x14ac:dyDescent="0.25">
      <c r="A61" s="455"/>
      <c r="B61" s="2427"/>
      <c r="C61" s="2386"/>
      <c r="D61" s="340">
        <v>0</v>
      </c>
      <c r="E61" s="2386"/>
      <c r="G61" s="456" t="str">
        <f t="shared" si="31"/>
        <v>0.00%</v>
      </c>
      <c r="H61" s="340">
        <v>0</v>
      </c>
      <c r="I61" s="897"/>
      <c r="J61" s="455"/>
      <c r="K61" s="456" t="str">
        <f t="shared" si="32"/>
        <v>0.00%</v>
      </c>
      <c r="L61" s="340">
        <v>0</v>
      </c>
      <c r="M61" s="2488"/>
      <c r="O61" s="456" t="str">
        <f t="shared" si="33"/>
        <v>0.00%</v>
      </c>
      <c r="P61" s="340">
        <f t="shared" ref="P61:P65" si="37">+(1-$P$59)*L61</f>
        <v>0</v>
      </c>
      <c r="Q61" s="2488"/>
      <c r="R61" s="455"/>
      <c r="S61" s="2238" t="str">
        <f t="shared" si="34"/>
        <v>0.00%</v>
      </c>
      <c r="T61" s="340">
        <v>0</v>
      </c>
      <c r="U61" s="455"/>
      <c r="V61" s="2429"/>
      <c r="W61" s="2241" t="str">
        <f t="shared" si="35"/>
        <v>0.00%</v>
      </c>
      <c r="X61" s="340">
        <f t="shared" ref="X61:X69" si="38">ROUND(T61*(LEFT(Y61,5)+1),0)</f>
        <v>0</v>
      </c>
      <c r="Y61" s="455" t="str">
        <f>TEXT('MYP Assumptions'!I78,"0.00%")&amp;", CPI"</f>
        <v>2.73%, CPI</v>
      </c>
      <c r="AA61" s="456" t="str">
        <f t="shared" si="36"/>
        <v>0.00%</v>
      </c>
      <c r="AB61" s="340">
        <f t="shared" ref="AB61:AB69" si="39">ROUND(X61*(LEFT(AC61,5)+1),0)</f>
        <v>0</v>
      </c>
      <c r="AC61" s="455" t="str">
        <f>TEXT('MYP Assumptions'!J78,"0.00%")&amp;", CPI"</f>
        <v>2.73%, CPI</v>
      </c>
    </row>
    <row r="62" spans="1:29" s="340" customFormat="1" hidden="1" x14ac:dyDescent="0.25">
      <c r="A62" s="455"/>
      <c r="B62" s="2427"/>
      <c r="C62" s="2386"/>
      <c r="D62" s="340">
        <v>0</v>
      </c>
      <c r="E62" s="2386"/>
      <c r="G62" s="456" t="str">
        <f t="shared" si="31"/>
        <v>0.00%</v>
      </c>
      <c r="H62" s="340">
        <v>0</v>
      </c>
      <c r="I62" s="897"/>
      <c r="J62" s="455"/>
      <c r="K62" s="456" t="str">
        <f t="shared" si="32"/>
        <v>0.00%</v>
      </c>
      <c r="L62" s="340">
        <v>0</v>
      </c>
      <c r="M62" s="2488"/>
      <c r="O62" s="456" t="str">
        <f t="shared" si="33"/>
        <v>0.00%</v>
      </c>
      <c r="P62" s="340">
        <f t="shared" si="37"/>
        <v>0</v>
      </c>
      <c r="Q62" s="2488"/>
      <c r="R62" s="455"/>
      <c r="S62" s="2238" t="str">
        <f t="shared" si="34"/>
        <v>0.00%</v>
      </c>
      <c r="T62" s="340">
        <f t="shared" ref="T62:T69" si="40">ROUND(P62*(LEFT(U62,5)+1),0)</f>
        <v>0</v>
      </c>
      <c r="U62" s="455" t="str">
        <f>TEXT('MYP Assumptions'!H78,"0.00%")&amp;", CPI"</f>
        <v>3.23%, CPI</v>
      </c>
      <c r="V62" s="2429"/>
      <c r="W62" s="2241" t="str">
        <f t="shared" si="35"/>
        <v>0.00%</v>
      </c>
      <c r="X62" s="340">
        <f t="shared" si="38"/>
        <v>0</v>
      </c>
      <c r="Y62" s="455" t="str">
        <f>TEXT('MYP Assumptions'!I78,"0.00%")&amp;", CPI"</f>
        <v>2.73%, CPI</v>
      </c>
      <c r="AA62" s="456" t="str">
        <f t="shared" si="36"/>
        <v>0.00%</v>
      </c>
      <c r="AB62" s="340">
        <f t="shared" si="39"/>
        <v>0</v>
      </c>
      <c r="AC62" s="455" t="str">
        <f>TEXT('MYP Assumptions'!J78,"0.00%")&amp;", CPI"</f>
        <v>2.73%, CPI</v>
      </c>
    </row>
    <row r="63" spans="1:29" s="340" customFormat="1" hidden="1" x14ac:dyDescent="0.25">
      <c r="A63" s="455"/>
      <c r="B63" s="2427"/>
      <c r="C63" s="2386"/>
      <c r="D63" s="340">
        <v>0</v>
      </c>
      <c r="E63" s="2386"/>
      <c r="G63" s="456" t="str">
        <f t="shared" si="31"/>
        <v>0.00%</v>
      </c>
      <c r="H63" s="340">
        <v>0</v>
      </c>
      <c r="I63" s="897"/>
      <c r="J63" s="455"/>
      <c r="K63" s="456" t="str">
        <f t="shared" si="32"/>
        <v>0.00%</v>
      </c>
      <c r="L63" s="340">
        <v>0</v>
      </c>
      <c r="M63" s="2488"/>
      <c r="O63" s="456" t="str">
        <f t="shared" si="33"/>
        <v>0.00%</v>
      </c>
      <c r="P63" s="340">
        <f t="shared" si="37"/>
        <v>0</v>
      </c>
      <c r="Q63" s="2488"/>
      <c r="R63" s="455"/>
      <c r="S63" s="2238" t="str">
        <f t="shared" si="34"/>
        <v>0.00%</v>
      </c>
      <c r="T63" s="340">
        <f t="shared" si="40"/>
        <v>0</v>
      </c>
      <c r="U63" s="455" t="str">
        <f>TEXT('MYP Assumptions'!H78,"0.00%")&amp;", CPI"</f>
        <v>3.23%, CPI</v>
      </c>
      <c r="V63" s="2429"/>
      <c r="W63" s="2241" t="str">
        <f t="shared" si="35"/>
        <v>0.00%</v>
      </c>
      <c r="X63" s="340">
        <f t="shared" si="38"/>
        <v>0</v>
      </c>
      <c r="Y63" s="455" t="str">
        <f>TEXT('MYP Assumptions'!I78,"0.00%")&amp;", CPI"</f>
        <v>2.73%, CPI</v>
      </c>
      <c r="AA63" s="456" t="str">
        <f t="shared" si="36"/>
        <v>0.00%</v>
      </c>
      <c r="AB63" s="340">
        <f t="shared" si="39"/>
        <v>0</v>
      </c>
      <c r="AC63" s="455" t="str">
        <f>TEXT('MYP Assumptions'!J78,"0.00%")&amp;", CPI"</f>
        <v>2.73%, CPI</v>
      </c>
    </row>
    <row r="64" spans="1:29" s="340" customFormat="1" hidden="1" x14ac:dyDescent="0.25">
      <c r="A64" s="455"/>
      <c r="B64" s="2427"/>
      <c r="C64" s="2386"/>
      <c r="D64" s="340">
        <v>0</v>
      </c>
      <c r="E64" s="2386"/>
      <c r="G64" s="456" t="str">
        <f t="shared" si="31"/>
        <v>0.00%</v>
      </c>
      <c r="H64" s="340">
        <v>0</v>
      </c>
      <c r="I64" s="897"/>
      <c r="J64" s="455"/>
      <c r="K64" s="456" t="str">
        <f t="shared" si="32"/>
        <v>0.00%</v>
      </c>
      <c r="L64" s="340">
        <v>0</v>
      </c>
      <c r="M64" s="2488"/>
      <c r="O64" s="456" t="str">
        <f t="shared" si="33"/>
        <v>0.00%</v>
      </c>
      <c r="P64" s="340">
        <f t="shared" si="37"/>
        <v>0</v>
      </c>
      <c r="Q64" s="2488"/>
      <c r="R64" s="455"/>
      <c r="S64" s="2238" t="str">
        <f t="shared" si="34"/>
        <v>0.00%</v>
      </c>
      <c r="T64" s="340">
        <f t="shared" si="40"/>
        <v>0</v>
      </c>
      <c r="U64" s="455" t="str">
        <f>TEXT('MYP Assumptions'!H78,"0.00%")&amp;", CPI"</f>
        <v>3.23%, CPI</v>
      </c>
      <c r="V64" s="2429"/>
      <c r="W64" s="2241" t="str">
        <f t="shared" si="35"/>
        <v>0.00%</v>
      </c>
      <c r="X64" s="340">
        <f t="shared" si="38"/>
        <v>0</v>
      </c>
      <c r="Y64" s="455" t="str">
        <f>TEXT('MYP Assumptions'!I78,"0.00%")&amp;", CPI"</f>
        <v>2.73%, CPI</v>
      </c>
      <c r="AA64" s="456" t="str">
        <f t="shared" si="36"/>
        <v>0.00%</v>
      </c>
      <c r="AB64" s="340">
        <f t="shared" si="39"/>
        <v>0</v>
      </c>
      <c r="AC64" s="455" t="str">
        <f>TEXT('MYP Assumptions'!J78,"0.00%")&amp;", CPI"</f>
        <v>2.73%, CPI</v>
      </c>
    </row>
    <row r="65" spans="1:29" s="340" customFormat="1" hidden="1" x14ac:dyDescent="0.25">
      <c r="A65" s="455"/>
      <c r="B65" s="2427"/>
      <c r="C65" s="2386"/>
      <c r="D65" s="340">
        <v>0</v>
      </c>
      <c r="E65" s="2386"/>
      <c r="G65" s="456" t="str">
        <f t="shared" si="31"/>
        <v>0.00%</v>
      </c>
      <c r="H65" s="340">
        <v>0</v>
      </c>
      <c r="I65" s="897"/>
      <c r="J65" s="455"/>
      <c r="K65" s="456" t="str">
        <f t="shared" si="32"/>
        <v>0.00%</v>
      </c>
      <c r="L65" s="340">
        <f t="shared" ref="L65" si="41">+(1-$L$59)*H65</f>
        <v>0</v>
      </c>
      <c r="M65" s="2488"/>
      <c r="O65" s="456" t="str">
        <f t="shared" si="33"/>
        <v>0.00%</v>
      </c>
      <c r="P65" s="340">
        <f t="shared" si="37"/>
        <v>0</v>
      </c>
      <c r="Q65" s="2488"/>
      <c r="R65" s="455"/>
      <c r="S65" s="2238" t="str">
        <f t="shared" si="34"/>
        <v>0.00%</v>
      </c>
      <c r="T65" s="340">
        <f t="shared" si="40"/>
        <v>0</v>
      </c>
      <c r="U65" s="455" t="str">
        <f>TEXT('MYP Assumptions'!H78,"0.00%")&amp;", CPI"</f>
        <v>3.23%, CPI</v>
      </c>
      <c r="V65" s="2429"/>
      <c r="W65" s="2241" t="str">
        <f t="shared" si="35"/>
        <v>0.00%</v>
      </c>
      <c r="X65" s="340">
        <f t="shared" si="38"/>
        <v>0</v>
      </c>
      <c r="Y65" s="455" t="str">
        <f>TEXT('MYP Assumptions'!I78,"0.00%")&amp;", CPI"</f>
        <v>2.73%, CPI</v>
      </c>
      <c r="AA65" s="456" t="str">
        <f t="shared" si="36"/>
        <v>0.00%</v>
      </c>
      <c r="AB65" s="340">
        <f t="shared" si="39"/>
        <v>0</v>
      </c>
      <c r="AC65" s="455" t="str">
        <f>TEXT('MYP Assumptions'!J78,"0.00%")&amp;", CPI"</f>
        <v>2.73%, CPI</v>
      </c>
    </row>
    <row r="66" spans="1:29" s="340" customFormat="1" hidden="1" x14ac:dyDescent="0.25">
      <c r="A66" s="455"/>
      <c r="B66" s="2427"/>
      <c r="C66" s="2386"/>
      <c r="D66" s="340">
        <v>0</v>
      </c>
      <c r="E66" s="2386"/>
      <c r="G66" s="456"/>
      <c r="I66" s="897"/>
      <c r="J66" s="455"/>
      <c r="K66" s="456"/>
      <c r="M66" s="2488"/>
      <c r="O66" s="456"/>
      <c r="Q66" s="2488"/>
      <c r="R66" s="455"/>
      <c r="S66" s="2238"/>
      <c r="U66" s="455"/>
      <c r="V66" s="2429"/>
      <c r="W66" s="2241"/>
      <c r="Y66" s="455"/>
      <c r="AA66" s="456"/>
      <c r="AC66" s="455"/>
    </row>
    <row r="67" spans="1:29" s="340" customFormat="1" hidden="1" x14ac:dyDescent="0.25">
      <c r="A67" s="455"/>
      <c r="B67" s="2427"/>
      <c r="C67" s="2386"/>
      <c r="D67" s="340">
        <v>0</v>
      </c>
      <c r="E67" s="2386"/>
      <c r="G67" s="456" t="str">
        <f t="shared" si="31"/>
        <v>0.00%</v>
      </c>
      <c r="H67" s="340">
        <f t="shared" ref="H67:H69" si="42">ROUND(D67*(LEFT(I67,5)+1),0)</f>
        <v>0</v>
      </c>
      <c r="I67" s="897" t="str">
        <f>TEXT('MYP Assumptions'!$E$78,"0.00%")&amp;", CPI"</f>
        <v>3.37%, CPI</v>
      </c>
      <c r="J67" s="455"/>
      <c r="K67" s="456" t="str">
        <f t="shared" si="32"/>
        <v>0.00%</v>
      </c>
      <c r="L67" s="340">
        <f t="shared" ref="L67:L69" si="43">+(1-L66)*H67</f>
        <v>0</v>
      </c>
      <c r="M67" s="2488" t="str">
        <f t="shared" ref="M67:M69" si="44">TEXT($L$59,"0.00%")&amp;"   reduction"</f>
        <v>0.00%   reduction</v>
      </c>
      <c r="O67" s="456" t="str">
        <f t="shared" si="33"/>
        <v>0.00%</v>
      </c>
      <c r="P67" s="340">
        <f t="shared" ref="P67:P69" si="45">ROUND(L67*(LEFT(Q67,5)+1),0)</f>
        <v>0</v>
      </c>
      <c r="Q67" s="2488" t="str">
        <f>TEXT('MYP Assumptions'!$G$78,"0.00%")&amp;", CPI"</f>
        <v>3.36%, CPI</v>
      </c>
      <c r="R67" s="455"/>
      <c r="S67" s="2238"/>
      <c r="U67" s="455"/>
      <c r="V67" s="2429"/>
      <c r="W67" s="2241"/>
      <c r="Y67" s="455"/>
      <c r="AA67" s="456"/>
      <c r="AC67" s="455"/>
    </row>
    <row r="68" spans="1:29" s="340" customFormat="1" hidden="1" x14ac:dyDescent="0.25">
      <c r="A68" s="455"/>
      <c r="B68" s="2427"/>
      <c r="C68" s="2386"/>
      <c r="E68" s="2386"/>
      <c r="G68" s="456" t="str">
        <f t="shared" si="31"/>
        <v>0.00%</v>
      </c>
      <c r="H68" s="340">
        <f t="shared" si="42"/>
        <v>0</v>
      </c>
      <c r="I68" s="897" t="str">
        <f>TEXT('MYP Assumptions'!$E$78,"0.00%")&amp;", CPI"</f>
        <v>3.37%, CPI</v>
      </c>
      <c r="J68" s="455"/>
      <c r="K68" s="456" t="str">
        <f t="shared" si="32"/>
        <v>0.00%</v>
      </c>
      <c r="L68" s="340">
        <f t="shared" si="43"/>
        <v>0</v>
      </c>
      <c r="M68" s="2488" t="str">
        <f t="shared" si="44"/>
        <v>0.00%   reduction</v>
      </c>
      <c r="O68" s="456" t="str">
        <f t="shared" si="33"/>
        <v>0.00%</v>
      </c>
      <c r="P68" s="340">
        <f t="shared" si="45"/>
        <v>0</v>
      </c>
      <c r="Q68" s="2488" t="str">
        <f>TEXT('MYP Assumptions'!$G$78,"0.00%")&amp;", CPI"</f>
        <v>3.36%, CPI</v>
      </c>
      <c r="R68" s="455"/>
      <c r="S68" s="2238"/>
      <c r="U68" s="455"/>
      <c r="V68" s="2429"/>
      <c r="W68" s="2241"/>
      <c r="Y68" s="455"/>
      <c r="AA68" s="456"/>
      <c r="AC68" s="455"/>
    </row>
    <row r="69" spans="1:29" s="340" customFormat="1" hidden="1" x14ac:dyDescent="0.25">
      <c r="A69" s="455"/>
      <c r="B69" s="2427"/>
      <c r="C69" s="2386"/>
      <c r="E69" s="2386"/>
      <c r="G69" s="456" t="str">
        <f t="shared" si="31"/>
        <v>0.00%</v>
      </c>
      <c r="H69" s="340">
        <f t="shared" si="42"/>
        <v>0</v>
      </c>
      <c r="I69" s="897" t="str">
        <f>TEXT('MYP Assumptions'!$E$78,"0.00%")&amp;", CPI"</f>
        <v>3.37%, CPI</v>
      </c>
      <c r="J69" s="455"/>
      <c r="K69" s="456" t="str">
        <f t="shared" si="32"/>
        <v>0.00%</v>
      </c>
      <c r="L69" s="340">
        <f t="shared" si="43"/>
        <v>0</v>
      </c>
      <c r="M69" s="2488" t="str">
        <f t="shared" si="44"/>
        <v>0.00%   reduction</v>
      </c>
      <c r="O69" s="456" t="str">
        <f t="shared" si="33"/>
        <v>0.00%</v>
      </c>
      <c r="P69" s="340">
        <f t="shared" si="45"/>
        <v>0</v>
      </c>
      <c r="Q69" s="2488" t="str">
        <f>TEXT('MYP Assumptions'!$G$78,"0.00%")&amp;", CPI"</f>
        <v>3.36%, CPI</v>
      </c>
      <c r="R69" s="455"/>
      <c r="S69" s="2238" t="str">
        <f t="shared" si="34"/>
        <v>0.00%</v>
      </c>
      <c r="T69" s="340">
        <f t="shared" si="40"/>
        <v>0</v>
      </c>
      <c r="U69" s="455" t="str">
        <f>TEXT('MYP Assumptions'!H78,"0.00%")&amp;", CPI"</f>
        <v>3.23%, CPI</v>
      </c>
      <c r="V69" s="2429"/>
      <c r="W69" s="2241" t="str">
        <f t="shared" si="35"/>
        <v>0.00%</v>
      </c>
      <c r="X69" s="340">
        <f t="shared" si="38"/>
        <v>0</v>
      </c>
      <c r="Y69" s="455" t="str">
        <f>TEXT('MYP Assumptions'!I78,"0.00%")&amp;", CPI"</f>
        <v>2.73%, CPI</v>
      </c>
      <c r="AA69" s="456" t="str">
        <f t="shared" si="36"/>
        <v>0.00%</v>
      </c>
      <c r="AB69" s="340">
        <f t="shared" si="39"/>
        <v>0</v>
      </c>
      <c r="AC69" s="455" t="str">
        <f>TEXT('MYP Assumptions'!J78,"0.00%")&amp;", CPI"</f>
        <v>2.73%, CPI</v>
      </c>
    </row>
    <row r="70" spans="1:29" s="340" customFormat="1" x14ac:dyDescent="0.25">
      <c r="A70" s="459"/>
      <c r="B70" s="2517"/>
      <c r="C70" s="2386"/>
      <c r="D70" s="458">
        <f>SUM(D60:D69)</f>
        <v>0</v>
      </c>
      <c r="E70" s="2386"/>
      <c r="G70" s="456" t="str">
        <f t="shared" si="31"/>
        <v>0.00%</v>
      </c>
      <c r="H70" s="458">
        <f>SUM(H60:H69)</f>
        <v>610</v>
      </c>
      <c r="I70" s="2316">
        <f>+H70-D70</f>
        <v>610</v>
      </c>
      <c r="J70" s="459"/>
      <c r="K70" s="456">
        <f t="shared" si="32"/>
        <v>0</v>
      </c>
      <c r="L70" s="458">
        <f>SUM(L60:L69)</f>
        <v>610</v>
      </c>
      <c r="M70" s="2316">
        <f>+L70-H70</f>
        <v>0</v>
      </c>
      <c r="O70" s="456">
        <f t="shared" si="33"/>
        <v>0</v>
      </c>
      <c r="P70" s="458">
        <f>SUM(P60:P69)</f>
        <v>610</v>
      </c>
      <c r="Q70" s="2316">
        <f>+P70-L70</f>
        <v>0</v>
      </c>
      <c r="R70" s="455"/>
      <c r="S70" s="2238">
        <f t="shared" si="34"/>
        <v>0</v>
      </c>
      <c r="T70" s="458">
        <f>SUM(T60:T69)</f>
        <v>610</v>
      </c>
      <c r="U70" s="2370"/>
      <c r="V70" s="2429"/>
      <c r="W70" s="2241">
        <f t="shared" si="35"/>
        <v>2.7868852459016394E-2</v>
      </c>
      <c r="X70" s="458">
        <f>SUM(X60:X69)</f>
        <v>627</v>
      </c>
      <c r="Y70" s="2370"/>
      <c r="AA70" s="456">
        <f t="shared" si="36"/>
        <v>2.7113237639553429E-2</v>
      </c>
      <c r="AB70" s="458">
        <f>SUM(AB60:AB69)</f>
        <v>644</v>
      </c>
      <c r="AC70" s="2370"/>
    </row>
    <row r="71" spans="1:29" s="340" customFormat="1" x14ac:dyDescent="0.25">
      <c r="A71" s="455"/>
      <c r="B71" s="2512"/>
      <c r="C71" s="2386"/>
      <c r="E71" s="2386"/>
      <c r="G71" s="2338"/>
      <c r="I71" s="897"/>
      <c r="J71" s="455"/>
      <c r="K71" s="1668"/>
      <c r="M71" s="2340"/>
      <c r="O71" s="1668"/>
      <c r="Q71" s="2340"/>
      <c r="R71" s="455"/>
      <c r="S71" s="2341"/>
      <c r="U71" s="2370"/>
      <c r="V71" s="2429"/>
      <c r="W71" s="2343"/>
      <c r="Y71" s="2370"/>
      <c r="AA71" s="1668"/>
      <c r="AC71" s="2370"/>
    </row>
    <row r="72" spans="1:29" s="460" customFormat="1" x14ac:dyDescent="0.25">
      <c r="B72" s="2511" t="s">
        <v>16</v>
      </c>
      <c r="C72" s="868"/>
      <c r="E72" s="868"/>
      <c r="G72" s="2389"/>
      <c r="I72" s="868"/>
      <c r="K72" s="1669"/>
      <c r="M72" s="2390"/>
      <c r="O72" s="1669"/>
      <c r="Q72" s="2390"/>
      <c r="S72" s="1669"/>
      <c r="U72" s="2498"/>
      <c r="V72" s="2492"/>
      <c r="W72" s="2382"/>
      <c r="Y72" s="2498"/>
      <c r="AA72" s="1669"/>
      <c r="AC72" s="2498"/>
    </row>
    <row r="73" spans="1:29" s="340" customFormat="1" x14ac:dyDescent="0.25">
      <c r="A73" s="455"/>
      <c r="B73" s="2427" t="s">
        <v>983</v>
      </c>
      <c r="C73" s="2386"/>
      <c r="D73" s="340">
        <v>0</v>
      </c>
      <c r="E73" s="2386"/>
      <c r="G73" s="456" t="str">
        <f t="shared" ref="G73:G78" si="46">IF(D73=0,"0.00%",(H73-D73)/D73)</f>
        <v>0.00%</v>
      </c>
      <c r="H73" s="340">
        <v>0</v>
      </c>
      <c r="I73" s="897"/>
      <c r="J73" s="455"/>
      <c r="K73" s="456" t="str">
        <f t="shared" ref="K73:K83" si="47">IF(H73=0,"0.00%",(L73-H73)/H73)</f>
        <v>0.00%</v>
      </c>
      <c r="L73" s="340">
        <v>0</v>
      </c>
      <c r="M73" s="2488" t="str">
        <f>TEXT('MYP Assumptions'!$F$78,"0.00%")&amp;", CPI"</f>
        <v>3.58%, CPI</v>
      </c>
      <c r="O73" s="456" t="str">
        <f t="shared" ref="O73:O83" si="48">IF(L73=0,"0.00%",(P73-L73)/L73)</f>
        <v>0.00%</v>
      </c>
      <c r="P73" s="340">
        <f>+L73</f>
        <v>0</v>
      </c>
      <c r="Q73" s="2488" t="str">
        <f>TEXT('MYP Assumptions'!$G$78,"0.00%")&amp;", CPI"</f>
        <v>3.36%, CPI</v>
      </c>
      <c r="R73" s="455"/>
      <c r="S73" s="2238" t="str">
        <f t="shared" ref="S73:S83" si="49">IF(P73=0,"0.00%",(T73-P73)/P73)</f>
        <v>0.00%</v>
      </c>
      <c r="T73" s="340">
        <f>ROUND(P73*(LEFT(U73,5)+1),0)</f>
        <v>0</v>
      </c>
      <c r="U73" s="455" t="str">
        <f>TEXT('MYP Assumptions'!H78,"0.00%")&amp;", CPI"</f>
        <v>3.23%, CPI</v>
      </c>
      <c r="V73" s="2429"/>
      <c r="W73" s="2241" t="str">
        <f t="shared" ref="W73:W83" si="50">IF(T73=0,"0.00%",(X73-T73)/T73)</f>
        <v>0.00%</v>
      </c>
      <c r="X73" s="340">
        <f>ROUND(T73*(LEFT(Y73,5)+1),0)</f>
        <v>0</v>
      </c>
      <c r="Y73" s="455" t="str">
        <f>TEXT('MYP Assumptions'!I78,"0.00%")&amp;", CPI"</f>
        <v>2.73%, CPI</v>
      </c>
      <c r="AA73" s="456" t="str">
        <f t="shared" ref="AA73:AA83" si="51">IF(X73=0,"0.00%",(AB73-X73)/X73)</f>
        <v>0.00%</v>
      </c>
      <c r="AB73" s="340">
        <f>ROUND(X73*(LEFT(AC73,5)+1),0)</f>
        <v>0</v>
      </c>
      <c r="AC73" s="455" t="str">
        <f>TEXT('MYP Assumptions'!J78,"0.00%")&amp;", CPI"</f>
        <v>2.73%, CPI</v>
      </c>
    </row>
    <row r="74" spans="1:29" s="340" customFormat="1" hidden="1" x14ac:dyDescent="0.25">
      <c r="A74" s="455"/>
      <c r="B74" s="2427"/>
      <c r="C74" s="2386"/>
      <c r="D74" s="340">
        <v>0</v>
      </c>
      <c r="E74" s="2386"/>
      <c r="G74" s="456" t="str">
        <f t="shared" si="46"/>
        <v>0.00%</v>
      </c>
      <c r="H74" s="340">
        <v>0</v>
      </c>
      <c r="I74" s="2393"/>
      <c r="J74" s="455"/>
      <c r="K74" s="456" t="str">
        <f t="shared" si="47"/>
        <v>0.00%</v>
      </c>
      <c r="L74" s="340">
        <f t="shared" ref="L74:L82" si="52">ROUND(H74*(LEFT(M74,5)+1),0)</f>
        <v>0</v>
      </c>
      <c r="M74" s="2488" t="str">
        <f>TEXT('MYP Assumptions'!$F$78,"0.00%")&amp;", CPI"</f>
        <v>3.58%, CPI</v>
      </c>
      <c r="O74" s="456" t="str">
        <f t="shared" si="48"/>
        <v>0.00%</v>
      </c>
      <c r="P74" s="340">
        <f t="shared" ref="P74:P82" si="53">ROUND(L74*(LEFT(Q74,5)+1),0)</f>
        <v>0</v>
      </c>
      <c r="Q74" s="2488" t="str">
        <f>TEXT('MYP Assumptions'!$G$78,"0.00%")&amp;", CPI"</f>
        <v>3.36%, CPI</v>
      </c>
      <c r="R74" s="455"/>
      <c r="S74" s="2238" t="str">
        <f t="shared" si="49"/>
        <v>0.00%</v>
      </c>
      <c r="T74" s="340">
        <f t="shared" ref="T74:T82" si="54">ROUND(P74*(LEFT(U74,5)+1),0)</f>
        <v>0</v>
      </c>
      <c r="U74" s="455" t="str">
        <f>TEXT('MYP Assumptions'!H78,"0.00%")&amp;", CPI"</f>
        <v>3.23%, CPI</v>
      </c>
      <c r="V74" s="2429"/>
      <c r="W74" s="2241" t="str">
        <f t="shared" si="50"/>
        <v>0.00%</v>
      </c>
      <c r="X74" s="340">
        <f t="shared" ref="X74:X82" si="55">ROUND(T74*(LEFT(Y74,5)+1),0)</f>
        <v>0</v>
      </c>
      <c r="Y74" s="455" t="str">
        <f>TEXT('MYP Assumptions'!I78,"0.00%")&amp;", CPI"</f>
        <v>2.73%, CPI</v>
      </c>
      <c r="AA74" s="456" t="str">
        <f t="shared" si="51"/>
        <v>0.00%</v>
      </c>
      <c r="AB74" s="340">
        <f t="shared" ref="AB74:AB82" si="56">ROUND(X74*(LEFT(AC74,5)+1),0)</f>
        <v>0</v>
      </c>
      <c r="AC74" s="455" t="str">
        <f>TEXT('MYP Assumptions'!J78,"0.00%")&amp;", CPI"</f>
        <v>2.73%, CPI</v>
      </c>
    </row>
    <row r="75" spans="1:29" s="340" customFormat="1" hidden="1" x14ac:dyDescent="0.25">
      <c r="A75" s="455"/>
      <c r="B75" s="2427"/>
      <c r="C75" s="2386"/>
      <c r="D75" s="340">
        <v>0</v>
      </c>
      <c r="E75" s="2386"/>
      <c r="G75" s="456" t="str">
        <f t="shared" si="46"/>
        <v>0.00%</v>
      </c>
      <c r="H75" s="340">
        <v>0</v>
      </c>
      <c r="I75" s="897"/>
      <c r="J75" s="455"/>
      <c r="K75" s="456" t="str">
        <f t="shared" si="47"/>
        <v>0.00%</v>
      </c>
      <c r="L75" s="340">
        <f t="shared" si="52"/>
        <v>0</v>
      </c>
      <c r="M75" s="2488" t="str">
        <f>TEXT('MYP Assumptions'!F78,"0.00%")&amp;", CPI"</f>
        <v>3.58%, CPI</v>
      </c>
      <c r="O75" s="456" t="str">
        <f t="shared" si="48"/>
        <v>0.00%</v>
      </c>
      <c r="P75" s="340">
        <f t="shared" si="53"/>
        <v>0</v>
      </c>
      <c r="Q75" s="2488" t="str">
        <f>TEXT('MYP Assumptions'!G78,"0.00%")&amp;", CPI"</f>
        <v>3.36%, CPI</v>
      </c>
      <c r="R75" s="455"/>
      <c r="S75" s="2238" t="str">
        <f t="shared" si="49"/>
        <v>0.00%</v>
      </c>
      <c r="T75" s="340">
        <f t="shared" si="54"/>
        <v>0</v>
      </c>
      <c r="U75" s="455" t="str">
        <f>TEXT('MYP Assumptions'!H78,"0.00%")&amp;", CPI"</f>
        <v>3.23%, CPI</v>
      </c>
      <c r="V75" s="2429"/>
      <c r="W75" s="2241" t="str">
        <f t="shared" si="50"/>
        <v>0.00%</v>
      </c>
      <c r="X75" s="340">
        <f t="shared" si="55"/>
        <v>0</v>
      </c>
      <c r="Y75" s="455" t="str">
        <f>TEXT('MYP Assumptions'!I78,"0.00%")&amp;", CPI"</f>
        <v>2.73%, CPI</v>
      </c>
      <c r="AA75" s="456" t="str">
        <f t="shared" si="51"/>
        <v>0.00%</v>
      </c>
      <c r="AB75" s="340">
        <f t="shared" si="56"/>
        <v>0</v>
      </c>
      <c r="AC75" s="455" t="str">
        <f>TEXT('MYP Assumptions'!J78,"0.00%")&amp;", CPI"</f>
        <v>2.73%, CPI</v>
      </c>
    </row>
    <row r="76" spans="1:29" s="340" customFormat="1" hidden="1" x14ac:dyDescent="0.25">
      <c r="A76" s="455"/>
      <c r="B76" s="2427"/>
      <c r="C76" s="2386"/>
      <c r="D76" s="340">
        <v>0</v>
      </c>
      <c r="E76" s="2386"/>
      <c r="G76" s="456" t="str">
        <f t="shared" si="46"/>
        <v>0.00%</v>
      </c>
      <c r="H76" s="340">
        <v>0</v>
      </c>
      <c r="I76" s="897"/>
      <c r="J76" s="455"/>
      <c r="K76" s="456" t="str">
        <f t="shared" si="47"/>
        <v>0.00%</v>
      </c>
      <c r="L76" s="340">
        <f>ROUND(H76*(LEFT(M76,5)+1),0)</f>
        <v>0</v>
      </c>
      <c r="M76" s="2488" t="str">
        <f>TEXT('MYP Assumptions'!$F$78,"0.00%")&amp;", CPI"</f>
        <v>3.58%, CPI</v>
      </c>
      <c r="O76" s="456" t="str">
        <f t="shared" si="48"/>
        <v>0.00%</v>
      </c>
      <c r="P76" s="340">
        <f t="shared" si="53"/>
        <v>0</v>
      </c>
      <c r="Q76" s="2488" t="str">
        <f>TEXT('MYP Assumptions'!$G$78,"0.00%")&amp;", CPI"</f>
        <v>3.36%, CPI</v>
      </c>
      <c r="R76" s="455"/>
      <c r="S76" s="2238" t="str">
        <f t="shared" si="49"/>
        <v>0.00%</v>
      </c>
      <c r="T76" s="340">
        <f t="shared" si="54"/>
        <v>0</v>
      </c>
      <c r="U76" s="455" t="str">
        <f>TEXT('MYP Assumptions'!H78,"0.00%")&amp;", CPI"</f>
        <v>3.23%, CPI</v>
      </c>
      <c r="V76" s="2429"/>
      <c r="W76" s="2241" t="str">
        <f t="shared" si="50"/>
        <v>0.00%</v>
      </c>
      <c r="X76" s="340">
        <f t="shared" si="55"/>
        <v>0</v>
      </c>
      <c r="Y76" s="455" t="str">
        <f>TEXT('MYP Assumptions'!I78,"0.00%")&amp;", CPI"</f>
        <v>2.73%, CPI</v>
      </c>
      <c r="AA76" s="456" t="str">
        <f t="shared" si="51"/>
        <v>0.00%</v>
      </c>
      <c r="AB76" s="340">
        <f t="shared" si="56"/>
        <v>0</v>
      </c>
      <c r="AC76" s="455" t="str">
        <f>TEXT('MYP Assumptions'!J78,"0.00%")&amp;", CPI"</f>
        <v>2.73%, CPI</v>
      </c>
    </row>
    <row r="77" spans="1:29" s="340" customFormat="1" hidden="1" x14ac:dyDescent="0.25">
      <c r="A77" s="455"/>
      <c r="B77" s="2427"/>
      <c r="C77" s="2386"/>
      <c r="D77" s="340">
        <v>0</v>
      </c>
      <c r="E77" s="2386"/>
      <c r="G77" s="456" t="str">
        <f t="shared" si="46"/>
        <v>0.00%</v>
      </c>
      <c r="H77" s="340">
        <v>0</v>
      </c>
      <c r="I77" s="897"/>
      <c r="J77" s="455"/>
      <c r="K77" s="456" t="str">
        <f t="shared" si="47"/>
        <v>0.00%</v>
      </c>
      <c r="L77" s="340">
        <f>+H77</f>
        <v>0</v>
      </c>
      <c r="M77" s="2488" t="str">
        <f>TEXT('MYP Assumptions'!$F$78,"0.00%")&amp;", CPI"</f>
        <v>3.58%, CPI</v>
      </c>
      <c r="O77" s="456" t="str">
        <f t="shared" si="48"/>
        <v>0.00%</v>
      </c>
      <c r="P77" s="340">
        <f>+L77</f>
        <v>0</v>
      </c>
      <c r="Q77" s="2488" t="str">
        <f>TEXT('MYP Assumptions'!$G$78,"0.00%")&amp;", CPI"</f>
        <v>3.36%, CPI</v>
      </c>
      <c r="R77" s="455"/>
      <c r="S77" s="2238" t="str">
        <f t="shared" si="49"/>
        <v>0.00%</v>
      </c>
      <c r="T77" s="340">
        <f t="shared" si="54"/>
        <v>0</v>
      </c>
      <c r="U77" s="455" t="str">
        <f>TEXT('MYP Assumptions'!H78,"0.00%")&amp;", CPI"</f>
        <v>3.23%, CPI</v>
      </c>
      <c r="V77" s="2429"/>
      <c r="W77" s="2241" t="str">
        <f t="shared" si="50"/>
        <v>0.00%</v>
      </c>
      <c r="X77" s="340">
        <f t="shared" si="55"/>
        <v>0</v>
      </c>
      <c r="Y77" s="455" t="str">
        <f>TEXT('MYP Assumptions'!I78,"0.00%")&amp;", CPI"</f>
        <v>2.73%, CPI</v>
      </c>
      <c r="AA77" s="456" t="str">
        <f t="shared" si="51"/>
        <v>0.00%</v>
      </c>
      <c r="AB77" s="340">
        <f t="shared" si="56"/>
        <v>0</v>
      </c>
      <c r="AC77" s="455" t="str">
        <f>TEXT('MYP Assumptions'!J78,"0.00%")&amp;", CPI"</f>
        <v>2.73%, CPI</v>
      </c>
    </row>
    <row r="78" spans="1:29" s="340" customFormat="1" hidden="1" x14ac:dyDescent="0.25">
      <c r="A78" s="455"/>
      <c r="B78" s="2427"/>
      <c r="C78" s="2386"/>
      <c r="D78" s="340">
        <v>0</v>
      </c>
      <c r="E78" s="2386"/>
      <c r="G78" s="456" t="str">
        <f t="shared" si="46"/>
        <v>0.00%</v>
      </c>
      <c r="H78" s="340">
        <v>0</v>
      </c>
      <c r="I78" s="897"/>
      <c r="J78" s="455"/>
      <c r="K78" s="456" t="str">
        <f t="shared" si="47"/>
        <v>0.00%</v>
      </c>
      <c r="L78" s="340">
        <f t="shared" si="52"/>
        <v>0</v>
      </c>
      <c r="M78" s="2488" t="str">
        <f>TEXT('MYP Assumptions'!F78,"0.00%")&amp;", CPI"</f>
        <v>3.58%, CPI</v>
      </c>
      <c r="O78" s="456" t="str">
        <f t="shared" si="48"/>
        <v>0.00%</v>
      </c>
      <c r="P78" s="340">
        <f t="shared" si="53"/>
        <v>0</v>
      </c>
      <c r="Q78" s="2488" t="str">
        <f>TEXT('MYP Assumptions'!G78,"0.00%")&amp;", CPI"</f>
        <v>3.36%, CPI</v>
      </c>
      <c r="R78" s="455"/>
      <c r="S78" s="2238" t="str">
        <f t="shared" si="49"/>
        <v>0.00%</v>
      </c>
      <c r="T78" s="340">
        <f t="shared" si="54"/>
        <v>0</v>
      </c>
      <c r="U78" s="455" t="str">
        <f>TEXT('MYP Assumptions'!H78,"0.00%")&amp;", CPI"</f>
        <v>3.23%, CPI</v>
      </c>
      <c r="V78" s="2429"/>
      <c r="W78" s="2241" t="str">
        <f t="shared" si="50"/>
        <v>0.00%</v>
      </c>
      <c r="X78" s="340">
        <f t="shared" si="55"/>
        <v>0</v>
      </c>
      <c r="Y78" s="455" t="str">
        <f>TEXT('MYP Assumptions'!I78,"0.00%")&amp;", CPI"</f>
        <v>2.73%, CPI</v>
      </c>
      <c r="AA78" s="456" t="str">
        <f t="shared" si="51"/>
        <v>0.00%</v>
      </c>
      <c r="AB78" s="340">
        <f t="shared" si="56"/>
        <v>0</v>
      </c>
      <c r="AC78" s="455" t="str">
        <f>TEXT('MYP Assumptions'!J78,"0.00%")&amp;", CPI"</f>
        <v>2.73%, CPI</v>
      </c>
    </row>
    <row r="79" spans="1:29" s="340" customFormat="1" hidden="1" x14ac:dyDescent="0.25">
      <c r="A79" s="455"/>
      <c r="B79" s="2427"/>
      <c r="C79" s="2386"/>
      <c r="D79" s="340">
        <v>0</v>
      </c>
      <c r="E79" s="2386"/>
      <c r="G79" s="456" t="str">
        <f>IF(D79=0,"0.00%",(H79-D79)/D79)</f>
        <v>0.00%</v>
      </c>
      <c r="H79" s="340">
        <v>0</v>
      </c>
      <c r="I79" s="897"/>
      <c r="J79" s="455"/>
      <c r="K79" s="456" t="str">
        <f t="shared" si="47"/>
        <v>0.00%</v>
      </c>
      <c r="L79" s="340">
        <f t="shared" si="52"/>
        <v>0</v>
      </c>
      <c r="M79" s="2488" t="str">
        <f>TEXT('MYP Assumptions'!F78,"0.00%")&amp;", CPI"</f>
        <v>3.58%, CPI</v>
      </c>
      <c r="O79" s="456" t="str">
        <f t="shared" si="48"/>
        <v>0.00%</v>
      </c>
      <c r="P79" s="340">
        <f t="shared" si="53"/>
        <v>0</v>
      </c>
      <c r="Q79" s="2488" t="str">
        <f>TEXT('MYP Assumptions'!G78,"0.00%")&amp;", CPI"</f>
        <v>3.36%, CPI</v>
      </c>
      <c r="R79" s="455"/>
      <c r="S79" s="2238" t="str">
        <f t="shared" si="49"/>
        <v>0.00%</v>
      </c>
      <c r="T79" s="340">
        <f t="shared" si="54"/>
        <v>0</v>
      </c>
      <c r="U79" s="455" t="str">
        <f>TEXT('MYP Assumptions'!H78,"0.00%")&amp;", CPI"</f>
        <v>3.23%, CPI</v>
      </c>
      <c r="V79" s="2429"/>
      <c r="W79" s="2241" t="str">
        <f t="shared" si="50"/>
        <v>0.00%</v>
      </c>
      <c r="X79" s="340">
        <f t="shared" si="55"/>
        <v>0</v>
      </c>
      <c r="Y79" s="455" t="str">
        <f>TEXT('MYP Assumptions'!I78,"0.00%")&amp;", CPI"</f>
        <v>2.73%, CPI</v>
      </c>
      <c r="AA79" s="456" t="str">
        <f t="shared" si="51"/>
        <v>0.00%</v>
      </c>
      <c r="AB79" s="340">
        <f t="shared" si="56"/>
        <v>0</v>
      </c>
      <c r="AC79" s="455" t="str">
        <f>TEXT('MYP Assumptions'!J78,"0.00%")&amp;", CPI"</f>
        <v>2.73%, CPI</v>
      </c>
    </row>
    <row r="80" spans="1:29" s="340" customFormat="1" hidden="1" x14ac:dyDescent="0.25">
      <c r="A80" s="455"/>
      <c r="B80" s="2427"/>
      <c r="C80" s="2386"/>
      <c r="D80" s="340">
        <v>0</v>
      </c>
      <c r="E80" s="2386"/>
      <c r="G80" s="456" t="str">
        <f t="shared" ref="G80:G83" si="57">IF(D80=0,"0.00%",(H80-D80)/D80)</f>
        <v>0.00%</v>
      </c>
      <c r="H80" s="340">
        <v>0</v>
      </c>
      <c r="I80" s="897"/>
      <c r="J80" s="455"/>
      <c r="K80" s="456" t="str">
        <f t="shared" si="47"/>
        <v>0.00%</v>
      </c>
      <c r="L80" s="340">
        <f t="shared" si="52"/>
        <v>0</v>
      </c>
      <c r="M80" s="2488" t="str">
        <f>TEXT('MYP Assumptions'!F78,"0.00%")&amp;", CPI"</f>
        <v>3.58%, CPI</v>
      </c>
      <c r="O80" s="456" t="str">
        <f t="shared" si="48"/>
        <v>0.00%</v>
      </c>
      <c r="P80" s="340">
        <f t="shared" si="53"/>
        <v>0</v>
      </c>
      <c r="Q80" s="2488" t="str">
        <f>TEXT('MYP Assumptions'!G78,"0.00%")&amp;", CPI"</f>
        <v>3.36%, CPI</v>
      </c>
      <c r="R80" s="455"/>
      <c r="S80" s="2238" t="str">
        <f t="shared" si="49"/>
        <v>0.00%</v>
      </c>
      <c r="T80" s="340">
        <f t="shared" si="54"/>
        <v>0</v>
      </c>
      <c r="U80" s="455" t="str">
        <f>TEXT('MYP Assumptions'!H78,"0.00%")&amp;", CPI"</f>
        <v>3.23%, CPI</v>
      </c>
      <c r="V80" s="2429"/>
      <c r="W80" s="2241" t="str">
        <f t="shared" si="50"/>
        <v>0.00%</v>
      </c>
      <c r="X80" s="340">
        <f t="shared" si="55"/>
        <v>0</v>
      </c>
      <c r="Y80" s="455" t="str">
        <f>TEXT('MYP Assumptions'!I78,"0.00%")&amp;", CPI"</f>
        <v>2.73%, CPI</v>
      </c>
      <c r="AA80" s="456" t="str">
        <f t="shared" si="51"/>
        <v>0.00%</v>
      </c>
      <c r="AB80" s="340">
        <f t="shared" si="56"/>
        <v>0</v>
      </c>
      <c r="AC80" s="455" t="str">
        <f>TEXT('MYP Assumptions'!J78,"0.00%")&amp;", CPI"</f>
        <v>2.73%, CPI</v>
      </c>
    </row>
    <row r="81" spans="1:29" s="340" customFormat="1" hidden="1" x14ac:dyDescent="0.25">
      <c r="A81" s="455"/>
      <c r="B81" s="2427"/>
      <c r="C81" s="2386"/>
      <c r="D81" s="340">
        <v>0</v>
      </c>
      <c r="E81" s="2386"/>
      <c r="G81" s="456" t="str">
        <f t="shared" si="57"/>
        <v>0.00%</v>
      </c>
      <c r="H81" s="340">
        <v>0</v>
      </c>
      <c r="I81" s="897"/>
      <c r="J81" s="455"/>
      <c r="K81" s="456" t="str">
        <f t="shared" si="47"/>
        <v>0.00%</v>
      </c>
      <c r="L81" s="340">
        <f t="shared" si="52"/>
        <v>0</v>
      </c>
      <c r="M81" s="2488" t="str">
        <f>TEXT('MYP Assumptions'!F78,"0.00%")&amp;", CPI"</f>
        <v>3.58%, CPI</v>
      </c>
      <c r="O81" s="456" t="str">
        <f t="shared" si="48"/>
        <v>0.00%</v>
      </c>
      <c r="P81" s="340">
        <f t="shared" si="53"/>
        <v>0</v>
      </c>
      <c r="Q81" s="2488" t="str">
        <f>TEXT('MYP Assumptions'!G78,"0.00%")&amp;", CPI"</f>
        <v>3.36%, CPI</v>
      </c>
      <c r="R81" s="455"/>
      <c r="S81" s="2238" t="str">
        <f t="shared" si="49"/>
        <v>0.00%</v>
      </c>
      <c r="T81" s="340">
        <f t="shared" si="54"/>
        <v>0</v>
      </c>
      <c r="U81" s="455" t="str">
        <f>TEXT('MYP Assumptions'!H78,"0.00%")&amp;", CPI"</f>
        <v>3.23%, CPI</v>
      </c>
      <c r="V81" s="2429"/>
      <c r="W81" s="2241" t="str">
        <f t="shared" si="50"/>
        <v>0.00%</v>
      </c>
      <c r="X81" s="340">
        <f t="shared" si="55"/>
        <v>0</v>
      </c>
      <c r="Y81" s="455" t="str">
        <f>TEXT('MYP Assumptions'!I78,"0.00%")&amp;", CPI"</f>
        <v>2.73%, CPI</v>
      </c>
      <c r="AA81" s="456" t="str">
        <f t="shared" si="51"/>
        <v>0.00%</v>
      </c>
      <c r="AB81" s="340">
        <f t="shared" si="56"/>
        <v>0</v>
      </c>
      <c r="AC81" s="455" t="str">
        <f>TEXT('MYP Assumptions'!J78,"0.00%")&amp;", CPI"</f>
        <v>2.73%, CPI</v>
      </c>
    </row>
    <row r="82" spans="1:29" s="340" customFormat="1" hidden="1" x14ac:dyDescent="0.25">
      <c r="A82" s="455"/>
      <c r="B82" s="2427"/>
      <c r="C82" s="2386"/>
      <c r="D82" s="340">
        <v>0</v>
      </c>
      <c r="E82" s="2386"/>
      <c r="G82" s="456" t="str">
        <f t="shared" si="57"/>
        <v>0.00%</v>
      </c>
      <c r="H82" s="340">
        <v>0</v>
      </c>
      <c r="I82" s="897"/>
      <c r="J82" s="455"/>
      <c r="K82" s="456" t="str">
        <f t="shared" si="47"/>
        <v>0.00%</v>
      </c>
      <c r="L82" s="340">
        <f t="shared" si="52"/>
        <v>0</v>
      </c>
      <c r="M82" s="2488" t="str">
        <f>TEXT('MYP Assumptions'!F78,"0.00%")&amp;", CPI"</f>
        <v>3.58%, CPI</v>
      </c>
      <c r="O82" s="456" t="str">
        <f t="shared" si="48"/>
        <v>0.00%</v>
      </c>
      <c r="P82" s="340">
        <f t="shared" si="53"/>
        <v>0</v>
      </c>
      <c r="Q82" s="2488" t="str">
        <f>TEXT('MYP Assumptions'!G78,"0.00%")&amp;", CPI"</f>
        <v>3.36%, CPI</v>
      </c>
      <c r="R82" s="455"/>
      <c r="S82" s="2238" t="str">
        <f t="shared" si="49"/>
        <v>0.00%</v>
      </c>
      <c r="T82" s="340">
        <f t="shared" si="54"/>
        <v>0</v>
      </c>
      <c r="U82" s="455" t="str">
        <f>TEXT('MYP Assumptions'!H78,"0.00%")&amp;", CPI"</f>
        <v>3.23%, CPI</v>
      </c>
      <c r="V82" s="2429"/>
      <c r="W82" s="2241" t="str">
        <f t="shared" si="50"/>
        <v>0.00%</v>
      </c>
      <c r="X82" s="340">
        <f t="shared" si="55"/>
        <v>0</v>
      </c>
      <c r="Y82" s="455" t="str">
        <f>TEXT('MYP Assumptions'!I78,"0.00%")&amp;", CPI"</f>
        <v>2.73%, CPI</v>
      </c>
      <c r="AA82" s="456" t="str">
        <f t="shared" si="51"/>
        <v>0.00%</v>
      </c>
      <c r="AB82" s="340">
        <f t="shared" si="56"/>
        <v>0</v>
      </c>
      <c r="AC82" s="455" t="str">
        <f>TEXT('MYP Assumptions'!J78,"0.00%")&amp;", CPI"</f>
        <v>2.73%, CPI</v>
      </c>
    </row>
    <row r="83" spans="1:29" s="340" customFormat="1" x14ac:dyDescent="0.25">
      <c r="A83" s="459"/>
      <c r="B83" s="2512"/>
      <c r="C83" s="2386"/>
      <c r="D83" s="458">
        <f>SUM(D73:D82)</f>
        <v>0</v>
      </c>
      <c r="E83" s="2386"/>
      <c r="G83" s="456" t="str">
        <f t="shared" si="57"/>
        <v>0.00%</v>
      </c>
      <c r="H83" s="458">
        <f>SUM(H73:H82)</f>
        <v>0</v>
      </c>
      <c r="I83" s="2316">
        <f>+H83-D83</f>
        <v>0</v>
      </c>
      <c r="J83" s="459"/>
      <c r="K83" s="456" t="str">
        <f t="shared" si="47"/>
        <v>0.00%</v>
      </c>
      <c r="L83" s="458">
        <f>SUM(L73:L82)</f>
        <v>0</v>
      </c>
      <c r="M83" s="2316">
        <f>+L83-H83</f>
        <v>0</v>
      </c>
      <c r="O83" s="456" t="str">
        <f t="shared" si="48"/>
        <v>0.00%</v>
      </c>
      <c r="P83" s="458">
        <f>SUM(P73:P82)</f>
        <v>0</v>
      </c>
      <c r="Q83" s="2316">
        <f>+P83-L83</f>
        <v>0</v>
      </c>
      <c r="R83" s="455"/>
      <c r="S83" s="2238" t="str">
        <f t="shared" si="49"/>
        <v>0.00%</v>
      </c>
      <c r="T83" s="458">
        <f>SUM(T73:T82)</f>
        <v>0</v>
      </c>
      <c r="U83" s="2370"/>
      <c r="V83" s="2429"/>
      <c r="W83" s="2241" t="str">
        <f t="shared" si="50"/>
        <v>0.00%</v>
      </c>
      <c r="X83" s="458">
        <f>SUM(X73:X82)</f>
        <v>0</v>
      </c>
      <c r="Y83" s="2370"/>
      <c r="AA83" s="456" t="str">
        <f t="shared" si="51"/>
        <v>0.00%</v>
      </c>
      <c r="AB83" s="458">
        <f>SUM(AB73:AB82)</f>
        <v>0</v>
      </c>
      <c r="AC83" s="2370"/>
    </row>
    <row r="84" spans="1:29" s="340" customFormat="1" x14ac:dyDescent="0.25">
      <c r="A84" s="455"/>
      <c r="B84" s="2511"/>
      <c r="C84" s="2386"/>
      <c r="E84" s="2386"/>
      <c r="G84" s="456"/>
      <c r="I84" s="897"/>
      <c r="J84" s="455"/>
      <c r="K84" s="1668"/>
      <c r="M84" s="2340"/>
      <c r="O84" s="1668"/>
      <c r="Q84" s="2340"/>
      <c r="R84" s="455"/>
      <c r="S84" s="2341"/>
      <c r="U84" s="2370"/>
      <c r="V84" s="2429"/>
      <c r="W84" s="2343"/>
      <c r="Y84" s="2370"/>
      <c r="AA84" s="1668"/>
      <c r="AC84" s="2370"/>
    </row>
    <row r="85" spans="1:29" s="457" customFormat="1" x14ac:dyDescent="0.25">
      <c r="A85" s="897"/>
      <c r="B85" s="2518" t="s">
        <v>328</v>
      </c>
      <c r="C85" s="1656"/>
      <c r="D85" s="340"/>
      <c r="E85" s="2386"/>
      <c r="F85" s="340"/>
      <c r="G85" s="456"/>
      <c r="H85" s="340"/>
      <c r="I85" s="897"/>
      <c r="J85" s="455"/>
      <c r="K85" s="1668"/>
      <c r="L85" s="340"/>
      <c r="M85" s="901"/>
      <c r="O85" s="1668"/>
      <c r="P85" s="340"/>
      <c r="Q85" s="901"/>
      <c r="R85" s="592"/>
      <c r="S85" s="2341"/>
      <c r="T85" s="340"/>
      <c r="U85" s="2344"/>
      <c r="V85" s="952"/>
      <c r="W85" s="2343"/>
      <c r="X85" s="340"/>
      <c r="Y85" s="2344"/>
      <c r="AA85" s="1668"/>
      <c r="AB85" s="340"/>
      <c r="AC85" s="2344"/>
    </row>
    <row r="86" spans="1:29" s="457" customFormat="1" x14ac:dyDescent="0.25">
      <c r="A86" s="897"/>
      <c r="B86" s="2519">
        <v>6400</v>
      </c>
      <c r="C86" s="1656" t="s">
        <v>329</v>
      </c>
      <c r="D86" s="340">
        <v>0</v>
      </c>
      <c r="E86" s="2386"/>
      <c r="F86" s="340"/>
      <c r="G86" s="456"/>
      <c r="H86" s="340">
        <v>0</v>
      </c>
      <c r="I86" s="897"/>
      <c r="J86" s="455"/>
      <c r="K86" s="456"/>
      <c r="L86" s="340">
        <v>0</v>
      </c>
      <c r="M86" s="901"/>
      <c r="O86" s="456"/>
      <c r="P86" s="340">
        <v>0</v>
      </c>
      <c r="Q86" s="901"/>
      <c r="R86" s="592"/>
      <c r="S86" s="2238"/>
      <c r="T86" s="340">
        <v>0</v>
      </c>
      <c r="U86" s="2344"/>
      <c r="V86" s="952"/>
      <c r="W86" s="2241"/>
      <c r="X86" s="340">
        <v>0</v>
      </c>
      <c r="Y86" s="2344"/>
      <c r="AA86" s="456"/>
      <c r="AB86" s="340">
        <v>0</v>
      </c>
      <c r="AC86" s="2344"/>
    </row>
    <row r="87" spans="1:29" s="457" customFormat="1" ht="23.25" hidden="1" customHeight="1" x14ac:dyDescent="0.25">
      <c r="A87" s="897"/>
      <c r="B87" s="2519"/>
      <c r="C87" s="1656"/>
      <c r="D87" s="340">
        <v>0</v>
      </c>
      <c r="E87" s="2386"/>
      <c r="F87" s="340"/>
      <c r="G87" s="456"/>
      <c r="H87" s="340">
        <v>0</v>
      </c>
      <c r="I87" s="897"/>
      <c r="J87" s="455"/>
      <c r="K87" s="456"/>
      <c r="L87" s="340">
        <v>0</v>
      </c>
      <c r="M87" s="901"/>
      <c r="O87" s="456"/>
      <c r="P87" s="340">
        <v>0</v>
      </c>
      <c r="Q87" s="901"/>
      <c r="R87" s="592"/>
      <c r="S87" s="2238"/>
      <c r="T87" s="340">
        <v>0</v>
      </c>
      <c r="U87" s="2344"/>
      <c r="V87" s="952"/>
      <c r="W87" s="2241"/>
      <c r="X87" s="340">
        <v>0</v>
      </c>
      <c r="Y87" s="2344"/>
      <c r="AA87" s="456"/>
      <c r="AB87" s="340">
        <v>0</v>
      </c>
      <c r="AC87" s="2344"/>
    </row>
    <row r="88" spans="1:29" s="457" customFormat="1" hidden="1" x14ac:dyDescent="0.25">
      <c r="A88" s="897"/>
      <c r="B88" s="2518"/>
      <c r="C88" s="1656"/>
      <c r="D88" s="340">
        <v>0</v>
      </c>
      <c r="E88" s="2386"/>
      <c r="F88" s="340"/>
      <c r="G88" s="456"/>
      <c r="H88" s="340">
        <v>0</v>
      </c>
      <c r="I88" s="897"/>
      <c r="J88" s="455"/>
      <c r="K88" s="456"/>
      <c r="L88" s="340">
        <v>0</v>
      </c>
      <c r="M88" s="901"/>
      <c r="O88" s="456"/>
      <c r="P88" s="340">
        <v>0</v>
      </c>
      <c r="Q88" s="901"/>
      <c r="R88" s="592"/>
      <c r="S88" s="2238"/>
      <c r="T88" s="340">
        <v>0</v>
      </c>
      <c r="U88" s="2344"/>
      <c r="V88" s="952"/>
      <c r="W88" s="2241"/>
      <c r="X88" s="340">
        <v>0</v>
      </c>
      <c r="Y88" s="2344"/>
      <c r="AA88" s="456"/>
      <c r="AB88" s="340">
        <v>0</v>
      </c>
      <c r="AC88" s="2344"/>
    </row>
    <row r="89" spans="1:29" s="457" customFormat="1" x14ac:dyDescent="0.25">
      <c r="A89" s="897"/>
      <c r="B89" s="2518"/>
      <c r="C89" s="1656"/>
      <c r="D89" s="2368">
        <f>SUM(D86:D88)</f>
        <v>0</v>
      </c>
      <c r="E89" s="2386"/>
      <c r="F89" s="340"/>
      <c r="G89" s="456"/>
      <c r="H89" s="2368">
        <f>SUM(H86:H88)</f>
        <v>0</v>
      </c>
      <c r="I89" s="897"/>
      <c r="J89" s="455"/>
      <c r="K89" s="456"/>
      <c r="L89" s="2368">
        <f>SUM(L86:L88)</f>
        <v>0</v>
      </c>
      <c r="M89" s="901"/>
      <c r="O89" s="456"/>
      <c r="P89" s="2368">
        <f>SUM(P86:P88)</f>
        <v>0</v>
      </c>
      <c r="Q89" s="901"/>
      <c r="R89" s="592"/>
      <c r="S89" s="2238"/>
      <c r="T89" s="2368">
        <f>SUM(T86:T88)</f>
        <v>0</v>
      </c>
      <c r="U89" s="2344"/>
      <c r="V89" s="952"/>
      <c r="W89" s="2241"/>
      <c r="X89" s="2368">
        <f>SUM(X86:X88)</f>
        <v>0</v>
      </c>
      <c r="Y89" s="2344"/>
      <c r="AA89" s="456"/>
      <c r="AB89" s="2368">
        <f>SUM(AB86:AB88)</f>
        <v>0</v>
      </c>
      <c r="AC89" s="2344"/>
    </row>
    <row r="90" spans="1:29" s="457" customFormat="1" x14ac:dyDescent="0.25">
      <c r="A90" s="897"/>
      <c r="B90" s="2520"/>
      <c r="C90" s="1656"/>
      <c r="D90" s="340"/>
      <c r="E90" s="2386"/>
      <c r="F90" s="340"/>
      <c r="G90" s="2338"/>
      <c r="H90" s="340"/>
      <c r="I90" s="897"/>
      <c r="J90" s="455"/>
      <c r="K90" s="2338"/>
      <c r="L90" s="340"/>
      <c r="M90" s="901"/>
      <c r="O90" s="2338"/>
      <c r="P90" s="340"/>
      <c r="Q90" s="901"/>
      <c r="R90" s="592"/>
      <c r="S90" s="2355"/>
      <c r="T90" s="340"/>
      <c r="U90" s="2344"/>
      <c r="V90" s="952"/>
      <c r="W90" s="2357"/>
      <c r="X90" s="340"/>
      <c r="Y90" s="2344"/>
      <c r="AA90" s="2338"/>
      <c r="AB90" s="340"/>
      <c r="AC90" s="2344"/>
    </row>
    <row r="91" spans="1:29" s="457" customFormat="1" x14ac:dyDescent="0.25">
      <c r="A91" s="897"/>
      <c r="B91" s="2518" t="s">
        <v>518</v>
      </c>
      <c r="C91" s="1656"/>
      <c r="D91" s="340"/>
      <c r="E91" s="2386"/>
      <c r="F91" s="340"/>
      <c r="G91" s="456"/>
      <c r="H91" s="340"/>
      <c r="I91" s="897"/>
      <c r="J91" s="455"/>
      <c r="K91" s="1668"/>
      <c r="L91" s="340"/>
      <c r="M91" s="901"/>
      <c r="O91" s="1668"/>
      <c r="P91" s="340"/>
      <c r="Q91" s="901"/>
      <c r="R91" s="592"/>
      <c r="S91" s="2341"/>
      <c r="T91" s="340"/>
      <c r="U91" s="2344"/>
      <c r="V91" s="952"/>
      <c r="W91" s="2343"/>
      <c r="X91" s="340"/>
      <c r="Y91" s="2344"/>
      <c r="AA91" s="1668"/>
      <c r="AB91" s="340"/>
      <c r="AC91" s="2344"/>
    </row>
    <row r="92" spans="1:29" s="457" customFormat="1" x14ac:dyDescent="0.25">
      <c r="A92" s="897"/>
      <c r="B92" s="2519" t="s">
        <v>984</v>
      </c>
      <c r="C92" s="1656"/>
      <c r="D92" s="340">
        <v>0</v>
      </c>
      <c r="E92" s="2386"/>
      <c r="F92" s="340"/>
      <c r="G92" s="456" t="str">
        <f t="shared" ref="G92:G93" si="58">IF(D92=0,"0.00%",(H92-D92)/D92)</f>
        <v>0.00%</v>
      </c>
      <c r="H92" s="340">
        <v>0</v>
      </c>
      <c r="I92" s="2476"/>
      <c r="J92" s="455"/>
      <c r="K92" s="456" t="str">
        <f t="shared" ref="K92:K93" si="59">IF(H92=0,"0.00%",(L92-H92)/H92)</f>
        <v>0.00%</v>
      </c>
      <c r="L92" s="340">
        <f>+H92</f>
        <v>0</v>
      </c>
      <c r="M92" s="2476"/>
      <c r="O92" s="456" t="str">
        <f t="shared" ref="O92:O93" si="60">IF(L92=0,"0.00%",(P92-L92)/L92)</f>
        <v>0.00%</v>
      </c>
      <c r="P92" s="340">
        <f>+L92</f>
        <v>0</v>
      </c>
      <c r="Q92" s="2476"/>
      <c r="R92" s="592"/>
      <c r="S92" s="2341"/>
      <c r="T92" s="340">
        <f>+P92</f>
        <v>0</v>
      </c>
      <c r="U92" s="455" t="s">
        <v>173</v>
      </c>
      <c r="V92" s="952"/>
      <c r="W92" s="2343"/>
      <c r="X92" s="340">
        <f>+T92</f>
        <v>0</v>
      </c>
      <c r="Y92" s="455" t="s">
        <v>173</v>
      </c>
      <c r="AA92" s="1668"/>
      <c r="AB92" s="340">
        <f>+X92</f>
        <v>0</v>
      </c>
      <c r="AC92" s="455" t="s">
        <v>173</v>
      </c>
    </row>
    <row r="93" spans="1:29" s="457" customFormat="1" hidden="1" x14ac:dyDescent="0.25">
      <c r="A93" s="897"/>
      <c r="B93" s="2519"/>
      <c r="C93" s="1656"/>
      <c r="D93" s="340">
        <v>0</v>
      </c>
      <c r="E93" s="2386"/>
      <c r="F93" s="340"/>
      <c r="G93" s="456" t="str">
        <f t="shared" si="58"/>
        <v>0.00%</v>
      </c>
      <c r="H93" s="340">
        <v>0</v>
      </c>
      <c r="I93" s="899"/>
      <c r="J93" s="455"/>
      <c r="K93" s="456" t="str">
        <f t="shared" si="59"/>
        <v>0.00%</v>
      </c>
      <c r="L93" s="340">
        <f>+H93</f>
        <v>0</v>
      </c>
      <c r="M93" s="899"/>
      <c r="O93" s="456" t="str">
        <f t="shared" si="60"/>
        <v>0.00%</v>
      </c>
      <c r="P93" s="340">
        <f>+L93</f>
        <v>0</v>
      </c>
      <c r="Q93" s="899"/>
      <c r="R93" s="592"/>
      <c r="S93" s="2341"/>
      <c r="T93" s="340">
        <v>0</v>
      </c>
      <c r="U93" s="455"/>
      <c r="V93" s="952"/>
      <c r="W93" s="2343"/>
      <c r="X93" s="340">
        <v>0</v>
      </c>
      <c r="Y93" s="455"/>
      <c r="AA93" s="1668"/>
      <c r="AB93" s="340">
        <v>0</v>
      </c>
      <c r="AC93" s="455"/>
    </row>
    <row r="94" spans="1:29" s="457" customFormat="1" hidden="1" x14ac:dyDescent="0.25">
      <c r="A94" s="897"/>
      <c r="B94" s="2519"/>
      <c r="C94" s="1656"/>
      <c r="D94" s="340">
        <v>0</v>
      </c>
      <c r="E94" s="2386"/>
      <c r="F94" s="340"/>
      <c r="G94" s="456"/>
      <c r="H94" s="340"/>
      <c r="I94" s="899"/>
      <c r="J94" s="455"/>
      <c r="K94" s="456"/>
      <c r="L94" s="340"/>
      <c r="M94" s="2499"/>
      <c r="O94" s="456"/>
      <c r="P94" s="340"/>
      <c r="Q94" s="2499"/>
      <c r="R94" s="592"/>
      <c r="S94" s="2341"/>
      <c r="T94" s="340"/>
      <c r="U94" s="455"/>
      <c r="V94" s="952"/>
      <c r="W94" s="2343"/>
      <c r="X94" s="340"/>
      <c r="Y94" s="455"/>
      <c r="AA94" s="1668"/>
      <c r="AB94" s="340"/>
      <c r="AC94" s="455"/>
    </row>
    <row r="95" spans="1:29" s="2378" customFormat="1" x14ac:dyDescent="0.25">
      <c r="A95" s="868"/>
      <c r="B95" s="2521"/>
      <c r="C95" s="2384"/>
      <c r="D95" s="2442">
        <f>SUM(D92:D94)</f>
        <v>0</v>
      </c>
      <c r="E95" s="2375"/>
      <c r="F95" s="1866"/>
      <c r="G95" s="456" t="str">
        <f t="shared" ref="G95" si="61">IF(D95=0,"0.00%",(H95-D95)/D95)</f>
        <v>0.00%</v>
      </c>
      <c r="H95" s="2442">
        <f>SUM(H92:H94)</f>
        <v>0</v>
      </c>
      <c r="I95" s="2316">
        <f>+H95-D95</f>
        <v>0</v>
      </c>
      <c r="J95" s="460"/>
      <c r="K95" s="456" t="str">
        <f t="shared" ref="K95" si="62">IF(H95=0,"0.00%",(L95-H95)/H95)</f>
        <v>0.00%</v>
      </c>
      <c r="L95" s="2442">
        <f>SUM(L92:L94)</f>
        <v>0</v>
      </c>
      <c r="M95" s="2316">
        <f>+L95-H95</f>
        <v>0</v>
      </c>
      <c r="O95" s="456" t="str">
        <f t="shared" ref="O95" si="63">IF(L95=0,"0.00%",(P95-L95)/L95)</f>
        <v>0.00%</v>
      </c>
      <c r="P95" s="2442">
        <f>SUM(P92:P94)</f>
        <v>0</v>
      </c>
      <c r="Q95" s="2316">
        <f>+P95-L95</f>
        <v>0</v>
      </c>
      <c r="R95" s="461"/>
      <c r="S95" s="1669"/>
      <c r="T95" s="2442">
        <f>SUM(T92:T94)</f>
        <v>0</v>
      </c>
      <c r="U95" s="460"/>
      <c r="V95" s="2381"/>
      <c r="W95" s="2382"/>
      <c r="X95" s="2442">
        <f>SUM(X92:X94)</f>
        <v>0</v>
      </c>
      <c r="Y95" s="460"/>
      <c r="AA95" s="606"/>
      <c r="AB95" s="2442">
        <f>SUM(AB92:AB94)</f>
        <v>0</v>
      </c>
      <c r="AC95" s="460"/>
    </row>
    <row r="96" spans="1:29" s="457" customFormat="1" x14ac:dyDescent="0.25">
      <c r="A96" s="897"/>
      <c r="B96" s="2520"/>
      <c r="C96" s="1656"/>
      <c r="D96" s="340"/>
      <c r="E96" s="2386"/>
      <c r="F96" s="340"/>
      <c r="G96" s="2338"/>
      <c r="H96" s="340"/>
      <c r="I96" s="897"/>
      <c r="J96" s="455"/>
      <c r="K96" s="2338"/>
      <c r="L96" s="340"/>
      <c r="M96" s="901"/>
      <c r="O96" s="2338"/>
      <c r="P96" s="340"/>
      <c r="Q96" s="901"/>
      <c r="R96" s="592"/>
      <c r="S96" s="2355"/>
      <c r="T96" s="340"/>
      <c r="U96" s="2344"/>
      <c r="V96" s="952"/>
      <c r="W96" s="2357"/>
      <c r="X96" s="340"/>
      <c r="Y96" s="2344"/>
      <c r="AA96" s="2338"/>
      <c r="AB96" s="340"/>
      <c r="AC96" s="2344"/>
    </row>
    <row r="97" spans="1:29" s="340" customFormat="1" x14ac:dyDescent="0.25">
      <c r="A97" s="455"/>
      <c r="B97" s="2512"/>
      <c r="C97" s="2386"/>
      <c r="E97" s="2386"/>
      <c r="G97" s="2338"/>
      <c r="I97" s="897"/>
      <c r="J97" s="455"/>
      <c r="K97" s="1668"/>
      <c r="M97" s="2340"/>
      <c r="O97" s="1668"/>
      <c r="Q97" s="2340"/>
      <c r="R97" s="455"/>
      <c r="S97" s="2341"/>
      <c r="U97" s="2370"/>
      <c r="V97" s="2429"/>
      <c r="W97" s="2343"/>
      <c r="Y97" s="2370"/>
      <c r="AA97" s="1668"/>
      <c r="AC97" s="2370"/>
    </row>
    <row r="98" spans="1:29" s="340" customFormat="1" x14ac:dyDescent="0.25">
      <c r="A98" s="459"/>
      <c r="B98" s="2511" t="s">
        <v>0</v>
      </c>
      <c r="C98" s="2386"/>
      <c r="D98" s="458">
        <f>SUM(D83,D70,D56,D16,D89,D95)</f>
        <v>0</v>
      </c>
      <c r="E98" s="2386"/>
      <c r="G98" s="456" t="str">
        <f>IF(D98=0,"0.00%",(H98-D98)/D98)</f>
        <v>0.00%</v>
      </c>
      <c r="H98" s="458">
        <f>SUM(H83,H70,H56,H16,H89,H95)</f>
        <v>208531</v>
      </c>
      <c r="I98" s="2316">
        <f>+H98-D98</f>
        <v>208531</v>
      </c>
      <c r="J98" s="459"/>
      <c r="K98" s="456">
        <f>IF(H98=0,"0.00%",(L98-H98)/H98)</f>
        <v>6.3491759019042729E-3</v>
      </c>
      <c r="L98" s="458">
        <f>SUM(L83,L70,L56,L16,L89,L95)</f>
        <v>209855</v>
      </c>
      <c r="M98" s="2316">
        <f>+L98-H98</f>
        <v>1324</v>
      </c>
      <c r="O98" s="456">
        <f>IF(L98=0,"0.00%",(P98-L98)/L98)</f>
        <v>4.796168783207453E-2</v>
      </c>
      <c r="P98" s="458">
        <f>SUM(P83,P70,P56,P16,P89,P95)</f>
        <v>219920</v>
      </c>
      <c r="Q98" s="2316">
        <f>+P98-L98</f>
        <v>10065</v>
      </c>
      <c r="R98" s="455"/>
      <c r="S98" s="2238">
        <f>IF(P98=0,"0.00%",(T98-P98)/P98)</f>
        <v>3.9364314296107678E-2</v>
      </c>
      <c r="T98" s="458">
        <f>SUM(T83,T70,T56,T16)</f>
        <v>228577</v>
      </c>
      <c r="U98" s="2370"/>
      <c r="V98" s="2429"/>
      <c r="W98" s="2241" t="e">
        <f>IF(T98=0,"0.00%",(X98-T98)/T98)</f>
        <v>#REF!</v>
      </c>
      <c r="X98" s="458" t="e">
        <f>SUM(X83,X70,X56,X16)</f>
        <v>#REF!</v>
      </c>
      <c r="Y98" s="2370"/>
      <c r="AA98" s="456" t="e">
        <f>IF(X98=0,"0.00%",(AB98-X98)/X98)</f>
        <v>#REF!</v>
      </c>
      <c r="AB98" s="458" t="e">
        <f>SUM(AB83,AB70,AB56,AB16)</f>
        <v>#REF!</v>
      </c>
      <c r="AC98" s="2370"/>
    </row>
    <row r="99" spans="1:29" s="340" customFormat="1" x14ac:dyDescent="0.25">
      <c r="A99" s="455"/>
      <c r="B99" s="2512"/>
      <c r="C99" s="2386"/>
      <c r="E99" s="2386"/>
      <c r="G99" s="2338"/>
      <c r="I99" s="897"/>
      <c r="J99" s="455"/>
      <c r="K99" s="1668"/>
      <c r="M99" s="2340"/>
      <c r="O99" s="1668"/>
      <c r="Q99" s="2340"/>
      <c r="R99" s="455"/>
      <c r="S99" s="2341"/>
      <c r="U99" s="2370"/>
      <c r="V99" s="2429"/>
      <c r="W99" s="2343"/>
      <c r="Y99" s="2370"/>
      <c r="AA99" s="1668"/>
      <c r="AC99" s="2370"/>
    </row>
    <row r="100" spans="1:29" s="340" customFormat="1" x14ac:dyDescent="0.25">
      <c r="A100" s="455"/>
      <c r="B100" s="2511" t="s">
        <v>138</v>
      </c>
      <c r="C100" s="2386"/>
      <c r="D100" s="833">
        <f>D14-D98</f>
        <v>0</v>
      </c>
      <c r="E100" s="2386"/>
      <c r="G100" s="456" t="str">
        <f>IF(D100=0,"0.00%",(H100-D100)/D100)</f>
        <v>0.00%</v>
      </c>
      <c r="H100" s="833">
        <f>H14-H98</f>
        <v>-45971</v>
      </c>
      <c r="I100" s="897"/>
      <c r="J100" s="455"/>
      <c r="K100" s="456">
        <f>IF(H100=0,"0.00%",(L100-H100)/H100)</f>
        <v>3.5649431163124579</v>
      </c>
      <c r="L100" s="833">
        <f>L14-L98</f>
        <v>-209855</v>
      </c>
      <c r="M100" s="2340"/>
      <c r="O100" s="456">
        <f>IF(L100=0,"0.00%",(P100-L100)/L100)</f>
        <v>4.796168783207453E-2</v>
      </c>
      <c r="P100" s="833">
        <f>P14-P98</f>
        <v>-219920</v>
      </c>
      <c r="Q100" s="2340"/>
      <c r="R100" s="455"/>
      <c r="S100" s="2238">
        <f>IF(P100=0,"0.00%",(T100-P100)/P100)</f>
        <v>3.9364314296107678E-2</v>
      </c>
      <c r="T100" s="833">
        <f>T14-T98</f>
        <v>-228577</v>
      </c>
      <c r="U100" s="2370"/>
      <c r="V100" s="2429"/>
      <c r="W100" s="2241" t="e">
        <f>IF(T100=0,"0.00%",(X100-T100)/T100)</f>
        <v>#REF!</v>
      </c>
      <c r="X100" s="833" t="e">
        <f>X14-X98</f>
        <v>#REF!</v>
      </c>
      <c r="Y100" s="2370"/>
      <c r="AA100" s="456" t="e">
        <f>IF(X100=0,"0.00%",(AB100-X100)/X100)</f>
        <v>#REF!</v>
      </c>
      <c r="AB100" s="833" t="e">
        <f>AB14-AB98</f>
        <v>#REF!</v>
      </c>
      <c r="AC100" s="2370"/>
    </row>
    <row r="101" spans="1:29" s="340" customFormat="1" x14ac:dyDescent="0.25">
      <c r="B101" s="2511"/>
      <c r="C101" s="2489"/>
      <c r="D101" s="833"/>
      <c r="E101" s="2386"/>
      <c r="G101" s="2338"/>
      <c r="H101" s="833"/>
      <c r="I101" s="897"/>
      <c r="J101" s="455"/>
      <c r="K101" s="1668"/>
      <c r="L101" s="833"/>
      <c r="M101" s="2340"/>
      <c r="O101" s="1668"/>
      <c r="P101" s="833"/>
      <c r="Q101" s="2340"/>
      <c r="R101" s="455"/>
      <c r="S101" s="2341"/>
      <c r="T101" s="833"/>
      <c r="U101" s="2370"/>
      <c r="V101" s="2429"/>
      <c r="W101" s="2343"/>
      <c r="X101" s="833"/>
      <c r="Y101" s="2370"/>
      <c r="AA101" s="1668"/>
      <c r="AB101" s="833"/>
      <c r="AC101" s="2370"/>
    </row>
    <row r="102" spans="1:29" s="340" customFormat="1" x14ac:dyDescent="0.25">
      <c r="B102" s="2511" t="s">
        <v>136</v>
      </c>
      <c r="C102" s="2500"/>
      <c r="D102" s="833">
        <f>D7+D100</f>
        <v>0</v>
      </c>
      <c r="E102" s="2386"/>
      <c r="G102" s="456" t="str">
        <f>IF(D102=0,"0.00%",(H102-D102)/D102)</f>
        <v>0.00%</v>
      </c>
      <c r="H102" s="833">
        <f>H7+H100</f>
        <v>256127.91999999998</v>
      </c>
      <c r="I102" s="897"/>
      <c r="J102" s="455"/>
      <c r="K102" s="456">
        <f>IF(H102=0,"0.00%",(L102-H102)/H102)</f>
        <v>-0.81933668145198701</v>
      </c>
      <c r="L102" s="833">
        <f>L7+L100</f>
        <v>46272.919999999984</v>
      </c>
      <c r="M102" s="2340"/>
      <c r="O102" s="456">
        <f>IF(L102=0,"0.00%",(P102-L102)/L102)</f>
        <v>-4.7526717570449426</v>
      </c>
      <c r="P102" s="833">
        <f>P7+P100</f>
        <v>-173647.08000000002</v>
      </c>
      <c r="Q102" s="2340"/>
      <c r="R102" s="455"/>
      <c r="S102" s="2238">
        <f>IF(P102=0,"0.00%",(T102-P102)/P102)</f>
        <v>1.3163308015314739</v>
      </c>
      <c r="T102" s="833">
        <f>T7+T100</f>
        <v>-402224.08</v>
      </c>
      <c r="U102" s="2370"/>
      <c r="V102" s="2429"/>
      <c r="W102" s="2241" t="e">
        <f>IF(T102=0,"0.00%",(X102-T102)/T102)</f>
        <v>#REF!</v>
      </c>
      <c r="X102" s="833" t="e">
        <f>X7+X100</f>
        <v>#REF!</v>
      </c>
      <c r="Y102" s="2370"/>
      <c r="AA102" s="456" t="e">
        <f>IF(X102=0,"0.00%",(AB102-X102)/X102)</f>
        <v>#REF!</v>
      </c>
      <c r="AB102" s="833" t="e">
        <f>AB7+AB100</f>
        <v>#REF!</v>
      </c>
      <c r="AC102" s="2370"/>
    </row>
    <row r="103" spans="1:29" s="340" customFormat="1" x14ac:dyDescent="0.25">
      <c r="B103" s="2512"/>
      <c r="C103" s="868"/>
      <c r="E103" s="2386"/>
      <c r="G103" s="2355"/>
      <c r="H103" s="459"/>
      <c r="I103" s="898"/>
      <c r="J103" s="459"/>
      <c r="K103" s="1668"/>
      <c r="L103" s="459"/>
      <c r="M103" s="2340"/>
      <c r="O103" s="1668"/>
      <c r="P103" s="459"/>
      <c r="Q103" s="2340"/>
      <c r="R103" s="455"/>
      <c r="S103" s="2341"/>
      <c r="T103" s="459"/>
      <c r="U103" s="2370"/>
      <c r="V103" s="2429"/>
      <c r="W103" s="2343"/>
      <c r="X103" s="459"/>
      <c r="Y103" s="2370"/>
      <c r="AA103" s="1668"/>
      <c r="AB103" s="459"/>
      <c r="AC103" s="2370"/>
    </row>
    <row r="104" spans="1:29" s="340" customFormat="1" x14ac:dyDescent="0.25">
      <c r="B104" s="2512"/>
      <c r="C104" s="897"/>
      <c r="E104" s="2386"/>
      <c r="G104" s="2355"/>
      <c r="H104" s="455"/>
      <c r="I104" s="897"/>
      <c r="J104" s="455"/>
      <c r="K104" s="1668"/>
      <c r="M104" s="2340"/>
      <c r="O104" s="1668"/>
      <c r="Q104" s="2340"/>
      <c r="R104" s="455"/>
      <c r="S104" s="2341"/>
      <c r="U104" s="2370"/>
      <c r="V104" s="2429"/>
      <c r="W104" s="2343"/>
      <c r="Y104" s="2370"/>
      <c r="AA104" s="1668"/>
      <c r="AC104" s="2370"/>
    </row>
    <row r="105" spans="1:29" s="340" customFormat="1" x14ac:dyDescent="0.25">
      <c r="B105" s="2512"/>
      <c r="C105" s="897"/>
      <c r="E105" s="2386"/>
      <c r="G105" s="2355"/>
      <c r="H105" s="455"/>
      <c r="I105" s="897"/>
      <c r="J105" s="455"/>
      <c r="K105" s="1668"/>
      <c r="M105" s="2340"/>
      <c r="O105" s="1668"/>
      <c r="Q105" s="2340"/>
      <c r="R105" s="455"/>
      <c r="S105" s="2341"/>
      <c r="U105" s="2370"/>
      <c r="V105" s="2429"/>
      <c r="W105" s="2343"/>
      <c r="Y105" s="2370"/>
      <c r="AA105" s="1668"/>
      <c r="AC105" s="2370"/>
    </row>
    <row r="106" spans="1:29" s="340" customFormat="1" x14ac:dyDescent="0.25">
      <c r="B106" s="2512"/>
      <c r="C106" s="897"/>
      <c r="E106" s="2386"/>
      <c r="G106" s="2355"/>
      <c r="H106" s="455"/>
      <c r="I106" s="897"/>
      <c r="J106" s="455"/>
      <c r="K106" s="1668"/>
      <c r="M106" s="2340"/>
      <c r="O106" s="1668"/>
      <c r="Q106" s="2340"/>
      <c r="R106" s="455"/>
      <c r="S106" s="2341"/>
      <c r="U106" s="2370"/>
      <c r="V106" s="2429"/>
      <c r="W106" s="2343"/>
      <c r="Y106" s="2370"/>
      <c r="AA106" s="1668"/>
      <c r="AC106" s="2370"/>
    </row>
    <row r="107" spans="1:29" s="340" customFormat="1" x14ac:dyDescent="0.25">
      <c r="B107" s="2512"/>
      <c r="C107" s="897"/>
      <c r="E107" s="2386"/>
      <c r="G107" s="2355"/>
      <c r="H107" s="455"/>
      <c r="I107" s="897"/>
      <c r="J107" s="455"/>
      <c r="K107" s="1668"/>
      <c r="M107" s="2340"/>
      <c r="O107" s="1668"/>
      <c r="Q107" s="2340"/>
      <c r="R107" s="455"/>
      <c r="S107" s="2341"/>
      <c r="U107" s="2370"/>
      <c r="V107" s="2429"/>
      <c r="W107" s="2343"/>
      <c r="Y107" s="2370"/>
      <c r="AA107" s="1668"/>
      <c r="AC107" s="2370"/>
    </row>
    <row r="108" spans="1:29" s="2410" customFormat="1" ht="11.25" x14ac:dyDescent="0.2">
      <c r="B108" s="2522"/>
      <c r="C108" s="2502" t="s">
        <v>263</v>
      </c>
      <c r="D108" s="2397">
        <f>+D95+D89+D83+D70+D56</f>
        <v>0</v>
      </c>
      <c r="E108" s="2419"/>
      <c r="G108" s="2399" t="s">
        <v>221</v>
      </c>
      <c r="H108" s="2397">
        <f>+H95+H89+H83+H70+H56</f>
        <v>208531</v>
      </c>
      <c r="I108" s="2400"/>
      <c r="J108" s="607"/>
      <c r="K108" s="2399" t="s">
        <v>221</v>
      </c>
      <c r="L108" s="2397">
        <f>+L95+L89+L83+L70+L56</f>
        <v>209855</v>
      </c>
      <c r="M108" s="2401"/>
      <c r="O108" s="2399" t="s">
        <v>221</v>
      </c>
      <c r="P108" s="2397">
        <f>+P95+P89+P83+P70+P56</f>
        <v>219920</v>
      </c>
      <c r="Q108" s="2401"/>
      <c r="R108" s="2414"/>
      <c r="S108" s="2405" t="s">
        <v>221</v>
      </c>
      <c r="T108" s="2397">
        <f>+T83+T70+T54+T42+T29</f>
        <v>228577</v>
      </c>
      <c r="U108" s="2403"/>
      <c r="V108" s="2503"/>
      <c r="W108" s="2408" t="s">
        <v>221</v>
      </c>
      <c r="X108" s="2397" t="e">
        <f>+X83+X70+X54+X42+X29</f>
        <v>#REF!</v>
      </c>
      <c r="Y108" s="2403"/>
      <c r="AA108" s="2399" t="s">
        <v>221</v>
      </c>
      <c r="AB108" s="2397" t="e">
        <f>+AB83+AB70+AB54+AB42+AB29</f>
        <v>#REF!</v>
      </c>
      <c r="AC108" s="2403"/>
    </row>
    <row r="109" spans="1:29" s="2414" customFormat="1" x14ac:dyDescent="0.25">
      <c r="B109" s="2522"/>
      <c r="C109" s="2504"/>
      <c r="D109" s="2505">
        <f>+D98-D108</f>
        <v>0</v>
      </c>
      <c r="E109" s="2413"/>
      <c r="G109" s="2416"/>
      <c r="H109" s="2505">
        <f>+H98-H108</f>
        <v>0</v>
      </c>
      <c r="I109" s="2413"/>
      <c r="K109" s="2416"/>
      <c r="L109" s="2505">
        <f>+L98-L108</f>
        <v>0</v>
      </c>
      <c r="M109" s="2506"/>
      <c r="O109" s="2416"/>
      <c r="P109" s="2505">
        <f>+P98-P108</f>
        <v>0</v>
      </c>
      <c r="Q109" s="2507"/>
      <c r="R109" s="455"/>
      <c r="S109" s="2416"/>
      <c r="T109" s="2505"/>
      <c r="V109" s="2503"/>
      <c r="W109" s="2417"/>
      <c r="X109" s="2505"/>
      <c r="AA109" s="2416"/>
      <c r="AB109" s="2505"/>
    </row>
    <row r="110" spans="1:29" s="2414" customFormat="1" ht="11.25" x14ac:dyDescent="0.2">
      <c r="B110" s="2522"/>
      <c r="C110" s="2504"/>
      <c r="D110" s="2505"/>
      <c r="E110" s="2413"/>
      <c r="G110" s="2416"/>
      <c r="H110" s="2505"/>
      <c r="I110" s="2413"/>
      <c r="K110" s="2416"/>
      <c r="L110" s="2505"/>
      <c r="M110" s="2507"/>
      <c r="O110" s="2416"/>
      <c r="P110" s="2505"/>
      <c r="Q110" s="2507"/>
      <c r="S110" s="2416"/>
      <c r="T110" s="2505"/>
      <c r="V110" s="2503"/>
      <c r="W110" s="2417"/>
      <c r="X110" s="2505"/>
      <c r="AA110" s="2416"/>
      <c r="AB110" s="2505"/>
    </row>
    <row r="111" spans="1:29" s="455" customFormat="1" ht="15" customHeight="1" x14ac:dyDescent="0.25">
      <c r="B111" s="2523"/>
      <c r="C111" s="2509"/>
      <c r="D111" s="459"/>
      <c r="E111" s="897"/>
      <c r="G111" s="2447"/>
      <c r="H111" s="459"/>
      <c r="I111" s="897"/>
      <c r="K111" s="2447"/>
      <c r="L111" s="459"/>
      <c r="M111" s="2488"/>
      <c r="O111" s="2447"/>
      <c r="P111" s="459"/>
      <c r="Q111" s="2488"/>
      <c r="S111" s="2447"/>
      <c r="T111" s="459"/>
      <c r="V111" s="2429"/>
      <c r="W111" s="2448"/>
      <c r="X111" s="459"/>
      <c r="AA111" s="2447"/>
      <c r="AB111" s="459"/>
    </row>
    <row r="112" spans="1:29" s="340" customFormat="1" x14ac:dyDescent="0.25">
      <c r="A112" s="455"/>
      <c r="B112" s="2523"/>
      <c r="C112" s="2509"/>
      <c r="D112" s="455"/>
      <c r="E112" s="2386"/>
      <c r="G112" s="2338"/>
      <c r="H112" s="2424"/>
      <c r="I112" s="897"/>
      <c r="J112" s="455"/>
      <c r="K112" s="1668"/>
      <c r="L112" s="2370"/>
      <c r="M112" s="2347"/>
      <c r="O112" s="1668"/>
      <c r="Q112" s="2347"/>
      <c r="R112" s="2414"/>
      <c r="S112" s="2341"/>
      <c r="V112" s="2429"/>
      <c r="W112" s="2343"/>
      <c r="AA112" s="1668"/>
    </row>
    <row r="113" spans="1:29" s="340" customFormat="1" x14ac:dyDescent="0.25">
      <c r="A113" s="455"/>
      <c r="B113" s="2524"/>
      <c r="C113" s="897"/>
      <c r="D113" s="342"/>
      <c r="E113" s="2386"/>
      <c r="G113" s="2338"/>
      <c r="H113" s="2424"/>
      <c r="I113" s="897"/>
      <c r="J113" s="455"/>
      <c r="K113" s="1668"/>
      <c r="L113" s="2370"/>
      <c r="M113" s="2347"/>
      <c r="O113" s="1668"/>
      <c r="Q113" s="2347"/>
      <c r="R113" s="455"/>
      <c r="S113" s="2341"/>
      <c r="V113" s="2429"/>
      <c r="W113" s="2343"/>
      <c r="AA113" s="1668"/>
    </row>
    <row r="114" spans="1:29" s="340" customFormat="1" x14ac:dyDescent="0.25">
      <c r="B114" s="2524"/>
      <c r="C114" s="897"/>
      <c r="D114" s="455"/>
      <c r="E114" s="2386"/>
      <c r="G114" s="2338"/>
      <c r="H114" s="2424"/>
      <c r="I114" s="897"/>
      <c r="J114" s="455"/>
      <c r="K114" s="1668"/>
      <c r="L114" s="2370"/>
      <c r="M114" s="2347"/>
      <c r="O114" s="1668"/>
      <c r="Q114" s="2347"/>
      <c r="R114" s="2414"/>
      <c r="S114" s="2341"/>
      <c r="V114" s="2429"/>
      <c r="W114" s="2343"/>
      <c r="AA114" s="1668"/>
    </row>
    <row r="115" spans="1:29" s="340" customFormat="1" x14ac:dyDescent="0.25">
      <c r="B115" s="2524"/>
      <c r="C115" s="897"/>
      <c r="D115" s="455"/>
      <c r="E115" s="2386"/>
      <c r="G115" s="2338"/>
      <c r="H115" s="2424"/>
      <c r="I115" s="897"/>
      <c r="J115" s="455"/>
      <c r="K115" s="1668"/>
      <c r="L115" s="2370"/>
      <c r="M115" s="2347"/>
      <c r="O115" s="1668"/>
      <c r="Q115" s="2347"/>
      <c r="R115" s="455"/>
      <c r="S115" s="2341"/>
      <c r="V115" s="2429"/>
      <c r="W115" s="2343"/>
      <c r="AA115" s="1668"/>
    </row>
    <row r="116" spans="1:29" s="340" customFormat="1" ht="15" customHeight="1" x14ac:dyDescent="0.25">
      <c r="B116" s="2524"/>
      <c r="C116" s="897"/>
      <c r="D116" s="455"/>
      <c r="E116" s="2386"/>
      <c r="G116" s="2338"/>
      <c r="H116" s="2424"/>
      <c r="I116" s="897"/>
      <c r="J116" s="455"/>
      <c r="K116" s="1668"/>
      <c r="L116" s="2370"/>
      <c r="M116" s="2347"/>
      <c r="O116" s="1668"/>
      <c r="Q116" s="2347"/>
      <c r="R116" s="455"/>
      <c r="S116" s="2341"/>
      <c r="V116" s="2429"/>
      <c r="W116" s="2343"/>
      <c r="AA116" s="1668"/>
    </row>
    <row r="117" spans="1:29" s="340" customFormat="1" x14ac:dyDescent="0.25">
      <c r="B117" s="2524"/>
      <c r="C117" s="897"/>
      <c r="D117" s="455"/>
      <c r="E117" s="2386"/>
      <c r="G117" s="2338"/>
      <c r="H117" s="2424"/>
      <c r="I117" s="897"/>
      <c r="J117" s="455"/>
      <c r="K117" s="1668"/>
      <c r="L117" s="2370"/>
      <c r="M117" s="2347"/>
      <c r="O117" s="1668"/>
      <c r="Q117" s="2347"/>
      <c r="R117" s="455"/>
      <c r="S117" s="2341"/>
      <c r="V117" s="2429"/>
      <c r="W117" s="2343"/>
      <c r="AA117" s="1668"/>
    </row>
    <row r="118" spans="1:29" s="340" customFormat="1" x14ac:dyDescent="0.25">
      <c r="B118" s="2524"/>
      <c r="C118" s="897"/>
      <c r="D118" s="455"/>
      <c r="E118" s="2386"/>
      <c r="G118" s="2338"/>
      <c r="H118" s="2424"/>
      <c r="I118" s="897"/>
      <c r="J118" s="455"/>
      <c r="K118" s="1668"/>
      <c r="L118" s="2370"/>
      <c r="M118" s="2347"/>
      <c r="O118" s="1668"/>
      <c r="Q118" s="2347"/>
      <c r="R118" s="455"/>
      <c r="S118" s="2341"/>
      <c r="V118" s="2429"/>
      <c r="W118" s="2343"/>
      <c r="AA118" s="1668"/>
    </row>
    <row r="119" spans="1:29" s="340" customFormat="1" ht="15" customHeight="1" x14ac:dyDescent="0.25">
      <c r="B119" s="2564"/>
      <c r="C119" s="2564"/>
      <c r="D119" s="455"/>
      <c r="E119" s="2386"/>
      <c r="G119" s="2338"/>
      <c r="H119" s="2424"/>
      <c r="I119" s="897"/>
      <c r="J119" s="455"/>
      <c r="K119" s="1668"/>
      <c r="L119" s="2370"/>
      <c r="M119" s="2347"/>
      <c r="O119" s="1668"/>
      <c r="Q119" s="2347"/>
      <c r="R119" s="455"/>
      <c r="S119" s="2341"/>
      <c r="V119" s="2429"/>
      <c r="W119" s="2343"/>
      <c r="AA119" s="1668"/>
    </row>
    <row r="120" spans="1:29" s="340" customFormat="1" x14ac:dyDescent="0.25">
      <c r="B120" s="2564"/>
      <c r="C120" s="2564"/>
      <c r="D120" s="455"/>
      <c r="E120" s="2386"/>
      <c r="G120" s="2338"/>
      <c r="H120" s="2424"/>
      <c r="I120" s="897"/>
      <c r="J120" s="455"/>
      <c r="K120" s="1668"/>
      <c r="L120" s="2370"/>
      <c r="M120" s="2347"/>
      <c r="O120" s="1668"/>
      <c r="Q120" s="2347"/>
      <c r="R120" s="455"/>
      <c r="S120" s="2341"/>
      <c r="V120" s="2429"/>
      <c r="W120" s="2343"/>
      <c r="AA120" s="1668"/>
    </row>
    <row r="121" spans="1:29" s="2386" customFormat="1" x14ac:dyDescent="0.25">
      <c r="A121" s="340"/>
      <c r="B121" s="2524"/>
      <c r="C121" s="897"/>
      <c r="D121" s="460"/>
      <c r="F121" s="340"/>
      <c r="G121" s="2338"/>
      <c r="H121" s="2424"/>
      <c r="I121" s="897"/>
      <c r="J121" s="455"/>
      <c r="K121" s="1668"/>
      <c r="L121" s="2370"/>
      <c r="M121" s="2347"/>
      <c r="N121" s="340"/>
      <c r="O121" s="1668"/>
      <c r="P121" s="340"/>
      <c r="Q121" s="2347"/>
      <c r="R121" s="455"/>
      <c r="S121" s="2341"/>
      <c r="T121" s="340"/>
      <c r="U121" s="340"/>
      <c r="V121" s="2429"/>
      <c r="W121" s="2343"/>
      <c r="X121" s="340"/>
      <c r="Y121" s="340"/>
      <c r="Z121" s="340"/>
      <c r="AA121" s="1668"/>
      <c r="AB121" s="340"/>
      <c r="AC121" s="340"/>
    </row>
    <row r="122" spans="1:29" s="2386" customFormat="1" x14ac:dyDescent="0.25">
      <c r="A122" s="340"/>
      <c r="B122" s="2524"/>
      <c r="C122" s="897"/>
      <c r="D122" s="455"/>
      <c r="F122" s="340"/>
      <c r="G122" s="2338"/>
      <c r="H122" s="2424"/>
      <c r="I122" s="897"/>
      <c r="J122" s="455"/>
      <c r="K122" s="1668"/>
      <c r="L122" s="2370"/>
      <c r="M122" s="2347"/>
      <c r="N122" s="340"/>
      <c r="O122" s="1668"/>
      <c r="P122" s="340"/>
      <c r="Q122" s="2347"/>
      <c r="R122" s="455"/>
      <c r="S122" s="2341"/>
      <c r="T122" s="340"/>
      <c r="U122" s="340"/>
      <c r="V122" s="2429"/>
      <c r="W122" s="2343"/>
      <c r="X122" s="340"/>
      <c r="Y122" s="340"/>
      <c r="Z122" s="340"/>
      <c r="AA122" s="1668"/>
      <c r="AB122" s="340"/>
      <c r="AC122" s="340"/>
    </row>
    <row r="123" spans="1:29" s="2386" customFormat="1" x14ac:dyDescent="0.25">
      <c r="A123" s="340"/>
      <c r="B123" s="2524"/>
      <c r="C123" s="897"/>
      <c r="D123" s="455"/>
      <c r="F123" s="340"/>
      <c r="G123" s="2338"/>
      <c r="H123" s="2424"/>
      <c r="I123" s="897"/>
      <c r="J123" s="455"/>
      <c r="K123" s="1668"/>
      <c r="L123" s="2370"/>
      <c r="M123" s="2347"/>
      <c r="N123" s="340"/>
      <c r="O123" s="1668"/>
      <c r="P123" s="340"/>
      <c r="Q123" s="2347"/>
      <c r="R123" s="455"/>
      <c r="S123" s="2341"/>
      <c r="T123" s="340"/>
      <c r="U123" s="340"/>
      <c r="V123" s="2429"/>
      <c r="W123" s="2343"/>
      <c r="X123" s="340"/>
      <c r="Y123" s="340"/>
      <c r="Z123" s="340"/>
      <c r="AA123" s="1668"/>
      <c r="AB123" s="340"/>
      <c r="AC123" s="340"/>
    </row>
    <row r="124" spans="1:29" s="2386" customFormat="1" ht="28.5" customHeight="1" x14ac:dyDescent="0.25">
      <c r="A124" s="340"/>
      <c r="B124" s="2524"/>
      <c r="C124" s="897"/>
      <c r="D124" s="342"/>
      <c r="F124" s="340"/>
      <c r="G124" s="2338"/>
      <c r="H124" s="2424"/>
      <c r="I124" s="897"/>
      <c r="J124" s="455"/>
      <c r="K124" s="1668"/>
      <c r="L124" s="2370"/>
      <c r="M124" s="2347"/>
      <c r="N124" s="340"/>
      <c r="O124" s="1668"/>
      <c r="P124" s="340"/>
      <c r="Q124" s="2347"/>
      <c r="R124" s="455"/>
      <c r="S124" s="2341"/>
      <c r="T124" s="340"/>
      <c r="U124" s="340"/>
      <c r="V124" s="2429"/>
      <c r="W124" s="2343"/>
      <c r="X124" s="340"/>
      <c r="Y124" s="340"/>
      <c r="Z124" s="340"/>
      <c r="AA124" s="1668"/>
      <c r="AB124" s="340"/>
      <c r="AC124" s="340"/>
    </row>
    <row r="125" spans="1:29" s="2386" customFormat="1" x14ac:dyDescent="0.25">
      <c r="A125" s="340"/>
      <c r="B125" s="2524"/>
      <c r="C125" s="897"/>
      <c r="D125" s="455"/>
      <c r="F125" s="340"/>
      <c r="G125" s="2338"/>
      <c r="H125" s="2424"/>
      <c r="I125" s="897"/>
      <c r="J125" s="455"/>
      <c r="K125" s="1668"/>
      <c r="L125" s="2370"/>
      <c r="M125" s="2347"/>
      <c r="N125" s="340"/>
      <c r="O125" s="1668"/>
      <c r="P125" s="340"/>
      <c r="Q125" s="2347"/>
      <c r="R125" s="455"/>
      <c r="S125" s="2341"/>
      <c r="T125" s="340"/>
      <c r="U125" s="340"/>
      <c r="V125" s="2429"/>
      <c r="W125" s="2343"/>
      <c r="X125" s="340"/>
      <c r="Y125" s="340"/>
      <c r="Z125" s="340"/>
      <c r="AA125" s="1668"/>
      <c r="AB125" s="340"/>
      <c r="AC125" s="340"/>
    </row>
    <row r="126" spans="1:29" s="2386" customFormat="1" x14ac:dyDescent="0.25">
      <c r="A126" s="340"/>
      <c r="B126" s="2524"/>
      <c r="C126" s="897"/>
      <c r="D126" s="455"/>
      <c r="F126" s="340"/>
      <c r="G126" s="2338"/>
      <c r="H126" s="2424"/>
      <c r="I126" s="897"/>
      <c r="J126" s="455"/>
      <c r="K126" s="1668"/>
      <c r="L126" s="2370"/>
      <c r="M126" s="2347"/>
      <c r="N126" s="340"/>
      <c r="O126" s="1668"/>
      <c r="P126" s="340"/>
      <c r="Q126" s="2347"/>
      <c r="R126" s="455"/>
      <c r="S126" s="2341"/>
      <c r="T126" s="340"/>
      <c r="U126" s="340"/>
      <c r="V126" s="2429"/>
      <c r="W126" s="2343"/>
      <c r="X126" s="340"/>
      <c r="Y126" s="340"/>
      <c r="Z126" s="340"/>
      <c r="AA126" s="1668"/>
      <c r="AB126" s="340"/>
      <c r="AC126" s="340"/>
    </row>
    <row r="127" spans="1:29" s="2386" customFormat="1" x14ac:dyDescent="0.25">
      <c r="A127" s="340"/>
      <c r="B127" s="2524"/>
      <c r="C127" s="897"/>
      <c r="D127" s="455"/>
      <c r="F127" s="340"/>
      <c r="G127" s="2338"/>
      <c r="H127" s="2424"/>
      <c r="I127" s="897"/>
      <c r="J127" s="455"/>
      <c r="K127" s="1668"/>
      <c r="L127" s="2370"/>
      <c r="M127" s="2347"/>
      <c r="N127" s="340"/>
      <c r="O127" s="1668"/>
      <c r="P127" s="340"/>
      <c r="Q127" s="2347"/>
      <c r="R127" s="455"/>
      <c r="S127" s="2341"/>
      <c r="T127" s="340"/>
      <c r="U127" s="340"/>
      <c r="V127" s="2429"/>
      <c r="W127" s="2343"/>
      <c r="X127" s="340"/>
      <c r="Y127" s="340"/>
      <c r="Z127" s="340"/>
      <c r="AA127" s="1668"/>
      <c r="AB127" s="340"/>
      <c r="AC127" s="340"/>
    </row>
    <row r="128" spans="1:29" s="2386" customFormat="1" x14ac:dyDescent="0.25">
      <c r="A128" s="340"/>
      <c r="B128" s="2524"/>
      <c r="C128" s="897"/>
      <c r="D128" s="455"/>
      <c r="F128" s="340"/>
      <c r="G128" s="2338"/>
      <c r="H128" s="2424"/>
      <c r="I128" s="897"/>
      <c r="J128" s="455"/>
      <c r="K128" s="1668"/>
      <c r="L128" s="2370"/>
      <c r="M128" s="2347"/>
      <c r="N128" s="340"/>
      <c r="O128" s="1668"/>
      <c r="P128" s="340"/>
      <c r="Q128" s="2347"/>
      <c r="R128" s="455"/>
      <c r="S128" s="2341"/>
      <c r="T128" s="340"/>
      <c r="U128" s="340"/>
      <c r="V128" s="2429"/>
      <c r="W128" s="2343"/>
      <c r="X128" s="340"/>
      <c r="Y128" s="340"/>
      <c r="Z128" s="340"/>
      <c r="AA128" s="1668"/>
      <c r="AB128" s="340"/>
      <c r="AC128" s="340"/>
    </row>
    <row r="129" spans="1:29" s="2386" customFormat="1" x14ac:dyDescent="0.25">
      <c r="A129" s="340"/>
      <c r="B129" s="2524"/>
      <c r="C129" s="897"/>
      <c r="D129" s="455"/>
      <c r="F129" s="340"/>
      <c r="G129" s="2338"/>
      <c r="H129" s="2424"/>
      <c r="I129" s="897"/>
      <c r="J129" s="455"/>
      <c r="K129" s="1668"/>
      <c r="L129" s="2370"/>
      <c r="M129" s="2347"/>
      <c r="N129" s="340"/>
      <c r="O129" s="1668"/>
      <c r="P129" s="340"/>
      <c r="Q129" s="2347"/>
      <c r="R129" s="455"/>
      <c r="S129" s="2341"/>
      <c r="T129" s="340"/>
      <c r="U129" s="340"/>
      <c r="V129" s="2429"/>
      <c r="W129" s="2343"/>
      <c r="X129" s="340"/>
      <c r="Y129" s="340"/>
      <c r="Z129" s="340"/>
      <c r="AA129" s="1668"/>
      <c r="AB129" s="340"/>
      <c r="AC129" s="340"/>
    </row>
    <row r="130" spans="1:29" s="2386" customFormat="1" x14ac:dyDescent="0.25">
      <c r="A130" s="340"/>
      <c r="B130" s="2524"/>
      <c r="C130" s="897"/>
      <c r="D130" s="455"/>
      <c r="F130" s="340"/>
      <c r="G130" s="2338"/>
      <c r="H130" s="2424"/>
      <c r="I130" s="897"/>
      <c r="J130" s="455"/>
      <c r="K130" s="1668"/>
      <c r="L130" s="2370"/>
      <c r="M130" s="2347"/>
      <c r="N130" s="340"/>
      <c r="O130" s="1668"/>
      <c r="P130" s="340"/>
      <c r="Q130" s="2347"/>
      <c r="R130" s="455"/>
      <c r="S130" s="2341"/>
      <c r="T130" s="340"/>
      <c r="U130" s="340"/>
      <c r="V130" s="2429"/>
      <c r="W130" s="2343"/>
      <c r="X130" s="340"/>
      <c r="Y130" s="340"/>
      <c r="Z130" s="340"/>
      <c r="AA130" s="1668"/>
      <c r="AB130" s="340"/>
      <c r="AC130" s="340"/>
    </row>
    <row r="131" spans="1:29" s="2386" customFormat="1" x14ac:dyDescent="0.25">
      <c r="A131" s="340"/>
      <c r="B131" s="2524"/>
      <c r="C131" s="897"/>
      <c r="D131" s="455"/>
      <c r="F131" s="340"/>
      <c r="G131" s="2338"/>
      <c r="H131" s="2424"/>
      <c r="I131" s="897"/>
      <c r="J131" s="455"/>
      <c r="K131" s="1668"/>
      <c r="L131" s="2370"/>
      <c r="M131" s="2347"/>
      <c r="N131" s="340"/>
      <c r="O131" s="1668"/>
      <c r="P131" s="340"/>
      <c r="Q131" s="2347"/>
      <c r="R131" s="455"/>
      <c r="S131" s="2341"/>
      <c r="T131" s="340"/>
      <c r="U131" s="340"/>
      <c r="V131" s="2429"/>
      <c r="W131" s="2343"/>
      <c r="X131" s="340"/>
      <c r="Y131" s="340"/>
      <c r="Z131" s="340"/>
      <c r="AA131" s="1668"/>
      <c r="AB131" s="340"/>
      <c r="AC131" s="340"/>
    </row>
    <row r="132" spans="1:29" s="848" customFormat="1" x14ac:dyDescent="0.25">
      <c r="A132" s="108"/>
      <c r="B132" s="2160"/>
      <c r="C132" s="856"/>
      <c r="D132" s="36"/>
      <c r="F132" s="2"/>
      <c r="G132" s="52"/>
      <c r="H132" s="121"/>
      <c r="I132" s="856"/>
      <c r="J132" s="66"/>
      <c r="K132" s="333"/>
      <c r="L132" s="122"/>
      <c r="M132" s="957"/>
      <c r="N132" s="2"/>
      <c r="O132" s="333"/>
      <c r="P132" s="2"/>
      <c r="Q132" s="957"/>
      <c r="R132" s="36"/>
      <c r="S132" s="338"/>
      <c r="T132" s="2"/>
      <c r="U132" s="2"/>
      <c r="V132" s="280"/>
      <c r="W132" s="2244"/>
      <c r="X132" s="2"/>
      <c r="Y132" s="2"/>
      <c r="Z132" s="2"/>
      <c r="AA132" s="333"/>
      <c r="AB132" s="2"/>
      <c r="AC132" s="2"/>
    </row>
    <row r="133" spans="1:29" s="848" customFormat="1" x14ac:dyDescent="0.25">
      <c r="A133" s="108"/>
      <c r="B133" s="2160"/>
      <c r="C133" s="856"/>
      <c r="D133" s="36"/>
      <c r="F133" s="2"/>
      <c r="G133" s="52"/>
      <c r="H133" s="121"/>
      <c r="I133" s="856"/>
      <c r="J133" s="66"/>
      <c r="K133" s="333"/>
      <c r="L133" s="122"/>
      <c r="M133" s="957"/>
      <c r="N133" s="2"/>
      <c r="O133" s="333"/>
      <c r="P133" s="2"/>
      <c r="Q133" s="957"/>
      <c r="R133" s="36"/>
      <c r="S133" s="338"/>
      <c r="T133" s="2"/>
      <c r="U133" s="2"/>
      <c r="V133" s="280"/>
      <c r="W133" s="2244"/>
      <c r="X133" s="2"/>
      <c r="Y133" s="2"/>
      <c r="Z133" s="2"/>
      <c r="AA133" s="333"/>
      <c r="AB133" s="2"/>
      <c r="AC133" s="2"/>
    </row>
    <row r="134" spans="1:29" s="848" customFormat="1" x14ac:dyDescent="0.25">
      <c r="A134" s="108"/>
      <c r="B134" s="2160"/>
      <c r="C134" s="856"/>
      <c r="D134" s="36"/>
      <c r="F134" s="2"/>
      <c r="G134" s="52"/>
      <c r="H134" s="121"/>
      <c r="I134" s="856"/>
      <c r="J134" s="66"/>
      <c r="K134" s="333"/>
      <c r="L134" s="122"/>
      <c r="M134" s="957"/>
      <c r="N134" s="2"/>
      <c r="O134" s="333"/>
      <c r="P134" s="2"/>
      <c r="Q134" s="957"/>
      <c r="R134" s="36"/>
      <c r="S134" s="338"/>
      <c r="T134" s="2"/>
      <c r="U134" s="2"/>
      <c r="V134" s="280"/>
      <c r="W134" s="2244"/>
      <c r="X134" s="2"/>
      <c r="Y134" s="2"/>
      <c r="Z134" s="2"/>
      <c r="AA134" s="333"/>
      <c r="AB134" s="2"/>
      <c r="AC134" s="2"/>
    </row>
    <row r="135" spans="1:29" s="848" customFormat="1" x14ac:dyDescent="0.25">
      <c r="A135" s="108"/>
      <c r="B135" s="2160"/>
      <c r="C135" s="856"/>
      <c r="D135" s="36"/>
      <c r="F135" s="2"/>
      <c r="G135" s="52"/>
      <c r="H135" s="121"/>
      <c r="I135" s="856"/>
      <c r="J135" s="66"/>
      <c r="K135" s="333"/>
      <c r="L135" s="122"/>
      <c r="M135" s="957"/>
      <c r="N135" s="2"/>
      <c r="O135" s="333"/>
      <c r="P135" s="2"/>
      <c r="Q135" s="957"/>
      <c r="R135" s="36"/>
      <c r="S135" s="338"/>
      <c r="T135" s="2"/>
      <c r="U135" s="2"/>
      <c r="V135" s="280"/>
      <c r="W135" s="2244"/>
      <c r="X135" s="2"/>
      <c r="Y135" s="2"/>
      <c r="Z135" s="2"/>
      <c r="AA135" s="333"/>
      <c r="AB135" s="2"/>
      <c r="AC135" s="2"/>
    </row>
    <row r="136" spans="1:29" s="848" customFormat="1" x14ac:dyDescent="0.25">
      <c r="A136" s="108"/>
      <c r="B136" s="2160"/>
      <c r="C136" s="856"/>
      <c r="D136" s="36"/>
      <c r="F136" s="2"/>
      <c r="G136" s="52"/>
      <c r="H136" s="121"/>
      <c r="I136" s="856"/>
      <c r="J136" s="66"/>
      <c r="K136" s="333"/>
      <c r="L136" s="122"/>
      <c r="M136" s="957"/>
      <c r="N136" s="2"/>
      <c r="O136" s="333"/>
      <c r="P136" s="2"/>
      <c r="Q136" s="957"/>
      <c r="R136" s="36"/>
      <c r="S136" s="338"/>
      <c r="T136" s="2"/>
      <c r="U136" s="2"/>
      <c r="V136" s="280"/>
      <c r="W136" s="2244"/>
      <c r="X136" s="2"/>
      <c r="Y136" s="2"/>
      <c r="Z136" s="2"/>
      <c r="AA136" s="333"/>
      <c r="AB136" s="2"/>
      <c r="AC136" s="2"/>
    </row>
    <row r="137" spans="1:29" s="848" customFormat="1" x14ac:dyDescent="0.25">
      <c r="A137" s="108"/>
      <c r="B137" s="2160"/>
      <c r="C137" s="856"/>
      <c r="D137" s="36"/>
      <c r="F137" s="2"/>
      <c r="G137" s="52"/>
      <c r="H137" s="121"/>
      <c r="I137" s="856"/>
      <c r="J137" s="66"/>
      <c r="K137" s="333"/>
      <c r="L137" s="122"/>
      <c r="M137" s="957"/>
      <c r="N137" s="2"/>
      <c r="O137" s="333"/>
      <c r="P137" s="2"/>
      <c r="Q137" s="957"/>
      <c r="R137" s="36"/>
      <c r="S137" s="338"/>
      <c r="T137" s="2"/>
      <c r="U137" s="2"/>
      <c r="V137" s="280"/>
      <c r="W137" s="2244"/>
      <c r="X137" s="2"/>
      <c r="Y137" s="2"/>
      <c r="Z137" s="2"/>
      <c r="AA137" s="333"/>
      <c r="AB137" s="2"/>
      <c r="AC137" s="2"/>
    </row>
    <row r="138" spans="1:29" s="848" customFormat="1" x14ac:dyDescent="0.25">
      <c r="A138" s="108"/>
      <c r="B138" s="2160"/>
      <c r="C138" s="856"/>
      <c r="D138" s="36"/>
      <c r="F138" s="2"/>
      <c r="G138" s="52"/>
      <c r="H138" s="121"/>
      <c r="I138" s="856"/>
      <c r="J138" s="66"/>
      <c r="K138" s="333"/>
      <c r="L138" s="122"/>
      <c r="M138" s="957"/>
      <c r="N138" s="2"/>
      <c r="O138" s="333"/>
      <c r="P138" s="2"/>
      <c r="Q138" s="957"/>
      <c r="R138" s="36"/>
      <c r="S138" s="338"/>
      <c r="T138" s="2"/>
      <c r="U138" s="2"/>
      <c r="V138" s="280"/>
      <c r="W138" s="2244"/>
      <c r="X138" s="2"/>
      <c r="Y138" s="2"/>
      <c r="Z138" s="2"/>
      <c r="AA138" s="333"/>
      <c r="AB138" s="2"/>
      <c r="AC138" s="2"/>
    </row>
    <row r="139" spans="1:29" s="848" customFormat="1" x14ac:dyDescent="0.25">
      <c r="A139" s="108"/>
      <c r="B139" s="2160"/>
      <c r="C139" s="856"/>
      <c r="D139" s="36"/>
      <c r="F139" s="2"/>
      <c r="G139" s="52"/>
      <c r="H139" s="121"/>
      <c r="I139" s="856"/>
      <c r="J139" s="66"/>
      <c r="K139" s="333"/>
      <c r="L139" s="122"/>
      <c r="M139" s="957"/>
      <c r="N139" s="2"/>
      <c r="O139" s="333"/>
      <c r="P139" s="2"/>
      <c r="Q139" s="957"/>
      <c r="R139" s="36"/>
      <c r="S139" s="338"/>
      <c r="T139" s="2"/>
      <c r="U139" s="2"/>
      <c r="V139" s="280"/>
      <c r="W139" s="2244"/>
      <c r="X139" s="2"/>
      <c r="Y139" s="2"/>
      <c r="Z139" s="2"/>
      <c r="AA139" s="333"/>
      <c r="AB139" s="2"/>
      <c r="AC139" s="2"/>
    </row>
  </sheetData>
  <sheetProtection password="E247" sheet="1" objects="1" scenarios="1"/>
  <mergeCells count="1">
    <mergeCell ref="B119:C120"/>
  </mergeCells>
  <pageMargins left="0.25" right="0.25" top="0.5" bottom="0.5" header="0.25" footer="0.25"/>
  <pageSetup paperSize="17" scale="89" orientation="portrait" r:id="rId1"/>
  <headerFooter>
    <oddHeader>&amp;L&amp;F</oddHeader>
    <oddFooter>&amp;R&amp;A</oddFooter>
  </headerFooter>
  <rowBreaks count="1" manualBreakCount="1">
    <brk id="111"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fitToPage="1"/>
  </sheetPr>
  <dimension ref="A1:AC139"/>
  <sheetViews>
    <sheetView zoomScaleNormal="100" workbookViewId="0">
      <pane xSplit="3" ySplit="6" topLeftCell="H7" activePane="bottomRight" state="frozen"/>
      <selection activeCell="H7" sqref="H7"/>
      <selection pane="topRight" activeCell="H7" sqref="H7"/>
      <selection pane="bottomLeft" activeCell="H7" sqref="H7"/>
      <selection pane="bottomRight" activeCell="H7" sqref="H7"/>
    </sheetView>
  </sheetViews>
  <sheetFormatPr defaultRowHeight="15" x14ac:dyDescent="0.25"/>
  <cols>
    <col min="1" max="1" width="2.42578125" style="108" customWidth="1"/>
    <col min="2" max="2" width="8.5703125" style="2168" customWidth="1"/>
    <col min="3" max="3" width="51.42578125" style="848" bestFit="1" customWidth="1"/>
    <col min="4" max="4" width="16" style="2" hidden="1" customWidth="1"/>
    <col min="5" max="5" width="23.28515625" style="848" hidden="1" customWidth="1"/>
    <col min="6" max="6" width="6" style="2" hidden="1" customWidth="1"/>
    <col min="7" max="7" width="10.7109375" style="52" hidden="1" customWidth="1"/>
    <col min="8" max="8" width="17.85546875" style="121" bestFit="1" customWidth="1"/>
    <col min="9" max="9" width="26" style="856" hidden="1" customWidth="1"/>
    <col min="10" max="10" width="5.7109375" style="66" hidden="1" customWidth="1"/>
    <col min="11" max="11" width="9.85546875" style="333" hidden="1" customWidth="1"/>
    <col min="12" max="12" width="15.42578125" style="122" bestFit="1" customWidth="1"/>
    <col min="13" max="13" width="26.140625" style="957" hidden="1" customWidth="1"/>
    <col min="14" max="14" width="5.7109375" style="2" hidden="1" customWidth="1"/>
    <col min="15" max="15" width="9.5703125" style="333" hidden="1" customWidth="1"/>
    <col min="16" max="16" width="15.42578125" style="2" bestFit="1" customWidth="1"/>
    <col min="17" max="17" width="25" style="957" hidden="1" customWidth="1"/>
    <col min="18" max="18" width="5.28515625" style="36" hidden="1" customWidth="1"/>
    <col min="19" max="19" width="9.42578125" style="338" hidden="1" customWidth="1"/>
    <col min="20" max="20" width="15.42578125" style="2" bestFit="1" customWidth="1"/>
    <col min="21" max="21" width="24.85546875" style="2" hidden="1" customWidth="1"/>
    <col min="22" max="22" width="5.7109375" style="280" customWidth="1"/>
    <col min="23" max="23" width="9.42578125" style="2244" hidden="1" customWidth="1"/>
    <col min="24" max="24" width="14" style="2" hidden="1" customWidth="1"/>
    <col min="25" max="25" width="24.85546875" style="2" hidden="1" customWidth="1"/>
    <col min="26" max="26" width="5.7109375" style="2" hidden="1" customWidth="1"/>
    <col min="27" max="27" width="9.42578125" style="333" hidden="1" customWidth="1"/>
    <col min="28" max="28" width="14" style="2" hidden="1" customWidth="1"/>
    <col min="29" max="29" width="24.85546875" style="2" hidden="1" customWidth="1"/>
    <col min="30" max="16384" width="9.140625" style="2"/>
  </cols>
  <sheetData>
    <row r="1" spans="1:29" x14ac:dyDescent="0.25">
      <c r="B1" s="2168" t="s">
        <v>61</v>
      </c>
      <c r="C1" s="873" t="s">
        <v>1099</v>
      </c>
      <c r="D1" s="97">
        <v>0</v>
      </c>
      <c r="E1" s="904"/>
      <c r="F1" s="121"/>
      <c r="G1" s="325"/>
      <c r="H1" s="99">
        <v>0</v>
      </c>
      <c r="I1" s="904"/>
      <c r="L1" s="121">
        <v>0</v>
      </c>
      <c r="M1" s="904"/>
      <c r="P1" s="121">
        <v>0</v>
      </c>
      <c r="Q1" s="904"/>
      <c r="T1" s="121">
        <v>0</v>
      </c>
      <c r="U1" s="121"/>
      <c r="X1" s="121">
        <v>0</v>
      </c>
      <c r="Y1" s="121"/>
      <c r="AB1" s="121">
        <v>0</v>
      </c>
      <c r="AC1" s="121"/>
    </row>
    <row r="2" spans="1:29" ht="17.25" x14ac:dyDescent="0.4">
      <c r="B2" s="2169" t="s">
        <v>59</v>
      </c>
      <c r="C2" s="1863">
        <v>42</v>
      </c>
      <c r="D2" s="99">
        <v>0</v>
      </c>
      <c r="E2" s="904"/>
      <c r="F2" s="121"/>
      <c r="G2" s="326"/>
      <c r="H2" s="99">
        <v>0</v>
      </c>
      <c r="I2" s="904"/>
      <c r="L2" s="87">
        <v>0</v>
      </c>
      <c r="M2" s="904"/>
      <c r="P2" s="87">
        <v>0</v>
      </c>
      <c r="Q2" s="904"/>
      <c r="T2" s="87">
        <v>0</v>
      </c>
      <c r="U2" s="121"/>
      <c r="X2" s="87">
        <v>0</v>
      </c>
      <c r="Y2" s="121"/>
      <c r="AB2" s="87">
        <v>0</v>
      </c>
      <c r="AC2" s="121"/>
    </row>
    <row r="3" spans="1:29" x14ac:dyDescent="0.25">
      <c r="C3" s="1690"/>
      <c r="D3" s="281">
        <f>+SUM(D1:D2)</f>
        <v>0</v>
      </c>
      <c r="E3" s="905"/>
      <c r="F3" s="99"/>
      <c r="G3" s="83"/>
      <c r="H3" s="281">
        <f>+SUM(H1:H2)</f>
        <v>0</v>
      </c>
      <c r="I3" s="913"/>
      <c r="L3" s="121">
        <f>SUM(L1:L2)</f>
        <v>0</v>
      </c>
      <c r="M3" s="956"/>
      <c r="P3" s="121">
        <f>SUM(P1:P2)</f>
        <v>0</v>
      </c>
      <c r="Q3" s="956"/>
      <c r="T3" s="121">
        <f>SUM(T1:T2)</f>
        <v>0</v>
      </c>
      <c r="U3" s="36"/>
      <c r="X3" s="121">
        <f>SUM(X1:X2)</f>
        <v>0</v>
      </c>
      <c r="Y3" s="36"/>
      <c r="AB3" s="121">
        <f>SUM(AB1:AB2)</f>
        <v>0</v>
      </c>
      <c r="AC3" s="36"/>
    </row>
    <row r="4" spans="1:29" x14ac:dyDescent="0.25">
      <c r="L4" s="121"/>
      <c r="M4" s="956"/>
      <c r="P4" s="121"/>
      <c r="Q4" s="956"/>
      <c r="T4" s="121"/>
      <c r="U4" s="36"/>
      <c r="X4" s="121"/>
      <c r="Y4" s="36"/>
      <c r="AB4" s="121"/>
      <c r="AC4" s="36"/>
    </row>
    <row r="5" spans="1:29" ht="15.75" x14ac:dyDescent="0.25">
      <c r="B5" s="2170" t="s">
        <v>56</v>
      </c>
      <c r="P5" s="122"/>
      <c r="T5" s="122"/>
      <c r="X5" s="122"/>
      <c r="AB5" s="122"/>
    </row>
    <row r="6" spans="1:29" s="242" customFormat="1" ht="15.75" x14ac:dyDescent="0.25">
      <c r="A6" s="241"/>
      <c r="B6" s="2171"/>
      <c r="C6" s="909"/>
      <c r="D6" s="2158" t="s">
        <v>55</v>
      </c>
      <c r="E6" s="906"/>
      <c r="G6" s="327"/>
      <c r="H6" s="282" t="str">
        <f>LEFT(D6,4)+1&amp;"-"&amp;RIGHT(D6,4)+1</f>
        <v>2017-2018</v>
      </c>
      <c r="I6" s="914"/>
      <c r="J6" s="283"/>
      <c r="K6" s="334"/>
      <c r="L6" s="123" t="str">
        <f>LEFT(H6,4)+1&amp;"-"&amp;RIGHT(H6,4)+1</f>
        <v>2018-2019</v>
      </c>
      <c r="M6" s="958"/>
      <c r="N6" s="284"/>
      <c r="O6" s="337"/>
      <c r="P6" s="123" t="str">
        <f>LEFT(L6,4)+1&amp;"-"&amp;RIGHT(L6,4)+1</f>
        <v>2019-2020</v>
      </c>
      <c r="Q6" s="958"/>
      <c r="R6" s="2236"/>
      <c r="S6" s="2242"/>
      <c r="T6" s="123" t="str">
        <f>LEFT(P6,4)+1&amp;"-"&amp;RIGHT(P6,4)+1</f>
        <v>2020-2021</v>
      </c>
      <c r="U6" s="123"/>
      <c r="V6" s="285"/>
      <c r="W6" s="2245"/>
      <c r="X6" s="123" t="str">
        <f>LEFT(T6,4)+1&amp;"-"&amp;RIGHT(T6,4)+1</f>
        <v>2021-2022</v>
      </c>
      <c r="Y6" s="123"/>
      <c r="Z6" s="284"/>
      <c r="AA6" s="337"/>
      <c r="AB6" s="123" t="str">
        <f>LEFT(X6,4)+1&amp;"-"&amp;RIGHT(X6,4)+1</f>
        <v>2022-2023</v>
      </c>
      <c r="AC6" s="123"/>
    </row>
    <row r="7" spans="1:29" s="340" customFormat="1" x14ac:dyDescent="0.25">
      <c r="B7" s="2486" t="s">
        <v>54</v>
      </c>
      <c r="C7" s="2386"/>
      <c r="D7" s="340">
        <v>0</v>
      </c>
      <c r="E7" s="2386"/>
      <c r="G7" s="2338"/>
      <c r="H7" s="340">
        <v>0</v>
      </c>
      <c r="I7" s="2386"/>
      <c r="J7" s="455"/>
      <c r="K7" s="1668"/>
      <c r="L7" s="340">
        <f>H102</f>
        <v>0</v>
      </c>
      <c r="M7" s="2347"/>
      <c r="O7" s="1668"/>
      <c r="P7" s="340">
        <f>L102</f>
        <v>100000</v>
      </c>
      <c r="Q7" s="2347"/>
      <c r="R7" s="455"/>
      <c r="S7" s="2341"/>
      <c r="T7" s="340">
        <f>P102</f>
        <v>-175000</v>
      </c>
      <c r="V7" s="2429"/>
      <c r="W7" s="2343"/>
      <c r="X7" s="340">
        <f>T102</f>
        <v>-450000</v>
      </c>
      <c r="AA7" s="1668"/>
      <c r="AB7" s="340" t="e">
        <f>X102</f>
        <v>#REF!</v>
      </c>
    </row>
    <row r="8" spans="1:29" s="340" customFormat="1" x14ac:dyDescent="0.25">
      <c r="B8" s="2487"/>
      <c r="C8" s="2386"/>
      <c r="E8" s="2386"/>
      <c r="G8" s="2338"/>
      <c r="I8" s="2386"/>
      <c r="J8" s="455"/>
      <c r="K8" s="1668"/>
      <c r="M8" s="2347"/>
      <c r="O8" s="1668"/>
      <c r="Q8" s="2347"/>
      <c r="R8" s="455"/>
      <c r="S8" s="2341"/>
      <c r="V8" s="2429"/>
      <c r="W8" s="2343"/>
      <c r="AA8" s="1668"/>
    </row>
    <row r="9" spans="1:29" s="340" customFormat="1" x14ac:dyDescent="0.25">
      <c r="B9" s="2487" t="s">
        <v>52</v>
      </c>
      <c r="C9" s="2386"/>
      <c r="E9" s="2386"/>
      <c r="G9" s="456"/>
      <c r="H9" s="833"/>
      <c r="I9" s="2386"/>
      <c r="J9" s="342"/>
      <c r="K9" s="456"/>
      <c r="L9" s="833"/>
      <c r="M9" s="2347"/>
      <c r="O9" s="456"/>
      <c r="P9" s="833"/>
      <c r="Q9" s="2347"/>
      <c r="R9" s="455"/>
      <c r="S9" s="2238"/>
      <c r="T9" s="833"/>
      <c r="V9" s="2429"/>
      <c r="W9" s="2241" t="str">
        <f>IF(T9=0,"0.00%",(X9-T9)/T9)</f>
        <v>0.00%</v>
      </c>
      <c r="X9" s="833">
        <f>X3</f>
        <v>0</v>
      </c>
      <c r="AA9" s="456" t="str">
        <f>IF(X9=0,"0.00%",(AB9-X9)/X9)</f>
        <v>0.00%</v>
      </c>
      <c r="AB9" s="833">
        <f>AB3</f>
        <v>0</v>
      </c>
    </row>
    <row r="10" spans="1:29" s="340" customFormat="1" x14ac:dyDescent="0.25">
      <c r="B10" s="2441">
        <v>8981</v>
      </c>
      <c r="C10" s="2386" t="s">
        <v>1100</v>
      </c>
      <c r="D10" s="340">
        <v>0</v>
      </c>
      <c r="E10" s="2386"/>
      <c r="G10" s="456" t="str">
        <f t="shared" ref="G10:G18" si="0">IF(D10=0,"0.00%",(H10-D10)/D10)</f>
        <v>0.00%</v>
      </c>
      <c r="H10" s="833">
        <v>0</v>
      </c>
      <c r="I10" s="2386"/>
      <c r="J10" s="342"/>
      <c r="K10" s="456" t="str">
        <f t="shared" ref="K10:K14" si="1">IF(H10=0,"0.00%",(L10-H10)/H10)</f>
        <v>0.00%</v>
      </c>
      <c r="L10" s="833">
        <v>475000</v>
      </c>
      <c r="M10" s="2347"/>
      <c r="O10" s="456">
        <f t="shared" ref="O10:O14" si="2">IF(L10=0,"0.00%",(P10-L10)/L10)</f>
        <v>-0.78947368421052633</v>
      </c>
      <c r="P10" s="833">
        <v>100000</v>
      </c>
      <c r="Q10" s="2347"/>
      <c r="R10" s="455"/>
      <c r="S10" s="2238">
        <f>IF(P10=0,"0.00%",(T10-P10)/P10)</f>
        <v>0</v>
      </c>
      <c r="T10" s="833">
        <v>100000</v>
      </c>
      <c r="V10" s="2429"/>
      <c r="W10" s="2241"/>
      <c r="X10" s="833"/>
      <c r="AA10" s="456"/>
      <c r="AB10" s="833"/>
    </row>
    <row r="11" spans="1:29" s="340" customFormat="1" hidden="1" x14ac:dyDescent="0.25">
      <c r="B11" s="2441"/>
      <c r="C11" s="2386"/>
      <c r="D11" s="340">
        <v>0</v>
      </c>
      <c r="E11" s="2386"/>
      <c r="G11" s="456" t="str">
        <f t="shared" si="0"/>
        <v>0.00%</v>
      </c>
      <c r="H11" s="833">
        <v>0</v>
      </c>
      <c r="I11" s="2386"/>
      <c r="J11" s="342"/>
      <c r="K11" s="456" t="str">
        <f t="shared" si="1"/>
        <v>0.00%</v>
      </c>
      <c r="L11" s="833">
        <v>0</v>
      </c>
      <c r="M11" s="2347"/>
      <c r="O11" s="456" t="str">
        <f t="shared" si="2"/>
        <v>0.00%</v>
      </c>
      <c r="P11" s="833">
        <v>0</v>
      </c>
      <c r="Q11" s="2347"/>
      <c r="R11" s="455"/>
      <c r="S11" s="2238"/>
      <c r="T11" s="833">
        <v>0</v>
      </c>
      <c r="V11" s="2429"/>
      <c r="W11" s="2241"/>
      <c r="X11" s="833"/>
      <c r="AA11" s="456"/>
      <c r="AB11" s="833"/>
    </row>
    <row r="12" spans="1:29" s="340" customFormat="1" hidden="1" x14ac:dyDescent="0.25">
      <c r="B12" s="2441"/>
      <c r="C12" s="2386"/>
      <c r="D12" s="340">
        <v>0</v>
      </c>
      <c r="E12" s="2386"/>
      <c r="G12" s="456" t="str">
        <f t="shared" si="0"/>
        <v>0.00%</v>
      </c>
      <c r="H12" s="833">
        <v>0</v>
      </c>
      <c r="I12" s="2386"/>
      <c r="J12" s="342"/>
      <c r="K12" s="456" t="str">
        <f t="shared" si="1"/>
        <v>0.00%</v>
      </c>
      <c r="L12" s="833">
        <v>0</v>
      </c>
      <c r="M12" s="2347"/>
      <c r="O12" s="456" t="str">
        <f t="shared" si="2"/>
        <v>0.00%</v>
      </c>
      <c r="P12" s="833">
        <v>0</v>
      </c>
      <c r="Q12" s="2347"/>
      <c r="R12" s="455"/>
      <c r="S12" s="2238"/>
      <c r="T12" s="833">
        <v>0</v>
      </c>
      <c r="V12" s="2429"/>
      <c r="W12" s="2241"/>
      <c r="X12" s="833"/>
      <c r="AA12" s="456"/>
      <c r="AB12" s="833"/>
    </row>
    <row r="13" spans="1:29" s="340" customFormat="1" hidden="1" x14ac:dyDescent="0.25">
      <c r="B13" s="2441"/>
      <c r="C13" s="2386"/>
      <c r="E13" s="2386"/>
      <c r="G13" s="456" t="str">
        <f t="shared" si="0"/>
        <v>0.00%</v>
      </c>
      <c r="H13" s="833">
        <v>0</v>
      </c>
      <c r="I13" s="2386"/>
      <c r="J13" s="342"/>
      <c r="K13" s="456" t="str">
        <f t="shared" si="1"/>
        <v>0.00%</v>
      </c>
      <c r="L13" s="833">
        <v>0</v>
      </c>
      <c r="M13" s="2347"/>
      <c r="O13" s="456" t="str">
        <f t="shared" si="2"/>
        <v>0.00%</v>
      </c>
      <c r="P13" s="833">
        <v>0</v>
      </c>
      <c r="Q13" s="2347"/>
      <c r="R13" s="455"/>
      <c r="S13" s="2238"/>
      <c r="T13" s="833">
        <v>0</v>
      </c>
      <c r="V13" s="2429"/>
      <c r="W13" s="2241"/>
      <c r="X13" s="833"/>
      <c r="AA13" s="456"/>
      <c r="AB13" s="833"/>
    </row>
    <row r="14" spans="1:29" s="340" customFormat="1" x14ac:dyDescent="0.25">
      <c r="B14" s="2486" t="s">
        <v>137</v>
      </c>
      <c r="C14" s="2386"/>
      <c r="D14" s="458">
        <f>SUM(D9:D13)</f>
        <v>0</v>
      </c>
      <c r="E14" s="2386"/>
      <c r="G14" s="456" t="str">
        <f t="shared" si="0"/>
        <v>0.00%</v>
      </c>
      <c r="H14" s="458">
        <f>SUM(H9:H13)</f>
        <v>0</v>
      </c>
      <c r="I14" s="2386"/>
      <c r="J14" s="342"/>
      <c r="K14" s="456" t="str">
        <f t="shared" si="1"/>
        <v>0.00%</v>
      </c>
      <c r="L14" s="458">
        <f>SUM(L9:L13)</f>
        <v>475000</v>
      </c>
      <c r="M14" s="2316">
        <f>+L14-H14</f>
        <v>475000</v>
      </c>
      <c r="O14" s="456">
        <f t="shared" si="2"/>
        <v>-0.78947368421052633</v>
      </c>
      <c r="P14" s="458">
        <f>SUM(P9:P13)</f>
        <v>100000</v>
      </c>
      <c r="Q14" s="2316">
        <f>+P14-L14</f>
        <v>-375000</v>
      </c>
      <c r="R14" s="455"/>
      <c r="S14" s="2238">
        <f>IF(P14=0,"0.00%",(T14-P14)/P14)</f>
        <v>0</v>
      </c>
      <c r="T14" s="458">
        <f>SUM(T9:T13)</f>
        <v>100000</v>
      </c>
      <c r="V14" s="2429"/>
      <c r="W14" s="2241">
        <f>IF(T14=0,"0.00%",(X14-T14)/T14)</f>
        <v>-1</v>
      </c>
      <c r="X14" s="458">
        <f>SUM(X9:X10)</f>
        <v>0</v>
      </c>
      <c r="AA14" s="456" t="str">
        <f>IF(X14=0,"0.00%",(AB14-X14)/X14)</f>
        <v>0.00%</v>
      </c>
      <c r="AB14" s="458">
        <f>SUM(AB9:AB10)</f>
        <v>0</v>
      </c>
    </row>
    <row r="15" spans="1:29" s="340" customFormat="1" x14ac:dyDescent="0.25">
      <c r="B15" s="2487"/>
      <c r="C15" s="2386"/>
      <c r="E15" s="2386"/>
      <c r="G15" s="2338"/>
      <c r="H15" s="833"/>
      <c r="I15" s="2386"/>
      <c r="J15" s="342"/>
      <c r="K15" s="2338"/>
      <c r="L15" s="833"/>
      <c r="M15" s="2347"/>
      <c r="O15" s="2338"/>
      <c r="P15" s="833"/>
      <c r="Q15" s="2347"/>
      <c r="R15" s="455"/>
      <c r="S15" s="2355"/>
      <c r="T15" s="833"/>
      <c r="V15" s="2429"/>
      <c r="W15" s="2357"/>
      <c r="X15" s="833"/>
      <c r="AA15" s="2338"/>
      <c r="AB15" s="833"/>
    </row>
    <row r="16" spans="1:29" s="340" customFormat="1" x14ac:dyDescent="0.25">
      <c r="B16" s="2449"/>
      <c r="C16" s="2375" t="s">
        <v>64</v>
      </c>
      <c r="D16" s="2359">
        <f>ROUND(D14-(D14/(1+E16)),0)</f>
        <v>0</v>
      </c>
      <c r="E16" s="2431">
        <v>0</v>
      </c>
      <c r="G16" s="456" t="str">
        <f t="shared" si="0"/>
        <v>0.00%</v>
      </c>
      <c r="H16" s="2359">
        <f>ROUND(H14-(H14/(1+B16)),0)</f>
        <v>0</v>
      </c>
      <c r="I16" s="2386"/>
      <c r="J16" s="342"/>
      <c r="K16" s="456" t="str">
        <f>IF(H16=0,"0.00%",(L16-H16)/H16)</f>
        <v>0.00%</v>
      </c>
      <c r="L16" s="2359">
        <f>ROUND(L14-(L14/(1+B16)),0)</f>
        <v>0</v>
      </c>
      <c r="M16" s="2347"/>
      <c r="O16" s="456" t="str">
        <f>IF(L16=0,"0.00%",(P16-L16)/L16)</f>
        <v>0.00%</v>
      </c>
      <c r="P16" s="2359">
        <f>ROUND(P14-(P14/(1+B16)),0)</f>
        <v>0</v>
      </c>
      <c r="Q16" s="2347"/>
      <c r="R16" s="455"/>
      <c r="S16" s="2238" t="str">
        <f>IF(P16=0,"0.00%",(T16-P16)/P16)</f>
        <v>0.00%</v>
      </c>
      <c r="T16" s="2359">
        <f>ROUND(T14-(T14/(1+F16)),0)</f>
        <v>0</v>
      </c>
      <c r="V16" s="2429"/>
      <c r="W16" s="2241" t="str">
        <f>IF(T16=0,"0.00%",(X16-T16)/T16)</f>
        <v>0.00%</v>
      </c>
      <c r="X16" s="2359">
        <f>ROUND(X14-(X14/(1+B16)),0)</f>
        <v>0</v>
      </c>
      <c r="AA16" s="456" t="str">
        <f>IF(X16=0,"0.00%",(AB16-X16)/X16)</f>
        <v>0.00%</v>
      </c>
      <c r="AB16" s="2359">
        <f>ROUND(AB14-(AB14/(1+G16)),0)</f>
        <v>0</v>
      </c>
    </row>
    <row r="17" spans="1:29" s="340" customFormat="1" x14ac:dyDescent="0.25">
      <c r="B17" s="2487"/>
      <c r="C17" s="2386"/>
      <c r="E17" s="2386"/>
      <c r="G17" s="2338"/>
      <c r="H17" s="833"/>
      <c r="I17" s="2386"/>
      <c r="J17" s="342"/>
      <c r="K17" s="2338"/>
      <c r="L17" s="833"/>
      <c r="M17" s="2347"/>
      <c r="O17" s="2338"/>
      <c r="P17" s="833"/>
      <c r="Q17" s="2347"/>
      <c r="R17" s="455"/>
      <c r="S17" s="2355"/>
      <c r="T17" s="833"/>
      <c r="V17" s="2429"/>
      <c r="W17" s="2357"/>
      <c r="X17" s="833"/>
      <c r="AA17" s="2338"/>
      <c r="AB17" s="833"/>
    </row>
    <row r="18" spans="1:29" s="340" customFormat="1" x14ac:dyDescent="0.25">
      <c r="B18" s="2486" t="s">
        <v>50</v>
      </c>
      <c r="C18" s="2386"/>
      <c r="D18" s="1866">
        <f>D14-D16+D7</f>
        <v>0</v>
      </c>
      <c r="E18" s="2386"/>
      <c r="G18" s="456" t="str">
        <f t="shared" si="0"/>
        <v>0.00%</v>
      </c>
      <c r="H18" s="1866">
        <f>H14-H16+H7</f>
        <v>0</v>
      </c>
      <c r="J18" s="2488"/>
      <c r="K18" s="456" t="str">
        <f>IF(H18=0,"0.00%",(L18-H18)/H18)</f>
        <v>0.00%</v>
      </c>
      <c r="L18" s="1866">
        <f>L14-L16+L7</f>
        <v>475000</v>
      </c>
      <c r="M18" s="2316">
        <f>+L18-H18</f>
        <v>475000</v>
      </c>
      <c r="O18" s="456">
        <f>IF(L18=0,"0.00%",(P18-L18)/L18)</f>
        <v>-0.57894736842105265</v>
      </c>
      <c r="P18" s="1866">
        <f>P14-P16+P7</f>
        <v>200000</v>
      </c>
      <c r="Q18" s="2316">
        <f>+P18-L18</f>
        <v>-275000</v>
      </c>
      <c r="R18" s="455"/>
      <c r="S18" s="2238">
        <f>IF(P18=0,"0.00%",(T18-P18)/P18)</f>
        <v>-1.375</v>
      </c>
      <c r="T18" s="1866">
        <f>T14-T16+T7</f>
        <v>-75000</v>
      </c>
      <c r="V18" s="2429"/>
      <c r="W18" s="2241">
        <f>IF(T18=0,"0.00%",(X18-T18)/T18)</f>
        <v>-1</v>
      </c>
      <c r="X18" s="2359">
        <f>X14-X16</f>
        <v>0</v>
      </c>
      <c r="AA18" s="456" t="str">
        <f>IF(X18=0,"0.00%",(AB18-X18)/X18)</f>
        <v>0.00%</v>
      </c>
      <c r="AB18" s="2359">
        <f>AB14-AB16</f>
        <v>0</v>
      </c>
    </row>
    <row r="19" spans="1:29" s="340" customFormat="1" x14ac:dyDescent="0.25">
      <c r="B19" s="2487"/>
      <c r="C19" s="2386"/>
      <c r="E19" s="2386"/>
      <c r="G19" s="2338"/>
      <c r="H19" s="833"/>
      <c r="I19" s="2386"/>
      <c r="J19" s="342"/>
      <c r="K19" s="1668"/>
      <c r="L19" s="833"/>
      <c r="M19" s="2347"/>
      <c r="O19" s="1668"/>
      <c r="P19" s="833"/>
      <c r="Q19" s="2347"/>
      <c r="R19" s="455"/>
      <c r="S19" s="2341"/>
      <c r="T19" s="833"/>
      <c r="V19" s="2429"/>
      <c r="W19" s="2343"/>
      <c r="X19" s="833"/>
      <c r="AA19" s="1668"/>
      <c r="AB19" s="833"/>
    </row>
    <row r="20" spans="1:29" s="340" customFormat="1" x14ac:dyDescent="0.25">
      <c r="B20" s="2487"/>
      <c r="C20" s="2489"/>
      <c r="E20" s="2386"/>
      <c r="G20" s="2338"/>
      <c r="H20" s="833"/>
      <c r="I20" s="2386"/>
      <c r="J20" s="342"/>
      <c r="K20" s="1668"/>
      <c r="L20" s="833"/>
      <c r="M20" s="2347"/>
      <c r="O20" s="1668"/>
      <c r="P20" s="833"/>
      <c r="Q20" s="2347"/>
      <c r="R20" s="455"/>
      <c r="S20" s="2341"/>
      <c r="T20" s="833"/>
      <c r="V20" s="2429"/>
      <c r="W20" s="2343"/>
      <c r="X20" s="833"/>
      <c r="AA20" s="1668"/>
      <c r="AB20" s="833"/>
    </row>
    <row r="21" spans="1:29" s="340" customFormat="1" x14ac:dyDescent="0.25">
      <c r="A21" s="2433"/>
      <c r="B21" s="2487"/>
      <c r="C21" s="2386"/>
      <c r="D21" s="459" t="s">
        <v>807</v>
      </c>
      <c r="E21" s="1867"/>
      <c r="F21" s="2433"/>
      <c r="G21" s="2338"/>
      <c r="H21" s="459" t="s">
        <v>176</v>
      </c>
      <c r="I21" s="1867"/>
      <c r="J21" s="459"/>
      <c r="K21" s="1668"/>
      <c r="L21" s="2370"/>
      <c r="M21" s="1867"/>
      <c r="O21" s="1668"/>
      <c r="Q21" s="1867"/>
      <c r="R21" s="455"/>
      <c r="S21" s="2341"/>
      <c r="U21" s="2433"/>
      <c r="V21" s="2429"/>
      <c r="W21" s="2343"/>
      <c r="Y21" s="2433"/>
      <c r="AA21" s="1668"/>
      <c r="AC21" s="2433"/>
    </row>
    <row r="22" spans="1:29" s="340" customFormat="1" ht="17.25" x14ac:dyDescent="0.4">
      <c r="A22" s="2436"/>
      <c r="B22" s="2487"/>
      <c r="C22" s="2386"/>
      <c r="D22" s="2435" t="s">
        <v>808</v>
      </c>
      <c r="E22" s="2434"/>
      <c r="F22" s="2436"/>
      <c r="G22" s="2338"/>
      <c r="H22" s="2435" t="s">
        <v>48</v>
      </c>
      <c r="I22" s="2438"/>
      <c r="J22" s="459"/>
      <c r="K22" s="1668"/>
      <c r="L22" s="2372" t="s">
        <v>48</v>
      </c>
      <c r="M22" s="2373">
        <v>1.4999999999999999E-2</v>
      </c>
      <c r="O22" s="1668"/>
      <c r="P22" s="2372" t="s">
        <v>48</v>
      </c>
      <c r="Q22" s="2373">
        <v>1.4999999999999999E-2</v>
      </c>
      <c r="R22" s="455"/>
      <c r="S22" s="2341"/>
      <c r="T22" s="2372" t="s">
        <v>48</v>
      </c>
      <c r="U22" s="2373">
        <v>1.4999999999999999E-2</v>
      </c>
      <c r="V22" s="2429"/>
      <c r="W22" s="2343"/>
      <c r="X22" s="2372" t="s">
        <v>48</v>
      </c>
      <c r="Y22" s="2490">
        <v>0.02</v>
      </c>
      <c r="AA22" s="1668"/>
      <c r="AB22" s="2372" t="s">
        <v>48</v>
      </c>
      <c r="AC22" s="2490">
        <v>0.02</v>
      </c>
    </row>
    <row r="23" spans="1:29" s="1866" customFormat="1" hidden="1" x14ac:dyDescent="0.25">
      <c r="A23" s="460"/>
      <c r="B23" s="2486" t="s">
        <v>46</v>
      </c>
      <c r="C23" s="2375"/>
      <c r="E23" s="2375"/>
      <c r="G23" s="2376"/>
      <c r="I23" s="868"/>
      <c r="J23" s="460"/>
      <c r="K23" s="606"/>
      <c r="M23" s="2377"/>
      <c r="O23" s="606"/>
      <c r="Q23" s="2377"/>
      <c r="R23" s="460"/>
      <c r="S23" s="1669"/>
      <c r="U23" s="2491"/>
      <c r="V23" s="2492"/>
      <c r="W23" s="2382"/>
      <c r="Y23" s="2491"/>
      <c r="AA23" s="606"/>
      <c r="AC23" s="2491"/>
    </row>
    <row r="24" spans="1:29" s="340" customFormat="1" hidden="1" x14ac:dyDescent="0.25">
      <c r="A24" s="2493"/>
      <c r="B24" s="2496" t="s">
        <v>39</v>
      </c>
      <c r="C24" s="2495" t="s">
        <v>38</v>
      </c>
      <c r="D24" s="340">
        <v>0</v>
      </c>
      <c r="E24" s="2386"/>
      <c r="G24" s="456" t="str">
        <f t="shared" ref="G24:G29" si="3">IF(D24=0,"0.00%",(H24-D24)/D24)</f>
        <v>0.00%</v>
      </c>
      <c r="H24" s="340">
        <v>0</v>
      </c>
      <c r="I24" s="897"/>
      <c r="J24" s="455"/>
      <c r="K24" s="456" t="str">
        <f t="shared" ref="K24:K28" si="4">IF(H24=0,"0.00%",(L24-H24)/H24)</f>
        <v>0.00%</v>
      </c>
      <c r="L24" s="340">
        <f>+H24</f>
        <v>0</v>
      </c>
      <c r="M24" s="2488" t="s">
        <v>173</v>
      </c>
      <c r="O24" s="456" t="str">
        <f t="shared" ref="O24:O29" si="5">IF(L24=0,"0.00%",(P24-L24)/L24)</f>
        <v>0.00%</v>
      </c>
      <c r="P24" s="340">
        <f>+L24</f>
        <v>0</v>
      </c>
      <c r="Q24" s="2488" t="s">
        <v>173</v>
      </c>
      <c r="R24" s="455"/>
      <c r="S24" s="2341"/>
      <c r="T24" s="340">
        <f>+P24</f>
        <v>0</v>
      </c>
      <c r="U24" s="2370"/>
      <c r="V24" s="2429"/>
      <c r="W24" s="2343"/>
      <c r="Y24" s="2370"/>
      <c r="AA24" s="1668"/>
      <c r="AC24" s="2370"/>
    </row>
    <row r="25" spans="1:29" s="340" customFormat="1" hidden="1" x14ac:dyDescent="0.25">
      <c r="A25" s="2493"/>
      <c r="B25" s="2349"/>
      <c r="C25" s="1656"/>
      <c r="D25" s="340">
        <v>0</v>
      </c>
      <c r="E25" s="2386"/>
      <c r="G25" s="456" t="str">
        <f t="shared" si="3"/>
        <v>0.00%</v>
      </c>
      <c r="H25" s="340">
        <v>0</v>
      </c>
      <c r="I25" s="897"/>
      <c r="J25" s="455"/>
      <c r="K25" s="456" t="str">
        <f t="shared" si="4"/>
        <v>0.00%</v>
      </c>
      <c r="L25" s="1866">
        <v>0</v>
      </c>
      <c r="M25" s="1867"/>
      <c r="O25" s="456" t="str">
        <f t="shared" si="5"/>
        <v>0.00%</v>
      </c>
      <c r="P25" s="340">
        <f>ROUND(L25*(1+$Q$22),0)</f>
        <v>0</v>
      </c>
      <c r="Q25" s="2488"/>
      <c r="R25" s="455"/>
      <c r="S25" s="2341"/>
      <c r="T25" s="340">
        <f>ROUND(P25*(1+$Q$22),0)</f>
        <v>0</v>
      </c>
      <c r="U25" s="2370"/>
      <c r="V25" s="2429"/>
      <c r="W25" s="2343"/>
      <c r="Y25" s="2370"/>
      <c r="AA25" s="1668"/>
      <c r="AC25" s="2370"/>
    </row>
    <row r="26" spans="1:29" s="340" customFormat="1" hidden="1" x14ac:dyDescent="0.25">
      <c r="A26" s="2493"/>
      <c r="B26" s="2496"/>
      <c r="C26" s="2495"/>
      <c r="D26" s="340">
        <v>0</v>
      </c>
      <c r="E26" s="2386"/>
      <c r="G26" s="456" t="str">
        <f t="shared" si="3"/>
        <v>0.00%</v>
      </c>
      <c r="H26" s="340">
        <v>0</v>
      </c>
      <c r="I26" s="897"/>
      <c r="J26" s="455"/>
      <c r="K26" s="456" t="str">
        <f t="shared" si="4"/>
        <v>0.00%</v>
      </c>
      <c r="L26" s="340">
        <f>ROUND(H26*(1+$M$22),0)</f>
        <v>0</v>
      </c>
      <c r="M26" s="2488"/>
      <c r="O26" s="456" t="str">
        <f t="shared" si="5"/>
        <v>0.00%</v>
      </c>
      <c r="P26" s="340">
        <f>ROUND(L26*(1+$Q$22),0)</f>
        <v>0</v>
      </c>
      <c r="Q26" s="2488"/>
      <c r="R26" s="455"/>
      <c r="S26" s="2341"/>
      <c r="T26" s="340">
        <f>ROUND(P26*(1+$Q$22),0)</f>
        <v>0</v>
      </c>
      <c r="U26" s="2370"/>
      <c r="V26" s="2429"/>
      <c r="W26" s="2343"/>
      <c r="Y26" s="2370"/>
      <c r="AA26" s="1668"/>
      <c r="AC26" s="2370"/>
    </row>
    <row r="27" spans="1:29" s="340" customFormat="1" hidden="1" x14ac:dyDescent="0.25">
      <c r="A27" s="2493"/>
      <c r="B27" s="2496"/>
      <c r="C27" s="2495"/>
      <c r="D27" s="340">
        <v>0</v>
      </c>
      <c r="E27" s="2386"/>
      <c r="G27" s="456" t="str">
        <f t="shared" si="3"/>
        <v>0.00%</v>
      </c>
      <c r="H27" s="340">
        <v>0</v>
      </c>
      <c r="I27" s="897"/>
      <c r="J27" s="455"/>
      <c r="K27" s="456" t="str">
        <f t="shared" si="4"/>
        <v>0.00%</v>
      </c>
      <c r="L27" s="340">
        <f>+H27</f>
        <v>0</v>
      </c>
      <c r="M27" s="2488"/>
      <c r="O27" s="456" t="str">
        <f t="shared" si="5"/>
        <v>0.00%</v>
      </c>
      <c r="P27" s="340">
        <f>+L27</f>
        <v>0</v>
      </c>
      <c r="Q27" s="2488"/>
      <c r="R27" s="455"/>
      <c r="S27" s="2341"/>
      <c r="T27" s="340">
        <f>+P27</f>
        <v>0</v>
      </c>
      <c r="U27" s="2370"/>
      <c r="V27" s="2429"/>
      <c r="W27" s="2343"/>
      <c r="Y27" s="2370"/>
      <c r="AA27" s="1668"/>
      <c r="AC27" s="2370"/>
    </row>
    <row r="28" spans="1:29" s="340" customFormat="1" hidden="1" x14ac:dyDescent="0.25">
      <c r="A28" s="455"/>
      <c r="B28" s="2496"/>
      <c r="C28" s="2386"/>
      <c r="D28" s="340">
        <v>0</v>
      </c>
      <c r="E28" s="2386"/>
      <c r="G28" s="456" t="str">
        <f t="shared" si="3"/>
        <v>0.00%</v>
      </c>
      <c r="H28" s="340">
        <v>0</v>
      </c>
      <c r="I28" s="897"/>
      <c r="J28" s="455"/>
      <c r="K28" s="456" t="str">
        <f t="shared" si="4"/>
        <v>0.00%</v>
      </c>
      <c r="L28" s="340">
        <f>+H28</f>
        <v>0</v>
      </c>
      <c r="M28" s="2488"/>
      <c r="O28" s="456" t="str">
        <f t="shared" si="5"/>
        <v>0.00%</v>
      </c>
      <c r="P28" s="340">
        <f>+L28</f>
        <v>0</v>
      </c>
      <c r="Q28" s="2488"/>
      <c r="R28" s="455"/>
      <c r="S28" s="2341"/>
      <c r="T28" s="340">
        <f>+P28</f>
        <v>0</v>
      </c>
      <c r="U28" s="2370"/>
      <c r="V28" s="2429"/>
      <c r="W28" s="2343"/>
      <c r="Y28" s="2370"/>
      <c r="AA28" s="1668"/>
      <c r="AC28" s="2370"/>
    </row>
    <row r="29" spans="1:29" s="340" customFormat="1" hidden="1" x14ac:dyDescent="0.25">
      <c r="A29" s="459"/>
      <c r="B29" s="2441"/>
      <c r="C29" s="2386"/>
      <c r="D29" s="458">
        <f>SUM(D24:D28)</f>
        <v>0</v>
      </c>
      <c r="E29" s="2386"/>
      <c r="G29" s="456" t="str">
        <f t="shared" si="3"/>
        <v>0.00%</v>
      </c>
      <c r="H29" s="458">
        <f>SUM(H24:H28)</f>
        <v>0</v>
      </c>
      <c r="I29" s="2316">
        <f>+H29-D29</f>
        <v>0</v>
      </c>
      <c r="J29" s="459"/>
      <c r="K29" s="456" t="str">
        <f>IF(H29=0,"0.00%",(L29-H29)/H29)</f>
        <v>0.00%</v>
      </c>
      <c r="L29" s="458">
        <f>SUM(L24:L28)</f>
        <v>0</v>
      </c>
      <c r="M29" s="2316">
        <f>+L29-H29</f>
        <v>0</v>
      </c>
      <c r="O29" s="456" t="str">
        <f t="shared" si="5"/>
        <v>0.00%</v>
      </c>
      <c r="P29" s="458">
        <f>SUM(P24:P28)</f>
        <v>0</v>
      </c>
      <c r="Q29" s="2316">
        <f>+P29-L29</f>
        <v>0</v>
      </c>
      <c r="R29" s="455"/>
      <c r="S29" s="2238" t="str">
        <f>IF(P29=0,"0.00%",(T29-P29)/P29)</f>
        <v>0.00%</v>
      </c>
      <c r="T29" s="458">
        <f>SUM(T24:T28)</f>
        <v>0</v>
      </c>
      <c r="U29" s="2370"/>
      <c r="V29" s="2429"/>
      <c r="W29" s="2241" t="str">
        <f>IF(T29=0,"0.00%",(X29-T29)/T29)</f>
        <v>0.00%</v>
      </c>
      <c r="X29" s="458" t="e">
        <f>SUM(#REF!)</f>
        <v>#REF!</v>
      </c>
      <c r="Y29" s="2370"/>
      <c r="AA29" s="456" t="e">
        <f>IF(X29=0,"0.00%",(AB29-X29)/X29)</f>
        <v>#REF!</v>
      </c>
      <c r="AB29" s="458" t="e">
        <f>SUM(#REF!)</f>
        <v>#REF!</v>
      </c>
      <c r="AC29" s="2370"/>
    </row>
    <row r="30" spans="1:29" s="340" customFormat="1" hidden="1" x14ac:dyDescent="0.25">
      <c r="A30" s="455"/>
      <c r="B30" s="2487"/>
      <c r="C30" s="2386"/>
      <c r="E30" s="2386"/>
      <c r="G30" s="2338"/>
      <c r="I30" s="897"/>
      <c r="J30" s="455"/>
      <c r="K30" s="1668"/>
      <c r="M30" s="2340"/>
      <c r="O30" s="1668"/>
      <c r="Q30" s="2340"/>
      <c r="R30" s="455"/>
      <c r="S30" s="2341"/>
      <c r="U30" s="2370"/>
      <c r="V30" s="2429"/>
      <c r="W30" s="2343"/>
      <c r="Y30" s="2370"/>
      <c r="AA30" s="1668"/>
      <c r="AC30" s="2370"/>
    </row>
    <row r="31" spans="1:29" s="460" customFormat="1" hidden="1" x14ac:dyDescent="0.25">
      <c r="B31" s="2223" t="s">
        <v>35</v>
      </c>
      <c r="C31" s="897"/>
      <c r="D31" s="2497"/>
      <c r="E31" s="868"/>
      <c r="G31" s="2389"/>
      <c r="I31" s="868"/>
      <c r="K31" s="1669"/>
      <c r="M31" s="2390"/>
      <c r="O31" s="1669"/>
      <c r="Q31" s="2390"/>
      <c r="S31" s="1669"/>
      <c r="U31" s="2498"/>
      <c r="V31" s="2492"/>
      <c r="W31" s="2382"/>
      <c r="Y31" s="2498"/>
      <c r="AA31" s="1669"/>
      <c r="AC31" s="2498"/>
    </row>
    <row r="32" spans="1:29" s="340" customFormat="1" hidden="1" x14ac:dyDescent="0.25">
      <c r="A32" s="455"/>
      <c r="B32" s="2441">
        <v>2203</v>
      </c>
      <c r="C32" s="2386" t="s">
        <v>978</v>
      </c>
      <c r="D32" s="340">
        <v>0</v>
      </c>
      <c r="E32" s="2386"/>
      <c r="G32" s="456" t="str">
        <f t="shared" ref="G32:G41" si="6">IF(D32=0,"0.00%",(H32-D32)/D32)</f>
        <v>0.00%</v>
      </c>
      <c r="H32" s="340">
        <v>0</v>
      </c>
      <c r="I32" s="897"/>
      <c r="J32" s="455"/>
      <c r="K32" s="456" t="str">
        <f t="shared" ref="K32:K41" si="7">IF(H32=0,"0.00%",(L32-H32)/H32)</f>
        <v>0.00%</v>
      </c>
      <c r="L32" s="340">
        <f>ROUND(H32*(1+$M$22),0)</f>
        <v>0</v>
      </c>
      <c r="M32" s="2488" t="str">
        <f>TEXT($M$22,"0.0%")&amp;" = Est. S &amp; C"</f>
        <v>1.5% = Est. S &amp; C</v>
      </c>
      <c r="O32" s="456" t="str">
        <f t="shared" ref="O32:O41" si="8">IF(L32=0,"0.00%",(P32-L32)/L32)</f>
        <v>0.00%</v>
      </c>
      <c r="P32" s="340">
        <f>ROUND(L32*(1+Q22),0)</f>
        <v>0</v>
      </c>
      <c r="Q32" s="2488" t="str">
        <f t="shared" ref="Q32:Q33" si="9">TEXT($Q$22,"0.0%")&amp;" = Est. S &amp; C"</f>
        <v>1.5% = Est. S &amp; C</v>
      </c>
      <c r="R32" s="455"/>
      <c r="S32" s="2238" t="str">
        <f t="shared" ref="S32:S34" si="10">IF(P32=0,"0.00%",(T32-P32)/P32)</f>
        <v>0.00%</v>
      </c>
      <c r="T32" s="340">
        <f>ROUND(P32*(1+U22),0)</f>
        <v>0</v>
      </c>
      <c r="U32" s="455" t="str">
        <f>TEXT(U22,"0.0%")&amp;" = Est. S &amp; C"</f>
        <v>1.5% = Est. S &amp; C</v>
      </c>
      <c r="V32" s="2429"/>
      <c r="W32" s="2241" t="str">
        <f t="shared" ref="W32:W34" si="11">IF(T32=0,"0.00%",(X32-T32)/T32)</f>
        <v>0.00%</v>
      </c>
      <c r="X32" s="340">
        <f>ROUND(T32*(1+Y22),0)</f>
        <v>0</v>
      </c>
      <c r="Y32" s="455" t="str">
        <f>TEXT(Y22,"0.0%")&amp;" = Est. S &amp; C"</f>
        <v>2.0% = Est. S &amp; C</v>
      </c>
      <c r="AA32" s="456" t="str">
        <f t="shared" ref="AA32:AA34" si="12">IF(X32=0,"0.00%",(AB32-X32)/X32)</f>
        <v>0.00%</v>
      </c>
      <c r="AB32" s="340">
        <f>ROUND(X32*(1+AC22),0)</f>
        <v>0</v>
      </c>
      <c r="AC32" s="455" t="str">
        <f>TEXT(AC22,"0.0%")&amp;" = Est. S &amp; C"</f>
        <v>2.0% = Est. S &amp; C</v>
      </c>
    </row>
    <row r="33" spans="1:29" s="340" customFormat="1" hidden="1" x14ac:dyDescent="0.25">
      <c r="A33" s="455"/>
      <c r="B33" s="2441">
        <v>2204</v>
      </c>
      <c r="C33" s="2386" t="s">
        <v>230</v>
      </c>
      <c r="D33" s="340">
        <v>0</v>
      </c>
      <c r="E33" s="2386"/>
      <c r="G33" s="456" t="str">
        <f t="shared" si="6"/>
        <v>0.00%</v>
      </c>
      <c r="H33" s="340">
        <v>0</v>
      </c>
      <c r="I33" s="897"/>
      <c r="J33" s="455"/>
      <c r="K33" s="456" t="str">
        <f t="shared" si="7"/>
        <v>0.00%</v>
      </c>
      <c r="L33" s="340">
        <f t="shared" ref="L33:L41" si="13">ROUND(H33*(1+$M$22),0)</f>
        <v>0</v>
      </c>
      <c r="M33" s="2488" t="str">
        <f>TEXT($M$22,"0.0%")&amp;" = Est. S &amp; C"</f>
        <v>1.5% = Est. S &amp; C</v>
      </c>
      <c r="O33" s="456" t="str">
        <f t="shared" si="8"/>
        <v>0.00%</v>
      </c>
      <c r="P33" s="340">
        <f>ROUND(L33*(1+Q22),0)</f>
        <v>0</v>
      </c>
      <c r="Q33" s="2488" t="str">
        <f t="shared" si="9"/>
        <v>1.5% = Est. S &amp; C</v>
      </c>
      <c r="R33" s="455"/>
      <c r="S33" s="2238" t="str">
        <f t="shared" si="10"/>
        <v>0.00%</v>
      </c>
      <c r="T33" s="340">
        <f>ROUND(P33*(1+U22),0)</f>
        <v>0</v>
      </c>
      <c r="U33" s="455" t="str">
        <f>TEXT(U22,"0.0%")&amp;" = Est. S &amp; C"</f>
        <v>1.5% = Est. S &amp; C</v>
      </c>
      <c r="V33" s="2429"/>
      <c r="W33" s="2241" t="str">
        <f t="shared" si="11"/>
        <v>0.00%</v>
      </c>
      <c r="X33" s="340">
        <f>ROUND(T33*(1+Y22),0)</f>
        <v>0</v>
      </c>
      <c r="Y33" s="455" t="str">
        <f>TEXT(Y22,"0.0%")&amp;" = Est. S &amp; C"</f>
        <v>2.0% = Est. S &amp; C</v>
      </c>
      <c r="AA33" s="456" t="str">
        <f t="shared" si="12"/>
        <v>0.00%</v>
      </c>
      <c r="AB33" s="340">
        <f>ROUND(X33*(1+AC22),0)</f>
        <v>0</v>
      </c>
      <c r="AC33" s="455" t="str">
        <f>TEXT(AC22,"0.0%")&amp;" = Est. S &amp; C"</f>
        <v>2.0% = Est. S &amp; C</v>
      </c>
    </row>
    <row r="34" spans="1:29" s="340" customFormat="1" hidden="1" x14ac:dyDescent="0.25">
      <c r="A34" s="455"/>
      <c r="B34" s="2441">
        <v>2273</v>
      </c>
      <c r="C34" s="2386" t="s">
        <v>980</v>
      </c>
      <c r="D34" s="340">
        <v>0</v>
      </c>
      <c r="E34" s="2386"/>
      <c r="G34" s="456" t="str">
        <f t="shared" si="6"/>
        <v>0.00%</v>
      </c>
      <c r="H34" s="340">
        <v>0</v>
      </c>
      <c r="I34" s="897"/>
      <c r="J34" s="455"/>
      <c r="K34" s="456" t="str">
        <f t="shared" si="7"/>
        <v>0.00%</v>
      </c>
      <c r="L34" s="340">
        <f t="shared" si="13"/>
        <v>0</v>
      </c>
      <c r="M34" s="2488" t="str">
        <f>TEXT($M$22,"0.0%")&amp;" = Est. S &amp; C"</f>
        <v>1.5% = Est. S &amp; C</v>
      </c>
      <c r="O34" s="456" t="str">
        <f t="shared" si="8"/>
        <v>0.00%</v>
      </c>
      <c r="P34" s="340">
        <f>ROUND(L34*(1+Q22),0)</f>
        <v>0</v>
      </c>
      <c r="Q34" s="2488" t="str">
        <f>TEXT($Q$22,"0.0%")&amp;" = Est. S &amp; C"</f>
        <v>1.5% = Est. S &amp; C</v>
      </c>
      <c r="R34" s="455"/>
      <c r="S34" s="2238" t="str">
        <f t="shared" si="10"/>
        <v>0.00%</v>
      </c>
      <c r="T34" s="340">
        <f>ROUND(P34*(1+U22),0)</f>
        <v>0</v>
      </c>
      <c r="U34" s="455" t="str">
        <f>TEXT(U22,"0.0%")&amp;" = Est. S &amp; C"</f>
        <v>1.5% = Est. S &amp; C</v>
      </c>
      <c r="V34" s="2429"/>
      <c r="W34" s="2241" t="str">
        <f t="shared" si="11"/>
        <v>0.00%</v>
      </c>
      <c r="X34" s="340">
        <f>ROUND(T34*(1+Y22),0)</f>
        <v>0</v>
      </c>
      <c r="Y34" s="455" t="str">
        <f>TEXT(Y22,"0.0%")&amp;" = Est. S &amp; C"</f>
        <v>2.0% = Est. S &amp; C</v>
      </c>
      <c r="AA34" s="456" t="str">
        <f t="shared" si="12"/>
        <v>0.00%</v>
      </c>
      <c r="AB34" s="340">
        <f>ROUND(X34*(1+AC22),0)</f>
        <v>0</v>
      </c>
      <c r="AC34" s="455" t="str">
        <f>TEXT(AC22,"0.0%")&amp;" = Est. S &amp; C"</f>
        <v>2.0% = Est. S &amp; C</v>
      </c>
    </row>
    <row r="35" spans="1:29" s="340" customFormat="1" hidden="1" x14ac:dyDescent="0.25">
      <c r="A35" s="455"/>
      <c r="B35" s="2441">
        <v>2281</v>
      </c>
      <c r="C35" s="2386" t="s">
        <v>979</v>
      </c>
      <c r="D35" s="340">
        <v>0</v>
      </c>
      <c r="E35" s="2386"/>
      <c r="G35" s="456" t="str">
        <f t="shared" si="6"/>
        <v>0.00%</v>
      </c>
      <c r="H35" s="340">
        <v>0</v>
      </c>
      <c r="I35" s="897"/>
      <c r="J35" s="455"/>
      <c r="K35" s="456" t="str">
        <f t="shared" si="7"/>
        <v>0.00%</v>
      </c>
      <c r="L35" s="340">
        <f t="shared" si="13"/>
        <v>0</v>
      </c>
      <c r="M35" s="2488" t="str">
        <f t="shared" ref="M35:M41" si="14">TEXT($M$22,"0.0%")&amp;" = Est. S &amp; C"</f>
        <v>1.5% = Est. S &amp; C</v>
      </c>
      <c r="O35" s="456" t="str">
        <f t="shared" si="8"/>
        <v>0.00%</v>
      </c>
      <c r="P35" s="340">
        <f t="shared" ref="P35:P41" si="15">ROUND(L35*(1+$Q$22),0)</f>
        <v>0</v>
      </c>
      <c r="Q35" s="2488" t="str">
        <f t="shared" ref="Q35:Q41" si="16">TEXT($Q$22,"0.0%")&amp;" = Est. S &amp; C"</f>
        <v>1.5% = Est. S &amp; C</v>
      </c>
      <c r="R35" s="455"/>
      <c r="S35" s="2238"/>
      <c r="T35" s="340">
        <f t="shared" ref="T35:T41" si="17">ROUND(P35*(1+$Q$22),0)</f>
        <v>0</v>
      </c>
      <c r="U35" s="455"/>
      <c r="V35" s="2429"/>
      <c r="W35" s="2241"/>
      <c r="Y35" s="455"/>
      <c r="AA35" s="456"/>
      <c r="AC35" s="455"/>
    </row>
    <row r="36" spans="1:29" s="340" customFormat="1" hidden="1" x14ac:dyDescent="0.25">
      <c r="A36" s="455"/>
      <c r="B36" s="2441">
        <v>2404</v>
      </c>
      <c r="C36" s="2386" t="s">
        <v>31</v>
      </c>
      <c r="D36" s="340">
        <v>0</v>
      </c>
      <c r="E36" s="2428"/>
      <c r="G36" s="456" t="str">
        <f t="shared" si="6"/>
        <v>0.00%</v>
      </c>
      <c r="H36" s="340">
        <v>0</v>
      </c>
      <c r="I36" s="2393"/>
      <c r="J36" s="455"/>
      <c r="K36" s="456" t="str">
        <f t="shared" si="7"/>
        <v>0.00%</v>
      </c>
      <c r="L36" s="340">
        <f t="shared" si="13"/>
        <v>0</v>
      </c>
      <c r="M36" s="2488" t="str">
        <f t="shared" si="14"/>
        <v>1.5% = Est. S &amp; C</v>
      </c>
      <c r="O36" s="456" t="str">
        <f t="shared" si="8"/>
        <v>0.00%</v>
      </c>
      <c r="P36" s="340">
        <f t="shared" si="15"/>
        <v>0</v>
      </c>
      <c r="Q36" s="2488" t="str">
        <f t="shared" si="16"/>
        <v>1.5% = Est. S &amp; C</v>
      </c>
      <c r="R36" s="455"/>
      <c r="S36" s="2238"/>
      <c r="T36" s="340">
        <f t="shared" si="17"/>
        <v>0</v>
      </c>
      <c r="U36" s="455"/>
      <c r="V36" s="2429"/>
      <c r="W36" s="2241"/>
      <c r="Y36" s="455"/>
      <c r="AA36" s="456"/>
      <c r="AC36" s="455"/>
    </row>
    <row r="37" spans="1:29" s="340" customFormat="1" hidden="1" x14ac:dyDescent="0.25">
      <c r="A37" s="455"/>
      <c r="B37" s="2441">
        <v>2475</v>
      </c>
      <c r="C37" s="2386" t="s">
        <v>981</v>
      </c>
      <c r="D37" s="340">
        <v>0</v>
      </c>
      <c r="E37" s="2386"/>
      <c r="G37" s="456" t="str">
        <f t="shared" si="6"/>
        <v>0.00%</v>
      </c>
      <c r="H37" s="340">
        <v>0</v>
      </c>
      <c r="I37" s="897"/>
      <c r="J37" s="455"/>
      <c r="K37" s="456" t="str">
        <f t="shared" si="7"/>
        <v>0.00%</v>
      </c>
      <c r="L37" s="340">
        <f t="shared" si="13"/>
        <v>0</v>
      </c>
      <c r="M37" s="2488" t="str">
        <f t="shared" si="14"/>
        <v>1.5% = Est. S &amp; C</v>
      </c>
      <c r="O37" s="456" t="str">
        <f t="shared" si="8"/>
        <v>0.00%</v>
      </c>
      <c r="P37" s="340">
        <f t="shared" si="15"/>
        <v>0</v>
      </c>
      <c r="Q37" s="2488" t="str">
        <f t="shared" si="16"/>
        <v>1.5% = Est. S &amp; C</v>
      </c>
      <c r="R37" s="455"/>
      <c r="S37" s="2238"/>
      <c r="T37" s="340">
        <f t="shared" si="17"/>
        <v>0</v>
      </c>
      <c r="U37" s="455"/>
      <c r="V37" s="2429"/>
      <c r="W37" s="2241"/>
      <c r="Y37" s="455"/>
      <c r="AA37" s="456"/>
      <c r="AC37" s="455"/>
    </row>
    <row r="38" spans="1:29" s="340" customFormat="1" hidden="1" x14ac:dyDescent="0.25">
      <c r="A38" s="455"/>
      <c r="B38" s="2441"/>
      <c r="C38" s="2386"/>
      <c r="D38" s="340">
        <v>0</v>
      </c>
      <c r="E38" s="2386"/>
      <c r="G38" s="456" t="str">
        <f t="shared" si="6"/>
        <v>0.00%</v>
      </c>
      <c r="I38" s="2393"/>
      <c r="J38" s="455"/>
      <c r="K38" s="456" t="str">
        <f t="shared" si="7"/>
        <v>0.00%</v>
      </c>
      <c r="L38" s="340">
        <f t="shared" si="13"/>
        <v>0</v>
      </c>
      <c r="M38" s="2488" t="str">
        <f t="shared" si="14"/>
        <v>1.5% = Est. S &amp; C</v>
      </c>
      <c r="O38" s="456" t="str">
        <f t="shared" si="8"/>
        <v>0.00%</v>
      </c>
      <c r="P38" s="340">
        <f t="shared" si="15"/>
        <v>0</v>
      </c>
      <c r="Q38" s="2488" t="str">
        <f t="shared" si="16"/>
        <v>1.5% = Est. S &amp; C</v>
      </c>
      <c r="R38" s="455"/>
      <c r="S38" s="2238"/>
      <c r="T38" s="340">
        <f t="shared" si="17"/>
        <v>0</v>
      </c>
      <c r="U38" s="455"/>
      <c r="V38" s="2429"/>
      <c r="W38" s="2241"/>
      <c r="Y38" s="455"/>
      <c r="AA38" s="456"/>
      <c r="AC38" s="455"/>
    </row>
    <row r="39" spans="1:29" s="340" customFormat="1" hidden="1" x14ac:dyDescent="0.25">
      <c r="A39" s="455"/>
      <c r="B39" s="2441"/>
      <c r="C39" s="2386"/>
      <c r="D39" s="340">
        <v>0</v>
      </c>
      <c r="E39" s="2386"/>
      <c r="G39" s="456" t="str">
        <f t="shared" si="6"/>
        <v>0.00%</v>
      </c>
      <c r="I39" s="897"/>
      <c r="J39" s="455"/>
      <c r="K39" s="456" t="str">
        <f t="shared" si="7"/>
        <v>0.00%</v>
      </c>
      <c r="L39" s="340">
        <f t="shared" si="13"/>
        <v>0</v>
      </c>
      <c r="M39" s="2488" t="str">
        <f t="shared" si="14"/>
        <v>1.5% = Est. S &amp; C</v>
      </c>
      <c r="O39" s="456" t="str">
        <f t="shared" si="8"/>
        <v>0.00%</v>
      </c>
      <c r="P39" s="340">
        <f t="shared" si="15"/>
        <v>0</v>
      </c>
      <c r="Q39" s="2488" t="str">
        <f t="shared" si="16"/>
        <v>1.5% = Est. S &amp; C</v>
      </c>
      <c r="R39" s="455"/>
      <c r="S39" s="2238"/>
      <c r="T39" s="340">
        <f t="shared" si="17"/>
        <v>0</v>
      </c>
      <c r="U39" s="455"/>
      <c r="V39" s="2429"/>
      <c r="W39" s="2241"/>
      <c r="Y39" s="455"/>
      <c r="AA39" s="456"/>
      <c r="AC39" s="455"/>
    </row>
    <row r="40" spans="1:29" s="340" customFormat="1" hidden="1" x14ac:dyDescent="0.25">
      <c r="A40" s="455"/>
      <c r="B40" s="2441"/>
      <c r="C40" s="2386"/>
      <c r="D40" s="340">
        <v>0</v>
      </c>
      <c r="E40" s="2386"/>
      <c r="G40" s="456" t="str">
        <f t="shared" si="6"/>
        <v>0.00%</v>
      </c>
      <c r="I40" s="897"/>
      <c r="J40" s="455"/>
      <c r="K40" s="456" t="str">
        <f t="shared" si="7"/>
        <v>0.00%</v>
      </c>
      <c r="L40" s="340">
        <f>ROUND(H40*(1+$M$22),0)</f>
        <v>0</v>
      </c>
      <c r="M40" s="2488" t="str">
        <f t="shared" si="14"/>
        <v>1.5% = Est. S &amp; C</v>
      </c>
      <c r="O40" s="456" t="str">
        <f t="shared" si="8"/>
        <v>0.00%</v>
      </c>
      <c r="P40" s="340">
        <f t="shared" si="15"/>
        <v>0</v>
      </c>
      <c r="Q40" s="2488" t="str">
        <f t="shared" si="16"/>
        <v>1.5% = Est. S &amp; C</v>
      </c>
      <c r="R40" s="455"/>
      <c r="S40" s="2238"/>
      <c r="T40" s="340">
        <f t="shared" si="17"/>
        <v>0</v>
      </c>
      <c r="U40" s="455"/>
      <c r="V40" s="2429"/>
      <c r="W40" s="2241"/>
      <c r="Y40" s="455"/>
      <c r="AA40" s="456"/>
      <c r="AC40" s="455"/>
    </row>
    <row r="41" spans="1:29" s="340" customFormat="1" hidden="1" x14ac:dyDescent="0.25">
      <c r="A41" s="455"/>
      <c r="B41" s="2441"/>
      <c r="C41" s="2386"/>
      <c r="D41" s="340">
        <v>0</v>
      </c>
      <c r="E41" s="2386"/>
      <c r="G41" s="456" t="str">
        <f t="shared" si="6"/>
        <v>0.00%</v>
      </c>
      <c r="I41" s="897"/>
      <c r="J41" s="455"/>
      <c r="K41" s="456" t="str">
        <f t="shared" si="7"/>
        <v>0.00%</v>
      </c>
      <c r="L41" s="340">
        <f t="shared" si="13"/>
        <v>0</v>
      </c>
      <c r="M41" s="2488" t="str">
        <f t="shared" si="14"/>
        <v>1.5% = Est. S &amp; C</v>
      </c>
      <c r="O41" s="456" t="str">
        <f t="shared" si="8"/>
        <v>0.00%</v>
      </c>
      <c r="P41" s="340">
        <f t="shared" si="15"/>
        <v>0</v>
      </c>
      <c r="Q41" s="2488" t="str">
        <f t="shared" si="16"/>
        <v>1.5% = Est. S &amp; C</v>
      </c>
      <c r="R41" s="455"/>
      <c r="S41" s="2238"/>
      <c r="T41" s="340">
        <f t="shared" si="17"/>
        <v>0</v>
      </c>
      <c r="U41" s="455"/>
      <c r="V41" s="2429"/>
      <c r="W41" s="2241"/>
      <c r="Y41" s="455"/>
      <c r="AA41" s="456"/>
      <c r="AC41" s="455"/>
    </row>
    <row r="42" spans="1:29" s="340" customFormat="1" hidden="1" x14ac:dyDescent="0.25">
      <c r="A42" s="459"/>
      <c r="B42" s="2441"/>
      <c r="C42" s="2386"/>
      <c r="D42" s="458">
        <f>SUM(D32:D41)</f>
        <v>0</v>
      </c>
      <c r="E42" s="2386"/>
      <c r="G42" s="456" t="str">
        <f>IF(D42=0,"0.00%",(H42-D42)/D42)</f>
        <v>0.00%</v>
      </c>
      <c r="H42" s="458">
        <f>SUM(H32:H41)</f>
        <v>0</v>
      </c>
      <c r="I42" s="2316">
        <f>+H42-D42</f>
        <v>0</v>
      </c>
      <c r="J42" s="459"/>
      <c r="K42" s="456" t="str">
        <f>IF(H42=0,"0.00%",(L42-H42)/H42)</f>
        <v>0.00%</v>
      </c>
      <c r="L42" s="458">
        <f>SUM(L32:L41)</f>
        <v>0</v>
      </c>
      <c r="M42" s="2316">
        <f>+L42-H42</f>
        <v>0</v>
      </c>
      <c r="O42" s="456" t="str">
        <f>IF(L42=0,"0.00%",(P42-L42)/L42)</f>
        <v>0.00%</v>
      </c>
      <c r="P42" s="458">
        <f>SUM(P32:P41)</f>
        <v>0</v>
      </c>
      <c r="Q42" s="2316">
        <f>+P42-L42</f>
        <v>0</v>
      </c>
      <c r="R42" s="455"/>
      <c r="S42" s="2238" t="str">
        <f>IF(P42=0,"0.00%",(T42-P42)/P42)</f>
        <v>0.00%</v>
      </c>
      <c r="T42" s="458">
        <f>SUM(T32:T41)</f>
        <v>0</v>
      </c>
      <c r="U42" s="2370"/>
      <c r="V42" s="2429"/>
      <c r="W42" s="2241" t="str">
        <f>IF(T42=0,"0.00%",(X42-T42)/T42)</f>
        <v>0.00%</v>
      </c>
      <c r="X42" s="458">
        <f>SUM(X32:X41)</f>
        <v>0</v>
      </c>
      <c r="Y42" s="2370"/>
      <c r="AA42" s="456" t="str">
        <f>IF(X42=0,"0.00%",(AB42-X42)/X42)</f>
        <v>0.00%</v>
      </c>
      <c r="AB42" s="458">
        <f>SUM(AB32:AB41)</f>
        <v>0</v>
      </c>
      <c r="AC42" s="2370"/>
    </row>
    <row r="43" spans="1:29" s="340" customFormat="1" hidden="1" x14ac:dyDescent="0.25">
      <c r="A43" s="455"/>
      <c r="B43" s="2487" t="s">
        <v>28</v>
      </c>
      <c r="C43" s="2386"/>
      <c r="E43" s="2386"/>
      <c r="G43" s="2338"/>
      <c r="I43" s="897"/>
      <c r="J43" s="455"/>
      <c r="K43" s="1668"/>
      <c r="M43" s="2340"/>
      <c r="O43" s="1668"/>
      <c r="Q43" s="2340"/>
      <c r="R43" s="455"/>
      <c r="S43" s="2341"/>
      <c r="U43" s="2370"/>
      <c r="V43" s="2429"/>
      <c r="W43" s="2343"/>
      <c r="Y43" s="2370"/>
      <c r="AA43" s="1668"/>
      <c r="AC43" s="2370"/>
    </row>
    <row r="44" spans="1:29" s="340" customFormat="1" hidden="1" x14ac:dyDescent="0.25">
      <c r="A44" s="460"/>
      <c r="B44" s="2486" t="s">
        <v>27</v>
      </c>
      <c r="C44" s="2386"/>
      <c r="E44" s="2386"/>
      <c r="G44" s="2338"/>
      <c r="I44" s="897"/>
      <c r="J44" s="455"/>
      <c r="K44" s="1668"/>
      <c r="M44" s="2340"/>
      <c r="O44" s="1668"/>
      <c r="Q44" s="2340"/>
      <c r="R44" s="455"/>
      <c r="S44" s="2341"/>
      <c r="U44" s="2370"/>
      <c r="V44" s="2429"/>
      <c r="W44" s="2343"/>
      <c r="Y44" s="2370"/>
      <c r="AA44" s="1668"/>
      <c r="AC44" s="2370"/>
    </row>
    <row r="45" spans="1:29" s="340" customFormat="1" hidden="1" x14ac:dyDescent="0.25">
      <c r="A45" s="455"/>
      <c r="B45" s="2441" t="s">
        <v>83</v>
      </c>
      <c r="C45" s="2386" t="s">
        <v>76</v>
      </c>
      <c r="D45" s="340">
        <v>0</v>
      </c>
      <c r="E45" s="897" t="str">
        <f>TEXT('MYP Assumptions'!$D$57,"0.00%")&amp;", STRS rate"</f>
        <v>12.58%, STRS rate</v>
      </c>
      <c r="G45" s="456" t="str">
        <f t="shared" ref="G45:G54" si="18">IF(D45=0,"0.00%",(H45-D45)/D45)</f>
        <v>0.00%</v>
      </c>
      <c r="H45" s="340">
        <v>0</v>
      </c>
      <c r="I45" s="897" t="str">
        <f>TEXT('MYP Assumptions'!E57,"0.00%")&amp;", projected STRS rate"</f>
        <v>14.43%, projected STRS rate</v>
      </c>
      <c r="J45" s="455"/>
      <c r="K45" s="456" t="str">
        <f t="shared" ref="K45:K54" si="19">IF(H45=0,"0.00%",(L45-H45)/H45)</f>
        <v>0.00%</v>
      </c>
      <c r="L45" s="340">
        <f>ROUND(((LEFT(M45,6)-LEFT(I45,6))+1)*H45,0)</f>
        <v>0</v>
      </c>
      <c r="M45" s="2488" t="str">
        <f>TEXT('MYP Assumptions'!F57,"0.00%")&amp;", projected STRS rate"</f>
        <v>16.28%, projected STRS rate</v>
      </c>
      <c r="O45" s="456" t="str">
        <f t="shared" ref="O45:O54" si="20">IF(L45=0,"0.00%",(P45-L45)/L45)</f>
        <v>0.00%</v>
      </c>
      <c r="P45" s="340">
        <f>ROUND(((LEFT(Q45,6)-LEFT(M45,6))+1)*L45,0)</f>
        <v>0</v>
      </c>
      <c r="Q45" s="2488" t="str">
        <f>TEXT('MYP Assumptions'!G57,"0.00%")&amp;", projected STRS rate"</f>
        <v>18.13%, projected STRS rate</v>
      </c>
      <c r="R45" s="455"/>
      <c r="S45" s="2238" t="str">
        <f t="shared" ref="S45:S54" si="21">IF(P45=0,"0.00%",(T45-P45)/P45)</f>
        <v>0.00%</v>
      </c>
      <c r="T45" s="340">
        <f>ROUND(((LEFT(U45,6)-LEFT(Q45,6))+1)*P45,0)</f>
        <v>0</v>
      </c>
      <c r="U45" s="455" t="str">
        <f>TEXT('MYP Assumptions'!H57,"0.00%")&amp;", projected STRS rate"</f>
        <v>19.10%, projected STRS rate</v>
      </c>
      <c r="V45" s="2429"/>
      <c r="W45" s="2241" t="str">
        <f t="shared" ref="W45:W54" si="22">IF(T45=0,"0.00%",(X45-T45)/T45)</f>
        <v>0.00%</v>
      </c>
      <c r="X45" s="340" t="e">
        <f>ROUND(X29*LEFT(Y45,6),0)</f>
        <v>#REF!</v>
      </c>
      <c r="Y45" s="455" t="str">
        <f>TEXT('MYP Assumptions'!I57,"0.00%")&amp;", projected STRS rate"</f>
        <v>19.10%, projected STRS rate</v>
      </c>
      <c r="AA45" s="456" t="e">
        <f t="shared" ref="AA45:AA54" si="23">IF(X45=0,"0.00%",(AB45-X45)/X45)</f>
        <v>#REF!</v>
      </c>
      <c r="AB45" s="340" t="e">
        <f>ROUND(AB29*LEFT(AC45,6),0)</f>
        <v>#REF!</v>
      </c>
      <c r="AC45" s="455" t="str">
        <f>TEXT('MYP Assumptions'!J57,"0.00%")&amp;", projected STRS rate"</f>
        <v>0.00%, projected STRS rate</v>
      </c>
    </row>
    <row r="46" spans="1:29" s="340" customFormat="1" hidden="1" x14ac:dyDescent="0.25">
      <c r="A46" s="455"/>
      <c r="B46" s="2441" t="s">
        <v>84</v>
      </c>
      <c r="C46" s="2386" t="s">
        <v>77</v>
      </c>
      <c r="D46" s="340">
        <v>0</v>
      </c>
      <c r="E46" s="897" t="str">
        <f>TEXT('MYP Assumptions'!$D$58,"0.00%")&amp;", PERS rate"</f>
        <v>13.89%, PERS rate</v>
      </c>
      <c r="G46" s="456" t="str">
        <f t="shared" si="18"/>
        <v>0.00%</v>
      </c>
      <c r="H46" s="340">
        <v>0</v>
      </c>
      <c r="I46" s="897" t="str">
        <f>TEXT('MYP Assumptions'!E58,"0.00%")&amp;", projected PERS rate"</f>
        <v>15.53%, projected PERS rate</v>
      </c>
      <c r="J46" s="455"/>
      <c r="K46" s="456" t="str">
        <f t="shared" si="19"/>
        <v>0.00%</v>
      </c>
      <c r="L46" s="340">
        <f>ROUND(L42*LEFT(M46,6),0)</f>
        <v>0</v>
      </c>
      <c r="M46" s="2488" t="str">
        <f>TEXT('MYP Assumptions'!F58,"0.00%")&amp;", projected PERS rate"</f>
        <v>18.06%, projected PERS rate</v>
      </c>
      <c r="O46" s="456" t="str">
        <f t="shared" si="20"/>
        <v>0.00%</v>
      </c>
      <c r="P46" s="340">
        <f>ROUND(P42*LEFT(Q46,6),0)</f>
        <v>0</v>
      </c>
      <c r="Q46" s="2488" t="str">
        <f>TEXT('MYP Assumptions'!G58,"0.00%")&amp;", projected PERS rate"</f>
        <v>20.80%, projected PERS rate</v>
      </c>
      <c r="R46" s="455"/>
      <c r="S46" s="2238" t="str">
        <f t="shared" si="21"/>
        <v>0.00%</v>
      </c>
      <c r="T46" s="340">
        <f>ROUND(T42*LEFT(U46,6),0)</f>
        <v>0</v>
      </c>
      <c r="U46" s="455" t="str">
        <f>TEXT('MYP Assumptions'!H58,"0.00%")&amp;", projected PERS rate"</f>
        <v>23.50%, projected PERS rate</v>
      </c>
      <c r="V46" s="2429"/>
      <c r="W46" s="2241" t="str">
        <f t="shared" si="22"/>
        <v>0.00%</v>
      </c>
      <c r="X46" s="340">
        <f>ROUND(X42*LEFT(Y46,6),0)</f>
        <v>0</v>
      </c>
      <c r="Y46" s="455" t="str">
        <f>TEXT('MYP Assumptions'!I58,"0.00%")&amp;", projected PERS rate"</f>
        <v>24.60%, projected PERS rate</v>
      </c>
      <c r="AA46" s="456" t="str">
        <f t="shared" si="23"/>
        <v>0.00%</v>
      </c>
      <c r="AB46" s="340" t="e">
        <f>ROUND(AB42*LEFT(AC46,6),0)</f>
        <v>#VALUE!</v>
      </c>
      <c r="AC46" s="455" t="str">
        <f>TEXT('MYP Assumptions'!J58,"0.00%")&amp;", projected PERS rate"</f>
        <v>0.00%, projected PERS rate</v>
      </c>
    </row>
    <row r="47" spans="1:29" s="340" customFormat="1" hidden="1" x14ac:dyDescent="0.25">
      <c r="A47" s="455"/>
      <c r="B47" s="2441" t="s">
        <v>85</v>
      </c>
      <c r="C47" s="2386" t="s">
        <v>78</v>
      </c>
      <c r="D47" s="340">
        <v>0</v>
      </c>
      <c r="E47" s="897" t="str">
        <f>TEXT('MYP Assumptions'!$D$60,"0.00%")&amp;", SS rate"</f>
        <v>6.20%, SS rate</v>
      </c>
      <c r="G47" s="456" t="str">
        <f t="shared" si="18"/>
        <v>0.00%</v>
      </c>
      <c r="H47" s="340">
        <v>0</v>
      </c>
      <c r="I47" s="897" t="str">
        <f>TEXT('MYP Assumptions'!E60,"0.00%")&amp;", no rate change"</f>
        <v>6.20%, no rate change</v>
      </c>
      <c r="J47" s="455"/>
      <c r="K47" s="456" t="str">
        <f t="shared" si="19"/>
        <v>0.00%</v>
      </c>
      <c r="L47" s="340">
        <f>ROUND(L42*LEFT(M47,5),0)</f>
        <v>0</v>
      </c>
      <c r="M47" s="2488" t="str">
        <f>TEXT('MYP Assumptions'!F60,"0.00%")&amp;", no rate change"</f>
        <v>6.20%, no rate change</v>
      </c>
      <c r="O47" s="456" t="str">
        <f t="shared" si="20"/>
        <v>0.00%</v>
      </c>
      <c r="P47" s="340">
        <f>ROUND(P42*LEFT(Q47,5),0)</f>
        <v>0</v>
      </c>
      <c r="Q47" s="2488" t="str">
        <f>TEXT('MYP Assumptions'!G60,"0.00%")&amp;", no rate change"</f>
        <v>6.20%, no rate change</v>
      </c>
      <c r="R47" s="455"/>
      <c r="S47" s="2238" t="str">
        <f t="shared" si="21"/>
        <v>0.00%</v>
      </c>
      <c r="T47" s="340">
        <f>ROUND(T42*LEFT(U47,5),0)</f>
        <v>0</v>
      </c>
      <c r="U47" s="455" t="str">
        <f>TEXT('MYP Assumptions'!H60,"0.00%")&amp;", no rate change"</f>
        <v>6.20%, no rate change</v>
      </c>
      <c r="V47" s="2429"/>
      <c r="W47" s="2241" t="str">
        <f t="shared" si="22"/>
        <v>0.00%</v>
      </c>
      <c r="X47" s="340">
        <f>ROUND(X42*LEFT(Y47,5),0)</f>
        <v>0</v>
      </c>
      <c r="Y47" s="455" t="str">
        <f>TEXT('MYP Assumptions'!I60,"0.00%")&amp;", no rate change"</f>
        <v>6.20%, no rate change</v>
      </c>
      <c r="AA47" s="456" t="str">
        <f t="shared" si="23"/>
        <v>0.00%</v>
      </c>
      <c r="AB47" s="340">
        <f>ROUND(AB42*LEFT(AC47,5),0)</f>
        <v>0</v>
      </c>
      <c r="AC47" s="455" t="str">
        <f>TEXT('MYP Assumptions'!J60,"0.00%")&amp;", no rate change"</f>
        <v>0.00%, no rate change</v>
      </c>
    </row>
    <row r="48" spans="1:29" s="340" customFormat="1" hidden="1" x14ac:dyDescent="0.25">
      <c r="A48" s="455"/>
      <c r="B48" s="2441" t="s">
        <v>86</v>
      </c>
      <c r="C48" s="2386" t="s">
        <v>79</v>
      </c>
      <c r="D48" s="340">
        <v>0</v>
      </c>
      <c r="E48" s="897" t="str">
        <f>TEXT('MYP Assumptions'!$D$61,"0.00%")&amp;", Medicare rate"</f>
        <v>1.45%, Medicare rate</v>
      </c>
      <c r="G48" s="456" t="str">
        <f t="shared" si="18"/>
        <v>0.00%</v>
      </c>
      <c r="H48" s="340">
        <v>0</v>
      </c>
      <c r="I48" s="897" t="str">
        <f>TEXT('MYP Assumptions'!E61,"0.00%")&amp;", no rate change"</f>
        <v>1.45%, no rate change</v>
      </c>
      <c r="J48" s="455"/>
      <c r="K48" s="456" t="str">
        <f t="shared" si="19"/>
        <v>0.00%</v>
      </c>
      <c r="L48" s="340">
        <f>ROUND((L42+L29)*LEFT(M48,5),0)</f>
        <v>0</v>
      </c>
      <c r="M48" s="2488" t="str">
        <f>TEXT('MYP Assumptions'!F61,"0.00%")&amp;", no rate change"</f>
        <v>1.45%, no rate change</v>
      </c>
      <c r="O48" s="456" t="str">
        <f t="shared" si="20"/>
        <v>0.00%</v>
      </c>
      <c r="P48" s="340">
        <f>ROUND((P42+P29)*LEFT(Q48,5),0)</f>
        <v>0</v>
      </c>
      <c r="Q48" s="2488" t="str">
        <f>TEXT('MYP Assumptions'!G61,"0.00%")&amp;", no rate change"</f>
        <v>1.45%, no rate change</v>
      </c>
      <c r="R48" s="455"/>
      <c r="S48" s="2238" t="str">
        <f t="shared" si="21"/>
        <v>0.00%</v>
      </c>
      <c r="T48" s="340">
        <f>ROUND((T42+T29)*LEFT(U48,5),0)</f>
        <v>0</v>
      </c>
      <c r="U48" s="455" t="str">
        <f>TEXT('MYP Assumptions'!H61,"0.00%")&amp;", no rate change"</f>
        <v>1.45%, no rate change</v>
      </c>
      <c r="V48" s="2429"/>
      <c r="W48" s="2241" t="str">
        <f t="shared" si="22"/>
        <v>0.00%</v>
      </c>
      <c r="X48" s="340" t="e">
        <f>ROUND((X42+X29)*LEFT(Y48,5),0)</f>
        <v>#REF!</v>
      </c>
      <c r="Y48" s="455" t="str">
        <f>TEXT('MYP Assumptions'!I61,"0.00%")&amp;", no rate change"</f>
        <v>1.45%, no rate change</v>
      </c>
      <c r="AA48" s="456" t="e">
        <f t="shared" si="23"/>
        <v>#REF!</v>
      </c>
      <c r="AB48" s="340" t="e">
        <f>ROUND((AB42+AB29)*LEFT(AC48,5),0)</f>
        <v>#REF!</v>
      </c>
      <c r="AC48" s="455" t="str">
        <f>TEXT('MYP Assumptions'!J61,"0.00%")&amp;", no rate change"</f>
        <v>0.00%, no rate change</v>
      </c>
    </row>
    <row r="49" spans="1:29" s="340" customFormat="1" hidden="1" x14ac:dyDescent="0.25">
      <c r="A49" s="455"/>
      <c r="B49" s="2441" t="s">
        <v>87</v>
      </c>
      <c r="C49" s="2386" t="s">
        <v>80</v>
      </c>
      <c r="D49" s="340">
        <v>0</v>
      </c>
      <c r="E49" s="897"/>
      <c r="G49" s="456" t="str">
        <f t="shared" si="18"/>
        <v>0.00%</v>
      </c>
      <c r="H49" s="340">
        <v>0</v>
      </c>
      <c r="I49" s="897"/>
      <c r="J49" s="455"/>
      <c r="K49" s="456" t="str">
        <f t="shared" si="19"/>
        <v>0.00%</v>
      </c>
      <c r="L49" s="340">
        <f>ROUND((H49)*(LEFT(M49,5)+1),0)</f>
        <v>0</v>
      </c>
      <c r="M49" s="2488" t="str">
        <f>TEXT('MYP Assumptions'!$I$68,"0.00%")&amp;", projected increase"</f>
        <v>5.00%, projected increase</v>
      </c>
      <c r="O49" s="456" t="str">
        <f t="shared" si="20"/>
        <v>0.00%</v>
      </c>
      <c r="P49" s="340">
        <f>ROUND((L49)*(LEFT(Q49,5)+1),0)</f>
        <v>0</v>
      </c>
      <c r="Q49" s="2488" t="str">
        <f>TEXT('MYP Assumptions'!$I$68,"0.00%")&amp;", projected increase"</f>
        <v>5.00%, projected increase</v>
      </c>
      <c r="R49" s="455"/>
      <c r="S49" s="2238" t="str">
        <f t="shared" si="21"/>
        <v>0.00%</v>
      </c>
      <c r="T49" s="340">
        <f>ROUND((P49)*(LEFT(U49,5)+1),0)</f>
        <v>0</v>
      </c>
      <c r="U49" s="455" t="str">
        <f>TEXT('MYP Assumptions'!$I$68,"0.00%")&amp;", projected increase"</f>
        <v>5.00%, projected increase</v>
      </c>
      <c r="V49" s="2429"/>
      <c r="W49" s="2241" t="str">
        <f t="shared" si="22"/>
        <v>0.00%</v>
      </c>
      <c r="X49" s="340">
        <f>ROUND((T49)*(LEFT(Y49,5)+1),0)</f>
        <v>0</v>
      </c>
      <c r="Y49" s="455" t="str">
        <f>TEXT('MYP Assumptions'!$I$68,"0.00%")&amp;", projected increase"</f>
        <v>5.00%, projected increase</v>
      </c>
      <c r="AA49" s="456" t="str">
        <f t="shared" si="23"/>
        <v>0.00%</v>
      </c>
      <c r="AB49" s="340">
        <f>ROUND((X49)*(LEFT(AC49,5)+1),0)</f>
        <v>0</v>
      </c>
      <c r="AC49" s="455" t="str">
        <f>TEXT('MYP Assumptions'!$I$68,"0.00%")&amp;", projected increase"</f>
        <v>5.00%, projected increase</v>
      </c>
    </row>
    <row r="50" spans="1:29" s="340" customFormat="1" hidden="1" x14ac:dyDescent="0.25">
      <c r="A50" s="455"/>
      <c r="B50" s="2441" t="s">
        <v>88</v>
      </c>
      <c r="C50" s="2386" t="s">
        <v>81</v>
      </c>
      <c r="D50" s="340">
        <v>0</v>
      </c>
      <c r="E50" s="897" t="str">
        <f>TEXT('MYP Assumptions'!$D$62,"0.00%")&amp;", SUI rate"</f>
        <v>0.05%, SUI rate</v>
      </c>
      <c r="G50" s="456" t="str">
        <f t="shared" si="18"/>
        <v>0.00%</v>
      </c>
      <c r="H50" s="340">
        <v>0</v>
      </c>
      <c r="I50" s="897" t="str">
        <f>TEXT('MYP Assumptions'!E62,"0.00%")&amp;", no rate change"</f>
        <v>0.05%, no rate change</v>
      </c>
      <c r="J50" s="455"/>
      <c r="K50" s="456" t="str">
        <f t="shared" si="19"/>
        <v>0.00%</v>
      </c>
      <c r="L50" s="340">
        <f>ROUND((L42+L29)*LEFT(M50,5),0)</f>
        <v>0</v>
      </c>
      <c r="M50" s="2488" t="str">
        <f>TEXT('MYP Assumptions'!F62,"0.00%")&amp;", no rate change"</f>
        <v>0.05%, no rate change</v>
      </c>
      <c r="O50" s="456" t="str">
        <f t="shared" si="20"/>
        <v>0.00%</v>
      </c>
      <c r="P50" s="340">
        <f>ROUND((P42+P29)*LEFT(Q50,5),0)</f>
        <v>0</v>
      </c>
      <c r="Q50" s="2488" t="str">
        <f>TEXT('MYP Assumptions'!G62,"0.00%")&amp;", no rate change"</f>
        <v>0.05%, no rate change</v>
      </c>
      <c r="R50" s="455"/>
      <c r="S50" s="2238" t="str">
        <f t="shared" si="21"/>
        <v>0.00%</v>
      </c>
      <c r="T50" s="340">
        <f>ROUND((T42+T29)*LEFT(U50,5),0)</f>
        <v>0</v>
      </c>
      <c r="U50" s="455" t="str">
        <f>TEXT('MYP Assumptions'!H62,"0.00%")&amp;", no rate change"</f>
        <v>0.05%, no rate change</v>
      </c>
      <c r="V50" s="2429"/>
      <c r="W50" s="2241" t="str">
        <f t="shared" si="22"/>
        <v>0.00%</v>
      </c>
      <c r="X50" s="340" t="e">
        <f>ROUND((X42+X29)*LEFT(Y50,5),0)</f>
        <v>#REF!</v>
      </c>
      <c r="Y50" s="455" t="str">
        <f>TEXT('MYP Assumptions'!I62,"0.00%")&amp;", no rate change"</f>
        <v>0.05%, no rate change</v>
      </c>
      <c r="AA50" s="456" t="e">
        <f t="shared" si="23"/>
        <v>#REF!</v>
      </c>
      <c r="AB50" s="340" t="e">
        <f>ROUND((AB42+AB29)*LEFT(AC50,5),0)</f>
        <v>#REF!</v>
      </c>
      <c r="AC50" s="455" t="str">
        <f>TEXT('MYP Assumptions'!J62,"0.00%")&amp;", no rate change"</f>
        <v>0.00%, no rate change</v>
      </c>
    </row>
    <row r="51" spans="1:29" s="340" customFormat="1" hidden="1" x14ac:dyDescent="0.25">
      <c r="A51" s="455"/>
      <c r="B51" s="2441" t="s">
        <v>89</v>
      </c>
      <c r="C51" s="2386" t="s">
        <v>82</v>
      </c>
      <c r="D51" s="340">
        <v>0</v>
      </c>
      <c r="E51" s="897" t="str">
        <f>TEXT('MYP Assumptions'!$D$63,"0.00%")&amp;", W/C rate"</f>
        <v>1.10%, W/C rate</v>
      </c>
      <c r="G51" s="456" t="str">
        <f t="shared" si="18"/>
        <v>0.00%</v>
      </c>
      <c r="H51" s="340">
        <v>0</v>
      </c>
      <c r="I51" s="897" t="str">
        <f>TEXT('MYP Assumptions'!E63,"0.00%")&amp;", no rate change"</f>
        <v>0.80%, no rate change</v>
      </c>
      <c r="J51" s="455"/>
      <c r="K51" s="456" t="str">
        <f t="shared" si="19"/>
        <v>0.00%</v>
      </c>
      <c r="L51" s="340">
        <f>ROUND((L42+L29)*LEFT(M51,5),0)</f>
        <v>0</v>
      </c>
      <c r="M51" s="2488" t="str">
        <f>TEXT('MYP Assumptions'!F63,"0.00%")&amp;", no rate change"</f>
        <v>0.80%, no rate change</v>
      </c>
      <c r="O51" s="456" t="str">
        <f t="shared" si="20"/>
        <v>0.00%</v>
      </c>
      <c r="P51" s="340">
        <f>ROUND((P42+P29)*LEFT(Q51,5),0)</f>
        <v>0</v>
      </c>
      <c r="Q51" s="2488" t="str">
        <f>TEXT('MYP Assumptions'!G63,"0.00%")&amp;", no rate change"</f>
        <v>0.80%, no rate change</v>
      </c>
      <c r="R51" s="455"/>
      <c r="S51" s="2238" t="str">
        <f t="shared" si="21"/>
        <v>0.00%</v>
      </c>
      <c r="T51" s="340">
        <f>ROUND((T42+T29)*LEFT(U51,5),0)</f>
        <v>0</v>
      </c>
      <c r="U51" s="455" t="str">
        <f>TEXT('MYP Assumptions'!H63,"0.00%")&amp;", no rate change"</f>
        <v>0.80%, no rate change</v>
      </c>
      <c r="V51" s="2429"/>
      <c r="W51" s="2241" t="str">
        <f t="shared" si="22"/>
        <v>0.00%</v>
      </c>
      <c r="X51" s="340" t="e">
        <f>ROUND((X42+X29)*LEFT(Y51,5),0)</f>
        <v>#REF!</v>
      </c>
      <c r="Y51" s="455" t="str">
        <f>TEXT('MYP Assumptions'!I63,"0.00%")&amp;", no rate change"</f>
        <v>0.80%, no rate change</v>
      </c>
      <c r="AA51" s="456" t="e">
        <f t="shared" si="23"/>
        <v>#REF!</v>
      </c>
      <c r="AB51" s="340" t="e">
        <f>ROUND((AB42+AB29)*LEFT(AC51,5),0)</f>
        <v>#REF!</v>
      </c>
      <c r="AC51" s="455" t="str">
        <f>TEXT('MYP Assumptions'!J63,"0.00%")&amp;", no rate change"</f>
        <v>0.00%, no rate change</v>
      </c>
    </row>
    <row r="52" spans="1:29" s="340" customFormat="1" hidden="1" x14ac:dyDescent="0.25">
      <c r="A52" s="455"/>
      <c r="B52" s="2441" t="s">
        <v>469</v>
      </c>
      <c r="C52" s="2386" t="s">
        <v>470</v>
      </c>
      <c r="D52" s="340">
        <v>0</v>
      </c>
      <c r="E52" s="2386"/>
      <c r="G52" s="456" t="str">
        <f t="shared" si="18"/>
        <v>0.00%</v>
      </c>
      <c r="H52" s="340">
        <v>0</v>
      </c>
      <c r="I52" s="897"/>
      <c r="J52" s="455"/>
      <c r="K52" s="456" t="str">
        <f t="shared" si="19"/>
        <v>0.00%</v>
      </c>
      <c r="L52" s="340">
        <f>H52</f>
        <v>0</v>
      </c>
      <c r="M52" s="2488" t="s">
        <v>165</v>
      </c>
      <c r="O52" s="456" t="str">
        <f t="shared" si="20"/>
        <v>0.00%</v>
      </c>
      <c r="P52" s="340">
        <f>L52</f>
        <v>0</v>
      </c>
      <c r="Q52" s="2488" t="s">
        <v>165</v>
      </c>
      <c r="R52" s="455"/>
      <c r="S52" s="2238" t="str">
        <f t="shared" si="21"/>
        <v>0.00%</v>
      </c>
      <c r="T52" s="340">
        <f>P52</f>
        <v>0</v>
      </c>
      <c r="U52" s="455" t="s">
        <v>165</v>
      </c>
      <c r="V52" s="2429"/>
      <c r="W52" s="2241" t="str">
        <f t="shared" si="22"/>
        <v>0.00%</v>
      </c>
      <c r="X52" s="340">
        <f>T52</f>
        <v>0</v>
      </c>
      <c r="Y52" s="455" t="s">
        <v>165</v>
      </c>
      <c r="AA52" s="456" t="str">
        <f t="shared" si="23"/>
        <v>0.00%</v>
      </c>
      <c r="AB52" s="340">
        <f>X52</f>
        <v>0</v>
      </c>
      <c r="AC52" s="455" t="s">
        <v>165</v>
      </c>
    </row>
    <row r="53" spans="1:29" s="340" customFormat="1" hidden="1" x14ac:dyDescent="0.25">
      <c r="A53" s="455"/>
      <c r="B53" s="2441" t="s">
        <v>91</v>
      </c>
      <c r="C53" s="2386" t="s">
        <v>93</v>
      </c>
      <c r="D53" s="340">
        <v>0</v>
      </c>
      <c r="E53" s="2386"/>
      <c r="G53" s="456" t="str">
        <f t="shared" si="18"/>
        <v>0.00%</v>
      </c>
      <c r="H53" s="340">
        <v>0</v>
      </c>
      <c r="I53" s="897"/>
      <c r="J53" s="455"/>
      <c r="K53" s="456" t="str">
        <f t="shared" si="19"/>
        <v>0.00%</v>
      </c>
      <c r="L53" s="340">
        <f>+H53</f>
        <v>0</v>
      </c>
      <c r="M53" s="2488" t="s">
        <v>173</v>
      </c>
      <c r="O53" s="456" t="str">
        <f t="shared" si="20"/>
        <v>0.00%</v>
      </c>
      <c r="P53" s="340">
        <f>+L53</f>
        <v>0</v>
      </c>
      <c r="Q53" s="2488" t="s">
        <v>173</v>
      </c>
      <c r="R53" s="455"/>
      <c r="S53" s="2238"/>
      <c r="T53" s="340">
        <f>+P53</f>
        <v>0</v>
      </c>
      <c r="U53" s="455"/>
      <c r="V53" s="2429"/>
      <c r="W53" s="2241"/>
      <c r="Y53" s="455"/>
      <c r="AA53" s="456"/>
      <c r="AC53" s="455"/>
    </row>
    <row r="54" spans="1:29" s="340" customFormat="1" hidden="1" x14ac:dyDescent="0.25">
      <c r="A54" s="459"/>
      <c r="B54" s="2441"/>
      <c r="C54" s="2386"/>
      <c r="D54" s="458">
        <f>SUM(D45:D53)</f>
        <v>0</v>
      </c>
      <c r="E54" s="2386"/>
      <c r="G54" s="456" t="str">
        <f t="shared" si="18"/>
        <v>0.00%</v>
      </c>
      <c r="H54" s="458">
        <f>SUM(H45:H53)</f>
        <v>0</v>
      </c>
      <c r="I54" s="2316">
        <f>+H54-D54</f>
        <v>0</v>
      </c>
      <c r="J54" s="459"/>
      <c r="K54" s="456" t="str">
        <f t="shared" si="19"/>
        <v>0.00%</v>
      </c>
      <c r="L54" s="458">
        <f>SUM(L45:L53)</f>
        <v>0</v>
      </c>
      <c r="M54" s="2316">
        <f>+L54-H54</f>
        <v>0</v>
      </c>
      <c r="O54" s="456" t="str">
        <f t="shared" si="20"/>
        <v>0.00%</v>
      </c>
      <c r="P54" s="458">
        <f>SUM(P45:P53)</f>
        <v>0</v>
      </c>
      <c r="Q54" s="2316">
        <f>+P54-L54</f>
        <v>0</v>
      </c>
      <c r="R54" s="455"/>
      <c r="S54" s="2238" t="str">
        <f t="shared" si="21"/>
        <v>0.00%</v>
      </c>
      <c r="T54" s="458">
        <f>SUM(T45:T53)</f>
        <v>0</v>
      </c>
      <c r="U54" s="2370"/>
      <c r="V54" s="2429"/>
      <c r="W54" s="2241" t="str">
        <f t="shared" si="22"/>
        <v>0.00%</v>
      </c>
      <c r="X54" s="458" t="e">
        <f>SUM(X45:X53)</f>
        <v>#REF!</v>
      </c>
      <c r="Y54" s="2370"/>
      <c r="AA54" s="456" t="e">
        <f t="shared" si="23"/>
        <v>#REF!</v>
      </c>
      <c r="AB54" s="458" t="e">
        <f>SUM(AB45:AB53)</f>
        <v>#REF!</v>
      </c>
      <c r="AC54" s="2370"/>
    </row>
    <row r="55" spans="1:29" s="340" customFormat="1" hidden="1" x14ac:dyDescent="0.25">
      <c r="A55" s="460"/>
      <c r="B55" s="2441"/>
      <c r="C55" s="2386"/>
      <c r="E55" s="2386"/>
      <c r="G55" s="2338"/>
      <c r="I55" s="897"/>
      <c r="J55" s="455"/>
      <c r="K55" s="1668"/>
      <c r="M55" s="2340"/>
      <c r="O55" s="1668"/>
      <c r="Q55" s="2340"/>
      <c r="R55" s="455"/>
      <c r="S55" s="2341"/>
      <c r="U55" s="2370"/>
      <c r="V55" s="2429"/>
      <c r="W55" s="2343"/>
      <c r="Y55" s="2370"/>
      <c r="AA55" s="1668"/>
      <c r="AC55" s="2370"/>
    </row>
    <row r="56" spans="1:29" s="340" customFormat="1" hidden="1" x14ac:dyDescent="0.25">
      <c r="A56" s="459"/>
      <c r="B56" s="2486" t="s">
        <v>26</v>
      </c>
      <c r="C56" s="2386"/>
      <c r="D56" s="458">
        <f>SUM(D54,D42,D29)</f>
        <v>0</v>
      </c>
      <c r="E56" s="2386"/>
      <c r="G56" s="456" t="str">
        <f>IF(D56=0,"0.00%",(H56-D56)/D56)</f>
        <v>0.00%</v>
      </c>
      <c r="H56" s="458">
        <f>SUM(H54,H42,H29)</f>
        <v>0</v>
      </c>
      <c r="I56" s="2316">
        <f>+H56-D56</f>
        <v>0</v>
      </c>
      <c r="J56" s="459"/>
      <c r="K56" s="456" t="str">
        <f>IF(H56=0,"0.00%",(L56-H56)/H56)</f>
        <v>0.00%</v>
      </c>
      <c r="L56" s="458">
        <f>SUM(L54,L42,L29)</f>
        <v>0</v>
      </c>
      <c r="M56" s="2316">
        <f>+L56-H56</f>
        <v>0</v>
      </c>
      <c r="O56" s="456" t="str">
        <f>IF(L56=0,"0.00%",(P56-L56)/L56)</f>
        <v>0.00%</v>
      </c>
      <c r="P56" s="458">
        <f>SUM(P54,P42,P29)</f>
        <v>0</v>
      </c>
      <c r="Q56" s="2316">
        <f>+P56-L56</f>
        <v>0</v>
      </c>
      <c r="R56" s="455"/>
      <c r="S56" s="2238" t="str">
        <f>IF(P56=0,"0.00%",(T56-P56)/P56)</f>
        <v>0.00%</v>
      </c>
      <c r="T56" s="458">
        <f>SUM(T54,T42,T29)</f>
        <v>0</v>
      </c>
      <c r="U56" s="2370"/>
      <c r="V56" s="2429"/>
      <c r="W56" s="2241" t="str">
        <f>IF(T56=0,"0.00%",(X56-T56)/T56)</f>
        <v>0.00%</v>
      </c>
      <c r="X56" s="458" t="e">
        <f>SUM(X54,X42,X29)</f>
        <v>#REF!</v>
      </c>
      <c r="Y56" s="2370"/>
      <c r="AA56" s="456" t="e">
        <f>IF(X56=0,"0.00%",(AB56-X56)/X56)</f>
        <v>#REF!</v>
      </c>
      <c r="AB56" s="458" t="e">
        <f>SUM(AB54,AB42,AB29)</f>
        <v>#REF!</v>
      </c>
      <c r="AC56" s="2370"/>
    </row>
    <row r="57" spans="1:29" s="340" customFormat="1" hidden="1" x14ac:dyDescent="0.25">
      <c r="A57" s="455"/>
      <c r="B57" s="2487"/>
      <c r="C57" s="2386"/>
      <c r="E57" s="2386"/>
      <c r="G57" s="2338"/>
      <c r="I57" s="897"/>
      <c r="J57" s="455"/>
      <c r="K57" s="1668"/>
      <c r="M57" s="2340"/>
      <c r="O57" s="1668"/>
      <c r="Q57" s="2340"/>
      <c r="R57" s="455"/>
      <c r="S57" s="2341"/>
      <c r="U57" s="2370"/>
      <c r="V57" s="2429"/>
      <c r="W57" s="2343"/>
      <c r="Y57" s="2370"/>
      <c r="AA57" s="1668"/>
      <c r="AC57" s="2370"/>
    </row>
    <row r="58" spans="1:29" s="340" customFormat="1" hidden="1" x14ac:dyDescent="0.25">
      <c r="A58" s="455"/>
      <c r="B58" s="2487"/>
      <c r="C58" s="2386"/>
      <c r="E58" s="2386"/>
      <c r="G58" s="2338"/>
      <c r="I58" s="897"/>
      <c r="J58" s="455"/>
      <c r="K58" s="1668"/>
      <c r="M58" s="2340"/>
      <c r="N58" s="456"/>
      <c r="O58" s="1668"/>
      <c r="Q58" s="2340"/>
      <c r="R58" s="455"/>
      <c r="S58" s="2341"/>
      <c r="U58" s="2370"/>
      <c r="V58" s="2429"/>
      <c r="W58" s="2343"/>
      <c r="Y58" s="2370"/>
      <c r="AA58" s="1668"/>
      <c r="AC58" s="2370"/>
    </row>
    <row r="59" spans="1:29" s="340" customFormat="1" x14ac:dyDescent="0.25">
      <c r="A59" s="455"/>
      <c r="B59" s="2223" t="s">
        <v>25</v>
      </c>
      <c r="C59" s="868"/>
      <c r="D59" s="2497"/>
      <c r="E59" s="2386"/>
      <c r="G59" s="2338"/>
      <c r="H59" s="606"/>
      <c r="I59" s="897"/>
      <c r="J59" s="455"/>
      <c r="K59" s="1668"/>
      <c r="L59" s="606"/>
      <c r="M59" s="2488"/>
      <c r="O59" s="1668"/>
      <c r="P59" s="606"/>
      <c r="Q59" s="2488"/>
      <c r="R59" s="455"/>
      <c r="S59" s="2341"/>
      <c r="T59" s="606"/>
      <c r="U59" s="2370"/>
      <c r="V59" s="2429"/>
      <c r="W59" s="2343"/>
      <c r="Y59" s="2370"/>
      <c r="AA59" s="1668"/>
      <c r="AC59" s="2370"/>
    </row>
    <row r="60" spans="1:29" s="340" customFormat="1" x14ac:dyDescent="0.25">
      <c r="A60" s="455"/>
      <c r="B60" s="2441">
        <v>4310</v>
      </c>
      <c r="C60" s="2386" t="s">
        <v>1101</v>
      </c>
      <c r="D60" s="340">
        <v>0</v>
      </c>
      <c r="E60" s="2386"/>
      <c r="G60" s="456" t="str">
        <f t="shared" ref="G60:G70" si="24">IF(D60=0,"0.00%",(H60-D60)/D60)</f>
        <v>0.00%</v>
      </c>
      <c r="H60" s="340">
        <v>0</v>
      </c>
      <c r="I60" s="897"/>
      <c r="J60" s="455"/>
      <c r="K60" s="456" t="str">
        <f t="shared" ref="K60:K70" si="25">IF(H60=0,"0.00%",(L60-H60)/H60)</f>
        <v>0.00%</v>
      </c>
      <c r="L60" s="340">
        <v>375000</v>
      </c>
      <c r="M60" s="2488"/>
      <c r="O60" s="456">
        <f t="shared" ref="O60:O70" si="26">IF(L60=0,"0.00%",(P60-L60)/L60)</f>
        <v>0</v>
      </c>
      <c r="P60" s="340">
        <f>L60</f>
        <v>375000</v>
      </c>
      <c r="Q60" s="2488" t="s">
        <v>173</v>
      </c>
      <c r="R60" s="455"/>
      <c r="S60" s="2238">
        <f t="shared" ref="S60:S70" si="27">IF(P60=0,"0.00%",(T60-P60)/P60)</f>
        <v>0</v>
      </c>
      <c r="T60" s="340">
        <f>P60</f>
        <v>375000</v>
      </c>
      <c r="U60" s="2488" t="s">
        <v>173</v>
      </c>
      <c r="V60" s="2429"/>
      <c r="W60" s="2241">
        <f t="shared" ref="W60:W70" si="28">IF(T60=0,"0.00%",(X60-T60)/T60)</f>
        <v>2.7301333333333334E-2</v>
      </c>
      <c r="X60" s="340">
        <f>ROUND(T60*(LEFT(Y60,5)+1),0)</f>
        <v>385238</v>
      </c>
      <c r="Y60" s="455" t="str">
        <f>TEXT('MYP Assumptions'!I78,"0.00%")&amp;", CPI"</f>
        <v>2.73%, CPI</v>
      </c>
      <c r="AA60" s="456">
        <f t="shared" ref="AA60:AA70" si="29">IF(X60=0,"0.00%",(AB60-X60)/X60)</f>
        <v>2.7300006749074599E-2</v>
      </c>
      <c r="AB60" s="340">
        <f>ROUND(X60*(LEFT(AC60,5)+1),0)</f>
        <v>395755</v>
      </c>
      <c r="AC60" s="455" t="str">
        <f>TEXT('MYP Assumptions'!J78,"0.00%")&amp;", CPI"</f>
        <v>2.73%, CPI</v>
      </c>
    </row>
    <row r="61" spans="1:29" s="340" customFormat="1" x14ac:dyDescent="0.25">
      <c r="A61" s="455"/>
      <c r="B61" s="2441"/>
      <c r="C61" s="2386"/>
      <c r="D61" s="340">
        <v>0</v>
      </c>
      <c r="E61" s="2386"/>
      <c r="G61" s="456" t="str">
        <f t="shared" si="24"/>
        <v>0.00%</v>
      </c>
      <c r="H61" s="340">
        <v>0</v>
      </c>
      <c r="I61" s="897"/>
      <c r="J61" s="455"/>
      <c r="K61" s="456" t="str">
        <f t="shared" si="25"/>
        <v>0.00%</v>
      </c>
      <c r="L61" s="340">
        <v>0</v>
      </c>
      <c r="M61" s="2488"/>
      <c r="O61" s="456" t="str">
        <f t="shared" si="26"/>
        <v>0.00%</v>
      </c>
      <c r="P61" s="340">
        <f t="shared" ref="P61:P65" si="30">+(1-$P$59)*L61</f>
        <v>0</v>
      </c>
      <c r="Q61" s="2488"/>
      <c r="R61" s="455"/>
      <c r="S61" s="2238" t="str">
        <f t="shared" si="27"/>
        <v>0.00%</v>
      </c>
      <c r="T61" s="340">
        <f>+(1-$U$22)*P61</f>
        <v>0</v>
      </c>
      <c r="U61" s="455"/>
      <c r="V61" s="2429"/>
      <c r="W61" s="2241" t="str">
        <f t="shared" si="28"/>
        <v>0.00%</v>
      </c>
      <c r="X61" s="340">
        <f t="shared" ref="X61:X69" si="31">ROUND(T61*(LEFT(Y61,5)+1),0)</f>
        <v>0</v>
      </c>
      <c r="Y61" s="455" t="str">
        <f>TEXT('MYP Assumptions'!I78,"0.00%")&amp;", CPI"</f>
        <v>2.73%, CPI</v>
      </c>
      <c r="AA61" s="456" t="str">
        <f t="shared" si="29"/>
        <v>0.00%</v>
      </c>
      <c r="AB61" s="340">
        <f t="shared" ref="AB61:AB69" si="32">ROUND(X61*(LEFT(AC61,5)+1),0)</f>
        <v>0</v>
      </c>
      <c r="AC61" s="455" t="str">
        <f>TEXT('MYP Assumptions'!J78,"0.00%")&amp;", CPI"</f>
        <v>2.73%, CPI</v>
      </c>
    </row>
    <row r="62" spans="1:29" s="340" customFormat="1" hidden="1" x14ac:dyDescent="0.25">
      <c r="A62" s="455"/>
      <c r="B62" s="2441"/>
      <c r="C62" s="2386"/>
      <c r="D62" s="340">
        <v>0</v>
      </c>
      <c r="E62" s="2386"/>
      <c r="G62" s="456" t="str">
        <f t="shared" si="24"/>
        <v>0.00%</v>
      </c>
      <c r="H62" s="340">
        <v>0</v>
      </c>
      <c r="I62" s="897"/>
      <c r="J62" s="455"/>
      <c r="K62" s="456" t="str">
        <f t="shared" si="25"/>
        <v>0.00%</v>
      </c>
      <c r="L62" s="340">
        <v>0</v>
      </c>
      <c r="M62" s="2488"/>
      <c r="O62" s="456" t="str">
        <f t="shared" si="26"/>
        <v>0.00%</v>
      </c>
      <c r="P62" s="340">
        <f t="shared" si="30"/>
        <v>0</v>
      </c>
      <c r="Q62" s="2488"/>
      <c r="R62" s="455"/>
      <c r="S62" s="2238" t="str">
        <f t="shared" si="27"/>
        <v>0.00%</v>
      </c>
      <c r="T62" s="340">
        <f t="shared" ref="T62:T69" si="33">+(1-$P$59)*P62</f>
        <v>0</v>
      </c>
      <c r="U62" s="455" t="str">
        <f>TEXT('MYP Assumptions'!H78,"0.00%")&amp;", CPI"</f>
        <v>3.23%, CPI</v>
      </c>
      <c r="V62" s="2429"/>
      <c r="W62" s="2241" t="str">
        <f t="shared" si="28"/>
        <v>0.00%</v>
      </c>
      <c r="X62" s="340">
        <f t="shared" si="31"/>
        <v>0</v>
      </c>
      <c r="Y62" s="455" t="str">
        <f>TEXT('MYP Assumptions'!I78,"0.00%")&amp;", CPI"</f>
        <v>2.73%, CPI</v>
      </c>
      <c r="AA62" s="456" t="str">
        <f t="shared" si="29"/>
        <v>0.00%</v>
      </c>
      <c r="AB62" s="340">
        <f t="shared" si="32"/>
        <v>0</v>
      </c>
      <c r="AC62" s="455" t="str">
        <f>TEXT('MYP Assumptions'!J78,"0.00%")&amp;", CPI"</f>
        <v>2.73%, CPI</v>
      </c>
    </row>
    <row r="63" spans="1:29" s="340" customFormat="1" hidden="1" x14ac:dyDescent="0.25">
      <c r="A63" s="455"/>
      <c r="B63" s="2441"/>
      <c r="C63" s="2386"/>
      <c r="D63" s="340">
        <v>0</v>
      </c>
      <c r="E63" s="2386"/>
      <c r="G63" s="456" t="str">
        <f t="shared" si="24"/>
        <v>0.00%</v>
      </c>
      <c r="H63" s="340">
        <v>0</v>
      </c>
      <c r="I63" s="897"/>
      <c r="J63" s="455"/>
      <c r="K63" s="456" t="str">
        <f t="shared" si="25"/>
        <v>0.00%</v>
      </c>
      <c r="L63" s="340">
        <v>0</v>
      </c>
      <c r="M63" s="2488"/>
      <c r="O63" s="456" t="str">
        <f t="shared" si="26"/>
        <v>0.00%</v>
      </c>
      <c r="P63" s="340">
        <f t="shared" si="30"/>
        <v>0</v>
      </c>
      <c r="Q63" s="2488"/>
      <c r="R63" s="455"/>
      <c r="S63" s="2238" t="str">
        <f t="shared" si="27"/>
        <v>0.00%</v>
      </c>
      <c r="T63" s="340">
        <f t="shared" si="33"/>
        <v>0</v>
      </c>
      <c r="U63" s="455" t="str">
        <f>TEXT('MYP Assumptions'!H78,"0.00%")&amp;", CPI"</f>
        <v>3.23%, CPI</v>
      </c>
      <c r="V63" s="2429"/>
      <c r="W63" s="2241" t="str">
        <f t="shared" si="28"/>
        <v>0.00%</v>
      </c>
      <c r="X63" s="340">
        <f t="shared" si="31"/>
        <v>0</v>
      </c>
      <c r="Y63" s="455" t="str">
        <f>TEXT('MYP Assumptions'!I78,"0.00%")&amp;", CPI"</f>
        <v>2.73%, CPI</v>
      </c>
      <c r="AA63" s="456" t="str">
        <f t="shared" si="29"/>
        <v>0.00%</v>
      </c>
      <c r="AB63" s="340">
        <f t="shared" si="32"/>
        <v>0</v>
      </c>
      <c r="AC63" s="455" t="str">
        <f>TEXT('MYP Assumptions'!J78,"0.00%")&amp;", CPI"</f>
        <v>2.73%, CPI</v>
      </c>
    </row>
    <row r="64" spans="1:29" s="340" customFormat="1" hidden="1" x14ac:dyDescent="0.25">
      <c r="A64" s="455"/>
      <c r="B64" s="2441"/>
      <c r="C64" s="2386"/>
      <c r="D64" s="340">
        <v>0</v>
      </c>
      <c r="E64" s="2386"/>
      <c r="G64" s="456" t="str">
        <f t="shared" si="24"/>
        <v>0.00%</v>
      </c>
      <c r="H64" s="340">
        <v>0</v>
      </c>
      <c r="I64" s="897"/>
      <c r="J64" s="455"/>
      <c r="K64" s="456" t="str">
        <f t="shared" si="25"/>
        <v>0.00%</v>
      </c>
      <c r="L64" s="340">
        <v>0</v>
      </c>
      <c r="M64" s="2488"/>
      <c r="O64" s="456" t="str">
        <f t="shared" si="26"/>
        <v>0.00%</v>
      </c>
      <c r="P64" s="340">
        <f t="shared" si="30"/>
        <v>0</v>
      </c>
      <c r="Q64" s="2488"/>
      <c r="R64" s="455"/>
      <c r="S64" s="2238" t="str">
        <f t="shared" si="27"/>
        <v>0.00%</v>
      </c>
      <c r="T64" s="340">
        <f t="shared" si="33"/>
        <v>0</v>
      </c>
      <c r="U64" s="455" t="str">
        <f>TEXT('MYP Assumptions'!H78,"0.00%")&amp;", CPI"</f>
        <v>3.23%, CPI</v>
      </c>
      <c r="V64" s="2429"/>
      <c r="W64" s="2241" t="str">
        <f t="shared" si="28"/>
        <v>0.00%</v>
      </c>
      <c r="X64" s="340">
        <f t="shared" si="31"/>
        <v>0</v>
      </c>
      <c r="Y64" s="455" t="str">
        <f>TEXT('MYP Assumptions'!I78,"0.00%")&amp;", CPI"</f>
        <v>2.73%, CPI</v>
      </c>
      <c r="AA64" s="456" t="str">
        <f t="shared" si="29"/>
        <v>0.00%</v>
      </c>
      <c r="AB64" s="340">
        <f t="shared" si="32"/>
        <v>0</v>
      </c>
      <c r="AC64" s="455" t="str">
        <f>TEXT('MYP Assumptions'!J78,"0.00%")&amp;", CPI"</f>
        <v>2.73%, CPI</v>
      </c>
    </row>
    <row r="65" spans="1:29" s="340" customFormat="1" hidden="1" x14ac:dyDescent="0.25">
      <c r="A65" s="455"/>
      <c r="B65" s="2441"/>
      <c r="C65" s="2386"/>
      <c r="D65" s="340">
        <v>0</v>
      </c>
      <c r="E65" s="2386"/>
      <c r="G65" s="456" t="str">
        <f t="shared" si="24"/>
        <v>0.00%</v>
      </c>
      <c r="H65" s="340">
        <v>0</v>
      </c>
      <c r="I65" s="897"/>
      <c r="J65" s="455"/>
      <c r="K65" s="456" t="str">
        <f t="shared" si="25"/>
        <v>0.00%</v>
      </c>
      <c r="L65" s="340">
        <v>0</v>
      </c>
      <c r="M65" s="2488"/>
      <c r="O65" s="456" t="str">
        <f t="shared" si="26"/>
        <v>0.00%</v>
      </c>
      <c r="P65" s="340">
        <f t="shared" si="30"/>
        <v>0</v>
      </c>
      <c r="Q65" s="2488"/>
      <c r="R65" s="455"/>
      <c r="S65" s="2238" t="str">
        <f t="shared" si="27"/>
        <v>0.00%</v>
      </c>
      <c r="T65" s="340">
        <f t="shared" si="33"/>
        <v>0</v>
      </c>
      <c r="U65" s="455" t="str">
        <f>TEXT('MYP Assumptions'!$H$78,"0.00%")&amp;", CPI"</f>
        <v>3.23%, CPI</v>
      </c>
      <c r="V65" s="2429"/>
      <c r="W65" s="2241" t="str">
        <f t="shared" si="28"/>
        <v>0.00%</v>
      </c>
      <c r="X65" s="340">
        <f t="shared" si="31"/>
        <v>0</v>
      </c>
      <c r="Y65" s="455" t="str">
        <f>TEXT('MYP Assumptions'!I78,"0.00%")&amp;", CPI"</f>
        <v>2.73%, CPI</v>
      </c>
      <c r="AA65" s="456" t="str">
        <f t="shared" si="29"/>
        <v>0.00%</v>
      </c>
      <c r="AB65" s="340">
        <f t="shared" si="32"/>
        <v>0</v>
      </c>
      <c r="AC65" s="455" t="str">
        <f>TEXT('MYP Assumptions'!J78,"0.00%")&amp;", CPI"</f>
        <v>2.73%, CPI</v>
      </c>
    </row>
    <row r="66" spans="1:29" s="340" customFormat="1" hidden="1" x14ac:dyDescent="0.25">
      <c r="A66" s="455"/>
      <c r="B66" s="2441"/>
      <c r="C66" s="2386"/>
      <c r="D66" s="340">
        <v>0</v>
      </c>
      <c r="E66" s="2386"/>
      <c r="G66" s="456"/>
      <c r="I66" s="897"/>
      <c r="J66" s="455"/>
      <c r="K66" s="456" t="str">
        <f t="shared" ref="K66:K67" si="34">IF(H66=0,"0.00%",(L66-H66)/H66)</f>
        <v>0.00%</v>
      </c>
      <c r="L66" s="340">
        <v>0</v>
      </c>
      <c r="M66" s="2488"/>
      <c r="O66" s="456" t="str">
        <f t="shared" ref="O66:O69" si="35">IF(L66=0,"0.00%",(P66-L66)/L66)</f>
        <v>0.00%</v>
      </c>
      <c r="P66" s="340">
        <f t="shared" ref="P66:P69" si="36">+(1-$P$59)*L66</f>
        <v>0</v>
      </c>
      <c r="Q66" s="2488"/>
      <c r="R66" s="455"/>
      <c r="S66" s="2238" t="str">
        <f t="shared" si="27"/>
        <v>0.00%</v>
      </c>
      <c r="T66" s="340">
        <f t="shared" si="33"/>
        <v>0</v>
      </c>
      <c r="U66" s="455" t="str">
        <f>TEXT('MYP Assumptions'!$H$78,"0.00%")&amp;", CPI"</f>
        <v>3.23%, CPI</v>
      </c>
      <c r="V66" s="2429"/>
      <c r="W66" s="2241"/>
      <c r="Y66" s="455"/>
      <c r="AA66" s="456"/>
      <c r="AC66" s="455"/>
    </row>
    <row r="67" spans="1:29" s="340" customFormat="1" hidden="1" x14ac:dyDescent="0.25">
      <c r="A67" s="455"/>
      <c r="B67" s="2441"/>
      <c r="C67" s="2386"/>
      <c r="D67" s="340">
        <v>0</v>
      </c>
      <c r="E67" s="2386"/>
      <c r="G67" s="456" t="str">
        <f t="shared" si="24"/>
        <v>0.00%</v>
      </c>
      <c r="H67" s="340">
        <f t="shared" ref="H67:H69" si="37">ROUND(D67*(LEFT(I67,5)+1),0)</f>
        <v>0</v>
      </c>
      <c r="I67" s="897" t="str">
        <f>TEXT('MYP Assumptions'!$E$78,"0.00%")&amp;", CPI"</f>
        <v>3.37%, CPI</v>
      </c>
      <c r="J67" s="455"/>
      <c r="K67" s="456" t="str">
        <f t="shared" si="34"/>
        <v>0.00%</v>
      </c>
      <c r="L67" s="340">
        <v>0</v>
      </c>
      <c r="M67" s="2488"/>
      <c r="O67" s="456" t="str">
        <f t="shared" si="35"/>
        <v>0.00%</v>
      </c>
      <c r="P67" s="340">
        <f t="shared" si="36"/>
        <v>0</v>
      </c>
      <c r="Q67" s="2488"/>
      <c r="R67" s="455"/>
      <c r="S67" s="2238" t="str">
        <f t="shared" si="27"/>
        <v>0.00%</v>
      </c>
      <c r="T67" s="340">
        <f t="shared" si="33"/>
        <v>0</v>
      </c>
      <c r="U67" s="455" t="str">
        <f>TEXT('MYP Assumptions'!$H$78,"0.00%")&amp;", CPI"</f>
        <v>3.23%, CPI</v>
      </c>
      <c r="V67" s="2429"/>
      <c r="W67" s="2241"/>
      <c r="Y67" s="455"/>
      <c r="AA67" s="456"/>
      <c r="AC67" s="455"/>
    </row>
    <row r="68" spans="1:29" s="340" customFormat="1" hidden="1" x14ac:dyDescent="0.25">
      <c r="A68" s="455"/>
      <c r="B68" s="2441"/>
      <c r="C68" s="2386"/>
      <c r="E68" s="2386"/>
      <c r="G68" s="456" t="str">
        <f t="shared" si="24"/>
        <v>0.00%</v>
      </c>
      <c r="H68" s="340">
        <f t="shared" si="37"/>
        <v>0</v>
      </c>
      <c r="I68" s="897" t="str">
        <f>TEXT('MYP Assumptions'!$E$78,"0.00%")&amp;", CPI"</f>
        <v>3.37%, CPI</v>
      </c>
      <c r="J68" s="455"/>
      <c r="K68" s="456" t="str">
        <f t="shared" si="25"/>
        <v>0.00%</v>
      </c>
      <c r="L68" s="340">
        <v>0</v>
      </c>
      <c r="M68" s="2488"/>
      <c r="O68" s="456" t="str">
        <f t="shared" si="35"/>
        <v>0.00%</v>
      </c>
      <c r="P68" s="340">
        <f t="shared" si="36"/>
        <v>0</v>
      </c>
      <c r="Q68" s="2488"/>
      <c r="R68" s="455"/>
      <c r="S68" s="2238" t="str">
        <f t="shared" si="27"/>
        <v>0.00%</v>
      </c>
      <c r="T68" s="340">
        <f t="shared" si="33"/>
        <v>0</v>
      </c>
      <c r="U68" s="455" t="str">
        <f>TEXT('MYP Assumptions'!$H$78,"0.00%")&amp;", CPI"</f>
        <v>3.23%, CPI</v>
      </c>
      <c r="V68" s="2429"/>
      <c r="W68" s="2241"/>
      <c r="Y68" s="455"/>
      <c r="AA68" s="456"/>
      <c r="AC68" s="455"/>
    </row>
    <row r="69" spans="1:29" s="340" customFormat="1" x14ac:dyDescent="0.25">
      <c r="A69" s="455"/>
      <c r="B69" s="2441"/>
      <c r="C69" s="2386"/>
      <c r="E69" s="2386"/>
      <c r="G69" s="456" t="str">
        <f t="shared" si="24"/>
        <v>0.00%</v>
      </c>
      <c r="H69" s="340">
        <f t="shared" si="37"/>
        <v>0</v>
      </c>
      <c r="I69" s="897" t="str">
        <f>TEXT('MYP Assumptions'!$E$78,"0.00%")&amp;", CPI"</f>
        <v>3.37%, CPI</v>
      </c>
      <c r="J69" s="455"/>
      <c r="K69" s="456" t="str">
        <f t="shared" si="25"/>
        <v>0.00%</v>
      </c>
      <c r="L69" s="340">
        <v>0</v>
      </c>
      <c r="M69" s="2488"/>
      <c r="O69" s="456" t="str">
        <f t="shared" si="35"/>
        <v>0.00%</v>
      </c>
      <c r="P69" s="340">
        <f t="shared" si="36"/>
        <v>0</v>
      </c>
      <c r="Q69" s="2488"/>
      <c r="R69" s="455"/>
      <c r="S69" s="2238" t="str">
        <f t="shared" si="27"/>
        <v>0.00%</v>
      </c>
      <c r="T69" s="340">
        <f t="shared" si="33"/>
        <v>0</v>
      </c>
      <c r="U69" s="455" t="str">
        <f>TEXT('MYP Assumptions'!$H$78,"0.00%")&amp;", CPI"</f>
        <v>3.23%, CPI</v>
      </c>
      <c r="V69" s="2429"/>
      <c r="W69" s="2241" t="str">
        <f t="shared" si="28"/>
        <v>0.00%</v>
      </c>
      <c r="X69" s="340">
        <f t="shared" si="31"/>
        <v>0</v>
      </c>
      <c r="Y69" s="455" t="str">
        <f>TEXT('MYP Assumptions'!I78,"0.00%")&amp;", CPI"</f>
        <v>2.73%, CPI</v>
      </c>
      <c r="AA69" s="456" t="str">
        <f t="shared" si="29"/>
        <v>0.00%</v>
      </c>
      <c r="AB69" s="340">
        <f t="shared" si="32"/>
        <v>0</v>
      </c>
      <c r="AC69" s="455" t="str">
        <f>TEXT('MYP Assumptions'!J78,"0.00%")&amp;", CPI"</f>
        <v>2.73%, CPI</v>
      </c>
    </row>
    <row r="70" spans="1:29" s="340" customFormat="1" x14ac:dyDescent="0.25">
      <c r="A70" s="459"/>
      <c r="B70" s="2451"/>
      <c r="C70" s="2386"/>
      <c r="D70" s="458">
        <f>SUM(D60:D69)</f>
        <v>0</v>
      </c>
      <c r="E70" s="2386"/>
      <c r="G70" s="456" t="str">
        <f t="shared" si="24"/>
        <v>0.00%</v>
      </c>
      <c r="H70" s="458">
        <f>SUM(H60:H69)</f>
        <v>0</v>
      </c>
      <c r="I70" s="2316">
        <f>+H70-D70</f>
        <v>0</v>
      </c>
      <c r="J70" s="459"/>
      <c r="K70" s="456" t="str">
        <f t="shared" si="25"/>
        <v>0.00%</v>
      </c>
      <c r="L70" s="458">
        <f>SUM(L60:L69)</f>
        <v>375000</v>
      </c>
      <c r="M70" s="2316">
        <f>+L70-H70</f>
        <v>375000</v>
      </c>
      <c r="O70" s="456">
        <f t="shared" si="26"/>
        <v>0</v>
      </c>
      <c r="P70" s="458">
        <f>SUM(P60:P69)</f>
        <v>375000</v>
      </c>
      <c r="Q70" s="2316">
        <f>+P70-L70</f>
        <v>0</v>
      </c>
      <c r="R70" s="455"/>
      <c r="S70" s="2238">
        <f t="shared" si="27"/>
        <v>0</v>
      </c>
      <c r="T70" s="458">
        <f>SUM(T60:T69)</f>
        <v>375000</v>
      </c>
      <c r="U70" s="2370"/>
      <c r="V70" s="2429"/>
      <c r="W70" s="2241">
        <f t="shared" si="28"/>
        <v>2.7301333333333334E-2</v>
      </c>
      <c r="X70" s="458">
        <f>SUM(X60:X69)</f>
        <v>385238</v>
      </c>
      <c r="Y70" s="2370"/>
      <c r="AA70" s="456">
        <f t="shared" si="29"/>
        <v>2.7300006749074599E-2</v>
      </c>
      <c r="AB70" s="458">
        <f>SUM(AB60:AB69)</f>
        <v>395755</v>
      </c>
      <c r="AC70" s="2370"/>
    </row>
    <row r="71" spans="1:29" s="340" customFormat="1" x14ac:dyDescent="0.25">
      <c r="A71" s="455"/>
      <c r="B71" s="2487"/>
      <c r="C71" s="2386"/>
      <c r="E71" s="2386"/>
      <c r="G71" s="2338"/>
      <c r="I71" s="897"/>
      <c r="J71" s="455"/>
      <c r="K71" s="1668"/>
      <c r="M71" s="2340"/>
      <c r="O71" s="1668"/>
      <c r="Q71" s="2340"/>
      <c r="R71" s="455"/>
      <c r="S71" s="2341"/>
      <c r="U71" s="2370"/>
      <c r="V71" s="2429"/>
      <c r="W71" s="2343"/>
      <c r="Y71" s="2370"/>
      <c r="AA71" s="1668"/>
      <c r="AC71" s="2370"/>
    </row>
    <row r="72" spans="1:29" s="460" customFormat="1" hidden="1" x14ac:dyDescent="0.25">
      <c r="B72" s="2486" t="s">
        <v>16</v>
      </c>
      <c r="C72" s="868"/>
      <c r="E72" s="868"/>
      <c r="G72" s="2389"/>
      <c r="I72" s="868"/>
      <c r="K72" s="1669"/>
      <c r="M72" s="2390"/>
      <c r="O72" s="1669"/>
      <c r="Q72" s="2390"/>
      <c r="S72" s="1669"/>
      <c r="U72" s="2498"/>
      <c r="V72" s="2492"/>
      <c r="W72" s="2382"/>
      <c r="Y72" s="2498"/>
      <c r="AA72" s="1669"/>
      <c r="AC72" s="2498"/>
    </row>
    <row r="73" spans="1:29" s="340" customFormat="1" hidden="1" x14ac:dyDescent="0.25">
      <c r="A73" s="455"/>
      <c r="B73" s="2441">
        <v>5814</v>
      </c>
      <c r="C73" s="2386" t="s">
        <v>4</v>
      </c>
      <c r="D73" s="340">
        <v>0</v>
      </c>
      <c r="E73" s="2386"/>
      <c r="G73" s="456" t="str">
        <f t="shared" ref="G73:G78" si="38">IF(D73=0,"0.00%",(H73-D73)/D73)</f>
        <v>0.00%</v>
      </c>
      <c r="H73" s="340">
        <v>0</v>
      </c>
      <c r="I73" s="897"/>
      <c r="J73" s="455"/>
      <c r="K73" s="456" t="str">
        <f t="shared" ref="K73:K83" si="39">IF(H73=0,"0.00%",(L73-H73)/H73)</f>
        <v>0.00%</v>
      </c>
      <c r="M73" s="2488"/>
      <c r="O73" s="456" t="str">
        <f t="shared" ref="O73:O83" si="40">IF(L73=0,"0.00%",(P73-L73)/L73)</f>
        <v>0.00%</v>
      </c>
      <c r="P73" s="340">
        <f>+L73</f>
        <v>0</v>
      </c>
      <c r="Q73" s="2488" t="str">
        <f>TEXT('MYP Assumptions'!$G$78,"0.00%")&amp;", CPI"</f>
        <v>3.36%, CPI</v>
      </c>
      <c r="R73" s="455"/>
      <c r="S73" s="2238" t="str">
        <f t="shared" ref="S73:S83" si="41">IF(P73=0,"0.00%",(T73-P73)/P73)</f>
        <v>0.00%</v>
      </c>
      <c r="T73" s="340">
        <f>+P73</f>
        <v>0</v>
      </c>
      <c r="U73" s="455" t="str">
        <f>TEXT('MYP Assumptions'!H78,"0.00%")&amp;", CPI"</f>
        <v>3.23%, CPI</v>
      </c>
      <c r="V73" s="2429"/>
      <c r="W73" s="2241" t="str">
        <f t="shared" ref="W73:W83" si="42">IF(T73=0,"0.00%",(X73-T73)/T73)</f>
        <v>0.00%</v>
      </c>
      <c r="X73" s="340">
        <f>ROUND(T73*(LEFT(Y73,5)+1),0)</f>
        <v>0</v>
      </c>
      <c r="Y73" s="455" t="str">
        <f>TEXT('MYP Assumptions'!I78,"0.00%")&amp;", CPI"</f>
        <v>2.73%, CPI</v>
      </c>
      <c r="AA73" s="456" t="str">
        <f t="shared" ref="AA73:AA83" si="43">IF(X73=0,"0.00%",(AB73-X73)/X73)</f>
        <v>0.00%</v>
      </c>
      <c r="AB73" s="340">
        <f>ROUND(X73*(LEFT(AC73,5)+1),0)</f>
        <v>0</v>
      </c>
      <c r="AC73" s="455" t="str">
        <f>TEXT('MYP Assumptions'!J78,"0.00%")&amp;", CPI"</f>
        <v>2.73%, CPI</v>
      </c>
    </row>
    <row r="74" spans="1:29" s="340" customFormat="1" hidden="1" x14ac:dyDescent="0.25">
      <c r="A74" s="455"/>
      <c r="B74" s="2441">
        <v>5813</v>
      </c>
      <c r="C74" s="2386" t="s">
        <v>6</v>
      </c>
      <c r="D74" s="340">
        <v>0</v>
      </c>
      <c r="E74" s="2386"/>
      <c r="G74" s="456" t="str">
        <f t="shared" si="38"/>
        <v>0.00%</v>
      </c>
      <c r="H74" s="340">
        <v>0</v>
      </c>
      <c r="I74" s="2393"/>
      <c r="J74" s="455"/>
      <c r="K74" s="456" t="str">
        <f t="shared" si="39"/>
        <v>0.00%</v>
      </c>
      <c r="M74" s="2488"/>
      <c r="O74" s="456" t="str">
        <f t="shared" si="40"/>
        <v>0.00%</v>
      </c>
      <c r="P74" s="340">
        <f t="shared" ref="P74:P82" si="44">ROUND(L74*(LEFT(Q74,5)+1),0)</f>
        <v>0</v>
      </c>
      <c r="Q74" s="2488" t="str">
        <f>TEXT('MYP Assumptions'!$G$78,"0.00%")&amp;", CPI"</f>
        <v>3.36%, CPI</v>
      </c>
      <c r="R74" s="455"/>
      <c r="S74" s="2238" t="str">
        <f t="shared" si="41"/>
        <v>0.00%</v>
      </c>
      <c r="T74" s="340">
        <f t="shared" ref="T74:T82" si="45">ROUND(P74*(LEFT(U74,5)+1),0)</f>
        <v>0</v>
      </c>
      <c r="U74" s="455" t="str">
        <f>TEXT('MYP Assumptions'!H78,"0.00%")&amp;", CPI"</f>
        <v>3.23%, CPI</v>
      </c>
      <c r="V74" s="2429"/>
      <c r="W74" s="2241" t="str">
        <f t="shared" si="42"/>
        <v>0.00%</v>
      </c>
      <c r="X74" s="340">
        <f t="shared" ref="X74:X82" si="46">ROUND(T74*(LEFT(Y74,5)+1),0)</f>
        <v>0</v>
      </c>
      <c r="Y74" s="455" t="str">
        <f>TEXT('MYP Assumptions'!I78,"0.00%")&amp;", CPI"</f>
        <v>2.73%, CPI</v>
      </c>
      <c r="AA74" s="456" t="str">
        <f t="shared" si="43"/>
        <v>0.00%</v>
      </c>
      <c r="AB74" s="340">
        <f t="shared" ref="AB74:AB82" si="47">ROUND(X74*(LEFT(AC74,5)+1),0)</f>
        <v>0</v>
      </c>
      <c r="AC74" s="455" t="str">
        <f>TEXT('MYP Assumptions'!J78,"0.00%")&amp;", CPI"</f>
        <v>2.73%, CPI</v>
      </c>
    </row>
    <row r="75" spans="1:29" s="340" customFormat="1" hidden="1" x14ac:dyDescent="0.25">
      <c r="A75" s="455"/>
      <c r="B75" s="2441"/>
      <c r="C75" s="2386"/>
      <c r="D75" s="340">
        <v>0</v>
      </c>
      <c r="E75" s="2386"/>
      <c r="G75" s="456" t="str">
        <f t="shared" si="38"/>
        <v>0.00%</v>
      </c>
      <c r="H75" s="340">
        <v>0</v>
      </c>
      <c r="I75" s="897"/>
      <c r="J75" s="455"/>
      <c r="K75" s="456" t="str">
        <f t="shared" si="39"/>
        <v>0.00%</v>
      </c>
      <c r="L75" s="340">
        <f t="shared" ref="L75:L82" si="48">ROUND(H75*(LEFT(M75,5)+1),0)</f>
        <v>0</v>
      </c>
      <c r="M75" s="2488" t="str">
        <f>TEXT('MYP Assumptions'!F78,"0.00%")&amp;", CPI"</f>
        <v>3.58%, CPI</v>
      </c>
      <c r="O75" s="456" t="str">
        <f t="shared" si="40"/>
        <v>0.00%</v>
      </c>
      <c r="P75" s="340">
        <f t="shared" si="44"/>
        <v>0</v>
      </c>
      <c r="Q75" s="2488" t="str">
        <f>TEXT('MYP Assumptions'!G78,"0.00%")&amp;", CPI"</f>
        <v>3.36%, CPI</v>
      </c>
      <c r="R75" s="455"/>
      <c r="S75" s="2238" t="str">
        <f t="shared" si="41"/>
        <v>0.00%</v>
      </c>
      <c r="T75" s="340">
        <f t="shared" si="45"/>
        <v>0</v>
      </c>
      <c r="U75" s="455" t="str">
        <f>TEXT('MYP Assumptions'!H78,"0.00%")&amp;", CPI"</f>
        <v>3.23%, CPI</v>
      </c>
      <c r="V75" s="2429"/>
      <c r="W75" s="2241" t="str">
        <f t="shared" si="42"/>
        <v>0.00%</v>
      </c>
      <c r="X75" s="340">
        <f t="shared" si="46"/>
        <v>0</v>
      </c>
      <c r="Y75" s="455" t="str">
        <f>TEXT('MYP Assumptions'!I78,"0.00%")&amp;", CPI"</f>
        <v>2.73%, CPI</v>
      </c>
      <c r="AA75" s="456" t="str">
        <f t="shared" si="43"/>
        <v>0.00%</v>
      </c>
      <c r="AB75" s="340">
        <f t="shared" si="47"/>
        <v>0</v>
      </c>
      <c r="AC75" s="455" t="str">
        <f>TEXT('MYP Assumptions'!J78,"0.00%")&amp;", CPI"</f>
        <v>2.73%, CPI</v>
      </c>
    </row>
    <row r="76" spans="1:29" s="340" customFormat="1" hidden="1" x14ac:dyDescent="0.25">
      <c r="A76" s="455"/>
      <c r="B76" s="2441"/>
      <c r="C76" s="2386"/>
      <c r="D76" s="340">
        <v>0</v>
      </c>
      <c r="E76" s="2386"/>
      <c r="G76" s="456" t="str">
        <f t="shared" si="38"/>
        <v>0.00%</v>
      </c>
      <c r="H76" s="340">
        <v>0</v>
      </c>
      <c r="I76" s="897"/>
      <c r="J76" s="455"/>
      <c r="K76" s="456" t="str">
        <f t="shared" si="39"/>
        <v>0.00%</v>
      </c>
      <c r="L76" s="340">
        <f>ROUND(H76*(LEFT(M76,5)+1),0)</f>
        <v>0</v>
      </c>
      <c r="M76" s="2488" t="str">
        <f>TEXT('MYP Assumptions'!$F$78,"0.00%")&amp;", CPI"</f>
        <v>3.58%, CPI</v>
      </c>
      <c r="O76" s="456" t="str">
        <f t="shared" si="40"/>
        <v>0.00%</v>
      </c>
      <c r="P76" s="340">
        <f t="shared" si="44"/>
        <v>0</v>
      </c>
      <c r="Q76" s="2488" t="str">
        <f>TEXT('MYP Assumptions'!$G$78,"0.00%")&amp;", CPI"</f>
        <v>3.36%, CPI</v>
      </c>
      <c r="R76" s="455"/>
      <c r="S76" s="2238" t="str">
        <f t="shared" si="41"/>
        <v>0.00%</v>
      </c>
      <c r="T76" s="340">
        <f t="shared" si="45"/>
        <v>0</v>
      </c>
      <c r="U76" s="455" t="str">
        <f>TEXT('MYP Assumptions'!H78,"0.00%")&amp;", CPI"</f>
        <v>3.23%, CPI</v>
      </c>
      <c r="V76" s="2429"/>
      <c r="W76" s="2241" t="str">
        <f t="shared" si="42"/>
        <v>0.00%</v>
      </c>
      <c r="X76" s="340">
        <f t="shared" si="46"/>
        <v>0</v>
      </c>
      <c r="Y76" s="455" t="str">
        <f>TEXT('MYP Assumptions'!I78,"0.00%")&amp;", CPI"</f>
        <v>2.73%, CPI</v>
      </c>
      <c r="AA76" s="456" t="str">
        <f t="shared" si="43"/>
        <v>0.00%</v>
      </c>
      <c r="AB76" s="340">
        <f t="shared" si="47"/>
        <v>0</v>
      </c>
      <c r="AC76" s="455" t="str">
        <f>TEXT('MYP Assumptions'!J78,"0.00%")&amp;", CPI"</f>
        <v>2.73%, CPI</v>
      </c>
    </row>
    <row r="77" spans="1:29" s="340" customFormat="1" hidden="1" x14ac:dyDescent="0.25">
      <c r="A77" s="455"/>
      <c r="B77" s="2441"/>
      <c r="C77" s="2386"/>
      <c r="D77" s="340">
        <v>0</v>
      </c>
      <c r="E77" s="2386"/>
      <c r="G77" s="456" t="str">
        <f t="shared" si="38"/>
        <v>0.00%</v>
      </c>
      <c r="H77" s="340">
        <v>0</v>
      </c>
      <c r="I77" s="897"/>
      <c r="J77" s="455"/>
      <c r="K77" s="456" t="str">
        <f t="shared" si="39"/>
        <v>0.00%</v>
      </c>
      <c r="L77" s="340">
        <f>+H77</f>
        <v>0</v>
      </c>
      <c r="M77" s="2488" t="str">
        <f>TEXT('MYP Assumptions'!$F$78,"0.00%")&amp;", CPI"</f>
        <v>3.58%, CPI</v>
      </c>
      <c r="O77" s="456" t="str">
        <f t="shared" si="40"/>
        <v>0.00%</v>
      </c>
      <c r="P77" s="340">
        <f>+L77</f>
        <v>0</v>
      </c>
      <c r="Q77" s="2488" t="str">
        <f>TEXT('MYP Assumptions'!$G$78,"0.00%")&amp;", CPI"</f>
        <v>3.36%, CPI</v>
      </c>
      <c r="R77" s="455"/>
      <c r="S77" s="2238" t="str">
        <f t="shared" si="41"/>
        <v>0.00%</v>
      </c>
      <c r="T77" s="340">
        <f>+P77</f>
        <v>0</v>
      </c>
      <c r="U77" s="455" t="str">
        <f>TEXT('MYP Assumptions'!H78,"0.00%")&amp;", CPI"</f>
        <v>3.23%, CPI</v>
      </c>
      <c r="V77" s="2429"/>
      <c r="W77" s="2241" t="str">
        <f t="shared" si="42"/>
        <v>0.00%</v>
      </c>
      <c r="X77" s="340">
        <f t="shared" si="46"/>
        <v>0</v>
      </c>
      <c r="Y77" s="455" t="str">
        <f>TEXT('MYP Assumptions'!I78,"0.00%")&amp;", CPI"</f>
        <v>2.73%, CPI</v>
      </c>
      <c r="AA77" s="456" t="str">
        <f t="shared" si="43"/>
        <v>0.00%</v>
      </c>
      <c r="AB77" s="340">
        <f t="shared" si="47"/>
        <v>0</v>
      </c>
      <c r="AC77" s="455" t="str">
        <f>TEXT('MYP Assumptions'!J78,"0.00%")&amp;", CPI"</f>
        <v>2.73%, CPI</v>
      </c>
    </row>
    <row r="78" spans="1:29" s="340" customFormat="1" hidden="1" x14ac:dyDescent="0.25">
      <c r="A78" s="455"/>
      <c r="B78" s="2441"/>
      <c r="C78" s="2386"/>
      <c r="D78" s="340">
        <v>0</v>
      </c>
      <c r="E78" s="2386"/>
      <c r="G78" s="456" t="str">
        <f t="shared" si="38"/>
        <v>0.00%</v>
      </c>
      <c r="H78" s="340">
        <v>0</v>
      </c>
      <c r="I78" s="897"/>
      <c r="J78" s="455"/>
      <c r="K78" s="456" t="str">
        <f t="shared" si="39"/>
        <v>0.00%</v>
      </c>
      <c r="L78" s="340">
        <f t="shared" si="48"/>
        <v>0</v>
      </c>
      <c r="M78" s="2488" t="str">
        <f>TEXT('MYP Assumptions'!F78,"0.00%")&amp;", CPI"</f>
        <v>3.58%, CPI</v>
      </c>
      <c r="O78" s="456" t="str">
        <f t="shared" si="40"/>
        <v>0.00%</v>
      </c>
      <c r="P78" s="340">
        <f t="shared" si="44"/>
        <v>0</v>
      </c>
      <c r="Q78" s="2488" t="str">
        <f>TEXT('MYP Assumptions'!G78,"0.00%")&amp;", CPI"</f>
        <v>3.36%, CPI</v>
      </c>
      <c r="R78" s="455"/>
      <c r="S78" s="2238" t="str">
        <f t="shared" si="41"/>
        <v>0.00%</v>
      </c>
      <c r="T78" s="340">
        <f t="shared" si="45"/>
        <v>0</v>
      </c>
      <c r="U78" s="455" t="str">
        <f>TEXT('MYP Assumptions'!H78,"0.00%")&amp;", CPI"</f>
        <v>3.23%, CPI</v>
      </c>
      <c r="V78" s="2429"/>
      <c r="W78" s="2241" t="str">
        <f t="shared" si="42"/>
        <v>0.00%</v>
      </c>
      <c r="X78" s="340">
        <f t="shared" si="46"/>
        <v>0</v>
      </c>
      <c r="Y78" s="455" t="str">
        <f>TEXT('MYP Assumptions'!I78,"0.00%")&amp;", CPI"</f>
        <v>2.73%, CPI</v>
      </c>
      <c r="AA78" s="456" t="str">
        <f t="shared" si="43"/>
        <v>0.00%</v>
      </c>
      <c r="AB78" s="340">
        <f t="shared" si="47"/>
        <v>0</v>
      </c>
      <c r="AC78" s="455" t="str">
        <f>TEXT('MYP Assumptions'!J78,"0.00%")&amp;", CPI"</f>
        <v>2.73%, CPI</v>
      </c>
    </row>
    <row r="79" spans="1:29" s="340" customFormat="1" hidden="1" x14ac:dyDescent="0.25">
      <c r="A79" s="455"/>
      <c r="B79" s="2441"/>
      <c r="C79" s="2386"/>
      <c r="D79" s="340">
        <v>0</v>
      </c>
      <c r="E79" s="2386"/>
      <c r="G79" s="456" t="str">
        <f>IF(D79=0,"0.00%",(H79-D79)/D79)</f>
        <v>0.00%</v>
      </c>
      <c r="H79" s="340">
        <v>0</v>
      </c>
      <c r="I79" s="897"/>
      <c r="J79" s="455"/>
      <c r="K79" s="456" t="str">
        <f t="shared" si="39"/>
        <v>0.00%</v>
      </c>
      <c r="L79" s="340">
        <f t="shared" si="48"/>
        <v>0</v>
      </c>
      <c r="M79" s="2488" t="str">
        <f>TEXT('MYP Assumptions'!F78,"0.00%")&amp;", CPI"</f>
        <v>3.58%, CPI</v>
      </c>
      <c r="O79" s="456" t="str">
        <f t="shared" si="40"/>
        <v>0.00%</v>
      </c>
      <c r="P79" s="340">
        <f t="shared" si="44"/>
        <v>0</v>
      </c>
      <c r="Q79" s="2488" t="str">
        <f>TEXT('MYP Assumptions'!G78,"0.00%")&amp;", CPI"</f>
        <v>3.36%, CPI</v>
      </c>
      <c r="R79" s="455"/>
      <c r="S79" s="2238" t="str">
        <f t="shared" si="41"/>
        <v>0.00%</v>
      </c>
      <c r="T79" s="340">
        <f t="shared" si="45"/>
        <v>0</v>
      </c>
      <c r="U79" s="455" t="str">
        <f>TEXT('MYP Assumptions'!H78,"0.00%")&amp;", CPI"</f>
        <v>3.23%, CPI</v>
      </c>
      <c r="V79" s="2429"/>
      <c r="W79" s="2241" t="str">
        <f t="shared" si="42"/>
        <v>0.00%</v>
      </c>
      <c r="X79" s="340">
        <f t="shared" si="46"/>
        <v>0</v>
      </c>
      <c r="Y79" s="455" t="str">
        <f>TEXT('MYP Assumptions'!I78,"0.00%")&amp;", CPI"</f>
        <v>2.73%, CPI</v>
      </c>
      <c r="AA79" s="456" t="str">
        <f t="shared" si="43"/>
        <v>0.00%</v>
      </c>
      <c r="AB79" s="340">
        <f t="shared" si="47"/>
        <v>0</v>
      </c>
      <c r="AC79" s="455" t="str">
        <f>TEXT('MYP Assumptions'!J78,"0.00%")&amp;", CPI"</f>
        <v>2.73%, CPI</v>
      </c>
    </row>
    <row r="80" spans="1:29" s="340" customFormat="1" hidden="1" x14ac:dyDescent="0.25">
      <c r="A80" s="455"/>
      <c r="B80" s="2441"/>
      <c r="C80" s="2386"/>
      <c r="D80" s="340">
        <v>0</v>
      </c>
      <c r="E80" s="2386"/>
      <c r="G80" s="456" t="str">
        <f t="shared" ref="G80:G83" si="49">IF(D80=0,"0.00%",(H80-D80)/D80)</f>
        <v>0.00%</v>
      </c>
      <c r="H80" s="340">
        <v>0</v>
      </c>
      <c r="I80" s="897"/>
      <c r="J80" s="455"/>
      <c r="K80" s="456" t="str">
        <f t="shared" si="39"/>
        <v>0.00%</v>
      </c>
      <c r="L80" s="340">
        <f t="shared" si="48"/>
        <v>0</v>
      </c>
      <c r="M80" s="2488" t="str">
        <f>TEXT('MYP Assumptions'!F78,"0.00%")&amp;", CPI"</f>
        <v>3.58%, CPI</v>
      </c>
      <c r="O80" s="456" t="str">
        <f t="shared" si="40"/>
        <v>0.00%</v>
      </c>
      <c r="P80" s="340">
        <f t="shared" si="44"/>
        <v>0</v>
      </c>
      <c r="Q80" s="2488" t="str">
        <f>TEXT('MYP Assumptions'!G78,"0.00%")&amp;", CPI"</f>
        <v>3.36%, CPI</v>
      </c>
      <c r="R80" s="455"/>
      <c r="S80" s="2238" t="str">
        <f t="shared" si="41"/>
        <v>0.00%</v>
      </c>
      <c r="T80" s="340">
        <f t="shared" si="45"/>
        <v>0</v>
      </c>
      <c r="U80" s="455" t="str">
        <f>TEXT('MYP Assumptions'!H78,"0.00%")&amp;", CPI"</f>
        <v>3.23%, CPI</v>
      </c>
      <c r="V80" s="2429"/>
      <c r="W80" s="2241" t="str">
        <f t="shared" si="42"/>
        <v>0.00%</v>
      </c>
      <c r="X80" s="340">
        <f t="shared" si="46"/>
        <v>0</v>
      </c>
      <c r="Y80" s="455" t="str">
        <f>TEXT('MYP Assumptions'!I78,"0.00%")&amp;", CPI"</f>
        <v>2.73%, CPI</v>
      </c>
      <c r="AA80" s="456" t="str">
        <f t="shared" si="43"/>
        <v>0.00%</v>
      </c>
      <c r="AB80" s="340">
        <f t="shared" si="47"/>
        <v>0</v>
      </c>
      <c r="AC80" s="455" t="str">
        <f>TEXT('MYP Assumptions'!J78,"0.00%")&amp;", CPI"</f>
        <v>2.73%, CPI</v>
      </c>
    </row>
    <row r="81" spans="1:29" s="340" customFormat="1" hidden="1" x14ac:dyDescent="0.25">
      <c r="A81" s="455"/>
      <c r="B81" s="2441"/>
      <c r="C81" s="2386"/>
      <c r="D81" s="340">
        <v>0</v>
      </c>
      <c r="E81" s="2386"/>
      <c r="G81" s="456" t="str">
        <f t="shared" si="49"/>
        <v>0.00%</v>
      </c>
      <c r="H81" s="340">
        <v>0</v>
      </c>
      <c r="I81" s="897"/>
      <c r="J81" s="455"/>
      <c r="K81" s="456" t="str">
        <f t="shared" si="39"/>
        <v>0.00%</v>
      </c>
      <c r="L81" s="340">
        <f t="shared" si="48"/>
        <v>0</v>
      </c>
      <c r="M81" s="2488" t="str">
        <f>TEXT('MYP Assumptions'!F78,"0.00%")&amp;", CPI"</f>
        <v>3.58%, CPI</v>
      </c>
      <c r="O81" s="456" t="str">
        <f t="shared" si="40"/>
        <v>0.00%</v>
      </c>
      <c r="P81" s="340">
        <f t="shared" si="44"/>
        <v>0</v>
      </c>
      <c r="Q81" s="2488" t="str">
        <f>TEXT('MYP Assumptions'!G78,"0.00%")&amp;", CPI"</f>
        <v>3.36%, CPI</v>
      </c>
      <c r="R81" s="455"/>
      <c r="S81" s="2238" t="str">
        <f t="shared" si="41"/>
        <v>0.00%</v>
      </c>
      <c r="T81" s="340">
        <f t="shared" si="45"/>
        <v>0</v>
      </c>
      <c r="U81" s="455" t="str">
        <f>TEXT('MYP Assumptions'!H78,"0.00%")&amp;", CPI"</f>
        <v>3.23%, CPI</v>
      </c>
      <c r="V81" s="2429"/>
      <c r="W81" s="2241" t="str">
        <f t="shared" si="42"/>
        <v>0.00%</v>
      </c>
      <c r="X81" s="340">
        <f t="shared" si="46"/>
        <v>0</v>
      </c>
      <c r="Y81" s="455" t="str">
        <f>TEXT('MYP Assumptions'!I78,"0.00%")&amp;", CPI"</f>
        <v>2.73%, CPI</v>
      </c>
      <c r="AA81" s="456" t="str">
        <f t="shared" si="43"/>
        <v>0.00%</v>
      </c>
      <c r="AB81" s="340">
        <f t="shared" si="47"/>
        <v>0</v>
      </c>
      <c r="AC81" s="455" t="str">
        <f>TEXT('MYP Assumptions'!J78,"0.00%")&amp;", CPI"</f>
        <v>2.73%, CPI</v>
      </c>
    </row>
    <row r="82" spans="1:29" s="340" customFormat="1" hidden="1" x14ac:dyDescent="0.25">
      <c r="A82" s="455"/>
      <c r="B82" s="2441"/>
      <c r="C82" s="2386"/>
      <c r="D82" s="340">
        <v>0</v>
      </c>
      <c r="E82" s="2386"/>
      <c r="G82" s="456" t="str">
        <f t="shared" si="49"/>
        <v>0.00%</v>
      </c>
      <c r="H82" s="340">
        <v>0</v>
      </c>
      <c r="I82" s="897"/>
      <c r="J82" s="455"/>
      <c r="K82" s="456" t="str">
        <f t="shared" si="39"/>
        <v>0.00%</v>
      </c>
      <c r="L82" s="340">
        <f t="shared" si="48"/>
        <v>0</v>
      </c>
      <c r="M82" s="2488" t="str">
        <f>TEXT('MYP Assumptions'!F78,"0.00%")&amp;", CPI"</f>
        <v>3.58%, CPI</v>
      </c>
      <c r="O82" s="456" t="str">
        <f t="shared" si="40"/>
        <v>0.00%</v>
      </c>
      <c r="P82" s="340">
        <f t="shared" si="44"/>
        <v>0</v>
      </c>
      <c r="Q82" s="2488" t="str">
        <f>TEXT('MYP Assumptions'!G78,"0.00%")&amp;", CPI"</f>
        <v>3.36%, CPI</v>
      </c>
      <c r="R82" s="455"/>
      <c r="S82" s="2238" t="str">
        <f t="shared" si="41"/>
        <v>0.00%</v>
      </c>
      <c r="T82" s="340">
        <f t="shared" si="45"/>
        <v>0</v>
      </c>
      <c r="U82" s="455" t="str">
        <f>TEXT('MYP Assumptions'!H78,"0.00%")&amp;", CPI"</f>
        <v>3.23%, CPI</v>
      </c>
      <c r="V82" s="2429"/>
      <c r="W82" s="2241" t="str">
        <f t="shared" si="42"/>
        <v>0.00%</v>
      </c>
      <c r="X82" s="340">
        <f t="shared" si="46"/>
        <v>0</v>
      </c>
      <c r="Y82" s="455" t="str">
        <f>TEXT('MYP Assumptions'!I78,"0.00%")&amp;", CPI"</f>
        <v>2.73%, CPI</v>
      </c>
      <c r="AA82" s="456" t="str">
        <f t="shared" si="43"/>
        <v>0.00%</v>
      </c>
      <c r="AB82" s="340">
        <f t="shared" si="47"/>
        <v>0</v>
      </c>
      <c r="AC82" s="455" t="str">
        <f>TEXT('MYP Assumptions'!J78,"0.00%")&amp;", CPI"</f>
        <v>2.73%, CPI</v>
      </c>
    </row>
    <row r="83" spans="1:29" s="340" customFormat="1" hidden="1" x14ac:dyDescent="0.25">
      <c r="A83" s="459"/>
      <c r="B83" s="2487"/>
      <c r="C83" s="2386"/>
      <c r="D83" s="458">
        <f>SUM(D73:D82)</f>
        <v>0</v>
      </c>
      <c r="E83" s="2386"/>
      <c r="G83" s="456" t="str">
        <f t="shared" si="49"/>
        <v>0.00%</v>
      </c>
      <c r="H83" s="458">
        <f>SUM(H73:H82)</f>
        <v>0</v>
      </c>
      <c r="I83" s="2316">
        <f>+H83-D83</f>
        <v>0</v>
      </c>
      <c r="J83" s="459"/>
      <c r="K83" s="456" t="str">
        <f t="shared" si="39"/>
        <v>0.00%</v>
      </c>
      <c r="L83" s="458">
        <f>SUM(L73:L82)</f>
        <v>0</v>
      </c>
      <c r="M83" s="2316">
        <f>+L83-H83</f>
        <v>0</v>
      </c>
      <c r="O83" s="456" t="str">
        <f t="shared" si="40"/>
        <v>0.00%</v>
      </c>
      <c r="P83" s="458">
        <f>SUM(P73:P82)</f>
        <v>0</v>
      </c>
      <c r="Q83" s="2316">
        <f>+P83-L83</f>
        <v>0</v>
      </c>
      <c r="R83" s="455"/>
      <c r="S83" s="2238" t="str">
        <f t="shared" si="41"/>
        <v>0.00%</v>
      </c>
      <c r="T83" s="458">
        <f>SUM(T73:T82)</f>
        <v>0</v>
      </c>
      <c r="U83" s="2370"/>
      <c r="V83" s="2429"/>
      <c r="W83" s="2241" t="str">
        <f t="shared" si="42"/>
        <v>0.00%</v>
      </c>
      <c r="X83" s="458">
        <f>SUM(X73:X82)</f>
        <v>0</v>
      </c>
      <c r="Y83" s="2370"/>
      <c r="AA83" s="456" t="str">
        <f t="shared" si="43"/>
        <v>0.00%</v>
      </c>
      <c r="AB83" s="458">
        <f>SUM(AB73:AB82)</f>
        <v>0</v>
      </c>
      <c r="AC83" s="2370"/>
    </row>
    <row r="84" spans="1:29" s="340" customFormat="1" hidden="1" x14ac:dyDescent="0.25">
      <c r="A84" s="455"/>
      <c r="B84" s="2486"/>
      <c r="C84" s="2386"/>
      <c r="E84" s="2386"/>
      <c r="G84" s="456"/>
      <c r="I84" s="897"/>
      <c r="J84" s="455"/>
      <c r="K84" s="1668"/>
      <c r="M84" s="2340"/>
      <c r="O84" s="1668"/>
      <c r="Q84" s="2340"/>
      <c r="R84" s="455"/>
      <c r="S84" s="2341"/>
      <c r="U84" s="2370"/>
      <c r="V84" s="2429"/>
      <c r="W84" s="2343"/>
      <c r="Y84" s="2370"/>
      <c r="AA84" s="1668"/>
      <c r="AC84" s="2370"/>
    </row>
    <row r="85" spans="1:29" s="457" customFormat="1" hidden="1" x14ac:dyDescent="0.25">
      <c r="A85" s="897"/>
      <c r="B85" s="2337" t="s">
        <v>328</v>
      </c>
      <c r="C85" s="1656"/>
      <c r="D85" s="340"/>
      <c r="E85" s="2386"/>
      <c r="F85" s="340"/>
      <c r="G85" s="456"/>
      <c r="H85" s="340"/>
      <c r="I85" s="897"/>
      <c r="J85" s="455"/>
      <c r="K85" s="1668"/>
      <c r="L85" s="340"/>
      <c r="M85" s="901"/>
      <c r="O85" s="1668"/>
      <c r="P85" s="340"/>
      <c r="Q85" s="901"/>
      <c r="R85" s="592"/>
      <c r="S85" s="2341"/>
      <c r="T85" s="340"/>
      <c r="U85" s="2344"/>
      <c r="V85" s="952"/>
      <c r="W85" s="2343"/>
      <c r="X85" s="340"/>
      <c r="Y85" s="2344"/>
      <c r="AA85" s="1668"/>
      <c r="AB85" s="340"/>
      <c r="AC85" s="2344"/>
    </row>
    <row r="86" spans="1:29" s="457" customFormat="1" hidden="1" x14ac:dyDescent="0.25">
      <c r="A86" s="897"/>
      <c r="B86" s="2385">
        <v>6400</v>
      </c>
      <c r="C86" s="1656" t="s">
        <v>329</v>
      </c>
      <c r="D86" s="340">
        <v>0</v>
      </c>
      <c r="E86" s="2386"/>
      <c r="F86" s="340"/>
      <c r="G86" s="456"/>
      <c r="H86" s="340">
        <v>0</v>
      </c>
      <c r="I86" s="897"/>
      <c r="J86" s="455"/>
      <c r="K86" s="456"/>
      <c r="L86" s="340">
        <v>0</v>
      </c>
      <c r="M86" s="901"/>
      <c r="O86" s="456"/>
      <c r="P86" s="340">
        <v>0</v>
      </c>
      <c r="Q86" s="901"/>
      <c r="R86" s="592"/>
      <c r="S86" s="2238"/>
      <c r="T86" s="340">
        <v>0</v>
      </c>
      <c r="U86" s="2344"/>
      <c r="V86" s="952"/>
      <c r="W86" s="2241"/>
      <c r="X86" s="340">
        <v>0</v>
      </c>
      <c r="Y86" s="2344"/>
      <c r="AA86" s="456"/>
      <c r="AB86" s="340">
        <v>0</v>
      </c>
      <c r="AC86" s="2344"/>
    </row>
    <row r="87" spans="1:29" s="457" customFormat="1" ht="23.25" hidden="1" customHeight="1" x14ac:dyDescent="0.25">
      <c r="A87" s="897"/>
      <c r="B87" s="2385"/>
      <c r="C87" s="1656"/>
      <c r="D87" s="340">
        <v>0</v>
      </c>
      <c r="E87" s="2386"/>
      <c r="F87" s="340"/>
      <c r="G87" s="456"/>
      <c r="H87" s="340">
        <v>0</v>
      </c>
      <c r="I87" s="897"/>
      <c r="J87" s="455"/>
      <c r="K87" s="456"/>
      <c r="L87" s="340">
        <v>0</v>
      </c>
      <c r="M87" s="901"/>
      <c r="O87" s="456"/>
      <c r="P87" s="340">
        <v>0</v>
      </c>
      <c r="Q87" s="901"/>
      <c r="R87" s="592"/>
      <c r="S87" s="2238"/>
      <c r="T87" s="340">
        <v>0</v>
      </c>
      <c r="U87" s="2344"/>
      <c r="V87" s="952"/>
      <c r="W87" s="2241"/>
      <c r="X87" s="340">
        <v>0</v>
      </c>
      <c r="Y87" s="2344"/>
      <c r="AA87" s="456"/>
      <c r="AB87" s="340">
        <v>0</v>
      </c>
      <c r="AC87" s="2344"/>
    </row>
    <row r="88" spans="1:29" s="457" customFormat="1" hidden="1" x14ac:dyDescent="0.25">
      <c r="A88" s="897"/>
      <c r="B88" s="2337"/>
      <c r="C88" s="1656"/>
      <c r="D88" s="340">
        <v>0</v>
      </c>
      <c r="E88" s="2386"/>
      <c r="F88" s="340"/>
      <c r="G88" s="456"/>
      <c r="H88" s="340">
        <v>0</v>
      </c>
      <c r="I88" s="897"/>
      <c r="J88" s="455"/>
      <c r="K88" s="456"/>
      <c r="L88" s="340">
        <v>0</v>
      </c>
      <c r="M88" s="901"/>
      <c r="O88" s="456"/>
      <c r="P88" s="340">
        <v>0</v>
      </c>
      <c r="Q88" s="901"/>
      <c r="R88" s="592"/>
      <c r="S88" s="2238"/>
      <c r="T88" s="340">
        <v>0</v>
      </c>
      <c r="U88" s="2344"/>
      <c r="V88" s="952"/>
      <c r="W88" s="2241"/>
      <c r="X88" s="340">
        <v>0</v>
      </c>
      <c r="Y88" s="2344"/>
      <c r="AA88" s="456"/>
      <c r="AB88" s="340">
        <v>0</v>
      </c>
      <c r="AC88" s="2344"/>
    </row>
    <row r="89" spans="1:29" s="457" customFormat="1" hidden="1" x14ac:dyDescent="0.25">
      <c r="A89" s="897"/>
      <c r="B89" s="2337"/>
      <c r="C89" s="1656"/>
      <c r="D89" s="2368">
        <f>SUM(D86:D88)</f>
        <v>0</v>
      </c>
      <c r="E89" s="2386"/>
      <c r="F89" s="340"/>
      <c r="G89" s="456"/>
      <c r="H89" s="2368">
        <f>SUM(H86:H88)</f>
        <v>0</v>
      </c>
      <c r="I89" s="897"/>
      <c r="J89" s="455"/>
      <c r="K89" s="456"/>
      <c r="L89" s="2368">
        <f>SUM(L86:L88)</f>
        <v>0</v>
      </c>
      <c r="M89" s="901"/>
      <c r="O89" s="456"/>
      <c r="P89" s="2368">
        <f>SUM(P86:P88)</f>
        <v>0</v>
      </c>
      <c r="Q89" s="901"/>
      <c r="R89" s="592"/>
      <c r="S89" s="2238"/>
      <c r="T89" s="2368">
        <f>SUM(T86:T88)</f>
        <v>0</v>
      </c>
      <c r="U89" s="2344"/>
      <c r="V89" s="952"/>
      <c r="W89" s="2241"/>
      <c r="X89" s="2368">
        <f>SUM(X86:X88)</f>
        <v>0</v>
      </c>
      <c r="Y89" s="2344"/>
      <c r="AA89" s="456"/>
      <c r="AB89" s="2368">
        <f>SUM(AB86:AB88)</f>
        <v>0</v>
      </c>
      <c r="AC89" s="2344"/>
    </row>
    <row r="90" spans="1:29" s="457" customFormat="1" hidden="1" x14ac:dyDescent="0.25">
      <c r="A90" s="897"/>
      <c r="B90" s="2345"/>
      <c r="C90" s="1656"/>
      <c r="D90" s="340"/>
      <c r="E90" s="2386"/>
      <c r="F90" s="340"/>
      <c r="G90" s="2338"/>
      <c r="H90" s="340"/>
      <c r="I90" s="897"/>
      <c r="J90" s="455"/>
      <c r="K90" s="2338"/>
      <c r="L90" s="340"/>
      <c r="M90" s="901"/>
      <c r="O90" s="2338"/>
      <c r="P90" s="340"/>
      <c r="Q90" s="901"/>
      <c r="R90" s="592"/>
      <c r="S90" s="2355"/>
      <c r="T90" s="340"/>
      <c r="U90" s="2344"/>
      <c r="V90" s="952"/>
      <c r="W90" s="2357"/>
      <c r="X90" s="340"/>
      <c r="Y90" s="2344"/>
      <c r="AA90" s="2338"/>
      <c r="AB90" s="340"/>
      <c r="AC90" s="2344"/>
    </row>
    <row r="91" spans="1:29" s="457" customFormat="1" hidden="1" x14ac:dyDescent="0.25">
      <c r="A91" s="897"/>
      <c r="B91" s="2337" t="s">
        <v>518</v>
      </c>
      <c r="C91" s="1656"/>
      <c r="D91" s="340"/>
      <c r="E91" s="2386"/>
      <c r="F91" s="340"/>
      <c r="G91" s="456"/>
      <c r="H91" s="340"/>
      <c r="I91" s="897"/>
      <c r="J91" s="455"/>
      <c r="K91" s="1668"/>
      <c r="L91" s="340"/>
      <c r="M91" s="901"/>
      <c r="O91" s="1668"/>
      <c r="P91" s="340"/>
      <c r="Q91" s="901"/>
      <c r="R91" s="592"/>
      <c r="S91" s="2341"/>
      <c r="T91" s="340"/>
      <c r="U91" s="2344"/>
      <c r="V91" s="952"/>
      <c r="W91" s="2343"/>
      <c r="X91" s="340"/>
      <c r="Y91" s="2344"/>
      <c r="AA91" s="1668"/>
      <c r="AB91" s="340"/>
      <c r="AC91" s="2344"/>
    </row>
    <row r="92" spans="1:29" s="457" customFormat="1" hidden="1" x14ac:dyDescent="0.25">
      <c r="A92" s="897"/>
      <c r="B92" s="2385" t="s">
        <v>984</v>
      </c>
      <c r="C92" s="1656"/>
      <c r="D92" s="340">
        <v>0</v>
      </c>
      <c r="E92" s="2386"/>
      <c r="F92" s="340"/>
      <c r="G92" s="456" t="str">
        <f t="shared" ref="G92:G93" si="50">IF(D92=0,"0.00%",(H92-D92)/D92)</f>
        <v>0.00%</v>
      </c>
      <c r="H92" s="340">
        <v>0</v>
      </c>
      <c r="I92" s="2476"/>
      <c r="J92" s="455"/>
      <c r="K92" s="456" t="str">
        <f t="shared" ref="K92:K93" si="51">IF(H92=0,"0.00%",(L92-H92)/H92)</f>
        <v>0.00%</v>
      </c>
      <c r="L92" s="340">
        <f>+H92</f>
        <v>0</v>
      </c>
      <c r="M92" s="2476"/>
      <c r="O92" s="456" t="str">
        <f t="shared" ref="O92:O93" si="52">IF(L92=0,"0.00%",(P92-L92)/L92)</f>
        <v>0.00%</v>
      </c>
      <c r="P92" s="340">
        <f>+L92</f>
        <v>0</v>
      </c>
      <c r="Q92" s="2476"/>
      <c r="R92" s="592"/>
      <c r="S92" s="2341"/>
      <c r="T92" s="340">
        <f>+P92</f>
        <v>0</v>
      </c>
      <c r="U92" s="455" t="s">
        <v>173</v>
      </c>
      <c r="V92" s="952"/>
      <c r="W92" s="2343"/>
      <c r="X92" s="340">
        <f>+T92</f>
        <v>0</v>
      </c>
      <c r="Y92" s="455" t="s">
        <v>173</v>
      </c>
      <c r="AA92" s="1668"/>
      <c r="AB92" s="340">
        <f>+X92</f>
        <v>0</v>
      </c>
      <c r="AC92" s="455" t="s">
        <v>173</v>
      </c>
    </row>
    <row r="93" spans="1:29" s="457" customFormat="1" hidden="1" x14ac:dyDescent="0.25">
      <c r="A93" s="897"/>
      <c r="B93" s="2385"/>
      <c r="C93" s="1656"/>
      <c r="D93" s="340">
        <v>0</v>
      </c>
      <c r="E93" s="2386"/>
      <c r="F93" s="340"/>
      <c r="G93" s="456" t="str">
        <f t="shared" si="50"/>
        <v>0.00%</v>
      </c>
      <c r="H93" s="340">
        <v>0</v>
      </c>
      <c r="I93" s="899"/>
      <c r="J93" s="455"/>
      <c r="K93" s="456" t="str">
        <f t="shared" si="51"/>
        <v>0.00%</v>
      </c>
      <c r="L93" s="340">
        <f>+H93</f>
        <v>0</v>
      </c>
      <c r="M93" s="899"/>
      <c r="O93" s="456" t="str">
        <f t="shared" si="52"/>
        <v>0.00%</v>
      </c>
      <c r="P93" s="340">
        <f>+L93</f>
        <v>0</v>
      </c>
      <c r="Q93" s="899"/>
      <c r="R93" s="592"/>
      <c r="S93" s="2341"/>
      <c r="T93" s="340">
        <f>+P93</f>
        <v>0</v>
      </c>
      <c r="U93" s="455"/>
      <c r="V93" s="952"/>
      <c r="W93" s="2343"/>
      <c r="X93" s="340">
        <v>0</v>
      </c>
      <c r="Y93" s="455"/>
      <c r="AA93" s="1668"/>
      <c r="AB93" s="340">
        <v>0</v>
      </c>
      <c r="AC93" s="455"/>
    </row>
    <row r="94" spans="1:29" s="457" customFormat="1" hidden="1" x14ac:dyDescent="0.25">
      <c r="A94" s="897"/>
      <c r="B94" s="2385"/>
      <c r="C94" s="1656"/>
      <c r="D94" s="340">
        <v>0</v>
      </c>
      <c r="E94" s="2386"/>
      <c r="F94" s="340"/>
      <c r="G94" s="456"/>
      <c r="H94" s="340"/>
      <c r="I94" s="899"/>
      <c r="J94" s="455"/>
      <c r="K94" s="456"/>
      <c r="L94" s="340"/>
      <c r="M94" s="2499"/>
      <c r="O94" s="456"/>
      <c r="P94" s="340"/>
      <c r="Q94" s="2499"/>
      <c r="R94" s="592"/>
      <c r="S94" s="2341"/>
      <c r="T94" s="340"/>
      <c r="U94" s="455"/>
      <c r="V94" s="952"/>
      <c r="W94" s="2343"/>
      <c r="X94" s="340"/>
      <c r="Y94" s="455"/>
      <c r="AA94" s="1668"/>
      <c r="AB94" s="340"/>
      <c r="AC94" s="455"/>
    </row>
    <row r="95" spans="1:29" s="2378" customFormat="1" hidden="1" x14ac:dyDescent="0.25">
      <c r="A95" s="868"/>
      <c r="B95" s="2358"/>
      <c r="C95" s="2384"/>
      <c r="D95" s="2442">
        <f>SUM(D92:D94)</f>
        <v>0</v>
      </c>
      <c r="E95" s="2375"/>
      <c r="F95" s="1866"/>
      <c r="G95" s="456" t="str">
        <f t="shared" ref="G95" si="53">IF(D95=0,"0.00%",(H95-D95)/D95)</f>
        <v>0.00%</v>
      </c>
      <c r="H95" s="2442">
        <f>SUM(H92:H94)</f>
        <v>0</v>
      </c>
      <c r="I95" s="2316">
        <f>+H95-D95</f>
        <v>0</v>
      </c>
      <c r="J95" s="460"/>
      <c r="K95" s="456" t="str">
        <f t="shared" ref="K95" si="54">IF(H95=0,"0.00%",(L95-H95)/H95)</f>
        <v>0.00%</v>
      </c>
      <c r="L95" s="2442">
        <f>SUM(L92:L94)</f>
        <v>0</v>
      </c>
      <c r="M95" s="2316">
        <f>+L95-H95</f>
        <v>0</v>
      </c>
      <c r="O95" s="456" t="str">
        <f t="shared" ref="O95" si="55">IF(L95=0,"0.00%",(P95-L95)/L95)</f>
        <v>0.00%</v>
      </c>
      <c r="P95" s="2442">
        <f>SUM(P92:P94)</f>
        <v>0</v>
      </c>
      <c r="Q95" s="2316">
        <f>+P95-L95</f>
        <v>0</v>
      </c>
      <c r="R95" s="461"/>
      <c r="S95" s="1669"/>
      <c r="T95" s="2442">
        <f>SUM(T92:T94)</f>
        <v>0</v>
      </c>
      <c r="U95" s="460"/>
      <c r="V95" s="2381"/>
      <c r="W95" s="2382"/>
      <c r="X95" s="2442">
        <f>SUM(X92:X94)</f>
        <v>0</v>
      </c>
      <c r="Y95" s="460"/>
      <c r="AA95" s="606"/>
      <c r="AB95" s="2442">
        <f>SUM(AB92:AB94)</f>
        <v>0</v>
      </c>
      <c r="AC95" s="460"/>
    </row>
    <row r="96" spans="1:29" s="457" customFormat="1" hidden="1" x14ac:dyDescent="0.25">
      <c r="A96" s="897"/>
      <c r="B96" s="2345"/>
      <c r="C96" s="1656"/>
      <c r="D96" s="340"/>
      <c r="E96" s="2386"/>
      <c r="F96" s="340"/>
      <c r="G96" s="2338"/>
      <c r="H96" s="340"/>
      <c r="I96" s="897"/>
      <c r="J96" s="455"/>
      <c r="K96" s="2338"/>
      <c r="L96" s="340"/>
      <c r="M96" s="901"/>
      <c r="O96" s="2338"/>
      <c r="P96" s="340"/>
      <c r="Q96" s="901"/>
      <c r="R96" s="592"/>
      <c r="S96" s="2355"/>
      <c r="T96" s="340"/>
      <c r="U96" s="2344"/>
      <c r="V96" s="952"/>
      <c r="W96" s="2357"/>
      <c r="X96" s="340"/>
      <c r="Y96" s="2344"/>
      <c r="AA96" s="2338"/>
      <c r="AB96" s="340"/>
      <c r="AC96" s="2344"/>
    </row>
    <row r="97" spans="1:29" s="340" customFormat="1" x14ac:dyDescent="0.25">
      <c r="A97" s="455"/>
      <c r="B97" s="2487"/>
      <c r="C97" s="2386"/>
      <c r="E97" s="2386"/>
      <c r="G97" s="2338"/>
      <c r="I97" s="897"/>
      <c r="J97" s="455"/>
      <c r="K97" s="1668"/>
      <c r="M97" s="2340"/>
      <c r="O97" s="1668"/>
      <c r="Q97" s="2340"/>
      <c r="R97" s="455"/>
      <c r="S97" s="2341"/>
      <c r="U97" s="2370"/>
      <c r="V97" s="2429"/>
      <c r="W97" s="2343"/>
      <c r="Y97" s="2370"/>
      <c r="AA97" s="1668"/>
      <c r="AC97" s="2370"/>
    </row>
    <row r="98" spans="1:29" s="340" customFormat="1" x14ac:dyDescent="0.25">
      <c r="A98" s="459"/>
      <c r="B98" s="2486" t="s">
        <v>0</v>
      </c>
      <c r="C98" s="2386"/>
      <c r="D98" s="458">
        <f>SUM(D83,D70,D56,D16,D89,D95)</f>
        <v>0</v>
      </c>
      <c r="E98" s="2386"/>
      <c r="G98" s="456" t="str">
        <f>IF(D98=0,"0.00%",(H98-D98)/D98)</f>
        <v>0.00%</v>
      </c>
      <c r="H98" s="458">
        <f>SUM(H83,H70,H56,H16,H89,H95)</f>
        <v>0</v>
      </c>
      <c r="I98" s="2316">
        <f>+H98-D98</f>
        <v>0</v>
      </c>
      <c r="J98" s="459"/>
      <c r="K98" s="456" t="str">
        <f>IF(H98=0,"0.00%",(L98-H98)/H98)</f>
        <v>0.00%</v>
      </c>
      <c r="L98" s="458">
        <f>SUM(L83,L70,L56,L16,L89,L95)</f>
        <v>375000</v>
      </c>
      <c r="M98" s="2316">
        <f>+L98-H98</f>
        <v>375000</v>
      </c>
      <c r="O98" s="456">
        <f>IF(L98=0,"0.00%",(P98-L98)/L98)</f>
        <v>0</v>
      </c>
      <c r="P98" s="458">
        <f>SUM(P83,P70,P56,P16,P89,P95)</f>
        <v>375000</v>
      </c>
      <c r="Q98" s="2316">
        <f>+P98-L98</f>
        <v>0</v>
      </c>
      <c r="R98" s="455"/>
      <c r="S98" s="2238">
        <f>IF(P98=0,"0.00%",(T98-P98)/P98)</f>
        <v>0</v>
      </c>
      <c r="T98" s="458">
        <f>SUM(T83,T70,T56,T16,T89,T95)</f>
        <v>375000</v>
      </c>
      <c r="U98" s="2370"/>
      <c r="V98" s="2429"/>
      <c r="W98" s="2241" t="e">
        <f>IF(T98=0,"0.00%",(X98-T98)/T98)</f>
        <v>#REF!</v>
      </c>
      <c r="X98" s="458" t="e">
        <f>SUM(X83,X70,X56,X16)</f>
        <v>#REF!</v>
      </c>
      <c r="Y98" s="2370"/>
      <c r="AA98" s="456" t="e">
        <f>IF(X98=0,"0.00%",(AB98-X98)/X98)</f>
        <v>#REF!</v>
      </c>
      <c r="AB98" s="458" t="e">
        <f>SUM(AB83,AB70,AB56,AB16)</f>
        <v>#REF!</v>
      </c>
      <c r="AC98" s="2370"/>
    </row>
    <row r="99" spans="1:29" s="340" customFormat="1" x14ac:dyDescent="0.25">
      <c r="A99" s="455"/>
      <c r="B99" s="2487"/>
      <c r="C99" s="2386"/>
      <c r="E99" s="2386"/>
      <c r="G99" s="2338"/>
      <c r="I99" s="897"/>
      <c r="J99" s="455"/>
      <c r="K99" s="1668"/>
      <c r="M99" s="2340"/>
      <c r="O99" s="1668"/>
      <c r="Q99" s="2340"/>
      <c r="R99" s="455"/>
      <c r="S99" s="2341"/>
      <c r="U99" s="2370"/>
      <c r="V99" s="2429"/>
      <c r="W99" s="2343"/>
      <c r="Y99" s="2370"/>
      <c r="AA99" s="1668"/>
      <c r="AC99" s="2370"/>
    </row>
    <row r="100" spans="1:29" s="340" customFormat="1" x14ac:dyDescent="0.25">
      <c r="A100" s="455"/>
      <c r="B100" s="2486" t="s">
        <v>138</v>
      </c>
      <c r="C100" s="2386"/>
      <c r="D100" s="833">
        <f>D14-D98</f>
        <v>0</v>
      </c>
      <c r="E100" s="2386"/>
      <c r="G100" s="456" t="str">
        <f>IF(D100=0,"0.00%",(H100-D100)/D100)</f>
        <v>0.00%</v>
      </c>
      <c r="H100" s="833">
        <f>H14-H98</f>
        <v>0</v>
      </c>
      <c r="I100" s="897"/>
      <c r="J100" s="455"/>
      <c r="K100" s="456" t="str">
        <f>IF(H100=0,"0.00%",(L100-H100)/H100)</f>
        <v>0.00%</v>
      </c>
      <c r="L100" s="833">
        <f>L14-L98</f>
        <v>100000</v>
      </c>
      <c r="M100" s="2340"/>
      <c r="O100" s="456">
        <f>IF(L100=0,"0.00%",(P100-L100)/L100)</f>
        <v>-3.75</v>
      </c>
      <c r="P100" s="833">
        <f>P14-P98</f>
        <v>-275000</v>
      </c>
      <c r="Q100" s="2340"/>
      <c r="R100" s="455"/>
      <c r="S100" s="2238">
        <f>IF(P100=0,"0.00%",(T100-P100)/P100)</f>
        <v>0</v>
      </c>
      <c r="T100" s="833">
        <f>T14-T98</f>
        <v>-275000</v>
      </c>
      <c r="U100" s="2370"/>
      <c r="V100" s="2429"/>
      <c r="W100" s="2241" t="e">
        <f>IF(T100=0,"0.00%",(X100-T100)/T100)</f>
        <v>#REF!</v>
      </c>
      <c r="X100" s="833" t="e">
        <f>X14-X98</f>
        <v>#REF!</v>
      </c>
      <c r="Y100" s="2370"/>
      <c r="AA100" s="456" t="e">
        <f>IF(X100=0,"0.00%",(AB100-X100)/X100)</f>
        <v>#REF!</v>
      </c>
      <c r="AB100" s="833" t="e">
        <f>AB14-AB98</f>
        <v>#REF!</v>
      </c>
      <c r="AC100" s="2370"/>
    </row>
    <row r="101" spans="1:29" s="340" customFormat="1" x14ac:dyDescent="0.25">
      <c r="B101" s="2486"/>
      <c r="C101" s="2489"/>
      <c r="D101" s="833"/>
      <c r="E101" s="2386"/>
      <c r="G101" s="2338"/>
      <c r="H101" s="833"/>
      <c r="I101" s="897"/>
      <c r="J101" s="455"/>
      <c r="K101" s="1668"/>
      <c r="L101" s="833"/>
      <c r="M101" s="2340"/>
      <c r="O101" s="1668"/>
      <c r="P101" s="833"/>
      <c r="Q101" s="2340"/>
      <c r="R101" s="455"/>
      <c r="S101" s="2341"/>
      <c r="T101" s="833"/>
      <c r="U101" s="2370"/>
      <c r="V101" s="2429"/>
      <c r="W101" s="2343"/>
      <c r="X101" s="833"/>
      <c r="Y101" s="2370"/>
      <c r="AA101" s="1668"/>
      <c r="AB101" s="833"/>
      <c r="AC101" s="2370"/>
    </row>
    <row r="102" spans="1:29" s="340" customFormat="1" x14ac:dyDescent="0.25">
      <c r="B102" s="2486" t="s">
        <v>136</v>
      </c>
      <c r="C102" s="2500"/>
      <c r="D102" s="833">
        <f>D7+D100</f>
        <v>0</v>
      </c>
      <c r="E102" s="2386"/>
      <c r="G102" s="456" t="str">
        <f>IF(D102=0,"0.00%",(H102-D102)/D102)</f>
        <v>0.00%</v>
      </c>
      <c r="H102" s="833">
        <f>H7+H100</f>
        <v>0</v>
      </c>
      <c r="I102" s="897"/>
      <c r="J102" s="455"/>
      <c r="K102" s="456" t="str">
        <f>IF(H102=0,"0.00%",(L102-H102)/H102)</f>
        <v>0.00%</v>
      </c>
      <c r="L102" s="833">
        <f>L7+L100</f>
        <v>100000</v>
      </c>
      <c r="M102" s="2340"/>
      <c r="O102" s="456">
        <f>IF(L102=0,"0.00%",(P102-L102)/L102)</f>
        <v>-2.75</v>
      </c>
      <c r="P102" s="833">
        <f>P7+P100</f>
        <v>-175000</v>
      </c>
      <c r="Q102" s="2340"/>
      <c r="R102" s="455"/>
      <c r="S102" s="2238">
        <f>IF(P102=0,"0.00%",(T102-P102)/P102)</f>
        <v>1.5714285714285714</v>
      </c>
      <c r="T102" s="833">
        <f>T7+T100</f>
        <v>-450000</v>
      </c>
      <c r="U102" s="2370"/>
      <c r="V102" s="2429"/>
      <c r="W102" s="2241" t="e">
        <f>IF(T102=0,"0.00%",(X102-T102)/T102)</f>
        <v>#REF!</v>
      </c>
      <c r="X102" s="833" t="e">
        <f>X7+X100</f>
        <v>#REF!</v>
      </c>
      <c r="Y102" s="2370"/>
      <c r="AA102" s="456" t="e">
        <f>IF(X102=0,"0.00%",(AB102-X102)/X102)</f>
        <v>#REF!</v>
      </c>
      <c r="AB102" s="833" t="e">
        <f>AB7+AB100</f>
        <v>#REF!</v>
      </c>
      <c r="AC102" s="2370"/>
    </row>
    <row r="103" spans="1:29" s="340" customFormat="1" x14ac:dyDescent="0.25">
      <c r="B103" s="2487"/>
      <c r="C103" s="868"/>
      <c r="E103" s="2386"/>
      <c r="G103" s="2355"/>
      <c r="H103" s="459"/>
      <c r="I103" s="898"/>
      <c r="J103" s="459"/>
      <c r="K103" s="1668"/>
      <c r="L103" s="459"/>
      <c r="M103" s="2340"/>
      <c r="O103" s="1668"/>
      <c r="P103" s="459"/>
      <c r="Q103" s="2340"/>
      <c r="R103" s="455"/>
      <c r="S103" s="2341"/>
      <c r="T103" s="459"/>
      <c r="U103" s="2370"/>
      <c r="V103" s="2429"/>
      <c r="W103" s="2343"/>
      <c r="X103" s="459"/>
      <c r="Y103" s="2370"/>
      <c r="AA103" s="1668"/>
      <c r="AB103" s="459"/>
      <c r="AC103" s="2370"/>
    </row>
    <row r="104" spans="1:29" s="340" customFormat="1" x14ac:dyDescent="0.25">
      <c r="B104" s="2487"/>
      <c r="C104" s="897"/>
      <c r="E104" s="2386"/>
      <c r="G104" s="2355"/>
      <c r="H104" s="455"/>
      <c r="I104" s="897"/>
      <c r="J104" s="455"/>
      <c r="K104" s="1668"/>
      <c r="M104" s="2340"/>
      <c r="O104" s="1668"/>
      <c r="Q104" s="2340"/>
      <c r="R104" s="455"/>
      <c r="S104" s="2341"/>
      <c r="U104" s="2370"/>
      <c r="V104" s="2429"/>
      <c r="W104" s="2343"/>
      <c r="Y104" s="2370"/>
      <c r="AA104" s="1668"/>
      <c r="AC104" s="2370"/>
    </row>
    <row r="105" spans="1:29" s="340" customFormat="1" x14ac:dyDescent="0.25">
      <c r="B105" s="2487"/>
      <c r="C105" s="897"/>
      <c r="E105" s="2386"/>
      <c r="G105" s="2355"/>
      <c r="H105" s="455"/>
      <c r="I105" s="897"/>
      <c r="J105" s="455"/>
      <c r="K105" s="1668"/>
      <c r="M105" s="2340"/>
      <c r="O105" s="1668"/>
      <c r="Q105" s="2340"/>
      <c r="R105" s="455"/>
      <c r="S105" s="2341"/>
      <c r="U105" s="2370"/>
      <c r="V105" s="2429"/>
      <c r="W105" s="2343"/>
      <c r="Y105" s="2370"/>
      <c r="AA105" s="1668"/>
      <c r="AC105" s="2370"/>
    </row>
    <row r="106" spans="1:29" s="340" customFormat="1" x14ac:dyDescent="0.25">
      <c r="B106" s="2487"/>
      <c r="C106" s="897"/>
      <c r="E106" s="2386"/>
      <c r="G106" s="2355"/>
      <c r="H106" s="455"/>
      <c r="I106" s="897"/>
      <c r="J106" s="455"/>
      <c r="K106" s="1668"/>
      <c r="M106" s="2340"/>
      <c r="O106" s="1668"/>
      <c r="Q106" s="2340"/>
      <c r="R106" s="455"/>
      <c r="S106" s="2341"/>
      <c r="U106" s="2370"/>
      <c r="V106" s="2429"/>
      <c r="W106" s="2343"/>
      <c r="Y106" s="2370"/>
      <c r="AA106" s="1668"/>
      <c r="AC106" s="2370"/>
    </row>
    <row r="107" spans="1:29" s="340" customFormat="1" x14ac:dyDescent="0.25">
      <c r="B107" s="2487"/>
      <c r="C107" s="897"/>
      <c r="E107" s="2386"/>
      <c r="G107" s="2355"/>
      <c r="H107" s="455"/>
      <c r="I107" s="897"/>
      <c r="J107" s="455"/>
      <c r="K107" s="1668"/>
      <c r="M107" s="2340"/>
      <c r="O107" s="1668"/>
      <c r="Q107" s="2340"/>
      <c r="R107" s="455"/>
      <c r="S107" s="2341"/>
      <c r="U107" s="2370"/>
      <c r="V107" s="2429"/>
      <c r="W107" s="2343"/>
      <c r="Y107" s="2370"/>
      <c r="AA107" s="1668"/>
      <c r="AC107" s="2370"/>
    </row>
    <row r="108" spans="1:29" s="2410" customFormat="1" ht="11.25" x14ac:dyDescent="0.2">
      <c r="B108" s="2501"/>
      <c r="C108" s="2502" t="s">
        <v>263</v>
      </c>
      <c r="D108" s="2397">
        <f>+D95+D89+D83+D70+D56</f>
        <v>0</v>
      </c>
      <c r="E108" s="2419"/>
      <c r="G108" s="2399" t="s">
        <v>221</v>
      </c>
      <c r="H108" s="2397">
        <f>+H95+H89+H83+H70+H56</f>
        <v>0</v>
      </c>
      <c r="I108" s="2400"/>
      <c r="J108" s="607"/>
      <c r="K108" s="2399" t="s">
        <v>221</v>
      </c>
      <c r="L108" s="2397">
        <f>+L95+L89+L83+L70+L56</f>
        <v>375000</v>
      </c>
      <c r="M108" s="2401"/>
      <c r="O108" s="2399" t="s">
        <v>221</v>
      </c>
      <c r="P108" s="2397">
        <f>+P95+P89+P83+P70+P56</f>
        <v>375000</v>
      </c>
      <c r="Q108" s="2401"/>
      <c r="R108" s="2414"/>
      <c r="S108" s="2405" t="s">
        <v>221</v>
      </c>
      <c r="T108" s="2397">
        <f>+T95+T89+T83+T70+T56</f>
        <v>375000</v>
      </c>
      <c r="U108" s="2403"/>
      <c r="V108" s="2503"/>
      <c r="W108" s="2408" t="s">
        <v>221</v>
      </c>
      <c r="X108" s="2397" t="e">
        <f>+X83+X70+X54+X42+X29</f>
        <v>#REF!</v>
      </c>
      <c r="Y108" s="2403"/>
      <c r="AA108" s="2399" t="s">
        <v>221</v>
      </c>
      <c r="AB108" s="2397" t="e">
        <f>+AB83+AB70+AB54+AB42+AB29</f>
        <v>#REF!</v>
      </c>
      <c r="AC108" s="2403"/>
    </row>
    <row r="109" spans="1:29" s="2414" customFormat="1" x14ac:dyDescent="0.25">
      <c r="B109" s="2501"/>
      <c r="C109" s="2504"/>
      <c r="D109" s="2505">
        <f>+D98-D108</f>
        <v>0</v>
      </c>
      <c r="E109" s="2413"/>
      <c r="G109" s="2416"/>
      <c r="H109" s="2505">
        <f>+H98-H108</f>
        <v>0</v>
      </c>
      <c r="I109" s="2413"/>
      <c r="K109" s="2416"/>
      <c r="L109" s="2505">
        <f>+L98-L108</f>
        <v>0</v>
      </c>
      <c r="M109" s="2506"/>
      <c r="O109" s="2416"/>
      <c r="P109" s="2505">
        <f>+P98-P108</f>
        <v>0</v>
      </c>
      <c r="Q109" s="2507"/>
      <c r="R109" s="455"/>
      <c r="S109" s="2416"/>
      <c r="T109" s="2505">
        <f>+T98-T108</f>
        <v>0</v>
      </c>
      <c r="V109" s="2503"/>
      <c r="W109" s="2417"/>
      <c r="X109" s="2505"/>
      <c r="AA109" s="2416"/>
      <c r="AB109" s="2505"/>
    </row>
    <row r="110" spans="1:29" s="2414" customFormat="1" ht="11.25" x14ac:dyDescent="0.2">
      <c r="B110" s="2501"/>
      <c r="C110" s="2504"/>
      <c r="D110" s="2505"/>
      <c r="E110" s="2413"/>
      <c r="G110" s="2416"/>
      <c r="H110" s="2505"/>
      <c r="I110" s="2413"/>
      <c r="K110" s="2416"/>
      <c r="L110" s="2505"/>
      <c r="M110" s="2507"/>
      <c r="O110" s="2416"/>
      <c r="P110" s="2505"/>
      <c r="Q110" s="2507"/>
      <c r="S110" s="2416"/>
      <c r="T110" s="2505"/>
      <c r="V110" s="2503"/>
      <c r="W110" s="2417"/>
      <c r="X110" s="2505"/>
      <c r="AA110" s="2416"/>
      <c r="AB110" s="2505"/>
    </row>
    <row r="111" spans="1:29" s="455" customFormat="1" ht="15" customHeight="1" x14ac:dyDescent="0.25">
      <c r="B111" s="2508"/>
      <c r="C111" s="2509"/>
      <c r="D111" s="459"/>
      <c r="E111" s="897"/>
      <c r="G111" s="2447"/>
      <c r="H111" s="459"/>
      <c r="I111" s="897"/>
      <c r="K111" s="2447"/>
      <c r="L111" s="459"/>
      <c r="M111" s="2488"/>
      <c r="O111" s="2447"/>
      <c r="P111" s="459"/>
      <c r="Q111" s="2488"/>
      <c r="S111" s="2447"/>
      <c r="T111" s="459"/>
      <c r="V111" s="2429"/>
      <c r="W111" s="2448"/>
      <c r="X111" s="459"/>
      <c r="AA111" s="2447"/>
      <c r="AB111" s="459"/>
    </row>
    <row r="112" spans="1:29" s="340" customFormat="1" x14ac:dyDescent="0.25">
      <c r="A112" s="455"/>
      <c r="B112" s="2508"/>
      <c r="C112" s="2509"/>
      <c r="D112" s="455"/>
      <c r="E112" s="2386"/>
      <c r="G112" s="2338"/>
      <c r="H112" s="2424"/>
      <c r="I112" s="897"/>
      <c r="J112" s="455"/>
      <c r="K112" s="1668"/>
      <c r="L112" s="2370"/>
      <c r="M112" s="2347"/>
      <c r="O112" s="1668"/>
      <c r="Q112" s="2347"/>
      <c r="R112" s="2414"/>
      <c r="S112" s="2341"/>
      <c r="V112" s="2429"/>
      <c r="W112" s="2343"/>
      <c r="AA112" s="1668"/>
    </row>
    <row r="113" spans="1:29" s="340" customFormat="1" x14ac:dyDescent="0.25">
      <c r="A113" s="455"/>
      <c r="B113" s="2510"/>
      <c r="C113" s="897"/>
      <c r="D113" s="342"/>
      <c r="E113" s="2386"/>
      <c r="G113" s="2338"/>
      <c r="H113" s="2424"/>
      <c r="I113" s="897"/>
      <c r="J113" s="455"/>
      <c r="K113" s="1668"/>
      <c r="L113" s="2370"/>
      <c r="M113" s="2347"/>
      <c r="O113" s="1668"/>
      <c r="Q113" s="2347"/>
      <c r="R113" s="455"/>
      <c r="S113" s="2341"/>
      <c r="V113" s="2429"/>
      <c r="W113" s="2343"/>
      <c r="AA113" s="1668"/>
    </row>
    <row r="114" spans="1:29" s="340" customFormat="1" x14ac:dyDescent="0.25">
      <c r="B114" s="2510"/>
      <c r="C114" s="897"/>
      <c r="D114" s="455"/>
      <c r="E114" s="2386"/>
      <c r="G114" s="2338"/>
      <c r="H114" s="2424"/>
      <c r="I114" s="897"/>
      <c r="J114" s="455"/>
      <c r="K114" s="1668"/>
      <c r="L114" s="2370"/>
      <c r="M114" s="2347"/>
      <c r="O114" s="1668"/>
      <c r="Q114" s="2347"/>
      <c r="R114" s="2414"/>
      <c r="S114" s="2341"/>
      <c r="V114" s="2429"/>
      <c r="W114" s="2343"/>
      <c r="AA114" s="1668"/>
    </row>
    <row r="115" spans="1:29" s="340" customFormat="1" x14ac:dyDescent="0.25">
      <c r="B115" s="2510"/>
      <c r="C115" s="897"/>
      <c r="D115" s="455"/>
      <c r="E115" s="2386"/>
      <c r="G115" s="2338"/>
      <c r="H115" s="2424"/>
      <c r="I115" s="897"/>
      <c r="J115" s="455"/>
      <c r="K115" s="1668"/>
      <c r="L115" s="2370"/>
      <c r="M115" s="2347"/>
      <c r="O115" s="1668"/>
      <c r="Q115" s="2347"/>
      <c r="R115" s="455"/>
      <c r="S115" s="2341"/>
      <c r="V115" s="2429"/>
      <c r="W115" s="2343"/>
      <c r="AA115" s="1668"/>
    </row>
    <row r="116" spans="1:29" s="340" customFormat="1" ht="15" customHeight="1" x14ac:dyDescent="0.25">
      <c r="B116" s="2510"/>
      <c r="C116" s="897"/>
      <c r="D116" s="455"/>
      <c r="E116" s="2386"/>
      <c r="G116" s="2338"/>
      <c r="H116" s="2424"/>
      <c r="I116" s="897"/>
      <c r="J116" s="455"/>
      <c r="K116" s="1668"/>
      <c r="L116" s="2370"/>
      <c r="M116" s="2347"/>
      <c r="O116" s="1668"/>
      <c r="Q116" s="2347"/>
      <c r="R116" s="455"/>
      <c r="S116" s="2341"/>
      <c r="V116" s="2429"/>
      <c r="W116" s="2343"/>
      <c r="AA116" s="1668"/>
    </row>
    <row r="117" spans="1:29" s="340" customFormat="1" x14ac:dyDescent="0.25">
      <c r="B117" s="2510"/>
      <c r="C117" s="897"/>
      <c r="D117" s="455"/>
      <c r="E117" s="2386"/>
      <c r="G117" s="2338"/>
      <c r="H117" s="2424"/>
      <c r="I117" s="897"/>
      <c r="J117" s="455"/>
      <c r="K117" s="1668"/>
      <c r="L117" s="2370"/>
      <c r="M117" s="2347"/>
      <c r="O117" s="1668"/>
      <c r="Q117" s="2347"/>
      <c r="R117" s="455"/>
      <c r="S117" s="2341"/>
      <c r="V117" s="2429"/>
      <c r="W117" s="2343"/>
      <c r="AA117" s="1668"/>
    </row>
    <row r="118" spans="1:29" s="340" customFormat="1" x14ac:dyDescent="0.25">
      <c r="B118" s="2510"/>
      <c r="C118" s="897"/>
      <c r="D118" s="455"/>
      <c r="E118" s="2386"/>
      <c r="G118" s="2338"/>
      <c r="H118" s="2424"/>
      <c r="I118" s="897"/>
      <c r="J118" s="455"/>
      <c r="K118" s="1668"/>
      <c r="L118" s="2370"/>
      <c r="M118" s="2347"/>
      <c r="O118" s="1668"/>
      <c r="Q118" s="2347"/>
      <c r="R118" s="455"/>
      <c r="S118" s="2341"/>
      <c r="V118" s="2429"/>
      <c r="W118" s="2343"/>
      <c r="AA118" s="1668"/>
    </row>
    <row r="119" spans="1:29" s="340" customFormat="1" ht="15" customHeight="1" x14ac:dyDescent="0.25">
      <c r="B119" s="2564"/>
      <c r="C119" s="2564"/>
      <c r="D119" s="455"/>
      <c r="E119" s="2386"/>
      <c r="G119" s="2338"/>
      <c r="H119" s="2424"/>
      <c r="I119" s="897"/>
      <c r="J119" s="455"/>
      <c r="K119" s="1668"/>
      <c r="L119" s="2370"/>
      <c r="M119" s="2347"/>
      <c r="O119" s="1668"/>
      <c r="Q119" s="2347"/>
      <c r="R119" s="455"/>
      <c r="S119" s="2341"/>
      <c r="V119" s="2429"/>
      <c r="W119" s="2343"/>
      <c r="AA119" s="1668"/>
    </row>
    <row r="120" spans="1:29" s="340" customFormat="1" x14ac:dyDescent="0.25">
      <c r="B120" s="2564"/>
      <c r="C120" s="2564"/>
      <c r="D120" s="455"/>
      <c r="E120" s="2386"/>
      <c r="G120" s="2338"/>
      <c r="H120" s="2424"/>
      <c r="I120" s="897"/>
      <c r="J120" s="455"/>
      <c r="K120" s="1668"/>
      <c r="L120" s="2370"/>
      <c r="M120" s="2347"/>
      <c r="O120" s="1668"/>
      <c r="Q120" s="2347"/>
      <c r="R120" s="455"/>
      <c r="S120" s="2341"/>
      <c r="V120" s="2429"/>
      <c r="W120" s="2343"/>
      <c r="AA120" s="1668"/>
    </row>
    <row r="121" spans="1:29" s="2386" customFormat="1" x14ac:dyDescent="0.25">
      <c r="A121" s="340"/>
      <c r="B121" s="2510"/>
      <c r="C121" s="897"/>
      <c r="D121" s="460"/>
      <c r="F121" s="340"/>
      <c r="G121" s="2338"/>
      <c r="H121" s="2424"/>
      <c r="I121" s="897"/>
      <c r="J121" s="455"/>
      <c r="K121" s="1668"/>
      <c r="L121" s="2370"/>
      <c r="M121" s="2347"/>
      <c r="N121" s="340"/>
      <c r="O121" s="1668"/>
      <c r="P121" s="340"/>
      <c r="Q121" s="2347"/>
      <c r="R121" s="455"/>
      <c r="S121" s="2341"/>
      <c r="T121" s="340"/>
      <c r="U121" s="340"/>
      <c r="V121" s="2429"/>
      <c r="W121" s="2343"/>
      <c r="X121" s="340"/>
      <c r="Y121" s="340"/>
      <c r="Z121" s="340"/>
      <c r="AA121" s="1668"/>
      <c r="AB121" s="340"/>
      <c r="AC121" s="340"/>
    </row>
    <row r="122" spans="1:29" s="2386" customFormat="1" x14ac:dyDescent="0.25">
      <c r="A122" s="340"/>
      <c r="B122" s="2510"/>
      <c r="C122" s="897"/>
      <c r="D122" s="455"/>
      <c r="F122" s="340"/>
      <c r="G122" s="2338"/>
      <c r="H122" s="2424"/>
      <c r="I122" s="897"/>
      <c r="J122" s="455"/>
      <c r="K122" s="1668"/>
      <c r="L122" s="2370"/>
      <c r="M122" s="2347"/>
      <c r="N122" s="340"/>
      <c r="O122" s="1668"/>
      <c r="P122" s="340"/>
      <c r="Q122" s="2347"/>
      <c r="R122" s="455"/>
      <c r="S122" s="2341"/>
      <c r="T122" s="340"/>
      <c r="U122" s="340"/>
      <c r="V122" s="2429"/>
      <c r="W122" s="2343"/>
      <c r="X122" s="340"/>
      <c r="Y122" s="340"/>
      <c r="Z122" s="340"/>
      <c r="AA122" s="1668"/>
      <c r="AB122" s="340"/>
      <c r="AC122" s="340"/>
    </row>
    <row r="123" spans="1:29" s="2386" customFormat="1" x14ac:dyDescent="0.25">
      <c r="A123" s="340"/>
      <c r="B123" s="2510"/>
      <c r="C123" s="897"/>
      <c r="D123" s="455"/>
      <c r="F123" s="340"/>
      <c r="G123" s="2338"/>
      <c r="H123" s="2424"/>
      <c r="I123" s="897"/>
      <c r="J123" s="455"/>
      <c r="K123" s="1668"/>
      <c r="L123" s="2370"/>
      <c r="M123" s="2347"/>
      <c r="N123" s="340"/>
      <c r="O123" s="1668"/>
      <c r="P123" s="340"/>
      <c r="Q123" s="2347"/>
      <c r="R123" s="455"/>
      <c r="S123" s="2341"/>
      <c r="T123" s="340"/>
      <c r="U123" s="340"/>
      <c r="V123" s="2429"/>
      <c r="W123" s="2343"/>
      <c r="X123" s="340"/>
      <c r="Y123" s="340"/>
      <c r="Z123" s="340"/>
      <c r="AA123" s="1668"/>
      <c r="AB123" s="340"/>
      <c r="AC123" s="340"/>
    </row>
    <row r="124" spans="1:29" s="2386" customFormat="1" ht="28.5" customHeight="1" x14ac:dyDescent="0.25">
      <c r="A124" s="340"/>
      <c r="B124" s="2510"/>
      <c r="C124" s="897"/>
      <c r="D124" s="342"/>
      <c r="F124" s="340"/>
      <c r="G124" s="2338"/>
      <c r="H124" s="2424"/>
      <c r="I124" s="897"/>
      <c r="J124" s="455"/>
      <c r="K124" s="1668"/>
      <c r="L124" s="2370"/>
      <c r="M124" s="2347"/>
      <c r="N124" s="340"/>
      <c r="O124" s="1668"/>
      <c r="P124" s="340"/>
      <c r="Q124" s="2347"/>
      <c r="R124" s="455"/>
      <c r="S124" s="2341"/>
      <c r="T124" s="340"/>
      <c r="U124" s="340"/>
      <c r="V124" s="2429"/>
      <c r="W124" s="2343"/>
      <c r="X124" s="340"/>
      <c r="Y124" s="340"/>
      <c r="Z124" s="340"/>
      <c r="AA124" s="1668"/>
      <c r="AB124" s="340"/>
      <c r="AC124" s="340"/>
    </row>
    <row r="125" spans="1:29" s="2386" customFormat="1" x14ac:dyDescent="0.25">
      <c r="A125" s="340"/>
      <c r="B125" s="2510"/>
      <c r="C125" s="897"/>
      <c r="D125" s="455"/>
      <c r="F125" s="340"/>
      <c r="G125" s="2338"/>
      <c r="H125" s="2424"/>
      <c r="I125" s="897"/>
      <c r="J125" s="455"/>
      <c r="K125" s="1668"/>
      <c r="L125" s="2370"/>
      <c r="M125" s="2347"/>
      <c r="N125" s="340"/>
      <c r="O125" s="1668"/>
      <c r="P125" s="340"/>
      <c r="Q125" s="2347"/>
      <c r="R125" s="455"/>
      <c r="S125" s="2341"/>
      <c r="T125" s="340"/>
      <c r="U125" s="340"/>
      <c r="V125" s="2429"/>
      <c r="W125" s="2343"/>
      <c r="X125" s="340"/>
      <c r="Y125" s="340"/>
      <c r="Z125" s="340"/>
      <c r="AA125" s="1668"/>
      <c r="AB125" s="340"/>
      <c r="AC125" s="340"/>
    </row>
    <row r="126" spans="1:29" s="2386" customFormat="1" x14ac:dyDescent="0.25">
      <c r="A126" s="340"/>
      <c r="B126" s="2510"/>
      <c r="C126" s="897"/>
      <c r="D126" s="455"/>
      <c r="F126" s="340"/>
      <c r="G126" s="2338"/>
      <c r="H126" s="2424"/>
      <c r="I126" s="897"/>
      <c r="J126" s="455"/>
      <c r="K126" s="1668"/>
      <c r="L126" s="2370"/>
      <c r="M126" s="2347"/>
      <c r="N126" s="340"/>
      <c r="O126" s="1668"/>
      <c r="P126" s="340"/>
      <c r="Q126" s="2347"/>
      <c r="R126" s="455"/>
      <c r="S126" s="2341"/>
      <c r="T126" s="340"/>
      <c r="U126" s="340"/>
      <c r="V126" s="2429"/>
      <c r="W126" s="2343"/>
      <c r="X126" s="340"/>
      <c r="Y126" s="340"/>
      <c r="Z126" s="340"/>
      <c r="AA126" s="1668"/>
      <c r="AB126" s="340"/>
      <c r="AC126" s="340"/>
    </row>
    <row r="127" spans="1:29" s="2386" customFormat="1" x14ac:dyDescent="0.25">
      <c r="A127" s="340"/>
      <c r="B127" s="2510"/>
      <c r="C127" s="897"/>
      <c r="D127" s="455"/>
      <c r="F127" s="340"/>
      <c r="G127" s="2338"/>
      <c r="H127" s="2424"/>
      <c r="I127" s="897"/>
      <c r="J127" s="455"/>
      <c r="K127" s="1668"/>
      <c r="L127" s="2370"/>
      <c r="M127" s="2347"/>
      <c r="N127" s="340"/>
      <c r="O127" s="1668"/>
      <c r="P127" s="340"/>
      <c r="Q127" s="2347"/>
      <c r="R127" s="455"/>
      <c r="S127" s="2341"/>
      <c r="T127" s="340"/>
      <c r="U127" s="340"/>
      <c r="V127" s="2429"/>
      <c r="W127" s="2343"/>
      <c r="X127" s="340"/>
      <c r="Y127" s="340"/>
      <c r="Z127" s="340"/>
      <c r="AA127" s="1668"/>
      <c r="AB127" s="340"/>
      <c r="AC127" s="340"/>
    </row>
    <row r="128" spans="1:29" s="2386" customFormat="1" x14ac:dyDescent="0.25">
      <c r="A128" s="340"/>
      <c r="B128" s="2510"/>
      <c r="C128" s="897"/>
      <c r="D128" s="455"/>
      <c r="F128" s="340"/>
      <c r="G128" s="2338"/>
      <c r="H128" s="2424"/>
      <c r="I128" s="897"/>
      <c r="J128" s="455"/>
      <c r="K128" s="1668"/>
      <c r="L128" s="2370"/>
      <c r="M128" s="2347"/>
      <c r="N128" s="340"/>
      <c r="O128" s="1668"/>
      <c r="P128" s="340"/>
      <c r="Q128" s="2347"/>
      <c r="R128" s="455"/>
      <c r="S128" s="2341"/>
      <c r="T128" s="340"/>
      <c r="U128" s="340"/>
      <c r="V128" s="2429"/>
      <c r="W128" s="2343"/>
      <c r="X128" s="340"/>
      <c r="Y128" s="340"/>
      <c r="Z128" s="340"/>
      <c r="AA128" s="1668"/>
      <c r="AB128" s="340"/>
      <c r="AC128" s="340"/>
    </row>
    <row r="129" spans="1:29" s="2386" customFormat="1" x14ac:dyDescent="0.25">
      <c r="A129" s="340"/>
      <c r="B129" s="2510"/>
      <c r="C129" s="897"/>
      <c r="D129" s="455"/>
      <c r="F129" s="340"/>
      <c r="G129" s="2338"/>
      <c r="H129" s="2424"/>
      <c r="I129" s="897"/>
      <c r="J129" s="455"/>
      <c r="K129" s="1668"/>
      <c r="L129" s="2370"/>
      <c r="M129" s="2347"/>
      <c r="N129" s="340"/>
      <c r="O129" s="1668"/>
      <c r="P129" s="340"/>
      <c r="Q129" s="2347"/>
      <c r="R129" s="455"/>
      <c r="S129" s="2341"/>
      <c r="T129" s="340"/>
      <c r="U129" s="340"/>
      <c r="V129" s="2429"/>
      <c r="W129" s="2343"/>
      <c r="X129" s="340"/>
      <c r="Y129" s="340"/>
      <c r="Z129" s="340"/>
      <c r="AA129" s="1668"/>
      <c r="AB129" s="340"/>
      <c r="AC129" s="340"/>
    </row>
    <row r="130" spans="1:29" s="2386" customFormat="1" x14ac:dyDescent="0.25">
      <c r="A130" s="340"/>
      <c r="B130" s="2510"/>
      <c r="C130" s="897"/>
      <c r="D130" s="455"/>
      <c r="F130" s="340"/>
      <c r="G130" s="2338"/>
      <c r="H130" s="2424"/>
      <c r="I130" s="897"/>
      <c r="J130" s="455"/>
      <c r="K130" s="1668"/>
      <c r="L130" s="2370"/>
      <c r="M130" s="2347"/>
      <c r="N130" s="340"/>
      <c r="O130" s="1668"/>
      <c r="P130" s="340"/>
      <c r="Q130" s="2347"/>
      <c r="R130" s="455"/>
      <c r="S130" s="2341"/>
      <c r="T130" s="340"/>
      <c r="U130" s="340"/>
      <c r="V130" s="2429"/>
      <c r="W130" s="2343"/>
      <c r="X130" s="340"/>
      <c r="Y130" s="340"/>
      <c r="Z130" s="340"/>
      <c r="AA130" s="1668"/>
      <c r="AB130" s="340"/>
      <c r="AC130" s="340"/>
    </row>
    <row r="131" spans="1:29" s="2386" customFormat="1" x14ac:dyDescent="0.25">
      <c r="A131" s="340"/>
      <c r="B131" s="2510"/>
      <c r="C131" s="897"/>
      <c r="D131" s="455"/>
      <c r="F131" s="340"/>
      <c r="G131" s="2338"/>
      <c r="H131" s="2424"/>
      <c r="I131" s="897"/>
      <c r="J131" s="455"/>
      <c r="K131" s="1668"/>
      <c r="L131" s="2370"/>
      <c r="M131" s="2347"/>
      <c r="N131" s="340"/>
      <c r="O131" s="1668"/>
      <c r="P131" s="340"/>
      <c r="Q131" s="2347"/>
      <c r="R131" s="455"/>
      <c r="S131" s="2341"/>
      <c r="T131" s="340"/>
      <c r="U131" s="340"/>
      <c r="V131" s="2429"/>
      <c r="W131" s="2343"/>
      <c r="X131" s="340"/>
      <c r="Y131" s="340"/>
      <c r="Z131" s="340"/>
      <c r="AA131" s="1668"/>
      <c r="AB131" s="340"/>
      <c r="AC131" s="340"/>
    </row>
    <row r="132" spans="1:29" s="848" customFormat="1" x14ac:dyDescent="0.25">
      <c r="A132" s="108"/>
      <c r="B132" s="2169"/>
      <c r="C132" s="856"/>
      <c r="D132" s="36"/>
      <c r="F132" s="2"/>
      <c r="G132" s="52"/>
      <c r="H132" s="121"/>
      <c r="I132" s="856"/>
      <c r="J132" s="66"/>
      <c r="K132" s="333"/>
      <c r="L132" s="122"/>
      <c r="M132" s="957"/>
      <c r="N132" s="2"/>
      <c r="O132" s="333"/>
      <c r="P132" s="2"/>
      <c r="Q132" s="957"/>
      <c r="R132" s="36"/>
      <c r="S132" s="338"/>
      <c r="T132" s="2"/>
      <c r="U132" s="2"/>
      <c r="V132" s="280"/>
      <c r="W132" s="2244"/>
      <c r="X132" s="2"/>
      <c r="Y132" s="2"/>
      <c r="Z132" s="2"/>
      <c r="AA132" s="333"/>
      <c r="AB132" s="2"/>
      <c r="AC132" s="2"/>
    </row>
    <row r="133" spans="1:29" s="848" customFormat="1" x14ac:dyDescent="0.25">
      <c r="A133" s="108"/>
      <c r="B133" s="2169"/>
      <c r="C133" s="856"/>
      <c r="D133" s="36"/>
      <c r="F133" s="2"/>
      <c r="G133" s="52"/>
      <c r="H133" s="121"/>
      <c r="I133" s="856"/>
      <c r="J133" s="66"/>
      <c r="K133" s="333"/>
      <c r="L133" s="122"/>
      <c r="M133" s="957"/>
      <c r="N133" s="2"/>
      <c r="O133" s="333"/>
      <c r="P133" s="2"/>
      <c r="Q133" s="957"/>
      <c r="R133" s="36"/>
      <c r="S133" s="338"/>
      <c r="T133" s="2"/>
      <c r="U133" s="2"/>
      <c r="V133" s="280"/>
      <c r="W133" s="2244"/>
      <c r="X133" s="2"/>
      <c r="Y133" s="2"/>
      <c r="Z133" s="2"/>
      <c r="AA133" s="333"/>
      <c r="AB133" s="2"/>
      <c r="AC133" s="2"/>
    </row>
    <row r="134" spans="1:29" s="848" customFormat="1" x14ac:dyDescent="0.25">
      <c r="A134" s="108"/>
      <c r="B134" s="2169"/>
      <c r="C134" s="856"/>
      <c r="D134" s="36"/>
      <c r="F134" s="2"/>
      <c r="G134" s="52"/>
      <c r="H134" s="121"/>
      <c r="I134" s="856"/>
      <c r="J134" s="66"/>
      <c r="K134" s="333"/>
      <c r="L134" s="122"/>
      <c r="M134" s="957"/>
      <c r="N134" s="2"/>
      <c r="O134" s="333"/>
      <c r="P134" s="2"/>
      <c r="Q134" s="957"/>
      <c r="R134" s="36"/>
      <c r="S134" s="338"/>
      <c r="T134" s="2"/>
      <c r="U134" s="2"/>
      <c r="V134" s="280"/>
      <c r="W134" s="2244"/>
      <c r="X134" s="2"/>
      <c r="Y134" s="2"/>
      <c r="Z134" s="2"/>
      <c r="AA134" s="333"/>
      <c r="AB134" s="2"/>
      <c r="AC134" s="2"/>
    </row>
    <row r="135" spans="1:29" s="848" customFormat="1" x14ac:dyDescent="0.25">
      <c r="A135" s="108"/>
      <c r="B135" s="2169"/>
      <c r="C135" s="856"/>
      <c r="D135" s="36"/>
      <c r="F135" s="2"/>
      <c r="G135" s="52"/>
      <c r="H135" s="121"/>
      <c r="I135" s="856"/>
      <c r="J135" s="66"/>
      <c r="K135" s="333"/>
      <c r="L135" s="122"/>
      <c r="M135" s="957"/>
      <c r="N135" s="2"/>
      <c r="O135" s="333"/>
      <c r="P135" s="2"/>
      <c r="Q135" s="957"/>
      <c r="R135" s="36"/>
      <c r="S135" s="338"/>
      <c r="T135" s="2"/>
      <c r="U135" s="2"/>
      <c r="V135" s="280"/>
      <c r="W135" s="2244"/>
      <c r="X135" s="2"/>
      <c r="Y135" s="2"/>
      <c r="Z135" s="2"/>
      <c r="AA135" s="333"/>
      <c r="AB135" s="2"/>
      <c r="AC135" s="2"/>
    </row>
    <row r="136" spans="1:29" s="848" customFormat="1" x14ac:dyDescent="0.25">
      <c r="A136" s="108"/>
      <c r="B136" s="2169"/>
      <c r="C136" s="856"/>
      <c r="D136" s="36"/>
      <c r="F136" s="2"/>
      <c r="G136" s="52"/>
      <c r="H136" s="121"/>
      <c r="I136" s="856"/>
      <c r="J136" s="66"/>
      <c r="K136" s="333"/>
      <c r="L136" s="122"/>
      <c r="M136" s="957"/>
      <c r="N136" s="2"/>
      <c r="O136" s="333"/>
      <c r="P136" s="2"/>
      <c r="Q136" s="957"/>
      <c r="R136" s="36"/>
      <c r="S136" s="338"/>
      <c r="T136" s="2"/>
      <c r="U136" s="2"/>
      <c r="V136" s="280"/>
      <c r="W136" s="2244"/>
      <c r="X136" s="2"/>
      <c r="Y136" s="2"/>
      <c r="Z136" s="2"/>
      <c r="AA136" s="333"/>
      <c r="AB136" s="2"/>
      <c r="AC136" s="2"/>
    </row>
    <row r="137" spans="1:29" s="848" customFormat="1" x14ac:dyDescent="0.25">
      <c r="A137" s="108"/>
      <c r="B137" s="2169"/>
      <c r="C137" s="856"/>
      <c r="D137" s="36"/>
      <c r="F137" s="2"/>
      <c r="G137" s="52"/>
      <c r="H137" s="121"/>
      <c r="I137" s="856"/>
      <c r="J137" s="66"/>
      <c r="K137" s="333"/>
      <c r="L137" s="122"/>
      <c r="M137" s="957"/>
      <c r="N137" s="2"/>
      <c r="O137" s="333"/>
      <c r="P137" s="2"/>
      <c r="Q137" s="957"/>
      <c r="R137" s="36"/>
      <c r="S137" s="338"/>
      <c r="T137" s="2"/>
      <c r="U137" s="2"/>
      <c r="V137" s="280"/>
      <c r="W137" s="2244"/>
      <c r="X137" s="2"/>
      <c r="Y137" s="2"/>
      <c r="Z137" s="2"/>
      <c r="AA137" s="333"/>
      <c r="AB137" s="2"/>
      <c r="AC137" s="2"/>
    </row>
    <row r="138" spans="1:29" s="848" customFormat="1" x14ac:dyDescent="0.25">
      <c r="A138" s="108"/>
      <c r="B138" s="2169"/>
      <c r="C138" s="856"/>
      <c r="D138" s="36"/>
      <c r="F138" s="2"/>
      <c r="G138" s="52"/>
      <c r="H138" s="121"/>
      <c r="I138" s="856"/>
      <c r="J138" s="66"/>
      <c r="K138" s="333"/>
      <c r="L138" s="122"/>
      <c r="M138" s="957"/>
      <c r="N138" s="2"/>
      <c r="O138" s="333"/>
      <c r="P138" s="2"/>
      <c r="Q138" s="957"/>
      <c r="R138" s="36"/>
      <c r="S138" s="338"/>
      <c r="T138" s="2"/>
      <c r="U138" s="2"/>
      <c r="V138" s="280"/>
      <c r="W138" s="2244"/>
      <c r="X138" s="2"/>
      <c r="Y138" s="2"/>
      <c r="Z138" s="2"/>
      <c r="AA138" s="333"/>
      <c r="AB138" s="2"/>
      <c r="AC138" s="2"/>
    </row>
    <row r="139" spans="1:29" s="848" customFormat="1" x14ac:dyDescent="0.25">
      <c r="A139" s="108"/>
      <c r="B139" s="2169"/>
      <c r="C139" s="856"/>
      <c r="D139" s="36"/>
      <c r="F139" s="2"/>
      <c r="G139" s="52"/>
      <c r="H139" s="121"/>
      <c r="I139" s="856"/>
      <c r="J139" s="66"/>
      <c r="K139" s="333"/>
      <c r="L139" s="122"/>
      <c r="M139" s="957"/>
      <c r="N139" s="2"/>
      <c r="O139" s="333"/>
      <c r="P139" s="2"/>
      <c r="Q139" s="957"/>
      <c r="R139" s="36"/>
      <c r="S139" s="338"/>
      <c r="T139" s="2"/>
      <c r="U139" s="2"/>
      <c r="V139" s="280"/>
      <c r="W139" s="2244"/>
      <c r="X139" s="2"/>
      <c r="Y139" s="2"/>
      <c r="Z139" s="2"/>
      <c r="AA139" s="333"/>
      <c r="AB139" s="2"/>
      <c r="AC139" s="2"/>
    </row>
  </sheetData>
  <sheetProtection password="E247" sheet="1" objects="1" scenarios="1"/>
  <mergeCells count="1">
    <mergeCell ref="B119:C120"/>
  </mergeCells>
  <pageMargins left="0.25" right="0.25" top="0.5" bottom="0.5" header="0.25" footer="0.25"/>
  <pageSetup paperSize="17" orientation="portrait" r:id="rId1"/>
  <headerFooter>
    <oddHeader>&amp;L&amp;F</oddHeader>
    <oddFooter>&amp;R&amp;A</oddFooter>
  </headerFooter>
  <rowBreaks count="1" manualBreakCount="1">
    <brk id="111"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fitToPage="1"/>
  </sheetPr>
  <dimension ref="A1:AC139"/>
  <sheetViews>
    <sheetView zoomScaleNormal="100" workbookViewId="0">
      <pane xSplit="3" ySplit="6" topLeftCell="H7" activePane="bottomRight" state="frozen"/>
      <selection activeCell="H7" sqref="H7"/>
      <selection pane="topRight" activeCell="H7" sqref="H7"/>
      <selection pane="bottomLeft" activeCell="H7" sqref="H7"/>
      <selection pane="bottomRight" activeCell="H7" sqref="H7"/>
    </sheetView>
  </sheetViews>
  <sheetFormatPr defaultRowHeight="15" x14ac:dyDescent="0.25"/>
  <cols>
    <col min="1" max="1" width="2.42578125" style="108" customWidth="1"/>
    <col min="2" max="2" width="8.5703125" style="2168" customWidth="1"/>
    <col min="3" max="3" width="51.42578125" style="848" bestFit="1" customWidth="1"/>
    <col min="4" max="4" width="16" style="2" hidden="1" customWidth="1"/>
    <col min="5" max="5" width="23.28515625" style="848" hidden="1" customWidth="1"/>
    <col min="6" max="6" width="6" style="2" hidden="1" customWidth="1"/>
    <col min="7" max="7" width="10.7109375" style="52" hidden="1" customWidth="1"/>
    <col min="8" max="8" width="17.85546875" style="121" bestFit="1" customWidth="1"/>
    <col min="9" max="9" width="26" style="856" hidden="1" customWidth="1"/>
    <col min="10" max="10" width="5.7109375" style="66" hidden="1" customWidth="1"/>
    <col min="11" max="11" width="9.85546875" style="333" hidden="1" customWidth="1"/>
    <col min="12" max="12" width="15.42578125" style="122" bestFit="1" customWidth="1"/>
    <col min="13" max="13" width="26.140625" style="957" hidden="1" customWidth="1"/>
    <col min="14" max="14" width="5.7109375" style="2" hidden="1" customWidth="1"/>
    <col min="15" max="15" width="9.5703125" style="333" hidden="1" customWidth="1"/>
    <col min="16" max="16" width="15.42578125" style="2" bestFit="1" customWidth="1"/>
    <col min="17" max="17" width="25" style="957" hidden="1" customWidth="1"/>
    <col min="18" max="18" width="5.28515625" style="36" hidden="1" customWidth="1"/>
    <col min="19" max="19" width="9.42578125" style="338" hidden="1" customWidth="1"/>
    <col min="20" max="20" width="14" style="2" customWidth="1"/>
    <col min="21" max="21" width="24.85546875" style="2" hidden="1" customWidth="1"/>
    <col min="22" max="22" width="5.7109375" style="280" customWidth="1"/>
    <col min="23" max="23" width="9.42578125" style="2244" hidden="1" customWidth="1"/>
    <col min="24" max="24" width="14" style="2" hidden="1" customWidth="1"/>
    <col min="25" max="25" width="24.85546875" style="2" hidden="1" customWidth="1"/>
    <col min="26" max="26" width="5.7109375" style="2" hidden="1" customWidth="1"/>
    <col min="27" max="27" width="9.42578125" style="333" hidden="1" customWidth="1"/>
    <col min="28" max="28" width="14" style="2" hidden="1" customWidth="1"/>
    <col min="29" max="29" width="24.85546875" style="2" hidden="1" customWidth="1"/>
    <col min="30" max="16384" width="9.140625" style="2"/>
  </cols>
  <sheetData>
    <row r="1" spans="1:29" x14ac:dyDescent="0.25">
      <c r="B1" s="2168" t="s">
        <v>61</v>
      </c>
      <c r="C1" s="873" t="s">
        <v>985</v>
      </c>
      <c r="D1" s="97">
        <v>0</v>
      </c>
      <c r="E1" s="904"/>
      <c r="F1" s="121"/>
      <c r="G1" s="325"/>
      <c r="H1" s="99">
        <v>0</v>
      </c>
      <c r="I1" s="904"/>
      <c r="L1" s="121">
        <v>0</v>
      </c>
      <c r="M1" s="904"/>
      <c r="P1" s="121">
        <v>0</v>
      </c>
      <c r="Q1" s="904"/>
      <c r="T1" s="121">
        <v>0</v>
      </c>
      <c r="U1" s="121"/>
      <c r="X1" s="121">
        <v>0</v>
      </c>
      <c r="Y1" s="121"/>
      <c r="AB1" s="121">
        <v>0</v>
      </c>
      <c r="AC1" s="121"/>
    </row>
    <row r="2" spans="1:29" ht="17.25" x14ac:dyDescent="0.4">
      <c r="B2" s="2169" t="s">
        <v>59</v>
      </c>
      <c r="C2" s="1863">
        <v>49</v>
      </c>
      <c r="D2" s="99">
        <v>0</v>
      </c>
      <c r="E2" s="904"/>
      <c r="F2" s="121"/>
      <c r="G2" s="326"/>
      <c r="H2" s="99">
        <v>0</v>
      </c>
      <c r="I2" s="904"/>
      <c r="L2" s="87">
        <v>0</v>
      </c>
      <c r="M2" s="904"/>
      <c r="P2" s="87">
        <v>0</v>
      </c>
      <c r="Q2" s="904"/>
      <c r="T2" s="87">
        <v>0</v>
      </c>
      <c r="U2" s="121"/>
      <c r="X2" s="87">
        <v>0</v>
      </c>
      <c r="Y2" s="121"/>
      <c r="AB2" s="87">
        <v>0</v>
      </c>
      <c r="AC2" s="121"/>
    </row>
    <row r="3" spans="1:29" x14ac:dyDescent="0.25">
      <c r="C3" s="1690"/>
      <c r="D3" s="281">
        <f>+SUM(D1:D2)</f>
        <v>0</v>
      </c>
      <c r="E3" s="905"/>
      <c r="F3" s="99"/>
      <c r="G3" s="83"/>
      <c r="H3" s="281">
        <f>+SUM(H1:H2)</f>
        <v>0</v>
      </c>
      <c r="I3" s="913"/>
      <c r="L3" s="121">
        <f>SUM(L1:L2)</f>
        <v>0</v>
      </c>
      <c r="M3" s="956"/>
      <c r="P3" s="121">
        <f>SUM(P1:P2)</f>
        <v>0</v>
      </c>
      <c r="Q3" s="956"/>
      <c r="T3" s="121">
        <f>SUM(T1:T2)</f>
        <v>0</v>
      </c>
      <c r="U3" s="36"/>
      <c r="X3" s="121">
        <f>SUM(X1:X2)</f>
        <v>0</v>
      </c>
      <c r="Y3" s="36"/>
      <c r="AB3" s="121">
        <f>SUM(AB1:AB2)</f>
        <v>0</v>
      </c>
      <c r="AC3" s="36"/>
    </row>
    <row r="4" spans="1:29" x14ac:dyDescent="0.25">
      <c r="L4" s="121"/>
      <c r="M4" s="956"/>
      <c r="P4" s="121"/>
      <c r="Q4" s="956"/>
      <c r="T4" s="121"/>
      <c r="U4" s="36"/>
      <c r="X4" s="121"/>
      <c r="Y4" s="36"/>
      <c r="AB4" s="121"/>
      <c r="AC4" s="36"/>
    </row>
    <row r="5" spans="1:29" ht="15.75" x14ac:dyDescent="0.25">
      <c r="B5" s="2170" t="s">
        <v>56</v>
      </c>
      <c r="P5" s="122"/>
      <c r="T5" s="122"/>
      <c r="X5" s="122"/>
      <c r="AB5" s="122"/>
    </row>
    <row r="6" spans="1:29" s="242" customFormat="1" ht="15.75" x14ac:dyDescent="0.25">
      <c r="A6" s="241"/>
      <c r="B6" s="2171"/>
      <c r="C6" s="909"/>
      <c r="D6" s="1832" t="s">
        <v>55</v>
      </c>
      <c r="E6" s="906"/>
      <c r="G6" s="327"/>
      <c r="H6" s="282" t="str">
        <f>LEFT(D6,4)+1&amp;"-"&amp;RIGHT(D6,4)+1</f>
        <v>2017-2018</v>
      </c>
      <c r="I6" s="914"/>
      <c r="J6" s="283"/>
      <c r="K6" s="334"/>
      <c r="L6" s="123" t="str">
        <f>LEFT(H6,4)+1&amp;"-"&amp;RIGHT(H6,4)+1</f>
        <v>2018-2019</v>
      </c>
      <c r="M6" s="958"/>
      <c r="N6" s="284"/>
      <c r="O6" s="337"/>
      <c r="P6" s="123" t="str">
        <f>LEFT(L6,4)+1&amp;"-"&amp;RIGHT(L6,4)+1</f>
        <v>2019-2020</v>
      </c>
      <c r="Q6" s="958"/>
      <c r="R6" s="2236"/>
      <c r="S6" s="2242"/>
      <c r="T6" s="123" t="str">
        <f>LEFT(P6,4)+1&amp;"-"&amp;RIGHT(P6,4)+1</f>
        <v>2020-2021</v>
      </c>
      <c r="U6" s="123"/>
      <c r="V6" s="285"/>
      <c r="W6" s="2245"/>
      <c r="X6" s="123" t="str">
        <f>LEFT(T6,4)+1&amp;"-"&amp;RIGHT(T6,4)+1</f>
        <v>2021-2022</v>
      </c>
      <c r="Y6" s="123"/>
      <c r="Z6" s="284"/>
      <c r="AA6" s="337"/>
      <c r="AB6" s="123" t="str">
        <f>LEFT(X6,4)+1&amp;"-"&amp;RIGHT(X6,4)+1</f>
        <v>2022-2023</v>
      </c>
      <c r="AC6" s="123"/>
    </row>
    <row r="7" spans="1:29" s="340" customFormat="1" x14ac:dyDescent="0.25">
      <c r="B7" s="2486" t="s">
        <v>54</v>
      </c>
      <c r="C7" s="2386"/>
      <c r="D7" s="340">
        <v>0</v>
      </c>
      <c r="E7" s="2386"/>
      <c r="G7" s="2338"/>
      <c r="H7" s="340">
        <v>4282.78</v>
      </c>
      <c r="I7" s="2386"/>
      <c r="J7" s="455"/>
      <c r="K7" s="1668"/>
      <c r="L7" s="340">
        <f>H102</f>
        <v>12643.779999999999</v>
      </c>
      <c r="M7" s="2347"/>
      <c r="O7" s="1668"/>
      <c r="P7" s="340">
        <f>L102</f>
        <v>12643.779999999999</v>
      </c>
      <c r="Q7" s="2347"/>
      <c r="R7" s="455"/>
      <c r="S7" s="2341"/>
      <c r="T7" s="340">
        <f>P102</f>
        <v>13056.779999999999</v>
      </c>
      <c r="V7" s="2429"/>
      <c r="W7" s="2343"/>
      <c r="X7" s="340">
        <f>T102</f>
        <v>13909.779999999999</v>
      </c>
      <c r="AA7" s="1668"/>
      <c r="AB7" s="340" t="e">
        <f>X102</f>
        <v>#REF!</v>
      </c>
    </row>
    <row r="8" spans="1:29" s="340" customFormat="1" x14ac:dyDescent="0.25">
      <c r="B8" s="2487"/>
      <c r="C8" s="2386"/>
      <c r="E8" s="2386"/>
      <c r="G8" s="2338"/>
      <c r="I8" s="2386"/>
      <c r="J8" s="455"/>
      <c r="K8" s="1668"/>
      <c r="M8" s="2347"/>
      <c r="O8" s="1668"/>
      <c r="Q8" s="2347"/>
      <c r="R8" s="455"/>
      <c r="S8" s="2341"/>
      <c r="V8" s="2429"/>
      <c r="W8" s="2343"/>
      <c r="AA8" s="1668"/>
    </row>
    <row r="9" spans="1:29" s="340" customFormat="1" x14ac:dyDescent="0.25">
      <c r="B9" s="2487" t="s">
        <v>52</v>
      </c>
      <c r="C9" s="2386"/>
      <c r="E9" s="2386"/>
      <c r="G9" s="456"/>
      <c r="H9" s="833"/>
      <c r="I9" s="2386"/>
      <c r="J9" s="342"/>
      <c r="K9" s="456"/>
      <c r="L9" s="833"/>
      <c r="M9" s="2347"/>
      <c r="O9" s="456"/>
      <c r="P9" s="833"/>
      <c r="Q9" s="2347"/>
      <c r="R9" s="455"/>
      <c r="S9" s="2238"/>
      <c r="T9" s="833"/>
      <c r="V9" s="2429"/>
      <c r="W9" s="2241" t="str">
        <f>IF(T9=0,"0.00%",(X9-T9)/T9)</f>
        <v>0.00%</v>
      </c>
      <c r="X9" s="833">
        <f>X3</f>
        <v>0</v>
      </c>
      <c r="AA9" s="456" t="str">
        <f>IF(X9=0,"0.00%",(AB9-X9)/X9)</f>
        <v>0.00%</v>
      </c>
      <c r="AB9" s="833">
        <f>AB3</f>
        <v>0</v>
      </c>
    </row>
    <row r="10" spans="1:29" s="340" customFormat="1" x14ac:dyDescent="0.25">
      <c r="B10" s="2441">
        <v>8590</v>
      </c>
      <c r="C10" s="2386" t="s">
        <v>1064</v>
      </c>
      <c r="D10" s="340">
        <v>0</v>
      </c>
      <c r="E10" s="2386"/>
      <c r="G10" s="456" t="str">
        <f t="shared" ref="G10:G18" si="0">IF(D10=0,"0.00%",(H10-D10)/D10)</f>
        <v>0.00%</v>
      </c>
      <c r="H10" s="833">
        <v>23885</v>
      </c>
      <c r="I10" s="2386"/>
      <c r="J10" s="342"/>
      <c r="K10" s="456">
        <f t="shared" ref="K10:K14" si="1">IF(H10=0,"0.00%",(L10-H10)/H10)</f>
        <v>-0.32761147163491733</v>
      </c>
      <c r="L10" s="833">
        <v>16060</v>
      </c>
      <c r="M10" s="2347"/>
      <c r="O10" s="456">
        <f t="shared" ref="O10:O14" si="2">IF(L10=0,"0.00%",(P10-L10)/L10)</f>
        <v>2.5716064757160647E-2</v>
      </c>
      <c r="P10" s="833">
        <f>ROUND(+L10*(1+Q10),0)</f>
        <v>16473</v>
      </c>
      <c r="Q10" s="2361">
        <f>+'MYP Assumptions'!G49</f>
        <v>2.5700000000000001E-2</v>
      </c>
      <c r="R10" s="455"/>
      <c r="S10" s="456">
        <f t="shared" ref="S10" si="3">IF(P10=0,"0.00%",(T10-P10)/P10)</f>
        <v>2.6710374552297699E-2</v>
      </c>
      <c r="T10" s="833">
        <f>ROUND(+P10*(1+U10),0)</f>
        <v>16913</v>
      </c>
      <c r="U10" s="2431">
        <f>+'MYP Assumptions'!H49</f>
        <v>2.6700000000000002E-2</v>
      </c>
      <c r="V10" s="2429"/>
      <c r="W10" s="2241"/>
      <c r="X10" s="833"/>
      <c r="AA10" s="456"/>
      <c r="AB10" s="833"/>
    </row>
    <row r="11" spans="1:29" s="340" customFormat="1" hidden="1" x14ac:dyDescent="0.25">
      <c r="B11" s="2441"/>
      <c r="C11" s="2386"/>
      <c r="D11" s="340">
        <v>0</v>
      </c>
      <c r="E11" s="2386"/>
      <c r="G11" s="456" t="str">
        <f t="shared" si="0"/>
        <v>0.00%</v>
      </c>
      <c r="H11" s="833">
        <v>0</v>
      </c>
      <c r="I11" s="2386"/>
      <c r="J11" s="342"/>
      <c r="K11" s="456" t="str">
        <f t="shared" si="1"/>
        <v>0.00%</v>
      </c>
      <c r="L11" s="833">
        <v>0</v>
      </c>
      <c r="M11" s="2347"/>
      <c r="O11" s="456" t="str">
        <f t="shared" si="2"/>
        <v>0.00%</v>
      </c>
      <c r="P11" s="833">
        <v>0</v>
      </c>
      <c r="Q11" s="2347"/>
      <c r="R11" s="455"/>
      <c r="S11" s="2238"/>
      <c r="T11" s="833"/>
      <c r="V11" s="2429"/>
      <c r="W11" s="2241"/>
      <c r="X11" s="833"/>
      <c r="AA11" s="456"/>
      <c r="AB11" s="833"/>
    </row>
    <row r="12" spans="1:29" s="340" customFormat="1" hidden="1" x14ac:dyDescent="0.25">
      <c r="B12" s="2441"/>
      <c r="C12" s="2386"/>
      <c r="D12" s="340">
        <v>0</v>
      </c>
      <c r="E12" s="2386"/>
      <c r="G12" s="456" t="str">
        <f t="shared" si="0"/>
        <v>0.00%</v>
      </c>
      <c r="H12" s="833">
        <v>0</v>
      </c>
      <c r="I12" s="2386"/>
      <c r="J12" s="342"/>
      <c r="K12" s="456" t="str">
        <f t="shared" si="1"/>
        <v>0.00%</v>
      </c>
      <c r="L12" s="833">
        <v>0</v>
      </c>
      <c r="M12" s="2347"/>
      <c r="O12" s="456" t="str">
        <f t="shared" si="2"/>
        <v>0.00%</v>
      </c>
      <c r="P12" s="833">
        <v>0</v>
      </c>
      <c r="Q12" s="2347"/>
      <c r="R12" s="455"/>
      <c r="S12" s="2238"/>
      <c r="T12" s="833"/>
      <c r="V12" s="2429"/>
      <c r="W12" s="2241"/>
      <c r="X12" s="833"/>
      <c r="AA12" s="456"/>
      <c r="AB12" s="833"/>
    </row>
    <row r="13" spans="1:29" s="340" customFormat="1" hidden="1" x14ac:dyDescent="0.25">
      <c r="B13" s="2441"/>
      <c r="C13" s="2386"/>
      <c r="E13" s="2386"/>
      <c r="G13" s="456" t="str">
        <f t="shared" si="0"/>
        <v>0.00%</v>
      </c>
      <c r="H13" s="833">
        <v>0</v>
      </c>
      <c r="I13" s="2386"/>
      <c r="J13" s="342"/>
      <c r="K13" s="456" t="str">
        <f t="shared" si="1"/>
        <v>0.00%</v>
      </c>
      <c r="L13" s="833">
        <v>0</v>
      </c>
      <c r="M13" s="2347"/>
      <c r="O13" s="456" t="str">
        <f t="shared" si="2"/>
        <v>0.00%</v>
      </c>
      <c r="P13" s="833">
        <v>0</v>
      </c>
      <c r="Q13" s="2347"/>
      <c r="R13" s="455"/>
      <c r="S13" s="2238"/>
      <c r="T13" s="833"/>
      <c r="V13" s="2429"/>
      <c r="W13" s="2241"/>
      <c r="X13" s="833"/>
      <c r="AA13" s="456"/>
      <c r="AB13" s="833"/>
    </row>
    <row r="14" spans="1:29" s="340" customFormat="1" x14ac:dyDescent="0.25">
      <c r="B14" s="2486" t="s">
        <v>137</v>
      </c>
      <c r="C14" s="2386"/>
      <c r="D14" s="458">
        <f>SUM(D9:D13)</f>
        <v>0</v>
      </c>
      <c r="E14" s="2386"/>
      <c r="G14" s="456" t="str">
        <f t="shared" si="0"/>
        <v>0.00%</v>
      </c>
      <c r="H14" s="458">
        <f>SUM(H9:H13)</f>
        <v>23885</v>
      </c>
      <c r="I14" s="2386"/>
      <c r="J14" s="342"/>
      <c r="K14" s="456">
        <f t="shared" si="1"/>
        <v>-0.32761147163491733</v>
      </c>
      <c r="L14" s="458">
        <f>SUM(L9:L13)</f>
        <v>16060</v>
      </c>
      <c r="M14" s="2316">
        <f>+L14-H14</f>
        <v>-7825</v>
      </c>
      <c r="O14" s="456">
        <f t="shared" si="2"/>
        <v>2.5716064757160647E-2</v>
      </c>
      <c r="P14" s="458">
        <f>SUM(P9:P13)</f>
        <v>16473</v>
      </c>
      <c r="Q14" s="2316">
        <f>+P14-L14</f>
        <v>413</v>
      </c>
      <c r="R14" s="455"/>
      <c r="S14" s="2238">
        <f>IF(P14=0,"0.00%",(T14-P14)/P14)</f>
        <v>2.6710374552297699E-2</v>
      </c>
      <c r="T14" s="458">
        <f>SUM(T9:T10)</f>
        <v>16913</v>
      </c>
      <c r="V14" s="2429"/>
      <c r="W14" s="2241">
        <f>IF(T14=0,"0.00%",(X14-T14)/T14)</f>
        <v>-1</v>
      </c>
      <c r="X14" s="458">
        <f>SUM(X9:X10)</f>
        <v>0</v>
      </c>
      <c r="AA14" s="456" t="str">
        <f>IF(X14=0,"0.00%",(AB14-X14)/X14)</f>
        <v>0.00%</v>
      </c>
      <c r="AB14" s="458">
        <f>SUM(AB9:AB10)</f>
        <v>0</v>
      </c>
    </row>
    <row r="15" spans="1:29" s="340" customFormat="1" x14ac:dyDescent="0.25">
      <c r="B15" s="2487"/>
      <c r="C15" s="2386"/>
      <c r="E15" s="2386"/>
      <c r="G15" s="2338"/>
      <c r="H15" s="833"/>
      <c r="I15" s="2386"/>
      <c r="J15" s="342"/>
      <c r="K15" s="2338"/>
      <c r="L15" s="833"/>
      <c r="M15" s="2347"/>
      <c r="O15" s="2338"/>
      <c r="P15" s="833"/>
      <c r="Q15" s="2347"/>
      <c r="R15" s="455"/>
      <c r="S15" s="2355"/>
      <c r="T15" s="833"/>
      <c r="V15" s="2429"/>
      <c r="W15" s="2357"/>
      <c r="X15" s="833"/>
      <c r="AA15" s="2338"/>
      <c r="AB15" s="833"/>
    </row>
    <row r="16" spans="1:29" s="340" customFormat="1" x14ac:dyDescent="0.25">
      <c r="B16" s="2449"/>
      <c r="C16" s="2375" t="s">
        <v>64</v>
      </c>
      <c r="D16" s="2359">
        <f>ROUND(D14-(D14/(1+E16)),0)</f>
        <v>0</v>
      </c>
      <c r="E16" s="2431">
        <v>0</v>
      </c>
      <c r="G16" s="456" t="str">
        <f t="shared" si="0"/>
        <v>0.00%</v>
      </c>
      <c r="H16" s="2359">
        <f>ROUND(H14-(H14/(1+B16)),0)</f>
        <v>0</v>
      </c>
      <c r="I16" s="2386"/>
      <c r="J16" s="342"/>
      <c r="K16" s="456" t="str">
        <f>IF(H16=0,"0.00%",(L16-H16)/H16)</f>
        <v>0.00%</v>
      </c>
      <c r="L16" s="2359">
        <f>ROUND(L14-(L14/(1+B16)),0)</f>
        <v>0</v>
      </c>
      <c r="M16" s="2347"/>
      <c r="O16" s="456" t="str">
        <f>IF(L16=0,"0.00%",(P16-L16)/L16)</f>
        <v>0.00%</v>
      </c>
      <c r="P16" s="2359">
        <f>ROUND(P14-(P14/(1+B16)),0)</f>
        <v>0</v>
      </c>
      <c r="Q16" s="2347"/>
      <c r="R16" s="455"/>
      <c r="S16" s="2238" t="str">
        <f>IF(P16=0,"0.00%",(T16-P16)/P16)</f>
        <v>0.00%</v>
      </c>
      <c r="T16" s="2359">
        <f>ROUND(T14-(T14/(1+B16)),0)</f>
        <v>0</v>
      </c>
      <c r="V16" s="2429"/>
      <c r="W16" s="2241" t="str">
        <f>IF(T16=0,"0.00%",(X16-T16)/T16)</f>
        <v>0.00%</v>
      </c>
      <c r="X16" s="2359">
        <f>ROUND(X14-(X14/(1+B16)),0)</f>
        <v>0</v>
      </c>
      <c r="AA16" s="456" t="str">
        <f>IF(X16=0,"0.00%",(AB16-X16)/X16)</f>
        <v>0.00%</v>
      </c>
      <c r="AB16" s="2359">
        <f>ROUND(AB14-(AB14/(1+G16)),0)</f>
        <v>0</v>
      </c>
    </row>
    <row r="17" spans="1:29" s="340" customFormat="1" x14ac:dyDescent="0.25">
      <c r="B17" s="2487"/>
      <c r="C17" s="2386"/>
      <c r="E17" s="2386"/>
      <c r="G17" s="2338"/>
      <c r="H17" s="833"/>
      <c r="I17" s="2386"/>
      <c r="J17" s="342"/>
      <c r="K17" s="2338"/>
      <c r="L17" s="833"/>
      <c r="M17" s="2347"/>
      <c r="O17" s="2338"/>
      <c r="P17" s="833"/>
      <c r="Q17" s="2347"/>
      <c r="R17" s="455"/>
      <c r="S17" s="2355"/>
      <c r="T17" s="833"/>
      <c r="V17" s="2429"/>
      <c r="W17" s="2357"/>
      <c r="X17" s="833"/>
      <c r="AA17" s="2338"/>
      <c r="AB17" s="833"/>
    </row>
    <row r="18" spans="1:29" s="340" customFormat="1" x14ac:dyDescent="0.25">
      <c r="B18" s="2486" t="s">
        <v>50</v>
      </c>
      <c r="C18" s="2386"/>
      <c r="D18" s="1866">
        <f>D14-D16+D7</f>
        <v>0</v>
      </c>
      <c r="E18" s="2386"/>
      <c r="G18" s="456" t="str">
        <f t="shared" si="0"/>
        <v>0.00%</v>
      </c>
      <c r="H18" s="1866">
        <f>H14-H16+H7</f>
        <v>28167.78</v>
      </c>
      <c r="J18" s="2488"/>
      <c r="K18" s="456">
        <f>IF(H18=0,"0.00%",(L18-H18)/H18)</f>
        <v>1.9028833653202348E-2</v>
      </c>
      <c r="L18" s="1866">
        <f>L14-L16+L7</f>
        <v>28703.78</v>
      </c>
      <c r="M18" s="2316">
        <f>+L18-H18</f>
        <v>536</v>
      </c>
      <c r="O18" s="456">
        <f>IF(L18=0,"0.00%",(P18-L18)/L18)</f>
        <v>1.4388348851614666E-2</v>
      </c>
      <c r="P18" s="1866">
        <f>P14-P16+P7</f>
        <v>29116.78</v>
      </c>
      <c r="Q18" s="2316">
        <f>+P18-L18</f>
        <v>413</v>
      </c>
      <c r="R18" s="455"/>
      <c r="S18" s="2238">
        <f>IF(P18=0,"0.00%",(T18-P18)/P18)</f>
        <v>-0.41913219799716861</v>
      </c>
      <c r="T18" s="2359">
        <f>T14-T16</f>
        <v>16913</v>
      </c>
      <c r="V18" s="2429"/>
      <c r="W18" s="2241">
        <f>IF(T18=0,"0.00%",(X18-T18)/T18)</f>
        <v>-1</v>
      </c>
      <c r="X18" s="2359">
        <f>X14-X16</f>
        <v>0</v>
      </c>
      <c r="AA18" s="456" t="str">
        <f>IF(X18=0,"0.00%",(AB18-X18)/X18)</f>
        <v>0.00%</v>
      </c>
      <c r="AB18" s="2359">
        <f>AB14-AB16</f>
        <v>0</v>
      </c>
    </row>
    <row r="19" spans="1:29" s="340" customFormat="1" x14ac:dyDescent="0.25">
      <c r="B19" s="2487"/>
      <c r="C19" s="2386"/>
      <c r="E19" s="2386"/>
      <c r="G19" s="2338"/>
      <c r="H19" s="833"/>
      <c r="I19" s="2386"/>
      <c r="J19" s="342"/>
      <c r="K19" s="1668"/>
      <c r="L19" s="833"/>
      <c r="M19" s="2347"/>
      <c r="O19" s="1668"/>
      <c r="P19" s="833"/>
      <c r="Q19" s="2347"/>
      <c r="R19" s="455"/>
      <c r="S19" s="2341"/>
      <c r="T19" s="833"/>
      <c r="V19" s="2429"/>
      <c r="W19" s="2343"/>
      <c r="X19" s="833"/>
      <c r="AA19" s="1668"/>
      <c r="AB19" s="833"/>
    </row>
    <row r="20" spans="1:29" s="340" customFormat="1" x14ac:dyDescent="0.25">
      <c r="B20" s="2487"/>
      <c r="C20" s="2489"/>
      <c r="E20" s="2386"/>
      <c r="G20" s="2338"/>
      <c r="H20" s="833"/>
      <c r="I20" s="2386"/>
      <c r="J20" s="342"/>
      <c r="K20" s="1668"/>
      <c r="L20" s="833"/>
      <c r="M20" s="2347"/>
      <c r="O20" s="1668"/>
      <c r="P20" s="833"/>
      <c r="Q20" s="2347"/>
      <c r="R20" s="455"/>
      <c r="S20" s="2341"/>
      <c r="T20" s="833"/>
      <c r="V20" s="2429"/>
      <c r="W20" s="2343"/>
      <c r="X20" s="833"/>
      <c r="AA20" s="1668"/>
      <c r="AB20" s="833"/>
    </row>
    <row r="21" spans="1:29" s="340" customFormat="1" x14ac:dyDescent="0.25">
      <c r="A21" s="2433"/>
      <c r="B21" s="2487"/>
      <c r="C21" s="2386"/>
      <c r="D21" s="459" t="s">
        <v>807</v>
      </c>
      <c r="E21" s="1867"/>
      <c r="F21" s="2433"/>
      <c r="G21" s="2338"/>
      <c r="H21" s="459" t="s">
        <v>176</v>
      </c>
      <c r="I21" s="1867"/>
      <c r="J21" s="459"/>
      <c r="K21" s="1668"/>
      <c r="L21" s="2370"/>
      <c r="M21" s="1867"/>
      <c r="O21" s="1668"/>
      <c r="Q21" s="1867"/>
      <c r="R21" s="455"/>
      <c r="S21" s="2341"/>
      <c r="U21" s="2433"/>
      <c r="V21" s="2429"/>
      <c r="W21" s="2343"/>
      <c r="Y21" s="2433"/>
      <c r="AA21" s="1668"/>
      <c r="AC21" s="2433"/>
    </row>
    <row r="22" spans="1:29" s="340" customFormat="1" ht="17.25" x14ac:dyDescent="0.4">
      <c r="A22" s="2436"/>
      <c r="B22" s="2487"/>
      <c r="C22" s="2386"/>
      <c r="D22" s="2435" t="s">
        <v>808</v>
      </c>
      <c r="E22" s="2434"/>
      <c r="F22" s="2436"/>
      <c r="G22" s="2338"/>
      <c r="H22" s="2435" t="s">
        <v>48</v>
      </c>
      <c r="I22" s="2438"/>
      <c r="J22" s="459"/>
      <c r="K22" s="1668"/>
      <c r="L22" s="2372" t="s">
        <v>48</v>
      </c>
      <c r="M22" s="2373"/>
      <c r="O22" s="1668"/>
      <c r="P22" s="2372" t="s">
        <v>48</v>
      </c>
      <c r="Q22" s="2373"/>
      <c r="R22" s="455"/>
      <c r="S22" s="2341"/>
      <c r="T22" s="2372" t="s">
        <v>48</v>
      </c>
      <c r="U22" s="2490"/>
      <c r="V22" s="2429"/>
      <c r="W22" s="2343"/>
      <c r="X22" s="2372" t="s">
        <v>48</v>
      </c>
      <c r="Y22" s="2490">
        <v>0.02</v>
      </c>
      <c r="AA22" s="1668"/>
      <c r="AB22" s="2372" t="s">
        <v>48</v>
      </c>
      <c r="AC22" s="2490">
        <v>0.02</v>
      </c>
    </row>
    <row r="23" spans="1:29" s="1866" customFormat="1" x14ac:dyDescent="0.25">
      <c r="A23" s="460"/>
      <c r="B23" s="2486" t="s">
        <v>46</v>
      </c>
      <c r="C23" s="2375"/>
      <c r="E23" s="2375"/>
      <c r="G23" s="2376"/>
      <c r="I23" s="868"/>
      <c r="J23" s="460"/>
      <c r="K23" s="606"/>
      <c r="M23" s="2377"/>
      <c r="O23" s="606"/>
      <c r="Q23" s="2377"/>
      <c r="R23" s="460"/>
      <c r="S23" s="1669"/>
      <c r="U23" s="2491"/>
      <c r="V23" s="2492"/>
      <c r="W23" s="2382"/>
      <c r="Y23" s="2491"/>
      <c r="AA23" s="606"/>
      <c r="AC23" s="2491"/>
    </row>
    <row r="24" spans="1:29" s="340" customFormat="1" hidden="1" x14ac:dyDescent="0.25">
      <c r="A24" s="2493"/>
      <c r="B24" s="2496" t="s">
        <v>39</v>
      </c>
      <c r="C24" s="2495" t="s">
        <v>38</v>
      </c>
      <c r="D24" s="340">
        <v>0</v>
      </c>
      <c r="E24" s="2386"/>
      <c r="G24" s="456" t="str">
        <f t="shared" ref="G24:G29" si="4">IF(D24=0,"0.00%",(H24-D24)/D24)</f>
        <v>0.00%</v>
      </c>
      <c r="H24" s="340">
        <v>0</v>
      </c>
      <c r="I24" s="897"/>
      <c r="J24" s="455"/>
      <c r="K24" s="456" t="str">
        <f t="shared" ref="K24:K28" si="5">IF(H24=0,"0.00%",(L24-H24)/H24)</f>
        <v>0.00%</v>
      </c>
      <c r="L24" s="340">
        <f>+H24</f>
        <v>0</v>
      </c>
      <c r="M24" s="2488" t="s">
        <v>173</v>
      </c>
      <c r="O24" s="456" t="str">
        <f t="shared" ref="O24:O29" si="6">IF(L24=0,"0.00%",(P24-L24)/L24)</f>
        <v>0.00%</v>
      </c>
      <c r="P24" s="340">
        <f>+L24</f>
        <v>0</v>
      </c>
      <c r="Q24" s="2488" t="s">
        <v>173</v>
      </c>
      <c r="R24" s="455"/>
      <c r="S24" s="456" t="str">
        <f t="shared" ref="S24:S28" si="7">IF(P24=0,"0.00%",(T24-P24)/P24)</f>
        <v>0.00%</v>
      </c>
      <c r="T24" s="340">
        <f>+P24</f>
        <v>0</v>
      </c>
      <c r="U24" s="2370"/>
      <c r="V24" s="2429"/>
      <c r="W24" s="2343"/>
      <c r="Y24" s="2370"/>
      <c r="AA24" s="1668"/>
      <c r="AC24" s="2370"/>
    </row>
    <row r="25" spans="1:29" s="340" customFormat="1" hidden="1" x14ac:dyDescent="0.25">
      <c r="A25" s="2493"/>
      <c r="B25" s="2349"/>
      <c r="C25" s="1656"/>
      <c r="D25" s="340">
        <v>0</v>
      </c>
      <c r="E25" s="2386"/>
      <c r="G25" s="456" t="str">
        <f t="shared" si="4"/>
        <v>0.00%</v>
      </c>
      <c r="H25" s="340">
        <v>0</v>
      </c>
      <c r="I25" s="897"/>
      <c r="J25" s="455"/>
      <c r="K25" s="456" t="str">
        <f t="shared" si="5"/>
        <v>0.00%</v>
      </c>
      <c r="L25" s="1866">
        <v>0</v>
      </c>
      <c r="M25" s="1867"/>
      <c r="O25" s="456" t="str">
        <f t="shared" si="6"/>
        <v>0.00%</v>
      </c>
      <c r="P25" s="340">
        <f>ROUND(L25*(1+$Q$22),0)</f>
        <v>0</v>
      </c>
      <c r="Q25" s="2488"/>
      <c r="R25" s="455"/>
      <c r="S25" s="456" t="str">
        <f t="shared" si="7"/>
        <v>0.00%</v>
      </c>
      <c r="T25" s="340">
        <f>ROUND(P25*(1+$Q$22),0)</f>
        <v>0</v>
      </c>
      <c r="U25" s="2370"/>
      <c r="V25" s="2429"/>
      <c r="W25" s="2343"/>
      <c r="Y25" s="2370"/>
      <c r="AA25" s="1668"/>
      <c r="AC25" s="2370"/>
    </row>
    <row r="26" spans="1:29" s="340" customFormat="1" hidden="1" x14ac:dyDescent="0.25">
      <c r="A26" s="2493"/>
      <c r="B26" s="2496"/>
      <c r="C26" s="2495"/>
      <c r="D26" s="340">
        <v>0</v>
      </c>
      <c r="E26" s="2386"/>
      <c r="G26" s="456" t="str">
        <f t="shared" si="4"/>
        <v>0.00%</v>
      </c>
      <c r="H26" s="340">
        <v>0</v>
      </c>
      <c r="I26" s="897"/>
      <c r="J26" s="455"/>
      <c r="K26" s="456" t="str">
        <f t="shared" si="5"/>
        <v>0.00%</v>
      </c>
      <c r="L26" s="340">
        <f>ROUND(H26*(1+$M$22),0)</f>
        <v>0</v>
      </c>
      <c r="M26" s="2488"/>
      <c r="O26" s="456" t="str">
        <f t="shared" si="6"/>
        <v>0.00%</v>
      </c>
      <c r="P26" s="340">
        <f>ROUND(L26*(1+$Q$22),0)</f>
        <v>0</v>
      </c>
      <c r="Q26" s="2488"/>
      <c r="R26" s="455"/>
      <c r="S26" s="456" t="str">
        <f t="shared" si="7"/>
        <v>0.00%</v>
      </c>
      <c r="T26" s="340">
        <f>ROUND(P26*(1+$Q$22),0)</f>
        <v>0</v>
      </c>
      <c r="U26" s="2370"/>
      <c r="V26" s="2429"/>
      <c r="W26" s="2343"/>
      <c r="Y26" s="2370"/>
      <c r="AA26" s="1668"/>
      <c r="AC26" s="2370"/>
    </row>
    <row r="27" spans="1:29" s="340" customFormat="1" hidden="1" x14ac:dyDescent="0.25">
      <c r="A27" s="2493"/>
      <c r="B27" s="2496"/>
      <c r="C27" s="2495"/>
      <c r="D27" s="340">
        <v>0</v>
      </c>
      <c r="E27" s="2386"/>
      <c r="G27" s="456" t="str">
        <f t="shared" si="4"/>
        <v>0.00%</v>
      </c>
      <c r="H27" s="340">
        <v>0</v>
      </c>
      <c r="I27" s="897"/>
      <c r="J27" s="455"/>
      <c r="K27" s="456" t="str">
        <f t="shared" si="5"/>
        <v>0.00%</v>
      </c>
      <c r="L27" s="340">
        <f>+H27</f>
        <v>0</v>
      </c>
      <c r="M27" s="2488"/>
      <c r="O27" s="456" t="str">
        <f t="shared" si="6"/>
        <v>0.00%</v>
      </c>
      <c r="P27" s="340">
        <f>+L27</f>
        <v>0</v>
      </c>
      <c r="Q27" s="2488"/>
      <c r="R27" s="455"/>
      <c r="S27" s="456" t="str">
        <f t="shared" si="7"/>
        <v>0.00%</v>
      </c>
      <c r="T27" s="340">
        <f>+P27</f>
        <v>0</v>
      </c>
      <c r="U27" s="2370"/>
      <c r="V27" s="2429"/>
      <c r="W27" s="2343"/>
      <c r="Y27" s="2370"/>
      <c r="AA27" s="1668"/>
      <c r="AC27" s="2370"/>
    </row>
    <row r="28" spans="1:29" s="340" customFormat="1" hidden="1" x14ac:dyDescent="0.25">
      <c r="A28" s="455"/>
      <c r="B28" s="2496"/>
      <c r="C28" s="2386"/>
      <c r="D28" s="340">
        <v>0</v>
      </c>
      <c r="E28" s="2386"/>
      <c r="G28" s="456" t="str">
        <f t="shared" si="4"/>
        <v>0.00%</v>
      </c>
      <c r="H28" s="340">
        <v>0</v>
      </c>
      <c r="I28" s="897"/>
      <c r="J28" s="455"/>
      <c r="K28" s="456" t="str">
        <f t="shared" si="5"/>
        <v>0.00%</v>
      </c>
      <c r="L28" s="340">
        <f>+H28</f>
        <v>0</v>
      </c>
      <c r="M28" s="2488"/>
      <c r="O28" s="456" t="str">
        <f t="shared" si="6"/>
        <v>0.00%</v>
      </c>
      <c r="P28" s="340">
        <f>+L28</f>
        <v>0</v>
      </c>
      <c r="Q28" s="2488"/>
      <c r="R28" s="455"/>
      <c r="S28" s="456" t="str">
        <f t="shared" si="7"/>
        <v>0.00%</v>
      </c>
      <c r="T28" s="340">
        <f>+P28</f>
        <v>0</v>
      </c>
      <c r="U28" s="2370"/>
      <c r="V28" s="2429"/>
      <c r="W28" s="2343"/>
      <c r="Y28" s="2370"/>
      <c r="AA28" s="1668"/>
      <c r="AC28" s="2370"/>
    </row>
    <row r="29" spans="1:29" s="340" customFormat="1" x14ac:dyDescent="0.25">
      <c r="A29" s="459"/>
      <c r="B29" s="2441"/>
      <c r="C29" s="2386"/>
      <c r="D29" s="458">
        <f>SUM(D24:D28)</f>
        <v>0</v>
      </c>
      <c r="E29" s="2386"/>
      <c r="G29" s="456" t="str">
        <f t="shared" si="4"/>
        <v>0.00%</v>
      </c>
      <c r="H29" s="458">
        <f>SUM(H24:H28)</f>
        <v>0</v>
      </c>
      <c r="I29" s="2316">
        <f>+H29-D29</f>
        <v>0</v>
      </c>
      <c r="J29" s="459"/>
      <c r="K29" s="456" t="str">
        <f>IF(H29=0,"0.00%",(L29-H29)/H29)</f>
        <v>0.00%</v>
      </c>
      <c r="L29" s="458">
        <f>SUM(L24:L28)</f>
        <v>0</v>
      </c>
      <c r="M29" s="2316">
        <f>+L29-H29</f>
        <v>0</v>
      </c>
      <c r="O29" s="456" t="str">
        <f t="shared" si="6"/>
        <v>0.00%</v>
      </c>
      <c r="P29" s="458">
        <f>SUM(P24:P28)</f>
        <v>0</v>
      </c>
      <c r="Q29" s="2316">
        <f>+P29-L29</f>
        <v>0</v>
      </c>
      <c r="R29" s="455"/>
      <c r="S29" s="2238" t="str">
        <f>IF(P29=0,"0.00%",(T29-P29)/P29)</f>
        <v>0.00%</v>
      </c>
      <c r="T29" s="458">
        <f>SUM(T24:T28)</f>
        <v>0</v>
      </c>
      <c r="U29" s="2370"/>
      <c r="V29" s="2429"/>
      <c r="W29" s="2241" t="str">
        <f>IF(T29=0,"0.00%",(X29-T29)/T29)</f>
        <v>0.00%</v>
      </c>
      <c r="X29" s="458" t="e">
        <f>SUM(#REF!)</f>
        <v>#REF!</v>
      </c>
      <c r="Y29" s="2370"/>
      <c r="AA29" s="456" t="e">
        <f>IF(X29=0,"0.00%",(AB29-X29)/X29)</f>
        <v>#REF!</v>
      </c>
      <c r="AB29" s="458" t="e">
        <f>SUM(#REF!)</f>
        <v>#REF!</v>
      </c>
      <c r="AC29" s="2370"/>
    </row>
    <row r="30" spans="1:29" s="340" customFormat="1" x14ac:dyDescent="0.25">
      <c r="A30" s="455"/>
      <c r="B30" s="2487"/>
      <c r="C30" s="2386"/>
      <c r="E30" s="2386"/>
      <c r="G30" s="2338"/>
      <c r="I30" s="897"/>
      <c r="J30" s="455"/>
      <c r="K30" s="1668"/>
      <c r="M30" s="2340"/>
      <c r="O30" s="1668"/>
      <c r="Q30" s="2340"/>
      <c r="R30" s="455"/>
      <c r="S30" s="2341"/>
      <c r="U30" s="2370"/>
      <c r="V30" s="2429"/>
      <c r="W30" s="2343"/>
      <c r="Y30" s="2370"/>
      <c r="AA30" s="1668"/>
      <c r="AC30" s="2370"/>
    </row>
    <row r="31" spans="1:29" s="460" customFormat="1" x14ac:dyDescent="0.25">
      <c r="B31" s="2223" t="s">
        <v>35</v>
      </c>
      <c r="C31" s="897"/>
      <c r="D31" s="2497"/>
      <c r="E31" s="868"/>
      <c r="G31" s="2389"/>
      <c r="I31" s="868"/>
      <c r="K31" s="1669"/>
      <c r="M31" s="2390"/>
      <c r="O31" s="1669"/>
      <c r="Q31" s="2390"/>
      <c r="S31" s="1669"/>
      <c r="U31" s="2498"/>
      <c r="V31" s="2492"/>
      <c r="W31" s="2382"/>
      <c r="Y31" s="2498"/>
      <c r="AA31" s="1669"/>
      <c r="AC31" s="2498"/>
    </row>
    <row r="32" spans="1:29" s="340" customFormat="1" hidden="1" x14ac:dyDescent="0.25">
      <c r="A32" s="455"/>
      <c r="B32" s="2441">
        <v>2203</v>
      </c>
      <c r="C32" s="2386" t="s">
        <v>978</v>
      </c>
      <c r="D32" s="340">
        <v>0</v>
      </c>
      <c r="E32" s="2386"/>
      <c r="G32" s="456" t="str">
        <f t="shared" ref="G32:G41" si="8">IF(D32=0,"0.00%",(H32-D32)/D32)</f>
        <v>0.00%</v>
      </c>
      <c r="H32" s="340">
        <v>0</v>
      </c>
      <c r="I32" s="897"/>
      <c r="J32" s="455"/>
      <c r="K32" s="456" t="str">
        <f t="shared" ref="K32:K41" si="9">IF(H32=0,"0.00%",(L32-H32)/H32)</f>
        <v>0.00%</v>
      </c>
      <c r="L32" s="340">
        <f>ROUND(H32*(1+$M$22),0)</f>
        <v>0</v>
      </c>
      <c r="M32" s="2488" t="str">
        <f>TEXT($M$22,"0.0%")&amp;" = Est. S &amp; C"</f>
        <v>0.0% = Est. S &amp; C</v>
      </c>
      <c r="O32" s="456" t="str">
        <f t="shared" ref="O32:O41" si="10">IF(L32=0,"0.00%",(P32-L32)/L32)</f>
        <v>0.00%</v>
      </c>
      <c r="P32" s="340">
        <f>ROUND(L32*(1+Q22),0)</f>
        <v>0</v>
      </c>
      <c r="Q32" s="2488" t="str">
        <f t="shared" ref="Q32:Q33" si="11">TEXT($Q$22,"0.0%")&amp;" = Est. S &amp; C"</f>
        <v>0.0% = Est. S &amp; C</v>
      </c>
      <c r="R32" s="455"/>
      <c r="S32" s="2238" t="str">
        <f t="shared" ref="S32:S34" si="12">IF(P32=0,"0.00%",(T32-P32)/P32)</f>
        <v>0.00%</v>
      </c>
      <c r="T32" s="340">
        <f>ROUND(P32*(1+U22),0)</f>
        <v>0</v>
      </c>
      <c r="U32" s="455" t="str">
        <f>TEXT(U22,"0.0%")&amp;" = Est. S &amp; C"</f>
        <v>0.0% = Est. S &amp; C</v>
      </c>
      <c r="V32" s="2429"/>
      <c r="W32" s="2241" t="str">
        <f t="shared" ref="W32:W34" si="13">IF(T32=0,"0.00%",(X32-T32)/T32)</f>
        <v>0.00%</v>
      </c>
      <c r="X32" s="340">
        <f>ROUND(T32*(1+Y22),0)</f>
        <v>0</v>
      </c>
      <c r="Y32" s="455" t="str">
        <f>TEXT(Y22,"0.0%")&amp;" = Est. S &amp; C"</f>
        <v>2.0% = Est. S &amp; C</v>
      </c>
      <c r="AA32" s="456" t="str">
        <f t="shared" ref="AA32:AA34" si="14">IF(X32=0,"0.00%",(AB32-X32)/X32)</f>
        <v>0.00%</v>
      </c>
      <c r="AB32" s="340">
        <f>ROUND(X32*(1+AC22),0)</f>
        <v>0</v>
      </c>
      <c r="AC32" s="455" t="str">
        <f>TEXT(AC22,"0.0%")&amp;" = Est. S &amp; C"</f>
        <v>2.0% = Est. S &amp; C</v>
      </c>
    </row>
    <row r="33" spans="1:29" s="340" customFormat="1" hidden="1" x14ac:dyDescent="0.25">
      <c r="A33" s="455"/>
      <c r="B33" s="2441">
        <v>2204</v>
      </c>
      <c r="C33" s="2386" t="s">
        <v>230</v>
      </c>
      <c r="D33" s="340">
        <v>0</v>
      </c>
      <c r="E33" s="2386"/>
      <c r="G33" s="456" t="str">
        <f t="shared" si="8"/>
        <v>0.00%</v>
      </c>
      <c r="H33" s="340">
        <v>0</v>
      </c>
      <c r="I33" s="897"/>
      <c r="J33" s="455"/>
      <c r="K33" s="456" t="str">
        <f t="shared" si="9"/>
        <v>0.00%</v>
      </c>
      <c r="L33" s="340">
        <f t="shared" ref="L33:L41" si="15">ROUND(H33*(1+$M$22),0)</f>
        <v>0</v>
      </c>
      <c r="M33" s="2488" t="str">
        <f>TEXT($M$22,"0.0%")&amp;" = Est. S &amp; C"</f>
        <v>0.0% = Est. S &amp; C</v>
      </c>
      <c r="O33" s="456" t="str">
        <f t="shared" si="10"/>
        <v>0.00%</v>
      </c>
      <c r="P33" s="340">
        <f>ROUND(L33*(1+Q22),0)</f>
        <v>0</v>
      </c>
      <c r="Q33" s="2488" t="str">
        <f t="shared" si="11"/>
        <v>0.0% = Est. S &amp; C</v>
      </c>
      <c r="R33" s="455"/>
      <c r="S33" s="2238" t="str">
        <f t="shared" si="12"/>
        <v>0.00%</v>
      </c>
      <c r="T33" s="340">
        <f>ROUND(P33*(1+U22),0)</f>
        <v>0</v>
      </c>
      <c r="U33" s="455" t="str">
        <f>TEXT(U22,"0.0%")&amp;" = Est. S &amp; C"</f>
        <v>0.0% = Est. S &amp; C</v>
      </c>
      <c r="V33" s="2429"/>
      <c r="W33" s="2241" t="str">
        <f t="shared" si="13"/>
        <v>0.00%</v>
      </c>
      <c r="X33" s="340">
        <f>ROUND(T33*(1+Y22),0)</f>
        <v>0</v>
      </c>
      <c r="Y33" s="455" t="str">
        <f>TEXT(Y22,"0.0%")&amp;" = Est. S &amp; C"</f>
        <v>2.0% = Est. S &amp; C</v>
      </c>
      <c r="AA33" s="456" t="str">
        <f t="shared" si="14"/>
        <v>0.00%</v>
      </c>
      <c r="AB33" s="340">
        <f>ROUND(X33*(1+AC22),0)</f>
        <v>0</v>
      </c>
      <c r="AC33" s="455" t="str">
        <f>TEXT(AC22,"0.0%")&amp;" = Est. S &amp; C"</f>
        <v>2.0% = Est. S &amp; C</v>
      </c>
    </row>
    <row r="34" spans="1:29" s="340" customFormat="1" hidden="1" x14ac:dyDescent="0.25">
      <c r="A34" s="455"/>
      <c r="B34" s="2441">
        <v>2273</v>
      </c>
      <c r="C34" s="2386" t="s">
        <v>980</v>
      </c>
      <c r="D34" s="340">
        <v>0</v>
      </c>
      <c r="E34" s="2386"/>
      <c r="G34" s="456" t="str">
        <f t="shared" si="8"/>
        <v>0.00%</v>
      </c>
      <c r="H34" s="340">
        <v>0</v>
      </c>
      <c r="I34" s="897"/>
      <c r="J34" s="455"/>
      <c r="K34" s="456" t="str">
        <f t="shared" si="9"/>
        <v>0.00%</v>
      </c>
      <c r="L34" s="340">
        <f t="shared" si="15"/>
        <v>0</v>
      </c>
      <c r="M34" s="2488" t="str">
        <f>TEXT($M$22,"0.0%")&amp;" = Est. S &amp; C"</f>
        <v>0.0% = Est. S &amp; C</v>
      </c>
      <c r="O34" s="456" t="str">
        <f t="shared" si="10"/>
        <v>0.00%</v>
      </c>
      <c r="P34" s="340">
        <f>ROUND(L34*(1+Q22),0)</f>
        <v>0</v>
      </c>
      <c r="Q34" s="2488" t="str">
        <f>TEXT($Q$22,"0.0%")&amp;" = Est. S &amp; C"</f>
        <v>0.0% = Est. S &amp; C</v>
      </c>
      <c r="R34" s="455"/>
      <c r="S34" s="2238" t="str">
        <f t="shared" si="12"/>
        <v>0.00%</v>
      </c>
      <c r="T34" s="340">
        <f>ROUND(P34*(1+U22),0)</f>
        <v>0</v>
      </c>
      <c r="U34" s="455" t="str">
        <f>TEXT(U22,"0.0%")&amp;" = Est. S &amp; C"</f>
        <v>0.0% = Est. S &amp; C</v>
      </c>
      <c r="V34" s="2429"/>
      <c r="W34" s="2241" t="str">
        <f t="shared" si="13"/>
        <v>0.00%</v>
      </c>
      <c r="X34" s="340">
        <f>ROUND(T34*(1+Y22),0)</f>
        <v>0</v>
      </c>
      <c r="Y34" s="455" t="str">
        <f>TEXT(Y22,"0.0%")&amp;" = Est. S &amp; C"</f>
        <v>2.0% = Est. S &amp; C</v>
      </c>
      <c r="AA34" s="456" t="str">
        <f t="shared" si="14"/>
        <v>0.00%</v>
      </c>
      <c r="AB34" s="340">
        <f>ROUND(X34*(1+AC22),0)</f>
        <v>0</v>
      </c>
      <c r="AC34" s="455" t="str">
        <f>TEXT(AC22,"0.0%")&amp;" = Est. S &amp; C"</f>
        <v>2.0% = Est. S &amp; C</v>
      </c>
    </row>
    <row r="35" spans="1:29" s="340" customFormat="1" hidden="1" x14ac:dyDescent="0.25">
      <c r="A35" s="455"/>
      <c r="B35" s="2441">
        <v>2281</v>
      </c>
      <c r="C35" s="2386" t="s">
        <v>979</v>
      </c>
      <c r="D35" s="340">
        <v>0</v>
      </c>
      <c r="E35" s="2386"/>
      <c r="G35" s="456" t="str">
        <f t="shared" si="8"/>
        <v>0.00%</v>
      </c>
      <c r="H35" s="340">
        <v>0</v>
      </c>
      <c r="I35" s="897"/>
      <c r="J35" s="455"/>
      <c r="K35" s="456" t="str">
        <f t="shared" si="9"/>
        <v>0.00%</v>
      </c>
      <c r="L35" s="340">
        <f t="shared" si="15"/>
        <v>0</v>
      </c>
      <c r="M35" s="2488" t="str">
        <f t="shared" ref="M35:M41" si="16">TEXT($M$22,"0.0%")&amp;" = Est. S &amp; C"</f>
        <v>0.0% = Est. S &amp; C</v>
      </c>
      <c r="O35" s="456" t="str">
        <f t="shared" si="10"/>
        <v>0.00%</v>
      </c>
      <c r="P35" s="340">
        <f t="shared" ref="P35:P41" si="17">ROUND(L35*(1+$Q$22),0)</f>
        <v>0</v>
      </c>
      <c r="Q35" s="2488" t="str">
        <f t="shared" ref="Q35:Q41" si="18">TEXT($Q$22,"0.0%")&amp;" = Est. S &amp; C"</f>
        <v>0.0% = Est. S &amp; C</v>
      </c>
      <c r="R35" s="455"/>
      <c r="S35" s="2238"/>
      <c r="U35" s="455"/>
      <c r="V35" s="2429"/>
      <c r="W35" s="2241"/>
      <c r="Y35" s="455"/>
      <c r="AA35" s="456"/>
      <c r="AC35" s="455"/>
    </row>
    <row r="36" spans="1:29" s="340" customFormat="1" hidden="1" x14ac:dyDescent="0.25">
      <c r="A36" s="455"/>
      <c r="B36" s="2441">
        <v>2404</v>
      </c>
      <c r="C36" s="2386" t="s">
        <v>31</v>
      </c>
      <c r="D36" s="340">
        <v>0</v>
      </c>
      <c r="E36" s="2428"/>
      <c r="G36" s="456" t="str">
        <f t="shared" si="8"/>
        <v>0.00%</v>
      </c>
      <c r="H36" s="340">
        <v>0</v>
      </c>
      <c r="I36" s="2393"/>
      <c r="J36" s="455"/>
      <c r="K36" s="456" t="str">
        <f t="shared" si="9"/>
        <v>0.00%</v>
      </c>
      <c r="L36" s="340">
        <f t="shared" si="15"/>
        <v>0</v>
      </c>
      <c r="M36" s="2488" t="str">
        <f t="shared" si="16"/>
        <v>0.0% = Est. S &amp; C</v>
      </c>
      <c r="O36" s="456" t="str">
        <f t="shared" si="10"/>
        <v>0.00%</v>
      </c>
      <c r="P36" s="340">
        <f t="shared" si="17"/>
        <v>0</v>
      </c>
      <c r="Q36" s="2488" t="str">
        <f t="shared" si="18"/>
        <v>0.0% = Est. S &amp; C</v>
      </c>
      <c r="R36" s="455"/>
      <c r="S36" s="2238"/>
      <c r="U36" s="455"/>
      <c r="V36" s="2429"/>
      <c r="W36" s="2241"/>
      <c r="Y36" s="455"/>
      <c r="AA36" s="456"/>
      <c r="AC36" s="455"/>
    </row>
    <row r="37" spans="1:29" s="340" customFormat="1" hidden="1" x14ac:dyDescent="0.25">
      <c r="A37" s="455"/>
      <c r="B37" s="2441">
        <v>2475</v>
      </c>
      <c r="C37" s="2386" t="s">
        <v>981</v>
      </c>
      <c r="D37" s="340">
        <v>0</v>
      </c>
      <c r="E37" s="2386"/>
      <c r="G37" s="456" t="str">
        <f t="shared" si="8"/>
        <v>0.00%</v>
      </c>
      <c r="H37" s="340">
        <v>0</v>
      </c>
      <c r="I37" s="897"/>
      <c r="J37" s="455"/>
      <c r="K37" s="456" t="str">
        <f t="shared" si="9"/>
        <v>0.00%</v>
      </c>
      <c r="L37" s="340">
        <f t="shared" si="15"/>
        <v>0</v>
      </c>
      <c r="M37" s="2488" t="str">
        <f t="shared" si="16"/>
        <v>0.0% = Est. S &amp; C</v>
      </c>
      <c r="O37" s="456" t="str">
        <f t="shared" si="10"/>
        <v>0.00%</v>
      </c>
      <c r="P37" s="340">
        <f t="shared" si="17"/>
        <v>0</v>
      </c>
      <c r="Q37" s="2488" t="str">
        <f t="shared" si="18"/>
        <v>0.0% = Est. S &amp; C</v>
      </c>
      <c r="R37" s="455"/>
      <c r="S37" s="2238"/>
      <c r="U37" s="455"/>
      <c r="V37" s="2429"/>
      <c r="W37" s="2241"/>
      <c r="Y37" s="455"/>
      <c r="AA37" s="456"/>
      <c r="AC37" s="455"/>
    </row>
    <row r="38" spans="1:29" s="340" customFormat="1" hidden="1" x14ac:dyDescent="0.25">
      <c r="A38" s="455"/>
      <c r="B38" s="2441"/>
      <c r="C38" s="2386"/>
      <c r="D38" s="340">
        <v>0</v>
      </c>
      <c r="E38" s="2386"/>
      <c r="G38" s="456" t="str">
        <f t="shared" si="8"/>
        <v>0.00%</v>
      </c>
      <c r="I38" s="2393"/>
      <c r="J38" s="455"/>
      <c r="K38" s="456" t="str">
        <f t="shared" si="9"/>
        <v>0.00%</v>
      </c>
      <c r="L38" s="340">
        <f t="shared" si="15"/>
        <v>0</v>
      </c>
      <c r="M38" s="2488" t="str">
        <f t="shared" si="16"/>
        <v>0.0% = Est. S &amp; C</v>
      </c>
      <c r="O38" s="456" t="str">
        <f t="shared" si="10"/>
        <v>0.00%</v>
      </c>
      <c r="P38" s="340">
        <f t="shared" si="17"/>
        <v>0</v>
      </c>
      <c r="Q38" s="2488" t="str">
        <f t="shared" si="18"/>
        <v>0.0% = Est. S &amp; C</v>
      </c>
      <c r="R38" s="455"/>
      <c r="S38" s="2238"/>
      <c r="U38" s="455"/>
      <c r="V38" s="2429"/>
      <c r="W38" s="2241"/>
      <c r="Y38" s="455"/>
      <c r="AA38" s="456"/>
      <c r="AC38" s="455"/>
    </row>
    <row r="39" spans="1:29" s="340" customFormat="1" hidden="1" x14ac:dyDescent="0.25">
      <c r="A39" s="455"/>
      <c r="B39" s="2441"/>
      <c r="C39" s="2386"/>
      <c r="D39" s="340">
        <v>0</v>
      </c>
      <c r="E39" s="2386"/>
      <c r="G39" s="456" t="str">
        <f t="shared" si="8"/>
        <v>0.00%</v>
      </c>
      <c r="I39" s="897"/>
      <c r="J39" s="455"/>
      <c r="K39" s="456" t="str">
        <f t="shared" si="9"/>
        <v>0.00%</v>
      </c>
      <c r="L39" s="340">
        <f t="shared" si="15"/>
        <v>0</v>
      </c>
      <c r="M39" s="2488" t="str">
        <f t="shared" si="16"/>
        <v>0.0% = Est. S &amp; C</v>
      </c>
      <c r="O39" s="456" t="str">
        <f t="shared" si="10"/>
        <v>0.00%</v>
      </c>
      <c r="P39" s="340">
        <f t="shared" si="17"/>
        <v>0</v>
      </c>
      <c r="Q39" s="2488" t="str">
        <f t="shared" si="18"/>
        <v>0.0% = Est. S &amp; C</v>
      </c>
      <c r="R39" s="455"/>
      <c r="S39" s="2238"/>
      <c r="U39" s="455"/>
      <c r="V39" s="2429"/>
      <c r="W39" s="2241"/>
      <c r="Y39" s="455"/>
      <c r="AA39" s="456"/>
      <c r="AC39" s="455"/>
    </row>
    <row r="40" spans="1:29" s="340" customFormat="1" hidden="1" x14ac:dyDescent="0.25">
      <c r="A40" s="455"/>
      <c r="B40" s="2441"/>
      <c r="C40" s="2386"/>
      <c r="D40" s="340">
        <v>0</v>
      </c>
      <c r="E40" s="2386"/>
      <c r="G40" s="456" t="str">
        <f t="shared" si="8"/>
        <v>0.00%</v>
      </c>
      <c r="I40" s="897"/>
      <c r="J40" s="455"/>
      <c r="K40" s="456" t="str">
        <f t="shared" si="9"/>
        <v>0.00%</v>
      </c>
      <c r="L40" s="340">
        <f>ROUND(H40*(1+$M$22),0)</f>
        <v>0</v>
      </c>
      <c r="M40" s="2488" t="str">
        <f t="shared" si="16"/>
        <v>0.0% = Est. S &amp; C</v>
      </c>
      <c r="O40" s="456" t="str">
        <f t="shared" si="10"/>
        <v>0.00%</v>
      </c>
      <c r="P40" s="340">
        <f t="shared" si="17"/>
        <v>0</v>
      </c>
      <c r="Q40" s="2488" t="str">
        <f t="shared" si="18"/>
        <v>0.0% = Est. S &amp; C</v>
      </c>
      <c r="R40" s="455"/>
      <c r="S40" s="2238"/>
      <c r="U40" s="455"/>
      <c r="V40" s="2429"/>
      <c r="W40" s="2241"/>
      <c r="Y40" s="455"/>
      <c r="AA40" s="456"/>
      <c r="AC40" s="455"/>
    </row>
    <row r="41" spans="1:29" s="340" customFormat="1" hidden="1" x14ac:dyDescent="0.25">
      <c r="A41" s="455"/>
      <c r="B41" s="2441"/>
      <c r="C41" s="2386"/>
      <c r="D41" s="340">
        <v>0</v>
      </c>
      <c r="E41" s="2386"/>
      <c r="G41" s="456" t="str">
        <f t="shared" si="8"/>
        <v>0.00%</v>
      </c>
      <c r="I41" s="897"/>
      <c r="J41" s="455"/>
      <c r="K41" s="456" t="str">
        <f t="shared" si="9"/>
        <v>0.00%</v>
      </c>
      <c r="L41" s="340">
        <f t="shared" si="15"/>
        <v>0</v>
      </c>
      <c r="M41" s="2488" t="str">
        <f t="shared" si="16"/>
        <v>0.0% = Est. S &amp; C</v>
      </c>
      <c r="O41" s="456" t="str">
        <f t="shared" si="10"/>
        <v>0.00%</v>
      </c>
      <c r="P41" s="340">
        <f t="shared" si="17"/>
        <v>0</v>
      </c>
      <c r="Q41" s="2488" t="str">
        <f t="shared" si="18"/>
        <v>0.0% = Est. S &amp; C</v>
      </c>
      <c r="R41" s="455"/>
      <c r="S41" s="2238"/>
      <c r="U41" s="455"/>
      <c r="V41" s="2429"/>
      <c r="W41" s="2241"/>
      <c r="Y41" s="455"/>
      <c r="AA41" s="456"/>
      <c r="AC41" s="455"/>
    </row>
    <row r="42" spans="1:29" s="340" customFormat="1" x14ac:dyDescent="0.25">
      <c r="A42" s="459"/>
      <c r="B42" s="2441"/>
      <c r="C42" s="2386"/>
      <c r="D42" s="458">
        <f>SUM(D32:D41)</f>
        <v>0</v>
      </c>
      <c r="E42" s="2386"/>
      <c r="G42" s="456" t="str">
        <f>IF(D42=0,"0.00%",(H42-D42)/D42)</f>
        <v>0.00%</v>
      </c>
      <c r="H42" s="458">
        <f>SUM(H32:H41)</f>
        <v>0</v>
      </c>
      <c r="I42" s="2316">
        <f>+H42-D42</f>
        <v>0</v>
      </c>
      <c r="J42" s="459"/>
      <c r="K42" s="456" t="str">
        <f>IF(H42=0,"0.00%",(L42-H42)/H42)</f>
        <v>0.00%</v>
      </c>
      <c r="L42" s="458">
        <f>SUM(L32:L41)</f>
        <v>0</v>
      </c>
      <c r="M42" s="2316">
        <f>+L42-H42</f>
        <v>0</v>
      </c>
      <c r="O42" s="456" t="str">
        <f>IF(L42=0,"0.00%",(P42-L42)/L42)</f>
        <v>0.00%</v>
      </c>
      <c r="P42" s="458">
        <f>SUM(P32:P41)</f>
        <v>0</v>
      </c>
      <c r="Q42" s="2316">
        <f>+P42-L42</f>
        <v>0</v>
      </c>
      <c r="R42" s="455"/>
      <c r="S42" s="2238" t="str">
        <f>IF(P42=0,"0.00%",(T42-P42)/P42)</f>
        <v>0.00%</v>
      </c>
      <c r="T42" s="458">
        <f>SUM(T32:T41)</f>
        <v>0</v>
      </c>
      <c r="U42" s="2370"/>
      <c r="V42" s="2429"/>
      <c r="W42" s="2241" t="str">
        <f>IF(T42=0,"0.00%",(X42-T42)/T42)</f>
        <v>0.00%</v>
      </c>
      <c r="X42" s="458">
        <f>SUM(X32:X41)</f>
        <v>0</v>
      </c>
      <c r="Y42" s="2370"/>
      <c r="AA42" s="456" t="str">
        <f>IF(X42=0,"0.00%",(AB42-X42)/X42)</f>
        <v>0.00%</v>
      </c>
      <c r="AB42" s="458">
        <f>SUM(AB32:AB41)</f>
        <v>0</v>
      </c>
      <c r="AC42" s="2370"/>
    </row>
    <row r="43" spans="1:29" s="340" customFormat="1" x14ac:dyDescent="0.25">
      <c r="A43" s="455"/>
      <c r="B43" s="2487" t="s">
        <v>28</v>
      </c>
      <c r="C43" s="2386"/>
      <c r="E43" s="2386"/>
      <c r="G43" s="2338"/>
      <c r="I43" s="897"/>
      <c r="J43" s="455"/>
      <c r="K43" s="1668"/>
      <c r="M43" s="2340"/>
      <c r="O43" s="1668"/>
      <c r="Q43" s="2340"/>
      <c r="R43" s="455"/>
      <c r="S43" s="2341"/>
      <c r="U43" s="2370"/>
      <c r="V43" s="2429"/>
      <c r="W43" s="2343"/>
      <c r="Y43" s="2370"/>
      <c r="AA43" s="1668"/>
      <c r="AC43" s="2370"/>
    </row>
    <row r="44" spans="1:29" s="340" customFormat="1" x14ac:dyDescent="0.25">
      <c r="A44" s="460"/>
      <c r="B44" s="2486" t="s">
        <v>27</v>
      </c>
      <c r="C44" s="2386"/>
      <c r="E44" s="2386"/>
      <c r="G44" s="2338"/>
      <c r="I44" s="897"/>
      <c r="J44" s="455"/>
      <c r="K44" s="1668"/>
      <c r="M44" s="2340"/>
      <c r="O44" s="1668"/>
      <c r="Q44" s="2340"/>
      <c r="R44" s="455"/>
      <c r="S44" s="2341"/>
      <c r="U44" s="2370"/>
      <c r="V44" s="2429"/>
      <c r="W44" s="2343"/>
      <c r="Y44" s="2370"/>
      <c r="AA44" s="1668"/>
      <c r="AC44" s="2370"/>
    </row>
    <row r="45" spans="1:29" s="340" customFormat="1" hidden="1" x14ac:dyDescent="0.25">
      <c r="A45" s="455"/>
      <c r="B45" s="2441" t="s">
        <v>83</v>
      </c>
      <c r="C45" s="2386" t="s">
        <v>76</v>
      </c>
      <c r="D45" s="340">
        <v>0</v>
      </c>
      <c r="E45" s="897" t="str">
        <f>TEXT('MYP Assumptions'!$D$57,"0.00%")&amp;", STRS rate"</f>
        <v>12.58%, STRS rate</v>
      </c>
      <c r="G45" s="456" t="str">
        <f t="shared" ref="G45:G54" si="19">IF(D45=0,"0.00%",(H45-D45)/D45)</f>
        <v>0.00%</v>
      </c>
      <c r="H45" s="340">
        <v>0</v>
      </c>
      <c r="I45" s="897" t="str">
        <f>TEXT('MYP Assumptions'!E57,"0.00%")&amp;", projected STRS rate"</f>
        <v>14.43%, projected STRS rate</v>
      </c>
      <c r="J45" s="455"/>
      <c r="K45" s="456" t="str">
        <f t="shared" ref="K45:K54" si="20">IF(H45=0,"0.00%",(L45-H45)/H45)</f>
        <v>0.00%</v>
      </c>
      <c r="L45" s="340">
        <f>ROUND(((LEFT(M45,6)-LEFT(I45,6))+1)*H45,0)</f>
        <v>0</v>
      </c>
      <c r="M45" s="2488" t="str">
        <f>TEXT('MYP Assumptions'!F57,"0.00%")&amp;", projected STRS rate"</f>
        <v>16.28%, projected STRS rate</v>
      </c>
      <c r="O45" s="456" t="str">
        <f t="shared" ref="O45:O54" si="21">IF(L45=0,"0.00%",(P45-L45)/L45)</f>
        <v>0.00%</v>
      </c>
      <c r="P45" s="340">
        <f>ROUND(((LEFT(Q45,6)-LEFT(M45,6))+1)*L45,0)</f>
        <v>0</v>
      </c>
      <c r="Q45" s="2488" t="str">
        <f>TEXT('MYP Assumptions'!G57,"0.00%")&amp;", projected STRS rate"</f>
        <v>18.13%, projected STRS rate</v>
      </c>
      <c r="R45" s="455"/>
      <c r="S45" s="2238" t="str">
        <f t="shared" ref="S45:S54" si="22">IF(P45=0,"0.00%",(T45-P45)/P45)</f>
        <v>0.00%</v>
      </c>
      <c r="T45" s="340">
        <f>ROUND(T29*LEFT(U45,6),0)</f>
        <v>0</v>
      </c>
      <c r="U45" s="455" t="str">
        <f>TEXT('MYP Assumptions'!H57,"0.00%")&amp;", projected STRS rate"</f>
        <v>19.10%, projected STRS rate</v>
      </c>
      <c r="V45" s="2429"/>
      <c r="W45" s="2241" t="str">
        <f t="shared" ref="W45:W54" si="23">IF(T45=0,"0.00%",(X45-T45)/T45)</f>
        <v>0.00%</v>
      </c>
      <c r="X45" s="340" t="e">
        <f>ROUND(X29*LEFT(Y45,6),0)</f>
        <v>#REF!</v>
      </c>
      <c r="Y45" s="455" t="str">
        <f>TEXT('MYP Assumptions'!I57,"0.00%")&amp;", projected STRS rate"</f>
        <v>19.10%, projected STRS rate</v>
      </c>
      <c r="AA45" s="456" t="e">
        <f t="shared" ref="AA45:AA54" si="24">IF(X45=0,"0.00%",(AB45-X45)/X45)</f>
        <v>#REF!</v>
      </c>
      <c r="AB45" s="340" t="e">
        <f>ROUND(AB29*LEFT(AC45,6),0)</f>
        <v>#REF!</v>
      </c>
      <c r="AC45" s="455" t="str">
        <f>TEXT('MYP Assumptions'!J57,"0.00%")&amp;", projected STRS rate"</f>
        <v>0.00%, projected STRS rate</v>
      </c>
    </row>
    <row r="46" spans="1:29" s="340" customFormat="1" hidden="1" x14ac:dyDescent="0.25">
      <c r="A46" s="455"/>
      <c r="B46" s="2441" t="s">
        <v>84</v>
      </c>
      <c r="C46" s="2386" t="s">
        <v>77</v>
      </c>
      <c r="D46" s="340">
        <v>0</v>
      </c>
      <c r="E46" s="897" t="str">
        <f>TEXT('MYP Assumptions'!$D$58,"0.00%")&amp;", PERS rate"</f>
        <v>13.89%, PERS rate</v>
      </c>
      <c r="G46" s="456" t="str">
        <f t="shared" si="19"/>
        <v>0.00%</v>
      </c>
      <c r="H46" s="340">
        <v>0</v>
      </c>
      <c r="I46" s="897" t="str">
        <f>TEXT('MYP Assumptions'!E58,"0.00%")&amp;", projected PERS rate"</f>
        <v>15.53%, projected PERS rate</v>
      </c>
      <c r="J46" s="455"/>
      <c r="K46" s="456" t="str">
        <f t="shared" si="20"/>
        <v>0.00%</v>
      </c>
      <c r="L46" s="340">
        <f>ROUND(L42*LEFT(M46,6),0)</f>
        <v>0</v>
      </c>
      <c r="M46" s="2488" t="str">
        <f>TEXT('MYP Assumptions'!F58,"0.00%")&amp;", projected PERS rate"</f>
        <v>18.06%, projected PERS rate</v>
      </c>
      <c r="O46" s="456" t="str">
        <f t="shared" si="21"/>
        <v>0.00%</v>
      </c>
      <c r="P46" s="340">
        <f>ROUND(P42*LEFT(Q46,6),0)</f>
        <v>0</v>
      </c>
      <c r="Q46" s="2488" t="str">
        <f>TEXT('MYP Assumptions'!G58,"0.00%")&amp;", projected PERS rate"</f>
        <v>20.80%, projected PERS rate</v>
      </c>
      <c r="R46" s="455"/>
      <c r="S46" s="2238" t="str">
        <f t="shared" si="22"/>
        <v>0.00%</v>
      </c>
      <c r="T46" s="340">
        <f>ROUND(T42*LEFT(U46,6),0)</f>
        <v>0</v>
      </c>
      <c r="U46" s="455" t="str">
        <f>TEXT('MYP Assumptions'!H58,"0.00%")&amp;", projected PERS rate"</f>
        <v>23.50%, projected PERS rate</v>
      </c>
      <c r="V46" s="2429"/>
      <c r="W46" s="2241" t="str">
        <f t="shared" si="23"/>
        <v>0.00%</v>
      </c>
      <c r="X46" s="340">
        <f>ROUND(X42*LEFT(Y46,6),0)</f>
        <v>0</v>
      </c>
      <c r="Y46" s="455" t="str">
        <f>TEXT('MYP Assumptions'!I58,"0.00%")&amp;", projected PERS rate"</f>
        <v>24.60%, projected PERS rate</v>
      </c>
      <c r="AA46" s="456" t="str">
        <f t="shared" si="24"/>
        <v>0.00%</v>
      </c>
      <c r="AB46" s="340" t="e">
        <f>ROUND(AB42*LEFT(AC46,6),0)</f>
        <v>#VALUE!</v>
      </c>
      <c r="AC46" s="455" t="str">
        <f>TEXT('MYP Assumptions'!J58,"0.00%")&amp;", projected PERS rate"</f>
        <v>0.00%, projected PERS rate</v>
      </c>
    </row>
    <row r="47" spans="1:29" s="340" customFormat="1" hidden="1" x14ac:dyDescent="0.25">
      <c r="A47" s="455"/>
      <c r="B47" s="2441" t="s">
        <v>85</v>
      </c>
      <c r="C47" s="2386" t="s">
        <v>78</v>
      </c>
      <c r="D47" s="340">
        <v>0</v>
      </c>
      <c r="E47" s="897" t="str">
        <f>TEXT('MYP Assumptions'!$D$60,"0.00%")&amp;", SS rate"</f>
        <v>6.20%, SS rate</v>
      </c>
      <c r="G47" s="456" t="str">
        <f t="shared" si="19"/>
        <v>0.00%</v>
      </c>
      <c r="H47" s="340">
        <v>0</v>
      </c>
      <c r="I47" s="897" t="str">
        <f>TEXT('MYP Assumptions'!E60,"0.00%")&amp;", no rate change"</f>
        <v>6.20%, no rate change</v>
      </c>
      <c r="J47" s="455"/>
      <c r="K47" s="456" t="str">
        <f t="shared" si="20"/>
        <v>0.00%</v>
      </c>
      <c r="L47" s="340">
        <f>ROUND(L42*LEFT(M47,5),0)</f>
        <v>0</v>
      </c>
      <c r="M47" s="2488" t="str">
        <f>TEXT('MYP Assumptions'!F60,"0.00%")&amp;", no rate change"</f>
        <v>6.20%, no rate change</v>
      </c>
      <c r="O47" s="456" t="str">
        <f t="shared" si="21"/>
        <v>0.00%</v>
      </c>
      <c r="P47" s="340">
        <f>ROUND(P42*LEFT(Q47,5),0)</f>
        <v>0</v>
      </c>
      <c r="Q47" s="2488" t="str">
        <f>TEXT('MYP Assumptions'!G60,"0.00%")&amp;", no rate change"</f>
        <v>6.20%, no rate change</v>
      </c>
      <c r="R47" s="455"/>
      <c r="S47" s="2238" t="str">
        <f t="shared" si="22"/>
        <v>0.00%</v>
      </c>
      <c r="T47" s="340">
        <f>ROUND(T42*LEFT(U47,5),0)</f>
        <v>0</v>
      </c>
      <c r="U47" s="455" t="str">
        <f>TEXT('MYP Assumptions'!H60,"0.00%")&amp;", no rate change"</f>
        <v>6.20%, no rate change</v>
      </c>
      <c r="V47" s="2429"/>
      <c r="W47" s="2241" t="str">
        <f t="shared" si="23"/>
        <v>0.00%</v>
      </c>
      <c r="X47" s="340">
        <f>ROUND(X42*LEFT(Y47,5),0)</f>
        <v>0</v>
      </c>
      <c r="Y47" s="455" t="str">
        <f>TEXT('MYP Assumptions'!I60,"0.00%")&amp;", no rate change"</f>
        <v>6.20%, no rate change</v>
      </c>
      <c r="AA47" s="456" t="str">
        <f t="shared" si="24"/>
        <v>0.00%</v>
      </c>
      <c r="AB47" s="340">
        <f>ROUND(AB42*LEFT(AC47,5),0)</f>
        <v>0</v>
      </c>
      <c r="AC47" s="455" t="str">
        <f>TEXT('MYP Assumptions'!J60,"0.00%")&amp;", no rate change"</f>
        <v>0.00%, no rate change</v>
      </c>
    </row>
    <row r="48" spans="1:29" s="340" customFormat="1" hidden="1" x14ac:dyDescent="0.25">
      <c r="A48" s="455"/>
      <c r="B48" s="2441" t="s">
        <v>86</v>
      </c>
      <c r="C48" s="2386" t="s">
        <v>79</v>
      </c>
      <c r="D48" s="340">
        <v>0</v>
      </c>
      <c r="E48" s="897" t="str">
        <f>TEXT('MYP Assumptions'!$D$61,"0.00%")&amp;", Medicare rate"</f>
        <v>1.45%, Medicare rate</v>
      </c>
      <c r="G48" s="456" t="str">
        <f t="shared" si="19"/>
        <v>0.00%</v>
      </c>
      <c r="H48" s="340">
        <v>0</v>
      </c>
      <c r="I48" s="897" t="str">
        <f>TEXT('MYP Assumptions'!E61,"0.00%")&amp;", no rate change"</f>
        <v>1.45%, no rate change</v>
      </c>
      <c r="J48" s="455"/>
      <c r="K48" s="456" t="str">
        <f t="shared" si="20"/>
        <v>0.00%</v>
      </c>
      <c r="L48" s="340">
        <f>ROUND((L42+L29)*LEFT(M48,5),0)</f>
        <v>0</v>
      </c>
      <c r="M48" s="2488" t="str">
        <f>TEXT('MYP Assumptions'!F61,"0.00%")&amp;", no rate change"</f>
        <v>1.45%, no rate change</v>
      </c>
      <c r="O48" s="456" t="str">
        <f t="shared" si="21"/>
        <v>0.00%</v>
      </c>
      <c r="P48" s="340">
        <f>ROUND((P42+P29)*LEFT(Q48,5),0)</f>
        <v>0</v>
      </c>
      <c r="Q48" s="2488" t="str">
        <f>TEXT('MYP Assumptions'!G61,"0.00%")&amp;", no rate change"</f>
        <v>1.45%, no rate change</v>
      </c>
      <c r="R48" s="455"/>
      <c r="S48" s="2238" t="str">
        <f t="shared" si="22"/>
        <v>0.00%</v>
      </c>
      <c r="T48" s="340">
        <f>ROUND((T42+T29)*LEFT(U48,5),0)</f>
        <v>0</v>
      </c>
      <c r="U48" s="455" t="str">
        <f>TEXT('MYP Assumptions'!H61,"0.00%")&amp;", no rate change"</f>
        <v>1.45%, no rate change</v>
      </c>
      <c r="V48" s="2429"/>
      <c r="W48" s="2241" t="str">
        <f t="shared" si="23"/>
        <v>0.00%</v>
      </c>
      <c r="X48" s="340" t="e">
        <f>ROUND((X42+X29)*LEFT(Y48,5),0)</f>
        <v>#REF!</v>
      </c>
      <c r="Y48" s="455" t="str">
        <f>TEXT('MYP Assumptions'!I61,"0.00%")&amp;", no rate change"</f>
        <v>1.45%, no rate change</v>
      </c>
      <c r="AA48" s="456" t="e">
        <f t="shared" si="24"/>
        <v>#REF!</v>
      </c>
      <c r="AB48" s="340" t="e">
        <f>ROUND((AB42+AB29)*LEFT(AC48,5),0)</f>
        <v>#REF!</v>
      </c>
      <c r="AC48" s="455" t="str">
        <f>TEXT('MYP Assumptions'!J61,"0.00%")&amp;", no rate change"</f>
        <v>0.00%, no rate change</v>
      </c>
    </row>
    <row r="49" spans="1:29" s="340" customFormat="1" hidden="1" x14ac:dyDescent="0.25">
      <c r="A49" s="455"/>
      <c r="B49" s="2441" t="s">
        <v>87</v>
      </c>
      <c r="C49" s="2386" t="s">
        <v>80</v>
      </c>
      <c r="D49" s="340">
        <v>0</v>
      </c>
      <c r="E49" s="897"/>
      <c r="G49" s="456" t="str">
        <f t="shared" si="19"/>
        <v>0.00%</v>
      </c>
      <c r="H49" s="340">
        <v>0</v>
      </c>
      <c r="I49" s="897"/>
      <c r="J49" s="455"/>
      <c r="K49" s="456" t="str">
        <f t="shared" si="20"/>
        <v>0.00%</v>
      </c>
      <c r="L49" s="340">
        <f>ROUND((H49)*(LEFT(M49,5)+1),0)</f>
        <v>0</v>
      </c>
      <c r="M49" s="2488" t="str">
        <f>TEXT('MYP Assumptions'!$I$68,"0.00%")&amp;", projected increase"</f>
        <v>5.00%, projected increase</v>
      </c>
      <c r="O49" s="456" t="str">
        <f t="shared" si="21"/>
        <v>0.00%</v>
      </c>
      <c r="P49" s="340">
        <f>ROUND((L49)*(LEFT(Q49,5)+1),0)</f>
        <v>0</v>
      </c>
      <c r="Q49" s="2488" t="str">
        <f>TEXT('MYP Assumptions'!$I$68,"0.00%")&amp;", projected increase"</f>
        <v>5.00%, projected increase</v>
      </c>
      <c r="R49" s="455"/>
      <c r="S49" s="2238" t="str">
        <f t="shared" si="22"/>
        <v>0.00%</v>
      </c>
      <c r="T49" s="340">
        <f>ROUND((P49)*(LEFT(U49,5)+1),0)</f>
        <v>0</v>
      </c>
      <c r="U49" s="455" t="str">
        <f>TEXT('MYP Assumptions'!$I$68,"0.00%")&amp;", projected increase"</f>
        <v>5.00%, projected increase</v>
      </c>
      <c r="V49" s="2429"/>
      <c r="W49" s="2241" t="str">
        <f t="shared" si="23"/>
        <v>0.00%</v>
      </c>
      <c r="X49" s="340">
        <f>ROUND((T49)*(LEFT(Y49,5)+1),0)</f>
        <v>0</v>
      </c>
      <c r="Y49" s="455" t="str">
        <f>TEXT('MYP Assumptions'!$I$68,"0.00%")&amp;", projected increase"</f>
        <v>5.00%, projected increase</v>
      </c>
      <c r="AA49" s="456" t="str">
        <f t="shared" si="24"/>
        <v>0.00%</v>
      </c>
      <c r="AB49" s="340">
        <f>ROUND((X49)*(LEFT(AC49,5)+1),0)</f>
        <v>0</v>
      </c>
      <c r="AC49" s="455" t="str">
        <f>TEXT('MYP Assumptions'!$I$68,"0.00%")&amp;", projected increase"</f>
        <v>5.00%, projected increase</v>
      </c>
    </row>
    <row r="50" spans="1:29" s="340" customFormat="1" hidden="1" x14ac:dyDescent="0.25">
      <c r="A50" s="455"/>
      <c r="B50" s="2441" t="s">
        <v>88</v>
      </c>
      <c r="C50" s="2386" t="s">
        <v>81</v>
      </c>
      <c r="D50" s="340">
        <v>0</v>
      </c>
      <c r="E50" s="897" t="str">
        <f>TEXT('MYP Assumptions'!$D$62,"0.00%")&amp;", SUI rate"</f>
        <v>0.05%, SUI rate</v>
      </c>
      <c r="G50" s="456" t="str">
        <f t="shared" si="19"/>
        <v>0.00%</v>
      </c>
      <c r="H50" s="340">
        <v>0</v>
      </c>
      <c r="I50" s="897" t="str">
        <f>TEXT('MYP Assumptions'!E62,"0.00%")&amp;", no rate change"</f>
        <v>0.05%, no rate change</v>
      </c>
      <c r="J50" s="455"/>
      <c r="K50" s="456" t="str">
        <f t="shared" si="20"/>
        <v>0.00%</v>
      </c>
      <c r="L50" s="340">
        <f>ROUND((L42+L29)*LEFT(M50,5),0)</f>
        <v>0</v>
      </c>
      <c r="M50" s="2488" t="str">
        <f>TEXT('MYP Assumptions'!F62,"0.00%")&amp;", no rate change"</f>
        <v>0.05%, no rate change</v>
      </c>
      <c r="O50" s="456" t="str">
        <f t="shared" si="21"/>
        <v>0.00%</v>
      </c>
      <c r="P50" s="340">
        <f>ROUND((P42+P29)*LEFT(Q50,5),0)</f>
        <v>0</v>
      </c>
      <c r="Q50" s="2488" t="str">
        <f>TEXT('MYP Assumptions'!G62,"0.00%")&amp;", no rate change"</f>
        <v>0.05%, no rate change</v>
      </c>
      <c r="R50" s="455"/>
      <c r="S50" s="2238" t="str">
        <f t="shared" si="22"/>
        <v>0.00%</v>
      </c>
      <c r="T50" s="340">
        <f>ROUND((T42+T29)*LEFT(U50,5),0)</f>
        <v>0</v>
      </c>
      <c r="U50" s="455" t="str">
        <f>TEXT('MYP Assumptions'!H62,"0.00%")&amp;", no rate change"</f>
        <v>0.05%, no rate change</v>
      </c>
      <c r="V50" s="2429"/>
      <c r="W50" s="2241" t="str">
        <f t="shared" si="23"/>
        <v>0.00%</v>
      </c>
      <c r="X50" s="340" t="e">
        <f>ROUND((X42+X29)*LEFT(Y50,5),0)</f>
        <v>#REF!</v>
      </c>
      <c r="Y50" s="455" t="str">
        <f>TEXT('MYP Assumptions'!I62,"0.00%")&amp;", no rate change"</f>
        <v>0.05%, no rate change</v>
      </c>
      <c r="AA50" s="456" t="e">
        <f t="shared" si="24"/>
        <v>#REF!</v>
      </c>
      <c r="AB50" s="340" t="e">
        <f>ROUND((AB42+AB29)*LEFT(AC50,5),0)</f>
        <v>#REF!</v>
      </c>
      <c r="AC50" s="455" t="str">
        <f>TEXT('MYP Assumptions'!J62,"0.00%")&amp;", no rate change"</f>
        <v>0.00%, no rate change</v>
      </c>
    </row>
    <row r="51" spans="1:29" s="340" customFormat="1" hidden="1" x14ac:dyDescent="0.25">
      <c r="A51" s="455"/>
      <c r="B51" s="2441" t="s">
        <v>89</v>
      </c>
      <c r="C51" s="2386" t="s">
        <v>82</v>
      </c>
      <c r="D51" s="340">
        <v>0</v>
      </c>
      <c r="E51" s="897" t="str">
        <f>TEXT('MYP Assumptions'!$D$63,"0.00%")&amp;", W/C rate"</f>
        <v>1.10%, W/C rate</v>
      </c>
      <c r="G51" s="456" t="str">
        <f t="shared" si="19"/>
        <v>0.00%</v>
      </c>
      <c r="H51" s="340">
        <v>0</v>
      </c>
      <c r="I51" s="897" t="str">
        <f>TEXT('MYP Assumptions'!E63,"0.00%")&amp;", no rate change"</f>
        <v>0.80%, no rate change</v>
      </c>
      <c r="J51" s="455"/>
      <c r="K51" s="456" t="str">
        <f t="shared" si="20"/>
        <v>0.00%</v>
      </c>
      <c r="L51" s="340">
        <f>ROUND((L42+L29)*LEFT(M51,5),0)</f>
        <v>0</v>
      </c>
      <c r="M51" s="2488" t="str">
        <f>TEXT('MYP Assumptions'!F63,"0.00%")&amp;", no rate change"</f>
        <v>0.80%, no rate change</v>
      </c>
      <c r="O51" s="456" t="str">
        <f t="shared" si="21"/>
        <v>0.00%</v>
      </c>
      <c r="P51" s="340">
        <f>ROUND((P42+P29)*LEFT(Q51,5),0)</f>
        <v>0</v>
      </c>
      <c r="Q51" s="2488" t="str">
        <f>TEXT('MYP Assumptions'!G63,"0.00%")&amp;", no rate change"</f>
        <v>0.80%, no rate change</v>
      </c>
      <c r="R51" s="455"/>
      <c r="S51" s="2238" t="str">
        <f t="shared" si="22"/>
        <v>0.00%</v>
      </c>
      <c r="T51" s="340">
        <f>ROUND((T42+T29)*LEFT(U51,5),0)</f>
        <v>0</v>
      </c>
      <c r="U51" s="455" t="str">
        <f>TEXT('MYP Assumptions'!H63,"0.00%")&amp;", no rate change"</f>
        <v>0.80%, no rate change</v>
      </c>
      <c r="V51" s="2429"/>
      <c r="W51" s="2241" t="str">
        <f t="shared" si="23"/>
        <v>0.00%</v>
      </c>
      <c r="X51" s="340" t="e">
        <f>ROUND((X42+X29)*LEFT(Y51,5),0)</f>
        <v>#REF!</v>
      </c>
      <c r="Y51" s="455" t="str">
        <f>TEXT('MYP Assumptions'!I63,"0.00%")&amp;", no rate change"</f>
        <v>0.80%, no rate change</v>
      </c>
      <c r="AA51" s="456" t="e">
        <f t="shared" si="24"/>
        <v>#REF!</v>
      </c>
      <c r="AB51" s="340" t="e">
        <f>ROUND((AB42+AB29)*LEFT(AC51,5),0)</f>
        <v>#REF!</v>
      </c>
      <c r="AC51" s="455" t="str">
        <f>TEXT('MYP Assumptions'!J63,"0.00%")&amp;", no rate change"</f>
        <v>0.00%, no rate change</v>
      </c>
    </row>
    <row r="52" spans="1:29" s="340" customFormat="1" hidden="1" x14ac:dyDescent="0.25">
      <c r="A52" s="455"/>
      <c r="B52" s="2441" t="s">
        <v>469</v>
      </c>
      <c r="C52" s="2386" t="s">
        <v>470</v>
      </c>
      <c r="D52" s="340">
        <v>0</v>
      </c>
      <c r="E52" s="2386"/>
      <c r="G52" s="456" t="str">
        <f t="shared" si="19"/>
        <v>0.00%</v>
      </c>
      <c r="H52" s="340">
        <v>0</v>
      </c>
      <c r="I52" s="897"/>
      <c r="J52" s="455"/>
      <c r="K52" s="456" t="str">
        <f t="shared" si="20"/>
        <v>0.00%</v>
      </c>
      <c r="L52" s="340">
        <f>H52</f>
        <v>0</v>
      </c>
      <c r="M52" s="2488" t="s">
        <v>165</v>
      </c>
      <c r="O52" s="456" t="str">
        <f t="shared" si="21"/>
        <v>0.00%</v>
      </c>
      <c r="P52" s="340">
        <f>L52</f>
        <v>0</v>
      </c>
      <c r="Q52" s="2488" t="s">
        <v>165</v>
      </c>
      <c r="R52" s="455"/>
      <c r="S52" s="2238" t="str">
        <f t="shared" si="22"/>
        <v>0.00%</v>
      </c>
      <c r="T52" s="340">
        <f>P52</f>
        <v>0</v>
      </c>
      <c r="U52" s="455" t="s">
        <v>165</v>
      </c>
      <c r="V52" s="2429"/>
      <c r="W52" s="2241" t="str">
        <f t="shared" si="23"/>
        <v>0.00%</v>
      </c>
      <c r="X52" s="340">
        <f>T52</f>
        <v>0</v>
      </c>
      <c r="Y52" s="455" t="s">
        <v>165</v>
      </c>
      <c r="AA52" s="456" t="str">
        <f t="shared" si="24"/>
        <v>0.00%</v>
      </c>
      <c r="AB52" s="340">
        <f>X52</f>
        <v>0</v>
      </c>
      <c r="AC52" s="455" t="s">
        <v>165</v>
      </c>
    </row>
    <row r="53" spans="1:29" s="340" customFormat="1" hidden="1" x14ac:dyDescent="0.25">
      <c r="A53" s="455"/>
      <c r="B53" s="2441" t="s">
        <v>91</v>
      </c>
      <c r="C53" s="2386" t="s">
        <v>93</v>
      </c>
      <c r="D53" s="340">
        <v>0</v>
      </c>
      <c r="E53" s="2386"/>
      <c r="G53" s="456" t="str">
        <f t="shared" si="19"/>
        <v>0.00%</v>
      </c>
      <c r="H53" s="340">
        <v>0</v>
      </c>
      <c r="I53" s="897"/>
      <c r="J53" s="455"/>
      <c r="K53" s="456" t="str">
        <f t="shared" si="20"/>
        <v>0.00%</v>
      </c>
      <c r="L53" s="340">
        <f>+H53</f>
        <v>0</v>
      </c>
      <c r="M53" s="2488" t="s">
        <v>173</v>
      </c>
      <c r="O53" s="456" t="str">
        <f t="shared" si="21"/>
        <v>0.00%</v>
      </c>
      <c r="P53" s="340">
        <f>+L53</f>
        <v>0</v>
      </c>
      <c r="Q53" s="2488" t="s">
        <v>173</v>
      </c>
      <c r="R53" s="455"/>
      <c r="S53" s="2238"/>
      <c r="U53" s="455"/>
      <c r="V53" s="2429"/>
      <c r="W53" s="2241"/>
      <c r="Y53" s="455"/>
      <c r="AA53" s="456"/>
      <c r="AC53" s="455"/>
    </row>
    <row r="54" spans="1:29" s="340" customFormat="1" x14ac:dyDescent="0.25">
      <c r="A54" s="459"/>
      <c r="B54" s="2441"/>
      <c r="C54" s="2386"/>
      <c r="D54" s="458">
        <f>SUM(D45:D53)</f>
        <v>0</v>
      </c>
      <c r="E54" s="2386"/>
      <c r="G54" s="456" t="str">
        <f t="shared" si="19"/>
        <v>0.00%</v>
      </c>
      <c r="H54" s="458">
        <f>SUM(H45:H53)</f>
        <v>0</v>
      </c>
      <c r="I54" s="2316">
        <f>+H54-D54</f>
        <v>0</v>
      </c>
      <c r="J54" s="459"/>
      <c r="K54" s="456" t="str">
        <f t="shared" si="20"/>
        <v>0.00%</v>
      </c>
      <c r="L54" s="458">
        <f>SUM(L45:L53)</f>
        <v>0</v>
      </c>
      <c r="M54" s="2316">
        <f>+L54-H54</f>
        <v>0</v>
      </c>
      <c r="O54" s="456" t="str">
        <f t="shared" si="21"/>
        <v>0.00%</v>
      </c>
      <c r="P54" s="458">
        <f>SUM(P45:P53)</f>
        <v>0</v>
      </c>
      <c r="Q54" s="2316">
        <f>+P54-L54</f>
        <v>0</v>
      </c>
      <c r="R54" s="455"/>
      <c r="S54" s="2238" t="str">
        <f t="shared" si="22"/>
        <v>0.00%</v>
      </c>
      <c r="T54" s="458">
        <f>SUM(T45:T53)</f>
        <v>0</v>
      </c>
      <c r="U54" s="2370"/>
      <c r="V54" s="2429"/>
      <c r="W54" s="2241" t="str">
        <f t="shared" si="23"/>
        <v>0.00%</v>
      </c>
      <c r="X54" s="458" t="e">
        <f>SUM(X45:X53)</f>
        <v>#REF!</v>
      </c>
      <c r="Y54" s="2370"/>
      <c r="AA54" s="456" t="e">
        <f t="shared" si="24"/>
        <v>#REF!</v>
      </c>
      <c r="AB54" s="458" t="e">
        <f>SUM(AB45:AB53)</f>
        <v>#REF!</v>
      </c>
      <c r="AC54" s="2370"/>
    </row>
    <row r="55" spans="1:29" s="340" customFormat="1" x14ac:dyDescent="0.25">
      <c r="A55" s="460"/>
      <c r="B55" s="2441"/>
      <c r="C55" s="2386"/>
      <c r="E55" s="2386"/>
      <c r="G55" s="2338"/>
      <c r="I55" s="897"/>
      <c r="J55" s="455"/>
      <c r="K55" s="1668"/>
      <c r="M55" s="2340"/>
      <c r="O55" s="1668"/>
      <c r="Q55" s="2340"/>
      <c r="R55" s="455"/>
      <c r="S55" s="2341"/>
      <c r="U55" s="2370"/>
      <c r="V55" s="2429"/>
      <c r="W55" s="2343"/>
      <c r="Y55" s="2370"/>
      <c r="AA55" s="1668"/>
      <c r="AC55" s="2370"/>
    </row>
    <row r="56" spans="1:29" s="340" customFormat="1" x14ac:dyDescent="0.25">
      <c r="A56" s="459"/>
      <c r="B56" s="2486" t="s">
        <v>26</v>
      </c>
      <c r="C56" s="2386"/>
      <c r="D56" s="458">
        <f>SUM(D54,D42,D29)</f>
        <v>0</v>
      </c>
      <c r="E56" s="2386"/>
      <c r="G56" s="456" t="str">
        <f>IF(D56=0,"0.00%",(H56-D56)/D56)</f>
        <v>0.00%</v>
      </c>
      <c r="H56" s="458">
        <f>SUM(H54,H42,H29)</f>
        <v>0</v>
      </c>
      <c r="I56" s="2316">
        <f>+H56-D56</f>
        <v>0</v>
      </c>
      <c r="J56" s="459"/>
      <c r="K56" s="456" t="str">
        <f>IF(H56=0,"0.00%",(L56-H56)/H56)</f>
        <v>0.00%</v>
      </c>
      <c r="L56" s="458">
        <f>SUM(L54,L42,L29)</f>
        <v>0</v>
      </c>
      <c r="M56" s="2316">
        <f>+L56-H56</f>
        <v>0</v>
      </c>
      <c r="O56" s="456" t="str">
        <f>IF(L56=0,"0.00%",(P56-L56)/L56)</f>
        <v>0.00%</v>
      </c>
      <c r="P56" s="458">
        <f>SUM(P54,P42,P29)</f>
        <v>0</v>
      </c>
      <c r="Q56" s="2316">
        <f>+P56-L56</f>
        <v>0</v>
      </c>
      <c r="R56" s="455"/>
      <c r="S56" s="2238" t="str">
        <f>IF(P56=0,"0.00%",(T56-P56)/P56)</f>
        <v>0.00%</v>
      </c>
      <c r="T56" s="458">
        <f>SUM(T54,T42,T29)</f>
        <v>0</v>
      </c>
      <c r="U56" s="2370"/>
      <c r="V56" s="2429"/>
      <c r="W56" s="2241" t="str">
        <f>IF(T56=0,"0.00%",(X56-T56)/T56)</f>
        <v>0.00%</v>
      </c>
      <c r="X56" s="458" t="e">
        <f>SUM(X54,X42,X29)</f>
        <v>#REF!</v>
      </c>
      <c r="Y56" s="2370"/>
      <c r="AA56" s="456" t="e">
        <f>IF(X56=0,"0.00%",(AB56-X56)/X56)</f>
        <v>#REF!</v>
      </c>
      <c r="AB56" s="458" t="e">
        <f>SUM(AB54,AB42,AB29)</f>
        <v>#REF!</v>
      </c>
      <c r="AC56" s="2370"/>
    </row>
    <row r="57" spans="1:29" s="340" customFormat="1" x14ac:dyDescent="0.25">
      <c r="A57" s="455"/>
      <c r="B57" s="2487"/>
      <c r="C57" s="2386"/>
      <c r="E57" s="2386"/>
      <c r="G57" s="2338"/>
      <c r="I57" s="897"/>
      <c r="J57" s="455"/>
      <c r="K57" s="1668"/>
      <c r="M57" s="2340"/>
      <c r="O57" s="1668"/>
      <c r="Q57" s="2340"/>
      <c r="R57" s="455"/>
      <c r="S57" s="2341"/>
      <c r="U57" s="2370"/>
      <c r="V57" s="2429"/>
      <c r="W57" s="2343"/>
      <c r="Y57" s="2370"/>
      <c r="AA57" s="1668"/>
      <c r="AC57" s="2370"/>
    </row>
    <row r="58" spans="1:29" s="340" customFormat="1" x14ac:dyDescent="0.25">
      <c r="A58" s="455"/>
      <c r="B58" s="2487"/>
      <c r="C58" s="2386"/>
      <c r="E58" s="2386"/>
      <c r="G58" s="2338"/>
      <c r="I58" s="897"/>
      <c r="J58" s="455"/>
      <c r="K58" s="1668"/>
      <c r="M58" s="2340"/>
      <c r="N58" s="456"/>
      <c r="O58" s="1668"/>
      <c r="Q58" s="2340"/>
      <c r="R58" s="455"/>
      <c r="S58" s="2341"/>
      <c r="U58" s="2370"/>
      <c r="V58" s="2429"/>
      <c r="W58" s="2343"/>
      <c r="Y58" s="2370"/>
      <c r="AA58" s="1668"/>
      <c r="AC58" s="2370"/>
    </row>
    <row r="59" spans="1:29" s="340" customFormat="1" x14ac:dyDescent="0.25">
      <c r="A59" s="455"/>
      <c r="B59" s="2223" t="s">
        <v>25</v>
      </c>
      <c r="C59" s="868" t="s">
        <v>947</v>
      </c>
      <c r="D59" s="2497"/>
      <c r="E59" s="2386"/>
      <c r="G59" s="2338"/>
      <c r="H59" s="606"/>
      <c r="I59" s="897"/>
      <c r="J59" s="455"/>
      <c r="K59" s="1668"/>
      <c r="L59" s="606"/>
      <c r="M59" s="2488"/>
      <c r="O59" s="1668"/>
      <c r="P59" s="606"/>
      <c r="Q59" s="2488"/>
      <c r="R59" s="455"/>
      <c r="S59" s="2341"/>
      <c r="U59" s="2370"/>
      <c r="V59" s="2429"/>
      <c r="W59" s="2343"/>
      <c r="Y59" s="2370"/>
      <c r="AA59" s="1668"/>
      <c r="AC59" s="2370"/>
    </row>
    <row r="60" spans="1:29" s="340" customFormat="1" x14ac:dyDescent="0.25">
      <c r="A60" s="455"/>
      <c r="B60" s="2441">
        <v>4311</v>
      </c>
      <c r="C60" s="2386" t="s">
        <v>810</v>
      </c>
      <c r="D60" s="340">
        <v>0</v>
      </c>
      <c r="E60" s="2386"/>
      <c r="G60" s="456" t="str">
        <f t="shared" ref="G60:G70" si="25">IF(D60=0,"0.00%",(H60-D60)/D60)</f>
        <v>0.00%</v>
      </c>
      <c r="H60" s="340">
        <v>58</v>
      </c>
      <c r="I60" s="897"/>
      <c r="J60" s="455"/>
      <c r="K60" s="456">
        <f t="shared" ref="K60:K70" si="26">IF(H60=0,"0.00%",(L60-H60)/H60)</f>
        <v>3.4482758620689655E-2</v>
      </c>
      <c r="L60" s="340">
        <v>60</v>
      </c>
      <c r="M60" s="2488"/>
      <c r="O60" s="456">
        <f t="shared" ref="O60:O70" si="27">IF(L60=0,"0.00%",(P60-L60)/L60)</f>
        <v>0</v>
      </c>
      <c r="P60" s="340">
        <f>+(1-$P$59)*L60</f>
        <v>60</v>
      </c>
      <c r="Q60" s="2488"/>
      <c r="R60" s="455"/>
      <c r="S60" s="2238">
        <f t="shared" ref="S60:S70" si="28">IF(P60=0,"0.00%",(T60-P60)/P60)</f>
        <v>0</v>
      </c>
      <c r="T60" s="340">
        <f>P60</f>
        <v>60</v>
      </c>
      <c r="U60" s="455"/>
      <c r="V60" s="2429"/>
      <c r="W60" s="2241">
        <f t="shared" ref="W60:W70" si="29">IF(T60=0,"0.00%",(X60-T60)/T60)</f>
        <v>3.3333333333333333E-2</v>
      </c>
      <c r="X60" s="340">
        <f>ROUND(T60*(LEFT(Y60,5)+1),0)</f>
        <v>62</v>
      </c>
      <c r="Y60" s="455" t="str">
        <f>TEXT('MYP Assumptions'!I78,"0.00%")&amp;", CPI"</f>
        <v>2.73%, CPI</v>
      </c>
      <c r="AA60" s="456">
        <f t="shared" ref="AA60:AA70" si="30">IF(X60=0,"0.00%",(AB60-X60)/X60)</f>
        <v>3.2258064516129031E-2</v>
      </c>
      <c r="AB60" s="340">
        <f>ROUND(X60*(LEFT(AC60,5)+1),0)</f>
        <v>64</v>
      </c>
      <c r="AC60" s="455" t="str">
        <f>TEXT('MYP Assumptions'!J78,"0.00%")&amp;", CPI"</f>
        <v>2.73%, CPI</v>
      </c>
    </row>
    <row r="61" spans="1:29" s="340" customFormat="1" x14ac:dyDescent="0.25">
      <c r="A61" s="455"/>
      <c r="B61" s="2441"/>
      <c r="C61" s="2386"/>
      <c r="D61" s="340">
        <v>0</v>
      </c>
      <c r="E61" s="2386"/>
      <c r="G61" s="456" t="str">
        <f t="shared" si="25"/>
        <v>0.00%</v>
      </c>
      <c r="H61" s="340">
        <v>0</v>
      </c>
      <c r="I61" s="897"/>
      <c r="J61" s="455"/>
      <c r="K61" s="456" t="str">
        <f t="shared" si="26"/>
        <v>0.00%</v>
      </c>
      <c r="L61" s="340">
        <v>0</v>
      </c>
      <c r="M61" s="2488"/>
      <c r="O61" s="456" t="str">
        <f t="shared" si="27"/>
        <v>0.00%</v>
      </c>
      <c r="P61" s="340">
        <f t="shared" ref="P61:P65" si="31">+(1-$P$59)*L61</f>
        <v>0</v>
      </c>
      <c r="Q61" s="2488"/>
      <c r="R61" s="455"/>
      <c r="S61" s="2238" t="str">
        <f t="shared" si="28"/>
        <v>0.00%</v>
      </c>
      <c r="T61" s="340">
        <v>0</v>
      </c>
      <c r="U61" s="455"/>
      <c r="V61" s="2429"/>
      <c r="W61" s="2241" t="str">
        <f t="shared" si="29"/>
        <v>0.00%</v>
      </c>
      <c r="X61" s="340">
        <f t="shared" ref="X61:X69" si="32">ROUND(T61*(LEFT(Y61,5)+1),0)</f>
        <v>0</v>
      </c>
      <c r="Y61" s="455" t="str">
        <f>TEXT('MYP Assumptions'!I78,"0.00%")&amp;", CPI"</f>
        <v>2.73%, CPI</v>
      </c>
      <c r="AA61" s="456" t="str">
        <f t="shared" si="30"/>
        <v>0.00%</v>
      </c>
      <c r="AB61" s="340">
        <f t="shared" ref="AB61:AB69" si="33">ROUND(X61*(LEFT(AC61,5)+1),0)</f>
        <v>0</v>
      </c>
      <c r="AC61" s="455" t="str">
        <f>TEXT('MYP Assumptions'!J78,"0.00%")&amp;", CPI"</f>
        <v>2.73%, CPI</v>
      </c>
    </row>
    <row r="62" spans="1:29" s="340" customFormat="1" hidden="1" x14ac:dyDescent="0.25">
      <c r="A62" s="455"/>
      <c r="B62" s="2441"/>
      <c r="C62" s="2386"/>
      <c r="D62" s="340">
        <v>0</v>
      </c>
      <c r="E62" s="2386"/>
      <c r="G62" s="456" t="str">
        <f t="shared" si="25"/>
        <v>0.00%</v>
      </c>
      <c r="H62" s="340">
        <v>0</v>
      </c>
      <c r="I62" s="897"/>
      <c r="J62" s="455"/>
      <c r="K62" s="456" t="str">
        <f t="shared" si="26"/>
        <v>0.00%</v>
      </c>
      <c r="L62" s="340">
        <v>0</v>
      </c>
      <c r="M62" s="2488"/>
      <c r="O62" s="456" t="str">
        <f t="shared" si="27"/>
        <v>0.00%</v>
      </c>
      <c r="P62" s="340">
        <f t="shared" si="31"/>
        <v>0</v>
      </c>
      <c r="Q62" s="2488"/>
      <c r="R62" s="455"/>
      <c r="S62" s="2238" t="str">
        <f t="shared" si="28"/>
        <v>0.00%</v>
      </c>
      <c r="T62" s="340">
        <f t="shared" ref="T62:T69" si="34">ROUND(P62*(LEFT(U62,5)+1),0)</f>
        <v>0</v>
      </c>
      <c r="U62" s="455" t="str">
        <f>TEXT('MYP Assumptions'!H78,"0.00%")&amp;", CPI"</f>
        <v>3.23%, CPI</v>
      </c>
      <c r="V62" s="2429"/>
      <c r="W62" s="2241" t="str">
        <f t="shared" si="29"/>
        <v>0.00%</v>
      </c>
      <c r="X62" s="340">
        <f t="shared" si="32"/>
        <v>0</v>
      </c>
      <c r="Y62" s="455" t="str">
        <f>TEXT('MYP Assumptions'!I78,"0.00%")&amp;", CPI"</f>
        <v>2.73%, CPI</v>
      </c>
      <c r="AA62" s="456" t="str">
        <f t="shared" si="30"/>
        <v>0.00%</v>
      </c>
      <c r="AB62" s="340">
        <f t="shared" si="33"/>
        <v>0</v>
      </c>
      <c r="AC62" s="455" t="str">
        <f>TEXT('MYP Assumptions'!J78,"0.00%")&amp;", CPI"</f>
        <v>2.73%, CPI</v>
      </c>
    </row>
    <row r="63" spans="1:29" s="340" customFormat="1" hidden="1" x14ac:dyDescent="0.25">
      <c r="A63" s="455"/>
      <c r="B63" s="2441"/>
      <c r="C63" s="2386"/>
      <c r="D63" s="340">
        <v>0</v>
      </c>
      <c r="E63" s="2386"/>
      <c r="G63" s="456" t="str">
        <f t="shared" si="25"/>
        <v>0.00%</v>
      </c>
      <c r="H63" s="340">
        <v>0</v>
      </c>
      <c r="I63" s="897"/>
      <c r="J63" s="455"/>
      <c r="K63" s="456" t="str">
        <f t="shared" si="26"/>
        <v>0.00%</v>
      </c>
      <c r="L63" s="340">
        <v>0</v>
      </c>
      <c r="M63" s="2488"/>
      <c r="O63" s="456" t="str">
        <f t="shared" si="27"/>
        <v>0.00%</v>
      </c>
      <c r="P63" s="340">
        <f t="shared" si="31"/>
        <v>0</v>
      </c>
      <c r="Q63" s="2488"/>
      <c r="R63" s="455"/>
      <c r="S63" s="2238" t="str">
        <f t="shared" si="28"/>
        <v>0.00%</v>
      </c>
      <c r="T63" s="340">
        <f t="shared" si="34"/>
        <v>0</v>
      </c>
      <c r="U63" s="455" t="str">
        <f>TEXT('MYP Assumptions'!H78,"0.00%")&amp;", CPI"</f>
        <v>3.23%, CPI</v>
      </c>
      <c r="V63" s="2429"/>
      <c r="W63" s="2241" t="str">
        <f t="shared" si="29"/>
        <v>0.00%</v>
      </c>
      <c r="X63" s="340">
        <f t="shared" si="32"/>
        <v>0</v>
      </c>
      <c r="Y63" s="455" t="str">
        <f>TEXT('MYP Assumptions'!I78,"0.00%")&amp;", CPI"</f>
        <v>2.73%, CPI</v>
      </c>
      <c r="AA63" s="456" t="str">
        <f t="shared" si="30"/>
        <v>0.00%</v>
      </c>
      <c r="AB63" s="340">
        <f t="shared" si="33"/>
        <v>0</v>
      </c>
      <c r="AC63" s="455" t="str">
        <f>TEXT('MYP Assumptions'!J78,"0.00%")&amp;", CPI"</f>
        <v>2.73%, CPI</v>
      </c>
    </row>
    <row r="64" spans="1:29" s="340" customFormat="1" hidden="1" x14ac:dyDescent="0.25">
      <c r="A64" s="455"/>
      <c r="B64" s="2441"/>
      <c r="C64" s="2386"/>
      <c r="D64" s="340">
        <v>0</v>
      </c>
      <c r="E64" s="2386"/>
      <c r="G64" s="456" t="str">
        <f t="shared" si="25"/>
        <v>0.00%</v>
      </c>
      <c r="H64" s="340">
        <v>0</v>
      </c>
      <c r="I64" s="897"/>
      <c r="J64" s="455"/>
      <c r="K64" s="456" t="str">
        <f t="shared" si="26"/>
        <v>0.00%</v>
      </c>
      <c r="L64" s="340">
        <v>0</v>
      </c>
      <c r="M64" s="2488"/>
      <c r="O64" s="456" t="str">
        <f t="shared" si="27"/>
        <v>0.00%</v>
      </c>
      <c r="P64" s="340">
        <f t="shared" si="31"/>
        <v>0</v>
      </c>
      <c r="Q64" s="2488"/>
      <c r="R64" s="455"/>
      <c r="S64" s="2238" t="str">
        <f t="shared" si="28"/>
        <v>0.00%</v>
      </c>
      <c r="T64" s="340">
        <f t="shared" si="34"/>
        <v>0</v>
      </c>
      <c r="U64" s="455" t="str">
        <f>TEXT('MYP Assumptions'!H78,"0.00%")&amp;", CPI"</f>
        <v>3.23%, CPI</v>
      </c>
      <c r="V64" s="2429"/>
      <c r="W64" s="2241" t="str">
        <f t="shared" si="29"/>
        <v>0.00%</v>
      </c>
      <c r="X64" s="340">
        <f t="shared" si="32"/>
        <v>0</v>
      </c>
      <c r="Y64" s="455" t="str">
        <f>TEXT('MYP Assumptions'!I78,"0.00%")&amp;", CPI"</f>
        <v>2.73%, CPI</v>
      </c>
      <c r="AA64" s="456" t="str">
        <f t="shared" si="30"/>
        <v>0.00%</v>
      </c>
      <c r="AB64" s="340">
        <f t="shared" si="33"/>
        <v>0</v>
      </c>
      <c r="AC64" s="455" t="str">
        <f>TEXT('MYP Assumptions'!J78,"0.00%")&amp;", CPI"</f>
        <v>2.73%, CPI</v>
      </c>
    </row>
    <row r="65" spans="1:29" s="340" customFormat="1" hidden="1" x14ac:dyDescent="0.25">
      <c r="A65" s="455"/>
      <c r="B65" s="2441"/>
      <c r="C65" s="2386"/>
      <c r="D65" s="340">
        <v>0</v>
      </c>
      <c r="E65" s="2386"/>
      <c r="G65" s="456" t="str">
        <f t="shared" si="25"/>
        <v>0.00%</v>
      </c>
      <c r="H65" s="340">
        <v>0</v>
      </c>
      <c r="I65" s="897"/>
      <c r="J65" s="455"/>
      <c r="K65" s="456" t="str">
        <f t="shared" si="26"/>
        <v>0.00%</v>
      </c>
      <c r="L65" s="340">
        <f t="shared" ref="L65" si="35">+(1-$L$59)*H65</f>
        <v>0</v>
      </c>
      <c r="M65" s="2488"/>
      <c r="O65" s="456" t="str">
        <f t="shared" si="27"/>
        <v>0.00%</v>
      </c>
      <c r="P65" s="340">
        <f t="shared" si="31"/>
        <v>0</v>
      </c>
      <c r="Q65" s="2488"/>
      <c r="R65" s="455"/>
      <c r="S65" s="2238" t="str">
        <f t="shared" si="28"/>
        <v>0.00%</v>
      </c>
      <c r="T65" s="340">
        <f t="shared" si="34"/>
        <v>0</v>
      </c>
      <c r="U65" s="455" t="str">
        <f>TEXT('MYP Assumptions'!H78,"0.00%")&amp;", CPI"</f>
        <v>3.23%, CPI</v>
      </c>
      <c r="V65" s="2429"/>
      <c r="W65" s="2241" t="str">
        <f t="shared" si="29"/>
        <v>0.00%</v>
      </c>
      <c r="X65" s="340">
        <f t="shared" si="32"/>
        <v>0</v>
      </c>
      <c r="Y65" s="455" t="str">
        <f>TEXT('MYP Assumptions'!I78,"0.00%")&amp;", CPI"</f>
        <v>2.73%, CPI</v>
      </c>
      <c r="AA65" s="456" t="str">
        <f t="shared" si="30"/>
        <v>0.00%</v>
      </c>
      <c r="AB65" s="340">
        <f t="shared" si="33"/>
        <v>0</v>
      </c>
      <c r="AC65" s="455" t="str">
        <f>TEXT('MYP Assumptions'!J78,"0.00%")&amp;", CPI"</f>
        <v>2.73%, CPI</v>
      </c>
    </row>
    <row r="66" spans="1:29" s="340" customFormat="1" hidden="1" x14ac:dyDescent="0.25">
      <c r="A66" s="455"/>
      <c r="B66" s="2441"/>
      <c r="C66" s="2386"/>
      <c r="D66" s="340">
        <v>0</v>
      </c>
      <c r="E66" s="2386"/>
      <c r="G66" s="456"/>
      <c r="I66" s="897"/>
      <c r="J66" s="455"/>
      <c r="K66" s="456"/>
      <c r="M66" s="2488"/>
      <c r="O66" s="456"/>
      <c r="Q66" s="2488"/>
      <c r="R66" s="455"/>
      <c r="S66" s="2238"/>
      <c r="U66" s="455"/>
      <c r="V66" s="2429"/>
      <c r="W66" s="2241"/>
      <c r="Y66" s="455"/>
      <c r="AA66" s="456"/>
      <c r="AC66" s="455"/>
    </row>
    <row r="67" spans="1:29" s="340" customFormat="1" hidden="1" x14ac:dyDescent="0.25">
      <c r="A67" s="455"/>
      <c r="B67" s="2441"/>
      <c r="C67" s="2386"/>
      <c r="D67" s="340">
        <v>0</v>
      </c>
      <c r="E67" s="2386"/>
      <c r="G67" s="456" t="str">
        <f t="shared" si="25"/>
        <v>0.00%</v>
      </c>
      <c r="H67" s="340">
        <f t="shared" ref="H67:H69" si="36">ROUND(D67*(LEFT(I67,5)+1),0)</f>
        <v>0</v>
      </c>
      <c r="I67" s="897" t="str">
        <f>TEXT('MYP Assumptions'!$E$78,"0.00%")&amp;", CPI"</f>
        <v>3.37%, CPI</v>
      </c>
      <c r="J67" s="455"/>
      <c r="K67" s="456" t="str">
        <f t="shared" si="26"/>
        <v>0.00%</v>
      </c>
      <c r="L67" s="340">
        <f t="shared" ref="L67:L69" si="37">+(1-L66)*H67</f>
        <v>0</v>
      </c>
      <c r="M67" s="2488" t="str">
        <f t="shared" ref="M67:M69" si="38">TEXT($L$59,"0.00%")&amp;"   reduction"</f>
        <v>0.00%   reduction</v>
      </c>
      <c r="O67" s="456" t="str">
        <f t="shared" si="27"/>
        <v>0.00%</v>
      </c>
      <c r="P67" s="340">
        <f t="shared" ref="P67:P69" si="39">ROUND(L67*(LEFT(Q67,5)+1),0)</f>
        <v>0</v>
      </c>
      <c r="Q67" s="2488" t="str">
        <f>TEXT('MYP Assumptions'!$G$78,"0.00%")&amp;", CPI"</f>
        <v>3.36%, CPI</v>
      </c>
      <c r="R67" s="455"/>
      <c r="S67" s="2238"/>
      <c r="U67" s="455"/>
      <c r="V67" s="2429"/>
      <c r="W67" s="2241"/>
      <c r="Y67" s="455"/>
      <c r="AA67" s="456"/>
      <c r="AC67" s="455"/>
    </row>
    <row r="68" spans="1:29" s="340" customFormat="1" hidden="1" x14ac:dyDescent="0.25">
      <c r="A68" s="455"/>
      <c r="B68" s="2441"/>
      <c r="C68" s="2386"/>
      <c r="E68" s="2386"/>
      <c r="G68" s="456" t="str">
        <f t="shared" si="25"/>
        <v>0.00%</v>
      </c>
      <c r="H68" s="340">
        <f t="shared" si="36"/>
        <v>0</v>
      </c>
      <c r="I68" s="897" t="str">
        <f>TEXT('MYP Assumptions'!$E$78,"0.00%")&amp;", CPI"</f>
        <v>3.37%, CPI</v>
      </c>
      <c r="J68" s="455"/>
      <c r="K68" s="456" t="str">
        <f t="shared" si="26"/>
        <v>0.00%</v>
      </c>
      <c r="L68" s="340">
        <f t="shared" si="37"/>
        <v>0</v>
      </c>
      <c r="M68" s="2488" t="str">
        <f t="shared" si="38"/>
        <v>0.00%   reduction</v>
      </c>
      <c r="O68" s="456" t="str">
        <f t="shared" si="27"/>
        <v>0.00%</v>
      </c>
      <c r="P68" s="340">
        <f t="shared" si="39"/>
        <v>0</v>
      </c>
      <c r="Q68" s="2488" t="str">
        <f>TEXT('MYP Assumptions'!$G$78,"0.00%")&amp;", CPI"</f>
        <v>3.36%, CPI</v>
      </c>
      <c r="R68" s="455"/>
      <c r="S68" s="2238"/>
      <c r="U68" s="455"/>
      <c r="V68" s="2429"/>
      <c r="W68" s="2241"/>
      <c r="Y68" s="455"/>
      <c r="AA68" s="456"/>
      <c r="AC68" s="455"/>
    </row>
    <row r="69" spans="1:29" s="340" customFormat="1" hidden="1" x14ac:dyDescent="0.25">
      <c r="A69" s="455"/>
      <c r="B69" s="2441"/>
      <c r="C69" s="2386"/>
      <c r="E69" s="2386"/>
      <c r="G69" s="456" t="str">
        <f t="shared" si="25"/>
        <v>0.00%</v>
      </c>
      <c r="H69" s="340">
        <f t="shared" si="36"/>
        <v>0</v>
      </c>
      <c r="I69" s="897" t="str">
        <f>TEXT('MYP Assumptions'!$E$78,"0.00%")&amp;", CPI"</f>
        <v>3.37%, CPI</v>
      </c>
      <c r="J69" s="455"/>
      <c r="K69" s="456" t="str">
        <f t="shared" si="26"/>
        <v>0.00%</v>
      </c>
      <c r="L69" s="340">
        <f t="shared" si="37"/>
        <v>0</v>
      </c>
      <c r="M69" s="2488" t="str">
        <f t="shared" si="38"/>
        <v>0.00%   reduction</v>
      </c>
      <c r="O69" s="456" t="str">
        <f t="shared" si="27"/>
        <v>0.00%</v>
      </c>
      <c r="P69" s="340">
        <f t="shared" si="39"/>
        <v>0</v>
      </c>
      <c r="Q69" s="2488" t="str">
        <f>TEXT('MYP Assumptions'!$G$78,"0.00%")&amp;", CPI"</f>
        <v>3.36%, CPI</v>
      </c>
      <c r="R69" s="455"/>
      <c r="S69" s="2238" t="str">
        <f t="shared" si="28"/>
        <v>0.00%</v>
      </c>
      <c r="T69" s="340">
        <f t="shared" si="34"/>
        <v>0</v>
      </c>
      <c r="U69" s="455" t="str">
        <f>TEXT('MYP Assumptions'!H78,"0.00%")&amp;", CPI"</f>
        <v>3.23%, CPI</v>
      </c>
      <c r="V69" s="2429"/>
      <c r="W69" s="2241" t="str">
        <f t="shared" si="29"/>
        <v>0.00%</v>
      </c>
      <c r="X69" s="340">
        <f t="shared" si="32"/>
        <v>0</v>
      </c>
      <c r="Y69" s="455" t="str">
        <f>TEXT('MYP Assumptions'!I78,"0.00%")&amp;", CPI"</f>
        <v>2.73%, CPI</v>
      </c>
      <c r="AA69" s="456" t="str">
        <f t="shared" si="30"/>
        <v>0.00%</v>
      </c>
      <c r="AB69" s="340">
        <f t="shared" si="33"/>
        <v>0</v>
      </c>
      <c r="AC69" s="455" t="str">
        <f>TEXT('MYP Assumptions'!J78,"0.00%")&amp;", CPI"</f>
        <v>2.73%, CPI</v>
      </c>
    </row>
    <row r="70" spans="1:29" s="340" customFormat="1" x14ac:dyDescent="0.25">
      <c r="A70" s="459"/>
      <c r="B70" s="2451"/>
      <c r="C70" s="2386"/>
      <c r="D70" s="458">
        <f>SUM(D60:D69)</f>
        <v>0</v>
      </c>
      <c r="E70" s="2386"/>
      <c r="G70" s="456" t="str">
        <f t="shared" si="25"/>
        <v>0.00%</v>
      </c>
      <c r="H70" s="458">
        <f>SUM(H60:H69)</f>
        <v>58</v>
      </c>
      <c r="I70" s="2316">
        <f>+H70-D70</f>
        <v>58</v>
      </c>
      <c r="J70" s="459"/>
      <c r="K70" s="456">
        <f t="shared" si="26"/>
        <v>3.4482758620689655E-2</v>
      </c>
      <c r="L70" s="458">
        <f>SUM(L60:L69)</f>
        <v>60</v>
      </c>
      <c r="M70" s="2316">
        <f>+L70-H70</f>
        <v>2</v>
      </c>
      <c r="O70" s="456">
        <f t="shared" si="27"/>
        <v>0</v>
      </c>
      <c r="P70" s="458">
        <f>SUM(P60:P69)</f>
        <v>60</v>
      </c>
      <c r="Q70" s="2316">
        <f>+P70-L70</f>
        <v>0</v>
      </c>
      <c r="R70" s="455"/>
      <c r="S70" s="2238">
        <f t="shared" si="28"/>
        <v>0</v>
      </c>
      <c r="T70" s="458">
        <f>SUM(T60:T69)</f>
        <v>60</v>
      </c>
      <c r="U70" s="2370"/>
      <c r="V70" s="2429"/>
      <c r="W70" s="2241">
        <f t="shared" si="29"/>
        <v>3.3333333333333333E-2</v>
      </c>
      <c r="X70" s="458">
        <f>SUM(X60:X69)</f>
        <v>62</v>
      </c>
      <c r="Y70" s="2370"/>
      <c r="AA70" s="456">
        <f t="shared" si="30"/>
        <v>3.2258064516129031E-2</v>
      </c>
      <c r="AB70" s="458">
        <f>SUM(AB60:AB69)</f>
        <v>64</v>
      </c>
      <c r="AC70" s="2370"/>
    </row>
    <row r="71" spans="1:29" s="340" customFormat="1" x14ac:dyDescent="0.25">
      <c r="A71" s="455"/>
      <c r="B71" s="2487"/>
      <c r="C71" s="2386"/>
      <c r="E71" s="2386"/>
      <c r="G71" s="2338"/>
      <c r="I71" s="897"/>
      <c r="J71" s="455"/>
      <c r="K71" s="1668"/>
      <c r="M71" s="2340"/>
      <c r="O71" s="1668"/>
      <c r="Q71" s="2340"/>
      <c r="R71" s="455"/>
      <c r="S71" s="2341"/>
      <c r="U71" s="2370"/>
      <c r="V71" s="2429"/>
      <c r="W71" s="2343"/>
      <c r="Y71" s="2370"/>
      <c r="AA71" s="1668"/>
      <c r="AC71" s="2370"/>
    </row>
    <row r="72" spans="1:29" s="460" customFormat="1" x14ac:dyDescent="0.25">
      <c r="B72" s="2486" t="s">
        <v>16</v>
      </c>
      <c r="C72" s="868"/>
      <c r="E72" s="868"/>
      <c r="G72" s="2389"/>
      <c r="I72" s="868"/>
      <c r="K72" s="1669"/>
      <c r="M72" s="2390"/>
      <c r="O72" s="1669"/>
      <c r="Q72" s="2390"/>
      <c r="S72" s="1669"/>
      <c r="U72" s="2498"/>
      <c r="V72" s="2492"/>
      <c r="W72" s="2382"/>
      <c r="Y72" s="2498"/>
      <c r="AA72" s="1669"/>
      <c r="AC72" s="2498"/>
    </row>
    <row r="73" spans="1:29" s="340" customFormat="1" x14ac:dyDescent="0.25">
      <c r="A73" s="455"/>
      <c r="B73" s="2441">
        <v>5814</v>
      </c>
      <c r="C73" s="2386" t="s">
        <v>4</v>
      </c>
      <c r="D73" s="340">
        <v>0</v>
      </c>
      <c r="E73" s="2386"/>
      <c r="G73" s="456" t="str">
        <f t="shared" ref="G73:G78" si="40">IF(D73=0,"0.00%",(H73-D73)/D73)</f>
        <v>0.00%</v>
      </c>
      <c r="H73" s="340">
        <v>15466</v>
      </c>
      <c r="I73" s="897"/>
      <c r="J73" s="455"/>
      <c r="K73" s="456">
        <f t="shared" ref="K73:K83" si="41">IF(H73=0,"0.00%",(L73-H73)/H73)</f>
        <v>-4.2674253200568994E-3</v>
      </c>
      <c r="L73" s="340">
        <v>15400</v>
      </c>
      <c r="M73" s="2488"/>
      <c r="O73" s="456">
        <f t="shared" ref="O73:O83" si="42">IF(L73=0,"0.00%",(P73-L73)/L73)</f>
        <v>0</v>
      </c>
      <c r="P73" s="340">
        <f>+L73</f>
        <v>15400</v>
      </c>
      <c r="Q73" s="2488"/>
      <c r="R73" s="455"/>
      <c r="S73" s="2238">
        <f t="shared" ref="S73:S83" si="43">IF(P73=0,"0.00%",(T73-P73)/P73)</f>
        <v>0</v>
      </c>
      <c r="T73" s="340">
        <f>P73</f>
        <v>15400</v>
      </c>
      <c r="U73" s="455"/>
      <c r="V73" s="2429"/>
      <c r="W73" s="2241">
        <f t="shared" ref="W73:W83" si="44">IF(T73=0,"0.00%",(X73-T73)/T73)</f>
        <v>2.7272727272727271E-2</v>
      </c>
      <c r="X73" s="340">
        <f>ROUND(T73*(LEFT(Y73,5)+1),0)</f>
        <v>15820</v>
      </c>
      <c r="Y73" s="455" t="str">
        <f>TEXT('MYP Assumptions'!I78,"0.00%")&amp;", CPI"</f>
        <v>2.73%, CPI</v>
      </c>
      <c r="AA73" s="456">
        <f t="shared" ref="AA73:AA83" si="45">IF(X73=0,"0.00%",(AB73-X73)/X73)</f>
        <v>2.7307206068268017E-2</v>
      </c>
      <c r="AB73" s="340">
        <f>ROUND(X73*(LEFT(AC73,5)+1),0)</f>
        <v>16252</v>
      </c>
      <c r="AC73" s="455" t="str">
        <f>TEXT('MYP Assumptions'!J78,"0.00%")&amp;", CPI"</f>
        <v>2.73%, CPI</v>
      </c>
    </row>
    <row r="74" spans="1:29" s="340" customFormat="1" x14ac:dyDescent="0.25">
      <c r="A74" s="455"/>
      <c r="B74" s="2441">
        <v>5813</v>
      </c>
      <c r="C74" s="2386" t="s">
        <v>6</v>
      </c>
      <c r="D74" s="340">
        <v>0</v>
      </c>
      <c r="E74" s="2386"/>
      <c r="G74" s="456" t="str">
        <f t="shared" si="40"/>
        <v>0.00%</v>
      </c>
      <c r="H74" s="340">
        <v>0</v>
      </c>
      <c r="I74" s="2393"/>
      <c r="J74" s="455"/>
      <c r="K74" s="456" t="str">
        <f t="shared" si="41"/>
        <v>0.00%</v>
      </c>
      <c r="L74" s="340">
        <v>600</v>
      </c>
      <c r="M74" s="2488"/>
      <c r="O74" s="456">
        <f t="shared" si="42"/>
        <v>0</v>
      </c>
      <c r="P74" s="340">
        <f>L74</f>
        <v>600</v>
      </c>
      <c r="Q74" s="2488"/>
      <c r="R74" s="455"/>
      <c r="S74" s="2238">
        <f t="shared" si="43"/>
        <v>0</v>
      </c>
      <c r="T74" s="340">
        <f>P74</f>
        <v>600</v>
      </c>
      <c r="U74" s="455"/>
      <c r="V74" s="2429"/>
      <c r="W74" s="2241">
        <f t="shared" si="44"/>
        <v>2.6666666666666668E-2</v>
      </c>
      <c r="X74" s="340">
        <f t="shared" ref="X74:X82" si="46">ROUND(T74*(LEFT(Y74,5)+1),0)</f>
        <v>616</v>
      </c>
      <c r="Y74" s="455" t="str">
        <f>TEXT('MYP Assumptions'!I78,"0.00%")&amp;", CPI"</f>
        <v>2.73%, CPI</v>
      </c>
      <c r="AA74" s="456">
        <f t="shared" si="45"/>
        <v>2.7597402597402596E-2</v>
      </c>
      <c r="AB74" s="340">
        <f t="shared" ref="AB74:AB82" si="47">ROUND(X74*(LEFT(AC74,5)+1),0)</f>
        <v>633</v>
      </c>
      <c r="AC74" s="455" t="str">
        <f>TEXT('MYP Assumptions'!J78,"0.00%")&amp;", CPI"</f>
        <v>2.73%, CPI</v>
      </c>
    </row>
    <row r="75" spans="1:29" s="340" customFormat="1" hidden="1" x14ac:dyDescent="0.25">
      <c r="A75" s="455"/>
      <c r="B75" s="2441"/>
      <c r="C75" s="2386"/>
      <c r="D75" s="340">
        <v>0</v>
      </c>
      <c r="E75" s="2386"/>
      <c r="G75" s="456" t="str">
        <f t="shared" si="40"/>
        <v>0.00%</v>
      </c>
      <c r="H75" s="340">
        <v>0</v>
      </c>
      <c r="I75" s="897"/>
      <c r="J75" s="455"/>
      <c r="K75" s="456" t="str">
        <f t="shared" si="41"/>
        <v>0.00%</v>
      </c>
      <c r="L75" s="340">
        <f t="shared" ref="L75:L82" si="48">ROUND(H75*(LEFT(M75,5)+1),0)</f>
        <v>0</v>
      </c>
      <c r="M75" s="2488" t="str">
        <f>TEXT('MYP Assumptions'!F78,"0.00%")&amp;", CPI"</f>
        <v>3.58%, CPI</v>
      </c>
      <c r="O75" s="456" t="str">
        <f t="shared" si="42"/>
        <v>0.00%</v>
      </c>
      <c r="P75" s="340">
        <f t="shared" ref="P75:P82" si="49">ROUND(L75*(LEFT(Q75,5)+1),0)</f>
        <v>0</v>
      </c>
      <c r="Q75" s="2488" t="str">
        <f>TEXT('MYP Assumptions'!G78,"0.00%")&amp;", CPI"</f>
        <v>3.36%, CPI</v>
      </c>
      <c r="R75" s="455"/>
      <c r="S75" s="2238" t="str">
        <f t="shared" si="43"/>
        <v>0.00%</v>
      </c>
      <c r="T75" s="340">
        <f t="shared" ref="T75:T82" si="50">ROUND(P75*(LEFT(U75,5)+1),0)</f>
        <v>0</v>
      </c>
      <c r="U75" s="455" t="str">
        <f>TEXT('MYP Assumptions'!H78,"0.00%")&amp;", CPI"</f>
        <v>3.23%, CPI</v>
      </c>
      <c r="V75" s="2429"/>
      <c r="W75" s="2241" t="str">
        <f t="shared" si="44"/>
        <v>0.00%</v>
      </c>
      <c r="X75" s="340">
        <f t="shared" si="46"/>
        <v>0</v>
      </c>
      <c r="Y75" s="455" t="str">
        <f>TEXT('MYP Assumptions'!I78,"0.00%")&amp;", CPI"</f>
        <v>2.73%, CPI</v>
      </c>
      <c r="AA75" s="456" t="str">
        <f t="shared" si="45"/>
        <v>0.00%</v>
      </c>
      <c r="AB75" s="340">
        <f t="shared" si="47"/>
        <v>0</v>
      </c>
      <c r="AC75" s="455" t="str">
        <f>TEXT('MYP Assumptions'!J78,"0.00%")&amp;", CPI"</f>
        <v>2.73%, CPI</v>
      </c>
    </row>
    <row r="76" spans="1:29" s="340" customFormat="1" hidden="1" x14ac:dyDescent="0.25">
      <c r="A76" s="455"/>
      <c r="B76" s="2441"/>
      <c r="C76" s="2386"/>
      <c r="D76" s="340">
        <v>0</v>
      </c>
      <c r="E76" s="2386"/>
      <c r="G76" s="456" t="str">
        <f t="shared" si="40"/>
        <v>0.00%</v>
      </c>
      <c r="H76" s="340">
        <v>0</v>
      </c>
      <c r="I76" s="897"/>
      <c r="J76" s="455"/>
      <c r="K76" s="456" t="str">
        <f t="shared" si="41"/>
        <v>0.00%</v>
      </c>
      <c r="L76" s="340">
        <f>ROUND(H76*(LEFT(M76,5)+1),0)</f>
        <v>0</v>
      </c>
      <c r="M76" s="2488" t="str">
        <f>TEXT('MYP Assumptions'!$F$78,"0.00%")&amp;", CPI"</f>
        <v>3.58%, CPI</v>
      </c>
      <c r="O76" s="456" t="str">
        <f t="shared" si="42"/>
        <v>0.00%</v>
      </c>
      <c r="P76" s="340">
        <f t="shared" si="49"/>
        <v>0</v>
      </c>
      <c r="Q76" s="2488" t="str">
        <f>TEXT('MYP Assumptions'!$G$78,"0.00%")&amp;", CPI"</f>
        <v>3.36%, CPI</v>
      </c>
      <c r="R76" s="455"/>
      <c r="S76" s="2238" t="str">
        <f t="shared" si="43"/>
        <v>0.00%</v>
      </c>
      <c r="T76" s="340">
        <f t="shared" si="50"/>
        <v>0</v>
      </c>
      <c r="U76" s="455" t="str">
        <f>TEXT('MYP Assumptions'!H78,"0.00%")&amp;", CPI"</f>
        <v>3.23%, CPI</v>
      </c>
      <c r="V76" s="2429"/>
      <c r="W76" s="2241" t="str">
        <f t="shared" si="44"/>
        <v>0.00%</v>
      </c>
      <c r="X76" s="340">
        <f t="shared" si="46"/>
        <v>0</v>
      </c>
      <c r="Y76" s="455" t="str">
        <f>TEXT('MYP Assumptions'!I78,"0.00%")&amp;", CPI"</f>
        <v>2.73%, CPI</v>
      </c>
      <c r="AA76" s="456" t="str">
        <f t="shared" si="45"/>
        <v>0.00%</v>
      </c>
      <c r="AB76" s="340">
        <f t="shared" si="47"/>
        <v>0</v>
      </c>
      <c r="AC76" s="455" t="str">
        <f>TEXT('MYP Assumptions'!J78,"0.00%")&amp;", CPI"</f>
        <v>2.73%, CPI</v>
      </c>
    </row>
    <row r="77" spans="1:29" s="340" customFormat="1" hidden="1" x14ac:dyDescent="0.25">
      <c r="A77" s="455"/>
      <c r="B77" s="2441"/>
      <c r="C77" s="2386"/>
      <c r="D77" s="340">
        <v>0</v>
      </c>
      <c r="E77" s="2386"/>
      <c r="G77" s="456" t="str">
        <f t="shared" si="40"/>
        <v>0.00%</v>
      </c>
      <c r="H77" s="340">
        <v>0</v>
      </c>
      <c r="I77" s="897"/>
      <c r="J77" s="455"/>
      <c r="K77" s="456" t="str">
        <f t="shared" si="41"/>
        <v>0.00%</v>
      </c>
      <c r="L77" s="340">
        <f>+H77</f>
        <v>0</v>
      </c>
      <c r="M77" s="2488" t="str">
        <f>TEXT('MYP Assumptions'!$F$78,"0.00%")&amp;", CPI"</f>
        <v>3.58%, CPI</v>
      </c>
      <c r="O77" s="456" t="str">
        <f t="shared" si="42"/>
        <v>0.00%</v>
      </c>
      <c r="P77" s="340">
        <f>+L77</f>
        <v>0</v>
      </c>
      <c r="Q77" s="2488" t="str">
        <f>TEXT('MYP Assumptions'!$G$78,"0.00%")&amp;", CPI"</f>
        <v>3.36%, CPI</v>
      </c>
      <c r="R77" s="455"/>
      <c r="S77" s="2238" t="str">
        <f t="shared" si="43"/>
        <v>0.00%</v>
      </c>
      <c r="T77" s="340">
        <f t="shared" si="50"/>
        <v>0</v>
      </c>
      <c r="U77" s="455" t="str">
        <f>TEXT('MYP Assumptions'!H78,"0.00%")&amp;", CPI"</f>
        <v>3.23%, CPI</v>
      </c>
      <c r="V77" s="2429"/>
      <c r="W77" s="2241" t="str">
        <f t="shared" si="44"/>
        <v>0.00%</v>
      </c>
      <c r="X77" s="340">
        <f t="shared" si="46"/>
        <v>0</v>
      </c>
      <c r="Y77" s="455" t="str">
        <f>TEXT('MYP Assumptions'!I78,"0.00%")&amp;", CPI"</f>
        <v>2.73%, CPI</v>
      </c>
      <c r="AA77" s="456" t="str">
        <f t="shared" si="45"/>
        <v>0.00%</v>
      </c>
      <c r="AB77" s="340">
        <f t="shared" si="47"/>
        <v>0</v>
      </c>
      <c r="AC77" s="455" t="str">
        <f>TEXT('MYP Assumptions'!J78,"0.00%")&amp;", CPI"</f>
        <v>2.73%, CPI</v>
      </c>
    </row>
    <row r="78" spans="1:29" s="340" customFormat="1" hidden="1" x14ac:dyDescent="0.25">
      <c r="A78" s="455"/>
      <c r="B78" s="2441"/>
      <c r="C78" s="2386"/>
      <c r="D78" s="340">
        <v>0</v>
      </c>
      <c r="E78" s="2386"/>
      <c r="G78" s="456" t="str">
        <f t="shared" si="40"/>
        <v>0.00%</v>
      </c>
      <c r="H78" s="340">
        <v>0</v>
      </c>
      <c r="I78" s="897"/>
      <c r="J78" s="455"/>
      <c r="K78" s="456" t="str">
        <f t="shared" si="41"/>
        <v>0.00%</v>
      </c>
      <c r="L78" s="340">
        <f t="shared" si="48"/>
        <v>0</v>
      </c>
      <c r="M78" s="2488" t="str">
        <f>TEXT('MYP Assumptions'!F78,"0.00%")&amp;", CPI"</f>
        <v>3.58%, CPI</v>
      </c>
      <c r="O78" s="456" t="str">
        <f t="shared" si="42"/>
        <v>0.00%</v>
      </c>
      <c r="P78" s="340">
        <f t="shared" si="49"/>
        <v>0</v>
      </c>
      <c r="Q78" s="2488" t="str">
        <f>TEXT('MYP Assumptions'!G78,"0.00%")&amp;", CPI"</f>
        <v>3.36%, CPI</v>
      </c>
      <c r="R78" s="455"/>
      <c r="S78" s="2238" t="str">
        <f t="shared" si="43"/>
        <v>0.00%</v>
      </c>
      <c r="T78" s="340">
        <f t="shared" si="50"/>
        <v>0</v>
      </c>
      <c r="U78" s="455" t="str">
        <f>TEXT('MYP Assumptions'!H78,"0.00%")&amp;", CPI"</f>
        <v>3.23%, CPI</v>
      </c>
      <c r="V78" s="2429"/>
      <c r="W78" s="2241" t="str">
        <f t="shared" si="44"/>
        <v>0.00%</v>
      </c>
      <c r="X78" s="340">
        <f t="shared" si="46"/>
        <v>0</v>
      </c>
      <c r="Y78" s="455" t="str">
        <f>TEXT('MYP Assumptions'!I78,"0.00%")&amp;", CPI"</f>
        <v>2.73%, CPI</v>
      </c>
      <c r="AA78" s="456" t="str">
        <f t="shared" si="45"/>
        <v>0.00%</v>
      </c>
      <c r="AB78" s="340">
        <f t="shared" si="47"/>
        <v>0</v>
      </c>
      <c r="AC78" s="455" t="str">
        <f>TEXT('MYP Assumptions'!J78,"0.00%")&amp;", CPI"</f>
        <v>2.73%, CPI</v>
      </c>
    </row>
    <row r="79" spans="1:29" s="340" customFormat="1" hidden="1" x14ac:dyDescent="0.25">
      <c r="A79" s="455"/>
      <c r="B79" s="2441"/>
      <c r="C79" s="2386"/>
      <c r="D79" s="340">
        <v>0</v>
      </c>
      <c r="E79" s="2386"/>
      <c r="G79" s="456" t="str">
        <f>IF(D79=0,"0.00%",(H79-D79)/D79)</f>
        <v>0.00%</v>
      </c>
      <c r="H79" s="340">
        <v>0</v>
      </c>
      <c r="I79" s="897"/>
      <c r="J79" s="455"/>
      <c r="K79" s="456" t="str">
        <f t="shared" si="41"/>
        <v>0.00%</v>
      </c>
      <c r="L79" s="340">
        <f t="shared" si="48"/>
        <v>0</v>
      </c>
      <c r="M79" s="2488" t="str">
        <f>TEXT('MYP Assumptions'!F78,"0.00%")&amp;", CPI"</f>
        <v>3.58%, CPI</v>
      </c>
      <c r="O79" s="456" t="str">
        <f t="shared" si="42"/>
        <v>0.00%</v>
      </c>
      <c r="P79" s="340">
        <f t="shared" si="49"/>
        <v>0</v>
      </c>
      <c r="Q79" s="2488" t="str">
        <f>TEXT('MYP Assumptions'!G78,"0.00%")&amp;", CPI"</f>
        <v>3.36%, CPI</v>
      </c>
      <c r="R79" s="455"/>
      <c r="S79" s="2238" t="str">
        <f t="shared" si="43"/>
        <v>0.00%</v>
      </c>
      <c r="T79" s="340">
        <f t="shared" si="50"/>
        <v>0</v>
      </c>
      <c r="U79" s="455" t="str">
        <f>TEXT('MYP Assumptions'!H78,"0.00%")&amp;", CPI"</f>
        <v>3.23%, CPI</v>
      </c>
      <c r="V79" s="2429"/>
      <c r="W79" s="2241" t="str">
        <f t="shared" si="44"/>
        <v>0.00%</v>
      </c>
      <c r="X79" s="340">
        <f t="shared" si="46"/>
        <v>0</v>
      </c>
      <c r="Y79" s="455" t="str">
        <f>TEXT('MYP Assumptions'!I78,"0.00%")&amp;", CPI"</f>
        <v>2.73%, CPI</v>
      </c>
      <c r="AA79" s="456" t="str">
        <f t="shared" si="45"/>
        <v>0.00%</v>
      </c>
      <c r="AB79" s="340">
        <f t="shared" si="47"/>
        <v>0</v>
      </c>
      <c r="AC79" s="455" t="str">
        <f>TEXT('MYP Assumptions'!J78,"0.00%")&amp;", CPI"</f>
        <v>2.73%, CPI</v>
      </c>
    </row>
    <row r="80" spans="1:29" s="340" customFormat="1" hidden="1" x14ac:dyDescent="0.25">
      <c r="A80" s="455"/>
      <c r="B80" s="2441"/>
      <c r="C80" s="2386"/>
      <c r="D80" s="340">
        <v>0</v>
      </c>
      <c r="E80" s="2386"/>
      <c r="G80" s="456" t="str">
        <f t="shared" ref="G80:G83" si="51">IF(D80=0,"0.00%",(H80-D80)/D80)</f>
        <v>0.00%</v>
      </c>
      <c r="H80" s="340">
        <v>0</v>
      </c>
      <c r="I80" s="897"/>
      <c r="J80" s="455"/>
      <c r="K80" s="456" t="str">
        <f t="shared" si="41"/>
        <v>0.00%</v>
      </c>
      <c r="L80" s="340">
        <f t="shared" si="48"/>
        <v>0</v>
      </c>
      <c r="M80" s="2488" t="str">
        <f>TEXT('MYP Assumptions'!F78,"0.00%")&amp;", CPI"</f>
        <v>3.58%, CPI</v>
      </c>
      <c r="O80" s="456" t="str">
        <f t="shared" si="42"/>
        <v>0.00%</v>
      </c>
      <c r="P80" s="340">
        <f t="shared" si="49"/>
        <v>0</v>
      </c>
      <c r="Q80" s="2488" t="str">
        <f>TEXT('MYP Assumptions'!G78,"0.00%")&amp;", CPI"</f>
        <v>3.36%, CPI</v>
      </c>
      <c r="R80" s="455"/>
      <c r="S80" s="2238" t="str">
        <f t="shared" si="43"/>
        <v>0.00%</v>
      </c>
      <c r="T80" s="340">
        <f t="shared" si="50"/>
        <v>0</v>
      </c>
      <c r="U80" s="455" t="str">
        <f>TEXT('MYP Assumptions'!H78,"0.00%")&amp;", CPI"</f>
        <v>3.23%, CPI</v>
      </c>
      <c r="V80" s="2429"/>
      <c r="W80" s="2241" t="str">
        <f t="shared" si="44"/>
        <v>0.00%</v>
      </c>
      <c r="X80" s="340">
        <f t="shared" si="46"/>
        <v>0</v>
      </c>
      <c r="Y80" s="455" t="str">
        <f>TEXT('MYP Assumptions'!I78,"0.00%")&amp;", CPI"</f>
        <v>2.73%, CPI</v>
      </c>
      <c r="AA80" s="456" t="str">
        <f t="shared" si="45"/>
        <v>0.00%</v>
      </c>
      <c r="AB80" s="340">
        <f t="shared" si="47"/>
        <v>0</v>
      </c>
      <c r="AC80" s="455" t="str">
        <f>TEXT('MYP Assumptions'!J78,"0.00%")&amp;", CPI"</f>
        <v>2.73%, CPI</v>
      </c>
    </row>
    <row r="81" spans="1:29" s="340" customFormat="1" hidden="1" x14ac:dyDescent="0.25">
      <c r="A81" s="455"/>
      <c r="B81" s="2441"/>
      <c r="C81" s="2386"/>
      <c r="D81" s="340">
        <v>0</v>
      </c>
      <c r="E81" s="2386"/>
      <c r="G81" s="456" t="str">
        <f t="shared" si="51"/>
        <v>0.00%</v>
      </c>
      <c r="H81" s="340">
        <v>0</v>
      </c>
      <c r="I81" s="897"/>
      <c r="J81" s="455"/>
      <c r="K81" s="456" t="str">
        <f t="shared" si="41"/>
        <v>0.00%</v>
      </c>
      <c r="L81" s="340">
        <f t="shared" si="48"/>
        <v>0</v>
      </c>
      <c r="M81" s="2488" t="str">
        <f>TEXT('MYP Assumptions'!F78,"0.00%")&amp;", CPI"</f>
        <v>3.58%, CPI</v>
      </c>
      <c r="O81" s="456" t="str">
        <f t="shared" si="42"/>
        <v>0.00%</v>
      </c>
      <c r="P81" s="340">
        <f t="shared" si="49"/>
        <v>0</v>
      </c>
      <c r="Q81" s="2488" t="str">
        <f>TEXT('MYP Assumptions'!G78,"0.00%")&amp;", CPI"</f>
        <v>3.36%, CPI</v>
      </c>
      <c r="R81" s="455"/>
      <c r="S81" s="2238" t="str">
        <f t="shared" si="43"/>
        <v>0.00%</v>
      </c>
      <c r="T81" s="340">
        <f t="shared" si="50"/>
        <v>0</v>
      </c>
      <c r="U81" s="455" t="str">
        <f>TEXT('MYP Assumptions'!H78,"0.00%")&amp;", CPI"</f>
        <v>3.23%, CPI</v>
      </c>
      <c r="V81" s="2429"/>
      <c r="W81" s="2241" t="str">
        <f t="shared" si="44"/>
        <v>0.00%</v>
      </c>
      <c r="X81" s="340">
        <f t="shared" si="46"/>
        <v>0</v>
      </c>
      <c r="Y81" s="455" t="str">
        <f>TEXT('MYP Assumptions'!I78,"0.00%")&amp;", CPI"</f>
        <v>2.73%, CPI</v>
      </c>
      <c r="AA81" s="456" t="str">
        <f t="shared" si="45"/>
        <v>0.00%</v>
      </c>
      <c r="AB81" s="340">
        <f t="shared" si="47"/>
        <v>0</v>
      </c>
      <c r="AC81" s="455" t="str">
        <f>TEXT('MYP Assumptions'!J78,"0.00%")&amp;", CPI"</f>
        <v>2.73%, CPI</v>
      </c>
    </row>
    <row r="82" spans="1:29" s="340" customFormat="1" hidden="1" x14ac:dyDescent="0.25">
      <c r="A82" s="455"/>
      <c r="B82" s="2441"/>
      <c r="C82" s="2386"/>
      <c r="D82" s="340">
        <v>0</v>
      </c>
      <c r="E82" s="2386"/>
      <c r="G82" s="456" t="str">
        <f t="shared" si="51"/>
        <v>0.00%</v>
      </c>
      <c r="H82" s="340">
        <v>0</v>
      </c>
      <c r="I82" s="897"/>
      <c r="J82" s="455"/>
      <c r="K82" s="456" t="str">
        <f t="shared" si="41"/>
        <v>0.00%</v>
      </c>
      <c r="L82" s="340">
        <f t="shared" si="48"/>
        <v>0</v>
      </c>
      <c r="M82" s="2488" t="str">
        <f>TEXT('MYP Assumptions'!F78,"0.00%")&amp;", CPI"</f>
        <v>3.58%, CPI</v>
      </c>
      <c r="O82" s="456" t="str">
        <f t="shared" si="42"/>
        <v>0.00%</v>
      </c>
      <c r="P82" s="340">
        <f t="shared" si="49"/>
        <v>0</v>
      </c>
      <c r="Q82" s="2488" t="str">
        <f>TEXT('MYP Assumptions'!G78,"0.00%")&amp;", CPI"</f>
        <v>3.36%, CPI</v>
      </c>
      <c r="R82" s="455"/>
      <c r="S82" s="2238" t="str">
        <f t="shared" si="43"/>
        <v>0.00%</v>
      </c>
      <c r="T82" s="340">
        <f t="shared" si="50"/>
        <v>0</v>
      </c>
      <c r="U82" s="455" t="str">
        <f>TEXT('MYP Assumptions'!H78,"0.00%")&amp;", CPI"</f>
        <v>3.23%, CPI</v>
      </c>
      <c r="V82" s="2429"/>
      <c r="W82" s="2241" t="str">
        <f t="shared" si="44"/>
        <v>0.00%</v>
      </c>
      <c r="X82" s="340">
        <f t="shared" si="46"/>
        <v>0</v>
      </c>
      <c r="Y82" s="455" t="str">
        <f>TEXT('MYP Assumptions'!I78,"0.00%")&amp;", CPI"</f>
        <v>2.73%, CPI</v>
      </c>
      <c r="AA82" s="456" t="str">
        <f t="shared" si="45"/>
        <v>0.00%</v>
      </c>
      <c r="AB82" s="340">
        <f t="shared" si="47"/>
        <v>0</v>
      </c>
      <c r="AC82" s="455" t="str">
        <f>TEXT('MYP Assumptions'!J78,"0.00%")&amp;", CPI"</f>
        <v>2.73%, CPI</v>
      </c>
    </row>
    <row r="83" spans="1:29" s="340" customFormat="1" x14ac:dyDescent="0.25">
      <c r="A83" s="459"/>
      <c r="B83" s="2487"/>
      <c r="C83" s="2386"/>
      <c r="D83" s="458">
        <f>SUM(D73:D82)</f>
        <v>0</v>
      </c>
      <c r="E83" s="2386"/>
      <c r="G83" s="456" t="str">
        <f t="shared" si="51"/>
        <v>0.00%</v>
      </c>
      <c r="H83" s="458">
        <f>SUM(H73:H82)</f>
        <v>15466</v>
      </c>
      <c r="I83" s="2316">
        <f>+H83-D83</f>
        <v>15466</v>
      </c>
      <c r="J83" s="459"/>
      <c r="K83" s="456">
        <f t="shared" si="41"/>
        <v>3.4527350316824003E-2</v>
      </c>
      <c r="L83" s="458">
        <f>SUM(L73:L82)</f>
        <v>16000</v>
      </c>
      <c r="M83" s="2316">
        <f>+L83-H83</f>
        <v>534</v>
      </c>
      <c r="O83" s="456">
        <f t="shared" si="42"/>
        <v>0</v>
      </c>
      <c r="P83" s="458">
        <f>SUM(P73:P82)</f>
        <v>16000</v>
      </c>
      <c r="Q83" s="2316">
        <f>+P83-L83</f>
        <v>0</v>
      </c>
      <c r="R83" s="455"/>
      <c r="S83" s="2238">
        <f t="shared" si="43"/>
        <v>0</v>
      </c>
      <c r="T83" s="458">
        <f>SUM(T73:T82)</f>
        <v>16000</v>
      </c>
      <c r="U83" s="2370"/>
      <c r="V83" s="2429"/>
      <c r="W83" s="2241">
        <f t="shared" si="44"/>
        <v>2.725E-2</v>
      </c>
      <c r="X83" s="458">
        <f>SUM(X73:X82)</f>
        <v>16436</v>
      </c>
      <c r="Y83" s="2370"/>
      <c r="AA83" s="456">
        <f t="shared" si="45"/>
        <v>2.7318082258457044E-2</v>
      </c>
      <c r="AB83" s="458">
        <f>SUM(AB73:AB82)</f>
        <v>16885</v>
      </c>
      <c r="AC83" s="2370"/>
    </row>
    <row r="84" spans="1:29" s="340" customFormat="1" x14ac:dyDescent="0.25">
      <c r="A84" s="455"/>
      <c r="B84" s="2486"/>
      <c r="C84" s="2386"/>
      <c r="E84" s="2386"/>
      <c r="G84" s="456"/>
      <c r="I84" s="897"/>
      <c r="J84" s="455"/>
      <c r="K84" s="1668"/>
      <c r="M84" s="2340"/>
      <c r="O84" s="1668"/>
      <c r="Q84" s="2340"/>
      <c r="R84" s="455"/>
      <c r="S84" s="2341"/>
      <c r="U84" s="2370"/>
      <c r="V84" s="2429"/>
      <c r="W84" s="2343"/>
      <c r="Y84" s="2370"/>
      <c r="AA84" s="1668"/>
      <c r="AC84" s="2370"/>
    </row>
    <row r="85" spans="1:29" s="457" customFormat="1" x14ac:dyDescent="0.25">
      <c r="A85" s="897"/>
      <c r="B85" s="2337" t="s">
        <v>328</v>
      </c>
      <c r="C85" s="1656"/>
      <c r="D85" s="340"/>
      <c r="E85" s="2386"/>
      <c r="F85" s="340"/>
      <c r="G85" s="456"/>
      <c r="H85" s="340"/>
      <c r="I85" s="897"/>
      <c r="J85" s="455"/>
      <c r="K85" s="1668"/>
      <c r="L85" s="340"/>
      <c r="M85" s="901"/>
      <c r="O85" s="1668"/>
      <c r="P85" s="340"/>
      <c r="Q85" s="901"/>
      <c r="R85" s="592"/>
      <c r="S85" s="2341"/>
      <c r="T85" s="340"/>
      <c r="U85" s="2344"/>
      <c r="V85" s="952"/>
      <c r="W85" s="2343"/>
      <c r="X85" s="340"/>
      <c r="Y85" s="2344"/>
      <c r="AA85" s="1668"/>
      <c r="AB85" s="340"/>
      <c r="AC85" s="2344"/>
    </row>
    <row r="86" spans="1:29" s="457" customFormat="1" x14ac:dyDescent="0.25">
      <c r="A86" s="897"/>
      <c r="B86" s="2385">
        <v>6400</v>
      </c>
      <c r="C86" s="1656" t="s">
        <v>329</v>
      </c>
      <c r="D86" s="340">
        <v>0</v>
      </c>
      <c r="E86" s="2386"/>
      <c r="F86" s="340"/>
      <c r="G86" s="456"/>
      <c r="H86" s="340">
        <v>0</v>
      </c>
      <c r="I86" s="897"/>
      <c r="J86" s="455"/>
      <c r="K86" s="456"/>
      <c r="L86" s="340">
        <v>0</v>
      </c>
      <c r="M86" s="901"/>
      <c r="O86" s="456"/>
      <c r="P86" s="340">
        <v>0</v>
      </c>
      <c r="Q86" s="901"/>
      <c r="R86" s="592"/>
      <c r="S86" s="2238"/>
      <c r="T86" s="340">
        <v>0</v>
      </c>
      <c r="U86" s="2344"/>
      <c r="V86" s="952"/>
      <c r="W86" s="2241"/>
      <c r="X86" s="340">
        <v>0</v>
      </c>
      <c r="Y86" s="2344"/>
      <c r="AA86" s="456"/>
      <c r="AB86" s="340">
        <v>0</v>
      </c>
      <c r="AC86" s="2344"/>
    </row>
    <row r="87" spans="1:29" s="457" customFormat="1" ht="23.25" hidden="1" customHeight="1" x14ac:dyDescent="0.25">
      <c r="A87" s="897"/>
      <c r="B87" s="2385"/>
      <c r="C87" s="1656"/>
      <c r="D87" s="340">
        <v>0</v>
      </c>
      <c r="E87" s="2386"/>
      <c r="F87" s="340"/>
      <c r="G87" s="456"/>
      <c r="H87" s="340">
        <v>0</v>
      </c>
      <c r="I87" s="897"/>
      <c r="J87" s="455"/>
      <c r="K87" s="456"/>
      <c r="L87" s="340">
        <v>0</v>
      </c>
      <c r="M87" s="901"/>
      <c r="O87" s="456"/>
      <c r="P87" s="340">
        <v>0</v>
      </c>
      <c r="Q87" s="901"/>
      <c r="R87" s="592"/>
      <c r="S87" s="2238"/>
      <c r="T87" s="340">
        <v>0</v>
      </c>
      <c r="U87" s="2344"/>
      <c r="V87" s="952"/>
      <c r="W87" s="2241"/>
      <c r="X87" s="340">
        <v>0</v>
      </c>
      <c r="Y87" s="2344"/>
      <c r="AA87" s="456"/>
      <c r="AB87" s="340">
        <v>0</v>
      </c>
      <c r="AC87" s="2344"/>
    </row>
    <row r="88" spans="1:29" s="457" customFormat="1" hidden="1" x14ac:dyDescent="0.25">
      <c r="A88" s="897"/>
      <c r="B88" s="2337"/>
      <c r="C88" s="1656"/>
      <c r="D88" s="340">
        <v>0</v>
      </c>
      <c r="E88" s="2386"/>
      <c r="F88" s="340"/>
      <c r="G88" s="456"/>
      <c r="H88" s="340">
        <v>0</v>
      </c>
      <c r="I88" s="897"/>
      <c r="J88" s="455"/>
      <c r="K88" s="456"/>
      <c r="L88" s="340">
        <v>0</v>
      </c>
      <c r="M88" s="901"/>
      <c r="O88" s="456"/>
      <c r="P88" s="340">
        <v>0</v>
      </c>
      <c r="Q88" s="901"/>
      <c r="R88" s="592"/>
      <c r="S88" s="2238"/>
      <c r="T88" s="340">
        <v>0</v>
      </c>
      <c r="U88" s="2344"/>
      <c r="V88" s="952"/>
      <c r="W88" s="2241"/>
      <c r="X88" s="340">
        <v>0</v>
      </c>
      <c r="Y88" s="2344"/>
      <c r="AA88" s="456"/>
      <c r="AB88" s="340">
        <v>0</v>
      </c>
      <c r="AC88" s="2344"/>
    </row>
    <row r="89" spans="1:29" s="457" customFormat="1" x14ac:dyDescent="0.25">
      <c r="A89" s="897"/>
      <c r="B89" s="2337"/>
      <c r="C89" s="1656"/>
      <c r="D89" s="2368">
        <f>SUM(D86:D88)</f>
        <v>0</v>
      </c>
      <c r="E89" s="2386"/>
      <c r="F89" s="340"/>
      <c r="G89" s="456"/>
      <c r="H89" s="2368">
        <f>SUM(H86:H88)</f>
        <v>0</v>
      </c>
      <c r="I89" s="897"/>
      <c r="J89" s="455"/>
      <c r="K89" s="456"/>
      <c r="L89" s="2368">
        <f>SUM(L86:L88)</f>
        <v>0</v>
      </c>
      <c r="M89" s="901"/>
      <c r="O89" s="456"/>
      <c r="P89" s="2368">
        <f>SUM(P86:P88)</f>
        <v>0</v>
      </c>
      <c r="Q89" s="901"/>
      <c r="R89" s="592"/>
      <c r="S89" s="2238"/>
      <c r="T89" s="2368">
        <f>SUM(T86:T88)</f>
        <v>0</v>
      </c>
      <c r="U89" s="2344"/>
      <c r="V89" s="952"/>
      <c r="W89" s="2241"/>
      <c r="X89" s="2368">
        <f>SUM(X86:X88)</f>
        <v>0</v>
      </c>
      <c r="Y89" s="2344"/>
      <c r="AA89" s="456"/>
      <c r="AB89" s="2368">
        <f>SUM(AB86:AB88)</f>
        <v>0</v>
      </c>
      <c r="AC89" s="2344"/>
    </row>
    <row r="90" spans="1:29" s="457" customFormat="1" x14ac:dyDescent="0.25">
      <c r="A90" s="897"/>
      <c r="B90" s="2345"/>
      <c r="C90" s="1656"/>
      <c r="D90" s="340"/>
      <c r="E90" s="2386"/>
      <c r="F90" s="340"/>
      <c r="G90" s="2338"/>
      <c r="H90" s="340"/>
      <c r="I90" s="897"/>
      <c r="J90" s="455"/>
      <c r="K90" s="2338"/>
      <c r="L90" s="340"/>
      <c r="M90" s="901"/>
      <c r="O90" s="2338"/>
      <c r="P90" s="340"/>
      <c r="Q90" s="901"/>
      <c r="R90" s="592"/>
      <c r="S90" s="2355"/>
      <c r="T90" s="340"/>
      <c r="U90" s="2344"/>
      <c r="V90" s="952"/>
      <c r="W90" s="2357"/>
      <c r="X90" s="340"/>
      <c r="Y90" s="2344"/>
      <c r="AA90" s="2338"/>
      <c r="AB90" s="340"/>
      <c r="AC90" s="2344"/>
    </row>
    <row r="91" spans="1:29" s="457" customFormat="1" x14ac:dyDescent="0.25">
      <c r="A91" s="897"/>
      <c r="B91" s="2337" t="s">
        <v>518</v>
      </c>
      <c r="C91" s="1656"/>
      <c r="D91" s="340"/>
      <c r="E91" s="2386"/>
      <c r="F91" s="340"/>
      <c r="G91" s="456"/>
      <c r="H91" s="340"/>
      <c r="I91" s="897"/>
      <c r="J91" s="455"/>
      <c r="K91" s="1668"/>
      <c r="L91" s="340"/>
      <c r="M91" s="901"/>
      <c r="O91" s="1668"/>
      <c r="P91" s="340"/>
      <c r="Q91" s="901"/>
      <c r="R91" s="592"/>
      <c r="S91" s="2341"/>
      <c r="T91" s="340"/>
      <c r="U91" s="2344"/>
      <c r="V91" s="952"/>
      <c r="W91" s="2343"/>
      <c r="X91" s="340"/>
      <c r="Y91" s="2344"/>
      <c r="AA91" s="1668"/>
      <c r="AB91" s="340"/>
      <c r="AC91" s="2344"/>
    </row>
    <row r="92" spans="1:29" s="457" customFormat="1" x14ac:dyDescent="0.25">
      <c r="A92" s="897"/>
      <c r="B92" s="2385" t="s">
        <v>984</v>
      </c>
      <c r="C92" s="1656"/>
      <c r="D92" s="340">
        <v>0</v>
      </c>
      <c r="E92" s="2386"/>
      <c r="F92" s="340"/>
      <c r="G92" s="456" t="str">
        <f t="shared" ref="G92:G93" si="52">IF(D92=0,"0.00%",(H92-D92)/D92)</f>
        <v>0.00%</v>
      </c>
      <c r="H92" s="340">
        <v>0</v>
      </c>
      <c r="I92" s="2476"/>
      <c r="J92" s="455"/>
      <c r="K92" s="456" t="str">
        <f t="shared" ref="K92:K93" si="53">IF(H92=0,"0.00%",(L92-H92)/H92)</f>
        <v>0.00%</v>
      </c>
      <c r="L92" s="340">
        <f>+H92</f>
        <v>0</v>
      </c>
      <c r="M92" s="2476"/>
      <c r="O92" s="456" t="str">
        <f t="shared" ref="O92:O93" si="54">IF(L92=0,"0.00%",(P92-L92)/L92)</f>
        <v>0.00%</v>
      </c>
      <c r="P92" s="340">
        <f>+L92</f>
        <v>0</v>
      </c>
      <c r="Q92" s="2476"/>
      <c r="R92" s="592"/>
      <c r="S92" s="2341"/>
      <c r="T92" s="340">
        <f>+P92</f>
        <v>0</v>
      </c>
      <c r="U92" s="455" t="s">
        <v>173</v>
      </c>
      <c r="V92" s="952"/>
      <c r="W92" s="2343"/>
      <c r="X92" s="340">
        <f>+T92</f>
        <v>0</v>
      </c>
      <c r="Y92" s="455" t="s">
        <v>173</v>
      </c>
      <c r="AA92" s="1668"/>
      <c r="AB92" s="340">
        <f>+X92</f>
        <v>0</v>
      </c>
      <c r="AC92" s="455" t="s">
        <v>173</v>
      </c>
    </row>
    <row r="93" spans="1:29" s="457" customFormat="1" hidden="1" x14ac:dyDescent="0.25">
      <c r="A93" s="897"/>
      <c r="B93" s="2385"/>
      <c r="C93" s="1656"/>
      <c r="D93" s="340">
        <v>0</v>
      </c>
      <c r="E93" s="2386"/>
      <c r="F93" s="340"/>
      <c r="G93" s="456" t="str">
        <f t="shared" si="52"/>
        <v>0.00%</v>
      </c>
      <c r="H93" s="340">
        <v>0</v>
      </c>
      <c r="I93" s="899"/>
      <c r="J93" s="455"/>
      <c r="K93" s="456" t="str">
        <f t="shared" si="53"/>
        <v>0.00%</v>
      </c>
      <c r="L93" s="340">
        <f>+H93</f>
        <v>0</v>
      </c>
      <c r="M93" s="899"/>
      <c r="O93" s="456" t="str">
        <f t="shared" si="54"/>
        <v>0.00%</v>
      </c>
      <c r="P93" s="340">
        <f>+L93</f>
        <v>0</v>
      </c>
      <c r="Q93" s="899"/>
      <c r="R93" s="592"/>
      <c r="S93" s="2341"/>
      <c r="T93" s="340">
        <v>0</v>
      </c>
      <c r="U93" s="455"/>
      <c r="V93" s="952"/>
      <c r="W93" s="2343"/>
      <c r="X93" s="340">
        <v>0</v>
      </c>
      <c r="Y93" s="455"/>
      <c r="AA93" s="1668"/>
      <c r="AB93" s="340">
        <v>0</v>
      </c>
      <c r="AC93" s="455"/>
    </row>
    <row r="94" spans="1:29" s="457" customFormat="1" hidden="1" x14ac:dyDescent="0.25">
      <c r="A94" s="897"/>
      <c r="B94" s="2385"/>
      <c r="C94" s="1656"/>
      <c r="D94" s="340">
        <v>0</v>
      </c>
      <c r="E94" s="2386"/>
      <c r="F94" s="340"/>
      <c r="G94" s="456"/>
      <c r="H94" s="340"/>
      <c r="I94" s="899"/>
      <c r="J94" s="455"/>
      <c r="K94" s="456"/>
      <c r="L94" s="340"/>
      <c r="M94" s="2499"/>
      <c r="O94" s="456"/>
      <c r="P94" s="340"/>
      <c r="Q94" s="2499"/>
      <c r="R94" s="592"/>
      <c r="S94" s="2341"/>
      <c r="T94" s="340"/>
      <c r="U94" s="455"/>
      <c r="V94" s="952"/>
      <c r="W94" s="2343"/>
      <c r="X94" s="340"/>
      <c r="Y94" s="455"/>
      <c r="AA94" s="1668"/>
      <c r="AB94" s="340"/>
      <c r="AC94" s="455"/>
    </row>
    <row r="95" spans="1:29" s="2378" customFormat="1" x14ac:dyDescent="0.25">
      <c r="A95" s="868"/>
      <c r="B95" s="2358"/>
      <c r="C95" s="2384"/>
      <c r="D95" s="2442">
        <f>SUM(D92:D94)</f>
        <v>0</v>
      </c>
      <c r="E95" s="2375"/>
      <c r="F95" s="1866"/>
      <c r="G95" s="456" t="str">
        <f t="shared" ref="G95" si="55">IF(D95=0,"0.00%",(H95-D95)/D95)</f>
        <v>0.00%</v>
      </c>
      <c r="H95" s="2442">
        <f>SUM(H92:H94)</f>
        <v>0</v>
      </c>
      <c r="I95" s="2316">
        <f>+H95-D95</f>
        <v>0</v>
      </c>
      <c r="J95" s="460"/>
      <c r="K95" s="456" t="str">
        <f t="shared" ref="K95" si="56">IF(H95=0,"0.00%",(L95-H95)/H95)</f>
        <v>0.00%</v>
      </c>
      <c r="L95" s="2442">
        <f>SUM(L92:L94)</f>
        <v>0</v>
      </c>
      <c r="M95" s="2316">
        <f>+L95-H95</f>
        <v>0</v>
      </c>
      <c r="O95" s="456" t="str">
        <f t="shared" ref="O95" si="57">IF(L95=0,"0.00%",(P95-L95)/L95)</f>
        <v>0.00%</v>
      </c>
      <c r="P95" s="2442">
        <f>SUM(P92:P94)</f>
        <v>0</v>
      </c>
      <c r="Q95" s="2316">
        <f>+P95-L95</f>
        <v>0</v>
      </c>
      <c r="R95" s="461"/>
      <c r="S95" s="1669"/>
      <c r="T95" s="2442">
        <f>SUM(T92:T94)</f>
        <v>0</v>
      </c>
      <c r="U95" s="460"/>
      <c r="V95" s="2381"/>
      <c r="W95" s="2382"/>
      <c r="X95" s="2442">
        <f>SUM(X92:X94)</f>
        <v>0</v>
      </c>
      <c r="Y95" s="460"/>
      <c r="AA95" s="606"/>
      <c r="AB95" s="2442">
        <f>SUM(AB92:AB94)</f>
        <v>0</v>
      </c>
      <c r="AC95" s="460"/>
    </row>
    <row r="96" spans="1:29" s="457" customFormat="1" x14ac:dyDescent="0.25">
      <c r="A96" s="897"/>
      <c r="B96" s="2345"/>
      <c r="C96" s="1656"/>
      <c r="D96" s="340"/>
      <c r="E96" s="2386"/>
      <c r="F96" s="340"/>
      <c r="G96" s="2338"/>
      <c r="H96" s="340"/>
      <c r="I96" s="897"/>
      <c r="J96" s="455"/>
      <c r="K96" s="2338"/>
      <c r="L96" s="340"/>
      <c r="M96" s="901"/>
      <c r="O96" s="2338"/>
      <c r="P96" s="340"/>
      <c r="Q96" s="901"/>
      <c r="R96" s="592"/>
      <c r="S96" s="2355"/>
      <c r="T96" s="340"/>
      <c r="U96" s="2344"/>
      <c r="V96" s="952"/>
      <c r="W96" s="2357"/>
      <c r="X96" s="340"/>
      <c r="Y96" s="2344"/>
      <c r="AA96" s="2338"/>
      <c r="AB96" s="340"/>
      <c r="AC96" s="2344"/>
    </row>
    <row r="97" spans="1:29" s="340" customFormat="1" x14ac:dyDescent="0.25">
      <c r="A97" s="455"/>
      <c r="B97" s="2487"/>
      <c r="C97" s="2386"/>
      <c r="E97" s="2386"/>
      <c r="G97" s="2338"/>
      <c r="I97" s="897"/>
      <c r="J97" s="455"/>
      <c r="K97" s="1668"/>
      <c r="M97" s="2340"/>
      <c r="O97" s="1668"/>
      <c r="Q97" s="2340"/>
      <c r="R97" s="455"/>
      <c r="S97" s="2341"/>
      <c r="U97" s="2370"/>
      <c r="V97" s="2429"/>
      <c r="W97" s="2343"/>
      <c r="Y97" s="2370"/>
      <c r="AA97" s="1668"/>
      <c r="AC97" s="2370"/>
    </row>
    <row r="98" spans="1:29" s="340" customFormat="1" x14ac:dyDescent="0.25">
      <c r="A98" s="459"/>
      <c r="B98" s="2486" t="s">
        <v>0</v>
      </c>
      <c r="C98" s="2386"/>
      <c r="D98" s="458">
        <f>SUM(D83,D70,D56,D16,D89,D95)</f>
        <v>0</v>
      </c>
      <c r="E98" s="2386"/>
      <c r="G98" s="456" t="str">
        <f>IF(D98=0,"0.00%",(H98-D98)/D98)</f>
        <v>0.00%</v>
      </c>
      <c r="H98" s="458">
        <f>SUM(H83,H70,H56,H16,H89,H95)</f>
        <v>15524</v>
      </c>
      <c r="I98" s="2316">
        <f>+H98-D98</f>
        <v>15524</v>
      </c>
      <c r="J98" s="459"/>
      <c r="K98" s="456">
        <f>IF(H98=0,"0.00%",(L98-H98)/H98)</f>
        <v>3.452718371553723E-2</v>
      </c>
      <c r="L98" s="458">
        <f>SUM(L83,L70,L56,L16,L89,L95)</f>
        <v>16060</v>
      </c>
      <c r="M98" s="2316">
        <f>+L98-H98</f>
        <v>536</v>
      </c>
      <c r="O98" s="456">
        <f>IF(L98=0,"0.00%",(P98-L98)/L98)</f>
        <v>0</v>
      </c>
      <c r="P98" s="458">
        <f>SUM(P83,P70,P56,P16,P89,P95)</f>
        <v>16060</v>
      </c>
      <c r="Q98" s="2316">
        <f>+P98-L98</f>
        <v>0</v>
      </c>
      <c r="R98" s="455"/>
      <c r="S98" s="2238">
        <f>IF(P98=0,"0.00%",(T98-P98)/P98)</f>
        <v>0</v>
      </c>
      <c r="T98" s="458">
        <f>SUM(T83,T70,T56,T16)</f>
        <v>16060</v>
      </c>
      <c r="U98" s="2370"/>
      <c r="V98" s="2429"/>
      <c r="W98" s="2241" t="e">
        <f>IF(T98=0,"0.00%",(X98-T98)/T98)</f>
        <v>#REF!</v>
      </c>
      <c r="X98" s="458" t="e">
        <f>SUM(X83,X70,X56,X16)</f>
        <v>#REF!</v>
      </c>
      <c r="Y98" s="2370"/>
      <c r="AA98" s="456" t="e">
        <f>IF(X98=0,"0.00%",(AB98-X98)/X98)</f>
        <v>#REF!</v>
      </c>
      <c r="AB98" s="458" t="e">
        <f>SUM(AB83,AB70,AB56,AB16)</f>
        <v>#REF!</v>
      </c>
      <c r="AC98" s="2370"/>
    </row>
    <row r="99" spans="1:29" s="340" customFormat="1" x14ac:dyDescent="0.25">
      <c r="A99" s="455"/>
      <c r="B99" s="2487"/>
      <c r="C99" s="2386"/>
      <c r="E99" s="2386"/>
      <c r="G99" s="2338"/>
      <c r="I99" s="897"/>
      <c r="J99" s="455"/>
      <c r="K99" s="1668"/>
      <c r="M99" s="2340"/>
      <c r="O99" s="1668"/>
      <c r="Q99" s="2340"/>
      <c r="R99" s="455"/>
      <c r="S99" s="2341"/>
      <c r="U99" s="2370"/>
      <c r="V99" s="2429"/>
      <c r="W99" s="2343"/>
      <c r="Y99" s="2370"/>
      <c r="AA99" s="1668"/>
      <c r="AC99" s="2370"/>
    </row>
    <row r="100" spans="1:29" s="340" customFormat="1" x14ac:dyDescent="0.25">
      <c r="A100" s="455"/>
      <c r="B100" s="2486" t="s">
        <v>138</v>
      </c>
      <c r="C100" s="2386"/>
      <c r="D100" s="833">
        <f>D14-D98</f>
        <v>0</v>
      </c>
      <c r="E100" s="2386"/>
      <c r="G100" s="456" t="str">
        <f>IF(D100=0,"0.00%",(H100-D100)/D100)</f>
        <v>0.00%</v>
      </c>
      <c r="H100" s="833">
        <f>H14-H98</f>
        <v>8361</v>
      </c>
      <c r="I100" s="897"/>
      <c r="J100" s="455"/>
      <c r="K100" s="456">
        <f>IF(H100=0,"0.00%",(L100-H100)/H100)</f>
        <v>-1</v>
      </c>
      <c r="L100" s="833">
        <f>L14-L98</f>
        <v>0</v>
      </c>
      <c r="M100" s="2340"/>
      <c r="O100" s="456" t="str">
        <f>IF(L100=0,"0.00%",(P100-L100)/L100)</f>
        <v>0.00%</v>
      </c>
      <c r="P100" s="833">
        <f>P14-P98</f>
        <v>413</v>
      </c>
      <c r="Q100" s="2340"/>
      <c r="R100" s="455"/>
      <c r="S100" s="2238">
        <f>IF(P100=0,"0.00%",(T100-P100)/P100)</f>
        <v>1.0653753026634383</v>
      </c>
      <c r="T100" s="833">
        <f>T14-T98</f>
        <v>853</v>
      </c>
      <c r="U100" s="2370"/>
      <c r="V100" s="2429"/>
      <c r="W100" s="2241" t="e">
        <f>IF(T100=0,"0.00%",(X100-T100)/T100)</f>
        <v>#REF!</v>
      </c>
      <c r="X100" s="833" t="e">
        <f>X14-X98</f>
        <v>#REF!</v>
      </c>
      <c r="Y100" s="2370"/>
      <c r="AA100" s="456" t="e">
        <f>IF(X100=0,"0.00%",(AB100-X100)/X100)</f>
        <v>#REF!</v>
      </c>
      <c r="AB100" s="833" t="e">
        <f>AB14-AB98</f>
        <v>#REF!</v>
      </c>
      <c r="AC100" s="2370"/>
    </row>
    <row r="101" spans="1:29" s="340" customFormat="1" x14ac:dyDescent="0.25">
      <c r="B101" s="2486"/>
      <c r="C101" s="2489"/>
      <c r="D101" s="833"/>
      <c r="E101" s="2386"/>
      <c r="G101" s="2338"/>
      <c r="H101" s="833"/>
      <c r="I101" s="897"/>
      <c r="J101" s="455"/>
      <c r="K101" s="1668"/>
      <c r="L101" s="833"/>
      <c r="M101" s="2340"/>
      <c r="O101" s="1668"/>
      <c r="P101" s="833"/>
      <c r="Q101" s="2340"/>
      <c r="R101" s="455"/>
      <c r="S101" s="2341"/>
      <c r="T101" s="833"/>
      <c r="U101" s="2370"/>
      <c r="V101" s="2429"/>
      <c r="W101" s="2343"/>
      <c r="X101" s="833"/>
      <c r="Y101" s="2370"/>
      <c r="AA101" s="1668"/>
      <c r="AB101" s="833"/>
      <c r="AC101" s="2370"/>
    </row>
    <row r="102" spans="1:29" s="340" customFormat="1" x14ac:dyDescent="0.25">
      <c r="B102" s="2486" t="s">
        <v>136</v>
      </c>
      <c r="C102" s="2500"/>
      <c r="D102" s="833">
        <f>D7+D100</f>
        <v>0</v>
      </c>
      <c r="E102" s="2386"/>
      <c r="G102" s="456" t="str">
        <f>IF(D102=0,"0.00%",(H102-D102)/D102)</f>
        <v>0.00%</v>
      </c>
      <c r="H102" s="833">
        <f>H7+H100</f>
        <v>12643.779999999999</v>
      </c>
      <c r="I102" s="897"/>
      <c r="J102" s="455"/>
      <c r="K102" s="456">
        <f>IF(H102=0,"0.00%",(L102-H102)/H102)</f>
        <v>0</v>
      </c>
      <c r="L102" s="833">
        <f>L7+L100</f>
        <v>12643.779999999999</v>
      </c>
      <c r="M102" s="2340"/>
      <c r="O102" s="456">
        <f>IF(L102=0,"0.00%",(P102-L102)/L102)</f>
        <v>3.2664282358598459E-2</v>
      </c>
      <c r="P102" s="833">
        <f>P7+P100</f>
        <v>13056.779999999999</v>
      </c>
      <c r="Q102" s="2340"/>
      <c r="R102" s="455"/>
      <c r="S102" s="2238">
        <f>IF(P102=0,"0.00%",(T102-P102)/P102)</f>
        <v>6.5330043088724796E-2</v>
      </c>
      <c r="T102" s="833">
        <f>T7+T100</f>
        <v>13909.779999999999</v>
      </c>
      <c r="U102" s="2370"/>
      <c r="V102" s="2429"/>
      <c r="W102" s="2241" t="e">
        <f>IF(T102=0,"0.00%",(X102-T102)/T102)</f>
        <v>#REF!</v>
      </c>
      <c r="X102" s="833" t="e">
        <f>X7+X100</f>
        <v>#REF!</v>
      </c>
      <c r="Y102" s="2370"/>
      <c r="AA102" s="456" t="e">
        <f>IF(X102=0,"0.00%",(AB102-X102)/X102)</f>
        <v>#REF!</v>
      </c>
      <c r="AB102" s="833" t="e">
        <f>AB7+AB100</f>
        <v>#REF!</v>
      </c>
      <c r="AC102" s="2370"/>
    </row>
    <row r="103" spans="1:29" s="340" customFormat="1" x14ac:dyDescent="0.25">
      <c r="B103" s="2487"/>
      <c r="C103" s="868"/>
      <c r="E103" s="2386"/>
      <c r="G103" s="2355"/>
      <c r="H103" s="459"/>
      <c r="I103" s="898"/>
      <c r="J103" s="459"/>
      <c r="K103" s="1668"/>
      <c r="L103" s="459"/>
      <c r="M103" s="2340"/>
      <c r="O103" s="1668"/>
      <c r="P103" s="459"/>
      <c r="Q103" s="2340"/>
      <c r="R103" s="455"/>
      <c r="S103" s="2341"/>
      <c r="T103" s="459"/>
      <c r="U103" s="2370"/>
      <c r="V103" s="2429"/>
      <c r="W103" s="2343"/>
      <c r="X103" s="459"/>
      <c r="Y103" s="2370"/>
      <c r="AA103" s="1668"/>
      <c r="AB103" s="459"/>
      <c r="AC103" s="2370"/>
    </row>
    <row r="104" spans="1:29" s="340" customFormat="1" x14ac:dyDescent="0.25">
      <c r="B104" s="2487"/>
      <c r="C104" s="897"/>
      <c r="E104" s="2386"/>
      <c r="G104" s="2355"/>
      <c r="H104" s="455"/>
      <c r="I104" s="897"/>
      <c r="J104" s="455"/>
      <c r="K104" s="1668"/>
      <c r="M104" s="2340"/>
      <c r="O104" s="1668"/>
      <c r="Q104" s="2340"/>
      <c r="R104" s="455"/>
      <c r="S104" s="2341"/>
      <c r="U104" s="2370"/>
      <c r="V104" s="2429"/>
      <c r="W104" s="2343"/>
      <c r="Y104" s="2370"/>
      <c r="AA104" s="1668"/>
      <c r="AC104" s="2370"/>
    </row>
    <row r="105" spans="1:29" s="340" customFormat="1" x14ac:dyDescent="0.25">
      <c r="B105" s="2487"/>
      <c r="C105" s="897"/>
      <c r="E105" s="2386"/>
      <c r="G105" s="2355"/>
      <c r="H105" s="455"/>
      <c r="I105" s="897"/>
      <c r="J105" s="455"/>
      <c r="K105" s="1668"/>
      <c r="M105" s="2340"/>
      <c r="O105" s="1668"/>
      <c r="Q105" s="2340"/>
      <c r="R105" s="455"/>
      <c r="S105" s="2341"/>
      <c r="U105" s="2370"/>
      <c r="V105" s="2429"/>
      <c r="W105" s="2343"/>
      <c r="Y105" s="2370"/>
      <c r="AA105" s="1668"/>
      <c r="AC105" s="2370"/>
    </row>
    <row r="106" spans="1:29" s="340" customFormat="1" x14ac:dyDescent="0.25">
      <c r="B106" s="2487"/>
      <c r="C106" s="897"/>
      <c r="E106" s="2386"/>
      <c r="G106" s="2355"/>
      <c r="H106" s="455"/>
      <c r="I106" s="897"/>
      <c r="J106" s="455"/>
      <c r="K106" s="1668"/>
      <c r="M106" s="2340"/>
      <c r="O106" s="1668"/>
      <c r="Q106" s="2340"/>
      <c r="R106" s="455"/>
      <c r="S106" s="2341"/>
      <c r="U106" s="2370"/>
      <c r="V106" s="2429"/>
      <c r="W106" s="2343"/>
      <c r="Y106" s="2370"/>
      <c r="AA106" s="1668"/>
      <c r="AC106" s="2370"/>
    </row>
    <row r="107" spans="1:29" s="340" customFormat="1" x14ac:dyDescent="0.25">
      <c r="B107" s="2487"/>
      <c r="C107" s="897"/>
      <c r="E107" s="2386"/>
      <c r="G107" s="2355"/>
      <c r="H107" s="455"/>
      <c r="I107" s="897"/>
      <c r="J107" s="455"/>
      <c r="K107" s="1668"/>
      <c r="M107" s="2340"/>
      <c r="O107" s="1668"/>
      <c r="Q107" s="2340"/>
      <c r="R107" s="455"/>
      <c r="S107" s="2341"/>
      <c r="U107" s="2370"/>
      <c r="V107" s="2429"/>
      <c r="W107" s="2343"/>
      <c r="Y107" s="2370"/>
      <c r="AA107" s="1668"/>
      <c r="AC107" s="2370"/>
    </row>
    <row r="108" spans="1:29" s="2410" customFormat="1" ht="11.25" x14ac:dyDescent="0.2">
      <c r="B108" s="2501"/>
      <c r="C108" s="2502" t="s">
        <v>263</v>
      </c>
      <c r="D108" s="2397">
        <f>+D95+D89+D83+D70+D56</f>
        <v>0</v>
      </c>
      <c r="E108" s="2419"/>
      <c r="G108" s="2399" t="s">
        <v>221</v>
      </c>
      <c r="H108" s="2397">
        <f>+H95+H89+H83+H70+H56</f>
        <v>15524</v>
      </c>
      <c r="I108" s="2400"/>
      <c r="J108" s="607"/>
      <c r="K108" s="2399" t="s">
        <v>221</v>
      </c>
      <c r="L108" s="2397">
        <f>+L95+L89+L83+L70+L56</f>
        <v>16060</v>
      </c>
      <c r="M108" s="2401"/>
      <c r="O108" s="2399" t="s">
        <v>221</v>
      </c>
      <c r="P108" s="2397">
        <f>+P95+P89+P83+P70+P56</f>
        <v>16060</v>
      </c>
      <c r="Q108" s="2401"/>
      <c r="R108" s="2414"/>
      <c r="S108" s="2405" t="s">
        <v>221</v>
      </c>
      <c r="T108" s="2397">
        <f>+T83+T70+T54+T42+T29</f>
        <v>16060</v>
      </c>
      <c r="U108" s="2403"/>
      <c r="V108" s="2503"/>
      <c r="W108" s="2408" t="s">
        <v>221</v>
      </c>
      <c r="X108" s="2397" t="e">
        <f>+X83+X70+X54+X42+X29</f>
        <v>#REF!</v>
      </c>
      <c r="Y108" s="2403"/>
      <c r="AA108" s="2399" t="s">
        <v>221</v>
      </c>
      <c r="AB108" s="2397" t="e">
        <f>+AB83+AB70+AB54+AB42+AB29</f>
        <v>#REF!</v>
      </c>
      <c r="AC108" s="2403"/>
    </row>
    <row r="109" spans="1:29" s="2414" customFormat="1" x14ac:dyDescent="0.25">
      <c r="B109" s="2501"/>
      <c r="C109" s="2504"/>
      <c r="D109" s="2505">
        <f>+D98-D108</f>
        <v>0</v>
      </c>
      <c r="E109" s="2413"/>
      <c r="G109" s="2416"/>
      <c r="H109" s="2505">
        <f>+H98-H108</f>
        <v>0</v>
      </c>
      <c r="I109" s="2413"/>
      <c r="K109" s="2416"/>
      <c r="L109" s="2505">
        <f>+L98-L108</f>
        <v>0</v>
      </c>
      <c r="M109" s="2506"/>
      <c r="O109" s="2416"/>
      <c r="P109" s="2505">
        <f>+P98-P108</f>
        <v>0</v>
      </c>
      <c r="Q109" s="2507"/>
      <c r="R109" s="455"/>
      <c r="S109" s="2416"/>
      <c r="T109" s="2505"/>
      <c r="V109" s="2503"/>
      <c r="W109" s="2417"/>
      <c r="X109" s="2505"/>
      <c r="AA109" s="2416"/>
      <c r="AB109" s="2505"/>
    </row>
    <row r="110" spans="1:29" s="2414" customFormat="1" ht="11.25" x14ac:dyDescent="0.2">
      <c r="B110" s="2501"/>
      <c r="C110" s="2504"/>
      <c r="D110" s="2505"/>
      <c r="E110" s="2413"/>
      <c r="G110" s="2416"/>
      <c r="H110" s="2505"/>
      <c r="I110" s="2413"/>
      <c r="K110" s="2416"/>
      <c r="L110" s="2505"/>
      <c r="M110" s="2507"/>
      <c r="O110" s="2416"/>
      <c r="P110" s="2505"/>
      <c r="Q110" s="2507"/>
      <c r="S110" s="2416"/>
      <c r="T110" s="2505"/>
      <c r="V110" s="2503"/>
      <c r="W110" s="2417"/>
      <c r="X110" s="2505"/>
      <c r="AA110" s="2416"/>
      <c r="AB110" s="2505"/>
    </row>
    <row r="111" spans="1:29" s="455" customFormat="1" ht="15" customHeight="1" x14ac:dyDescent="0.25">
      <c r="B111" s="2508"/>
      <c r="C111" s="2509"/>
      <c r="D111" s="459"/>
      <c r="E111" s="897"/>
      <c r="G111" s="2447"/>
      <c r="H111" s="459"/>
      <c r="I111" s="897"/>
      <c r="K111" s="2447"/>
      <c r="L111" s="459"/>
      <c r="M111" s="2488"/>
      <c r="O111" s="2447"/>
      <c r="P111" s="459"/>
      <c r="Q111" s="2488"/>
      <c r="S111" s="2447"/>
      <c r="T111" s="459"/>
      <c r="V111" s="2429"/>
      <c r="W111" s="2448"/>
      <c r="X111" s="459"/>
      <c r="AA111" s="2447"/>
      <c r="AB111" s="459"/>
    </row>
    <row r="112" spans="1:29" s="340" customFormat="1" x14ac:dyDescent="0.25">
      <c r="A112" s="455"/>
      <c r="B112" s="2508"/>
      <c r="C112" s="2509"/>
      <c r="D112" s="455"/>
      <c r="E112" s="2386"/>
      <c r="G112" s="2338"/>
      <c r="H112" s="2424"/>
      <c r="I112" s="897"/>
      <c r="J112" s="455"/>
      <c r="K112" s="1668"/>
      <c r="L112" s="2370"/>
      <c r="M112" s="2347"/>
      <c r="O112" s="1668"/>
      <c r="Q112" s="2347"/>
      <c r="R112" s="2414"/>
      <c r="S112" s="2341"/>
      <c r="V112" s="2429"/>
      <c r="W112" s="2343"/>
      <c r="AA112" s="1668"/>
    </row>
    <row r="113" spans="1:29" s="340" customFormat="1" x14ac:dyDescent="0.25">
      <c r="A113" s="455"/>
      <c r="B113" s="2510"/>
      <c r="C113" s="897"/>
      <c r="D113" s="342"/>
      <c r="E113" s="2386"/>
      <c r="G113" s="2338"/>
      <c r="H113" s="2424"/>
      <c r="I113" s="897"/>
      <c r="J113" s="455"/>
      <c r="K113" s="1668"/>
      <c r="L113" s="2370"/>
      <c r="M113" s="2347"/>
      <c r="O113" s="1668"/>
      <c r="Q113" s="2347"/>
      <c r="R113" s="455"/>
      <c r="S113" s="2341"/>
      <c r="V113" s="2429"/>
      <c r="W113" s="2343"/>
      <c r="AA113" s="1668"/>
    </row>
    <row r="114" spans="1:29" s="340" customFormat="1" x14ac:dyDescent="0.25">
      <c r="B114" s="2510"/>
      <c r="C114" s="897"/>
      <c r="D114" s="455"/>
      <c r="E114" s="2386"/>
      <c r="G114" s="2338"/>
      <c r="H114" s="2424"/>
      <c r="I114" s="897"/>
      <c r="J114" s="455"/>
      <c r="K114" s="1668"/>
      <c r="L114" s="2370"/>
      <c r="M114" s="2347"/>
      <c r="O114" s="1668"/>
      <c r="Q114" s="2347"/>
      <c r="R114" s="2414"/>
      <c r="S114" s="2341"/>
      <c r="V114" s="2429"/>
      <c r="W114" s="2343"/>
      <c r="AA114" s="1668"/>
    </row>
    <row r="115" spans="1:29" s="340" customFormat="1" x14ac:dyDescent="0.25">
      <c r="B115" s="2510"/>
      <c r="C115" s="897"/>
      <c r="D115" s="455"/>
      <c r="E115" s="2386"/>
      <c r="G115" s="2338"/>
      <c r="H115" s="2424"/>
      <c r="I115" s="897"/>
      <c r="J115" s="455"/>
      <c r="K115" s="1668"/>
      <c r="L115" s="2370"/>
      <c r="M115" s="2347"/>
      <c r="O115" s="1668"/>
      <c r="Q115" s="2347"/>
      <c r="R115" s="455"/>
      <c r="S115" s="2341"/>
      <c r="V115" s="2429"/>
      <c r="W115" s="2343"/>
      <c r="AA115" s="1668"/>
    </row>
    <row r="116" spans="1:29" s="340" customFormat="1" ht="15" customHeight="1" x14ac:dyDescent="0.25">
      <c r="B116" s="2510"/>
      <c r="C116" s="897"/>
      <c r="D116" s="455"/>
      <c r="E116" s="2386"/>
      <c r="G116" s="2338"/>
      <c r="H116" s="2424"/>
      <c r="I116" s="897"/>
      <c r="J116" s="455"/>
      <c r="K116" s="1668"/>
      <c r="L116" s="2370"/>
      <c r="M116" s="2347"/>
      <c r="O116" s="1668"/>
      <c r="Q116" s="2347"/>
      <c r="R116" s="455"/>
      <c r="S116" s="2341"/>
      <c r="V116" s="2429"/>
      <c r="W116" s="2343"/>
      <c r="AA116" s="1668"/>
    </row>
    <row r="117" spans="1:29" s="340" customFormat="1" x14ac:dyDescent="0.25">
      <c r="B117" s="2510"/>
      <c r="C117" s="897"/>
      <c r="D117" s="455"/>
      <c r="E117" s="2386"/>
      <c r="G117" s="2338"/>
      <c r="H117" s="2424"/>
      <c r="I117" s="897"/>
      <c r="J117" s="455"/>
      <c r="K117" s="1668"/>
      <c r="L117" s="2370"/>
      <c r="M117" s="2347"/>
      <c r="O117" s="1668"/>
      <c r="Q117" s="2347"/>
      <c r="R117" s="455"/>
      <c r="S117" s="2341"/>
      <c r="V117" s="2429"/>
      <c r="W117" s="2343"/>
      <c r="AA117" s="1668"/>
    </row>
    <row r="118" spans="1:29" s="340" customFormat="1" x14ac:dyDescent="0.25">
      <c r="B118" s="2510"/>
      <c r="C118" s="897"/>
      <c r="D118" s="455"/>
      <c r="E118" s="2386"/>
      <c r="G118" s="2338"/>
      <c r="H118" s="2424"/>
      <c r="I118" s="897"/>
      <c r="J118" s="455"/>
      <c r="K118" s="1668"/>
      <c r="L118" s="2370"/>
      <c r="M118" s="2347"/>
      <c r="O118" s="1668"/>
      <c r="Q118" s="2347"/>
      <c r="R118" s="455"/>
      <c r="S118" s="2341"/>
      <c r="V118" s="2429"/>
      <c r="W118" s="2343"/>
      <c r="AA118" s="1668"/>
    </row>
    <row r="119" spans="1:29" s="340" customFormat="1" ht="15" customHeight="1" x14ac:dyDescent="0.25">
      <c r="B119" s="2564"/>
      <c r="C119" s="2564"/>
      <c r="D119" s="455"/>
      <c r="E119" s="2386"/>
      <c r="G119" s="2338"/>
      <c r="H119" s="2424"/>
      <c r="I119" s="897"/>
      <c r="J119" s="455"/>
      <c r="K119" s="1668"/>
      <c r="L119" s="2370"/>
      <c r="M119" s="2347"/>
      <c r="O119" s="1668"/>
      <c r="Q119" s="2347"/>
      <c r="R119" s="455"/>
      <c r="S119" s="2341"/>
      <c r="V119" s="2429"/>
      <c r="W119" s="2343"/>
      <c r="AA119" s="1668"/>
    </row>
    <row r="120" spans="1:29" s="340" customFormat="1" x14ac:dyDescent="0.25">
      <c r="B120" s="2564"/>
      <c r="C120" s="2564"/>
      <c r="D120" s="455"/>
      <c r="E120" s="2386"/>
      <c r="G120" s="2338"/>
      <c r="H120" s="2424"/>
      <c r="I120" s="897"/>
      <c r="J120" s="455"/>
      <c r="K120" s="1668"/>
      <c r="L120" s="2370"/>
      <c r="M120" s="2347"/>
      <c r="O120" s="1668"/>
      <c r="Q120" s="2347"/>
      <c r="R120" s="455"/>
      <c r="S120" s="2341"/>
      <c r="V120" s="2429"/>
      <c r="W120" s="2343"/>
      <c r="AA120" s="1668"/>
    </row>
    <row r="121" spans="1:29" s="2386" customFormat="1" x14ac:dyDescent="0.25">
      <c r="A121" s="340"/>
      <c r="B121" s="2510"/>
      <c r="C121" s="897"/>
      <c r="D121" s="460"/>
      <c r="F121" s="340"/>
      <c r="G121" s="2338"/>
      <c r="H121" s="2424"/>
      <c r="I121" s="897"/>
      <c r="J121" s="455"/>
      <c r="K121" s="1668"/>
      <c r="L121" s="2370"/>
      <c r="M121" s="2347"/>
      <c r="N121" s="340"/>
      <c r="O121" s="1668"/>
      <c r="P121" s="340"/>
      <c r="Q121" s="2347"/>
      <c r="R121" s="455"/>
      <c r="S121" s="2341"/>
      <c r="T121" s="340"/>
      <c r="U121" s="340"/>
      <c r="V121" s="2429"/>
      <c r="W121" s="2343"/>
      <c r="X121" s="340"/>
      <c r="Y121" s="340"/>
      <c r="Z121" s="340"/>
      <c r="AA121" s="1668"/>
      <c r="AB121" s="340"/>
      <c r="AC121" s="340"/>
    </row>
    <row r="122" spans="1:29" s="2386" customFormat="1" x14ac:dyDescent="0.25">
      <c r="A122" s="340"/>
      <c r="B122" s="2510"/>
      <c r="C122" s="897"/>
      <c r="D122" s="455"/>
      <c r="F122" s="340"/>
      <c r="G122" s="2338"/>
      <c r="H122" s="2424"/>
      <c r="I122" s="897"/>
      <c r="J122" s="455"/>
      <c r="K122" s="1668"/>
      <c r="L122" s="2370"/>
      <c r="M122" s="2347"/>
      <c r="N122" s="340"/>
      <c r="O122" s="1668"/>
      <c r="P122" s="340"/>
      <c r="Q122" s="2347"/>
      <c r="R122" s="455"/>
      <c r="S122" s="2341"/>
      <c r="T122" s="340"/>
      <c r="U122" s="340"/>
      <c r="V122" s="2429"/>
      <c r="W122" s="2343"/>
      <c r="X122" s="340"/>
      <c r="Y122" s="340"/>
      <c r="Z122" s="340"/>
      <c r="AA122" s="1668"/>
      <c r="AB122" s="340"/>
      <c r="AC122" s="340"/>
    </row>
    <row r="123" spans="1:29" s="2386" customFormat="1" x14ac:dyDescent="0.25">
      <c r="A123" s="340"/>
      <c r="B123" s="2510"/>
      <c r="C123" s="897"/>
      <c r="D123" s="455"/>
      <c r="F123" s="340"/>
      <c r="G123" s="2338"/>
      <c r="H123" s="2424"/>
      <c r="I123" s="897"/>
      <c r="J123" s="455"/>
      <c r="K123" s="1668"/>
      <c r="L123" s="2370"/>
      <c r="M123" s="2347"/>
      <c r="N123" s="340"/>
      <c r="O123" s="1668"/>
      <c r="P123" s="340"/>
      <c r="Q123" s="2347"/>
      <c r="R123" s="455"/>
      <c r="S123" s="2341"/>
      <c r="T123" s="340"/>
      <c r="U123" s="340"/>
      <c r="V123" s="2429"/>
      <c r="W123" s="2343"/>
      <c r="X123" s="340"/>
      <c r="Y123" s="340"/>
      <c r="Z123" s="340"/>
      <c r="AA123" s="1668"/>
      <c r="AB123" s="340"/>
      <c r="AC123" s="340"/>
    </row>
    <row r="124" spans="1:29" s="2386" customFormat="1" ht="28.5" customHeight="1" x14ac:dyDescent="0.25">
      <c r="A124" s="340"/>
      <c r="B124" s="2510"/>
      <c r="C124" s="897"/>
      <c r="D124" s="342"/>
      <c r="F124" s="340"/>
      <c r="G124" s="2338"/>
      <c r="H124" s="2424"/>
      <c r="I124" s="897"/>
      <c r="J124" s="455"/>
      <c r="K124" s="1668"/>
      <c r="L124" s="2370"/>
      <c r="M124" s="2347"/>
      <c r="N124" s="340"/>
      <c r="O124" s="1668"/>
      <c r="P124" s="340"/>
      <c r="Q124" s="2347"/>
      <c r="R124" s="455"/>
      <c r="S124" s="2341"/>
      <c r="T124" s="340"/>
      <c r="U124" s="340"/>
      <c r="V124" s="2429"/>
      <c r="W124" s="2343"/>
      <c r="X124" s="340"/>
      <c r="Y124" s="340"/>
      <c r="Z124" s="340"/>
      <c r="AA124" s="1668"/>
      <c r="AB124" s="340"/>
      <c r="AC124" s="340"/>
    </row>
    <row r="125" spans="1:29" s="2386" customFormat="1" x14ac:dyDescent="0.25">
      <c r="A125" s="340"/>
      <c r="B125" s="2510"/>
      <c r="C125" s="897"/>
      <c r="D125" s="455"/>
      <c r="F125" s="340"/>
      <c r="G125" s="2338"/>
      <c r="H125" s="2424"/>
      <c r="I125" s="897"/>
      <c r="J125" s="455"/>
      <c r="K125" s="1668"/>
      <c r="L125" s="2370"/>
      <c r="M125" s="2347"/>
      <c r="N125" s="340"/>
      <c r="O125" s="1668"/>
      <c r="P125" s="340"/>
      <c r="Q125" s="2347"/>
      <c r="R125" s="455"/>
      <c r="S125" s="2341"/>
      <c r="T125" s="340"/>
      <c r="U125" s="340"/>
      <c r="V125" s="2429"/>
      <c r="W125" s="2343"/>
      <c r="X125" s="340"/>
      <c r="Y125" s="340"/>
      <c r="Z125" s="340"/>
      <c r="AA125" s="1668"/>
      <c r="AB125" s="340"/>
      <c r="AC125" s="340"/>
    </row>
    <row r="126" spans="1:29" s="2386" customFormat="1" x14ac:dyDescent="0.25">
      <c r="A126" s="340"/>
      <c r="B126" s="2510"/>
      <c r="C126" s="897"/>
      <c r="D126" s="455"/>
      <c r="F126" s="340"/>
      <c r="G126" s="2338"/>
      <c r="H126" s="2424"/>
      <c r="I126" s="897"/>
      <c r="J126" s="455"/>
      <c r="K126" s="1668"/>
      <c r="L126" s="2370"/>
      <c r="M126" s="2347"/>
      <c r="N126" s="340"/>
      <c r="O126" s="1668"/>
      <c r="P126" s="340"/>
      <c r="Q126" s="2347"/>
      <c r="R126" s="455"/>
      <c r="S126" s="2341"/>
      <c r="T126" s="340"/>
      <c r="U126" s="340"/>
      <c r="V126" s="2429"/>
      <c r="W126" s="2343"/>
      <c r="X126" s="340"/>
      <c r="Y126" s="340"/>
      <c r="Z126" s="340"/>
      <c r="AA126" s="1668"/>
      <c r="AB126" s="340"/>
      <c r="AC126" s="340"/>
    </row>
    <row r="127" spans="1:29" s="2386" customFormat="1" x14ac:dyDescent="0.25">
      <c r="A127" s="340"/>
      <c r="B127" s="2510"/>
      <c r="C127" s="897"/>
      <c r="D127" s="455"/>
      <c r="F127" s="340"/>
      <c r="G127" s="2338"/>
      <c r="H127" s="2424"/>
      <c r="I127" s="897"/>
      <c r="J127" s="455"/>
      <c r="K127" s="1668"/>
      <c r="L127" s="2370"/>
      <c r="M127" s="2347"/>
      <c r="N127" s="340"/>
      <c r="O127" s="1668"/>
      <c r="P127" s="340"/>
      <c r="Q127" s="2347"/>
      <c r="R127" s="455"/>
      <c r="S127" s="2341"/>
      <c r="T127" s="340"/>
      <c r="U127" s="340"/>
      <c r="V127" s="2429"/>
      <c r="W127" s="2343"/>
      <c r="X127" s="340"/>
      <c r="Y127" s="340"/>
      <c r="Z127" s="340"/>
      <c r="AA127" s="1668"/>
      <c r="AB127" s="340"/>
      <c r="AC127" s="340"/>
    </row>
    <row r="128" spans="1:29" s="2386" customFormat="1" x14ac:dyDescent="0.25">
      <c r="A128" s="340"/>
      <c r="B128" s="2510"/>
      <c r="C128" s="897"/>
      <c r="D128" s="455"/>
      <c r="F128" s="340"/>
      <c r="G128" s="2338"/>
      <c r="H128" s="2424"/>
      <c r="I128" s="897"/>
      <c r="J128" s="455"/>
      <c r="K128" s="1668"/>
      <c r="L128" s="2370"/>
      <c r="M128" s="2347"/>
      <c r="N128" s="340"/>
      <c r="O128" s="1668"/>
      <c r="P128" s="340"/>
      <c r="Q128" s="2347"/>
      <c r="R128" s="455"/>
      <c r="S128" s="2341"/>
      <c r="T128" s="340"/>
      <c r="U128" s="340"/>
      <c r="V128" s="2429"/>
      <c r="W128" s="2343"/>
      <c r="X128" s="340"/>
      <c r="Y128" s="340"/>
      <c r="Z128" s="340"/>
      <c r="AA128" s="1668"/>
      <c r="AB128" s="340"/>
      <c r="AC128" s="340"/>
    </row>
    <row r="129" spans="1:29" s="2386" customFormat="1" x14ac:dyDescent="0.25">
      <c r="A129" s="340"/>
      <c r="B129" s="2510"/>
      <c r="C129" s="897"/>
      <c r="D129" s="455"/>
      <c r="F129" s="340"/>
      <c r="G129" s="2338"/>
      <c r="H129" s="2424"/>
      <c r="I129" s="897"/>
      <c r="J129" s="455"/>
      <c r="K129" s="1668"/>
      <c r="L129" s="2370"/>
      <c r="M129" s="2347"/>
      <c r="N129" s="340"/>
      <c r="O129" s="1668"/>
      <c r="P129" s="340"/>
      <c r="Q129" s="2347"/>
      <c r="R129" s="455"/>
      <c r="S129" s="2341"/>
      <c r="T129" s="340"/>
      <c r="U129" s="340"/>
      <c r="V129" s="2429"/>
      <c r="W129" s="2343"/>
      <c r="X129" s="340"/>
      <c r="Y129" s="340"/>
      <c r="Z129" s="340"/>
      <c r="AA129" s="1668"/>
      <c r="AB129" s="340"/>
      <c r="AC129" s="340"/>
    </row>
    <row r="130" spans="1:29" s="2386" customFormat="1" x14ac:dyDescent="0.25">
      <c r="A130" s="340"/>
      <c r="B130" s="2510"/>
      <c r="C130" s="897"/>
      <c r="D130" s="455"/>
      <c r="F130" s="340"/>
      <c r="G130" s="2338"/>
      <c r="H130" s="2424"/>
      <c r="I130" s="897"/>
      <c r="J130" s="455"/>
      <c r="K130" s="1668"/>
      <c r="L130" s="2370"/>
      <c r="M130" s="2347"/>
      <c r="N130" s="340"/>
      <c r="O130" s="1668"/>
      <c r="P130" s="340"/>
      <c r="Q130" s="2347"/>
      <c r="R130" s="455"/>
      <c r="S130" s="2341"/>
      <c r="T130" s="340"/>
      <c r="U130" s="340"/>
      <c r="V130" s="2429"/>
      <c r="W130" s="2343"/>
      <c r="X130" s="340"/>
      <c r="Y130" s="340"/>
      <c r="Z130" s="340"/>
      <c r="AA130" s="1668"/>
      <c r="AB130" s="340"/>
      <c r="AC130" s="340"/>
    </row>
    <row r="131" spans="1:29" s="2386" customFormat="1" x14ac:dyDescent="0.25">
      <c r="A131" s="340"/>
      <c r="B131" s="2510"/>
      <c r="C131" s="897"/>
      <c r="D131" s="455"/>
      <c r="F131" s="340"/>
      <c r="G131" s="2338"/>
      <c r="H131" s="2424"/>
      <c r="I131" s="897"/>
      <c r="J131" s="455"/>
      <c r="K131" s="1668"/>
      <c r="L131" s="2370"/>
      <c r="M131" s="2347"/>
      <c r="N131" s="340"/>
      <c r="O131" s="1668"/>
      <c r="P131" s="340"/>
      <c r="Q131" s="2347"/>
      <c r="R131" s="455"/>
      <c r="S131" s="2341"/>
      <c r="T131" s="340"/>
      <c r="U131" s="340"/>
      <c r="V131" s="2429"/>
      <c r="W131" s="2343"/>
      <c r="X131" s="340"/>
      <c r="Y131" s="340"/>
      <c r="Z131" s="340"/>
      <c r="AA131" s="1668"/>
      <c r="AB131" s="340"/>
      <c r="AC131" s="340"/>
    </row>
    <row r="132" spans="1:29" s="848" customFormat="1" x14ac:dyDescent="0.25">
      <c r="A132" s="108"/>
      <c r="B132" s="2169"/>
      <c r="C132" s="856"/>
      <c r="D132" s="36"/>
      <c r="F132" s="2"/>
      <c r="G132" s="52"/>
      <c r="H132" s="121"/>
      <c r="I132" s="856"/>
      <c r="J132" s="66"/>
      <c r="K132" s="333"/>
      <c r="L132" s="122"/>
      <c r="M132" s="957"/>
      <c r="N132" s="2"/>
      <c r="O132" s="333"/>
      <c r="P132" s="2"/>
      <c r="Q132" s="957"/>
      <c r="R132" s="36"/>
      <c r="S132" s="338"/>
      <c r="T132" s="2"/>
      <c r="U132" s="2"/>
      <c r="V132" s="280"/>
      <c r="W132" s="2244"/>
      <c r="X132" s="2"/>
      <c r="Y132" s="2"/>
      <c r="Z132" s="2"/>
      <c r="AA132" s="333"/>
      <c r="AB132" s="2"/>
      <c r="AC132" s="2"/>
    </row>
    <row r="133" spans="1:29" s="848" customFormat="1" x14ac:dyDescent="0.25">
      <c r="A133" s="108"/>
      <c r="B133" s="2169"/>
      <c r="C133" s="856"/>
      <c r="D133" s="36"/>
      <c r="F133" s="2"/>
      <c r="G133" s="52"/>
      <c r="H133" s="121"/>
      <c r="I133" s="856"/>
      <c r="J133" s="66"/>
      <c r="K133" s="333"/>
      <c r="L133" s="122"/>
      <c r="M133" s="957"/>
      <c r="N133" s="2"/>
      <c r="O133" s="333"/>
      <c r="P133" s="2"/>
      <c r="Q133" s="957"/>
      <c r="R133" s="36"/>
      <c r="S133" s="338"/>
      <c r="T133" s="2"/>
      <c r="U133" s="2"/>
      <c r="V133" s="280"/>
      <c r="W133" s="2244"/>
      <c r="X133" s="2"/>
      <c r="Y133" s="2"/>
      <c r="Z133" s="2"/>
      <c r="AA133" s="333"/>
      <c r="AB133" s="2"/>
      <c r="AC133" s="2"/>
    </row>
    <row r="134" spans="1:29" s="848" customFormat="1" x14ac:dyDescent="0.25">
      <c r="A134" s="108"/>
      <c r="B134" s="2169"/>
      <c r="C134" s="856"/>
      <c r="D134" s="36"/>
      <c r="F134" s="2"/>
      <c r="G134" s="52"/>
      <c r="H134" s="121"/>
      <c r="I134" s="856"/>
      <c r="J134" s="66"/>
      <c r="K134" s="333"/>
      <c r="L134" s="122"/>
      <c r="M134" s="957"/>
      <c r="N134" s="2"/>
      <c r="O134" s="333"/>
      <c r="P134" s="2"/>
      <c r="Q134" s="957"/>
      <c r="R134" s="36"/>
      <c r="S134" s="338"/>
      <c r="T134" s="2"/>
      <c r="U134" s="2"/>
      <c r="V134" s="280"/>
      <c r="W134" s="2244"/>
      <c r="X134" s="2"/>
      <c r="Y134" s="2"/>
      <c r="Z134" s="2"/>
      <c r="AA134" s="333"/>
      <c r="AB134" s="2"/>
      <c r="AC134" s="2"/>
    </row>
    <row r="135" spans="1:29" s="848" customFormat="1" x14ac:dyDescent="0.25">
      <c r="A135" s="108"/>
      <c r="B135" s="2169"/>
      <c r="C135" s="856"/>
      <c r="D135" s="36"/>
      <c r="F135" s="2"/>
      <c r="G135" s="52"/>
      <c r="H135" s="121"/>
      <c r="I135" s="856"/>
      <c r="J135" s="66"/>
      <c r="K135" s="333"/>
      <c r="L135" s="122"/>
      <c r="M135" s="957"/>
      <c r="N135" s="2"/>
      <c r="O135" s="333"/>
      <c r="P135" s="2"/>
      <c r="Q135" s="957"/>
      <c r="R135" s="36"/>
      <c r="S135" s="338"/>
      <c r="T135" s="2"/>
      <c r="U135" s="2"/>
      <c r="V135" s="280"/>
      <c r="W135" s="2244"/>
      <c r="X135" s="2"/>
      <c r="Y135" s="2"/>
      <c r="Z135" s="2"/>
      <c r="AA135" s="333"/>
      <c r="AB135" s="2"/>
      <c r="AC135" s="2"/>
    </row>
    <row r="136" spans="1:29" s="848" customFormat="1" x14ac:dyDescent="0.25">
      <c r="A136" s="108"/>
      <c r="B136" s="2169"/>
      <c r="C136" s="856"/>
      <c r="D136" s="36"/>
      <c r="F136" s="2"/>
      <c r="G136" s="52"/>
      <c r="H136" s="121"/>
      <c r="I136" s="856"/>
      <c r="J136" s="66"/>
      <c r="K136" s="333"/>
      <c r="L136" s="122"/>
      <c r="M136" s="957"/>
      <c r="N136" s="2"/>
      <c r="O136" s="333"/>
      <c r="P136" s="2"/>
      <c r="Q136" s="957"/>
      <c r="R136" s="36"/>
      <c r="S136" s="338"/>
      <c r="T136" s="2"/>
      <c r="U136" s="2"/>
      <c r="V136" s="280"/>
      <c r="W136" s="2244"/>
      <c r="X136" s="2"/>
      <c r="Y136" s="2"/>
      <c r="Z136" s="2"/>
      <c r="AA136" s="333"/>
      <c r="AB136" s="2"/>
      <c r="AC136" s="2"/>
    </row>
    <row r="137" spans="1:29" s="848" customFormat="1" x14ac:dyDescent="0.25">
      <c r="A137" s="108"/>
      <c r="B137" s="2169"/>
      <c r="C137" s="856"/>
      <c r="D137" s="36"/>
      <c r="F137" s="2"/>
      <c r="G137" s="52"/>
      <c r="H137" s="121"/>
      <c r="I137" s="856"/>
      <c r="J137" s="66"/>
      <c r="K137" s="333"/>
      <c r="L137" s="122"/>
      <c r="M137" s="957"/>
      <c r="N137" s="2"/>
      <c r="O137" s="333"/>
      <c r="P137" s="2"/>
      <c r="Q137" s="957"/>
      <c r="R137" s="36"/>
      <c r="S137" s="338"/>
      <c r="T137" s="2"/>
      <c r="U137" s="2"/>
      <c r="V137" s="280"/>
      <c r="W137" s="2244"/>
      <c r="X137" s="2"/>
      <c r="Y137" s="2"/>
      <c r="Z137" s="2"/>
      <c r="AA137" s="333"/>
      <c r="AB137" s="2"/>
      <c r="AC137" s="2"/>
    </row>
    <row r="138" spans="1:29" s="848" customFormat="1" x14ac:dyDescent="0.25">
      <c r="A138" s="108"/>
      <c r="B138" s="2169"/>
      <c r="C138" s="856"/>
      <c r="D138" s="36"/>
      <c r="F138" s="2"/>
      <c r="G138" s="52"/>
      <c r="H138" s="121"/>
      <c r="I138" s="856"/>
      <c r="J138" s="66"/>
      <c r="K138" s="333"/>
      <c r="L138" s="122"/>
      <c r="M138" s="957"/>
      <c r="N138" s="2"/>
      <c r="O138" s="333"/>
      <c r="P138" s="2"/>
      <c r="Q138" s="957"/>
      <c r="R138" s="36"/>
      <c r="S138" s="338"/>
      <c r="T138" s="2"/>
      <c r="U138" s="2"/>
      <c r="V138" s="280"/>
      <c r="W138" s="2244"/>
      <c r="X138" s="2"/>
      <c r="Y138" s="2"/>
      <c r="Z138" s="2"/>
      <c r="AA138" s="333"/>
      <c r="AB138" s="2"/>
      <c r="AC138" s="2"/>
    </row>
    <row r="139" spans="1:29" s="848" customFormat="1" x14ac:dyDescent="0.25">
      <c r="A139" s="108"/>
      <c r="B139" s="2169"/>
      <c r="C139" s="856"/>
      <c r="D139" s="36"/>
      <c r="F139" s="2"/>
      <c r="G139" s="52"/>
      <c r="H139" s="121"/>
      <c r="I139" s="856"/>
      <c r="J139" s="66"/>
      <c r="K139" s="333"/>
      <c r="L139" s="122"/>
      <c r="M139" s="957"/>
      <c r="N139" s="2"/>
      <c r="O139" s="333"/>
      <c r="P139" s="2"/>
      <c r="Q139" s="957"/>
      <c r="R139" s="36"/>
      <c r="S139" s="338"/>
      <c r="T139" s="2"/>
      <c r="U139" s="2"/>
      <c r="V139" s="280"/>
      <c r="W139" s="2244"/>
      <c r="X139" s="2"/>
      <c r="Y139" s="2"/>
      <c r="Z139" s="2"/>
      <c r="AA139" s="333"/>
      <c r="AB139" s="2"/>
      <c r="AC139" s="2"/>
    </row>
  </sheetData>
  <sheetProtection password="E247" sheet="1" objects="1" scenarios="1"/>
  <mergeCells count="1">
    <mergeCell ref="B119:C120"/>
  </mergeCells>
  <pageMargins left="0.25" right="0.25" top="0.5" bottom="0.5" header="0.25" footer="0.25"/>
  <pageSetup paperSize="17" orientation="portrait" r:id="rId1"/>
  <headerFooter>
    <oddHeader>&amp;L&amp;F</oddHeader>
    <oddFooter>&amp;R&amp;A</oddFooter>
  </headerFooter>
  <rowBreaks count="1" manualBreakCount="1">
    <brk id="111"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fitToPage="1"/>
  </sheetPr>
  <dimension ref="A1:AC139"/>
  <sheetViews>
    <sheetView zoomScaleNormal="100" workbookViewId="0">
      <pane xSplit="3" ySplit="6" topLeftCell="H7" activePane="bottomRight" state="frozen"/>
      <selection activeCell="H7" sqref="H7"/>
      <selection pane="topRight" activeCell="H7" sqref="H7"/>
      <selection pane="bottomLeft" activeCell="H7" sqref="H7"/>
      <selection pane="bottomRight" activeCell="H7" sqref="H7"/>
    </sheetView>
  </sheetViews>
  <sheetFormatPr defaultRowHeight="15" x14ac:dyDescent="0.25"/>
  <cols>
    <col min="1" max="1" width="2.42578125" style="108" customWidth="1"/>
    <col min="2" max="2" width="8.5703125" style="2168" customWidth="1"/>
    <col min="3" max="3" width="51.42578125" style="848" bestFit="1" customWidth="1"/>
    <col min="4" max="4" width="16" style="2" hidden="1" customWidth="1"/>
    <col min="5" max="5" width="23.28515625" style="848" hidden="1" customWidth="1"/>
    <col min="6" max="6" width="6" style="2" hidden="1" customWidth="1"/>
    <col min="7" max="7" width="10.7109375" style="52" hidden="1" customWidth="1"/>
    <col min="8" max="8" width="17.85546875" style="121" bestFit="1" customWidth="1"/>
    <col min="9" max="9" width="26" style="856" hidden="1" customWidth="1"/>
    <col min="10" max="10" width="5.7109375" style="66" hidden="1" customWidth="1"/>
    <col min="11" max="11" width="9.85546875" style="333" hidden="1" customWidth="1"/>
    <col min="12" max="12" width="15.42578125" style="122" bestFit="1" customWidth="1"/>
    <col min="13" max="13" width="26.140625" style="957" hidden="1" customWidth="1"/>
    <col min="14" max="14" width="5.7109375" style="2" hidden="1" customWidth="1"/>
    <col min="15" max="15" width="9.5703125" style="333" hidden="1" customWidth="1"/>
    <col min="16" max="16" width="15.42578125" style="2" bestFit="1" customWidth="1"/>
    <col min="17" max="17" width="25" style="957" hidden="1" customWidth="1"/>
    <col min="18" max="18" width="5.28515625" style="36" hidden="1" customWidth="1"/>
    <col min="19" max="19" width="9.42578125" style="338" hidden="1" customWidth="1"/>
    <col min="20" max="20" width="14" style="2" customWidth="1"/>
    <col min="21" max="21" width="24.85546875" style="2" hidden="1" customWidth="1"/>
    <col min="22" max="22" width="5.7109375" style="280" customWidth="1"/>
    <col min="23" max="23" width="9.42578125" style="2244" hidden="1" customWidth="1"/>
    <col min="24" max="24" width="14" style="2" hidden="1" customWidth="1"/>
    <col min="25" max="25" width="24.85546875" style="2" hidden="1" customWidth="1"/>
    <col min="26" max="26" width="5.7109375" style="2" hidden="1" customWidth="1"/>
    <col min="27" max="27" width="9.42578125" style="333" hidden="1" customWidth="1"/>
    <col min="28" max="28" width="14" style="2" hidden="1" customWidth="1"/>
    <col min="29" max="29" width="24.85546875" style="2" hidden="1" customWidth="1"/>
    <col min="30" max="16384" width="9.140625" style="2"/>
  </cols>
  <sheetData>
    <row r="1" spans="1:29" x14ac:dyDescent="0.25">
      <c r="B1" s="2168" t="s">
        <v>61</v>
      </c>
      <c r="C1" s="873" t="s">
        <v>986</v>
      </c>
      <c r="D1" s="97">
        <v>0</v>
      </c>
      <c r="E1" s="904"/>
      <c r="F1" s="121"/>
      <c r="G1" s="325"/>
      <c r="H1" s="99">
        <v>0</v>
      </c>
      <c r="I1" s="904"/>
      <c r="L1" s="121">
        <v>0</v>
      </c>
      <c r="M1" s="904"/>
      <c r="P1" s="121">
        <v>0</v>
      </c>
      <c r="Q1" s="904"/>
      <c r="T1" s="121">
        <v>0</v>
      </c>
      <c r="U1" s="121"/>
      <c r="X1" s="121">
        <v>0</v>
      </c>
      <c r="Y1" s="121"/>
      <c r="AB1" s="121">
        <v>0</v>
      </c>
      <c r="AC1" s="121"/>
    </row>
    <row r="2" spans="1:29" ht="17.25" x14ac:dyDescent="0.4">
      <c r="B2" s="2169" t="s">
        <v>59</v>
      </c>
      <c r="C2" s="1863">
        <v>103</v>
      </c>
      <c r="D2" s="99">
        <v>0</v>
      </c>
      <c r="E2" s="904"/>
      <c r="F2" s="121"/>
      <c r="G2" s="326"/>
      <c r="H2" s="99">
        <v>0</v>
      </c>
      <c r="I2" s="904"/>
      <c r="L2" s="87">
        <v>0</v>
      </c>
      <c r="M2" s="904"/>
      <c r="P2" s="87">
        <v>0</v>
      </c>
      <c r="Q2" s="904"/>
      <c r="T2" s="87">
        <v>0</v>
      </c>
      <c r="U2" s="121"/>
      <c r="X2" s="87">
        <v>0</v>
      </c>
      <c r="Y2" s="121"/>
      <c r="AB2" s="87">
        <v>0</v>
      </c>
      <c r="AC2" s="121"/>
    </row>
    <row r="3" spans="1:29" x14ac:dyDescent="0.25">
      <c r="C3" s="1690"/>
      <c r="D3" s="281">
        <f>+SUM(D1:D2)</f>
        <v>0</v>
      </c>
      <c r="E3" s="905"/>
      <c r="F3" s="99"/>
      <c r="G3" s="83"/>
      <c r="H3" s="281">
        <f>+SUM(H1:H2)</f>
        <v>0</v>
      </c>
      <c r="I3" s="913"/>
      <c r="L3" s="121">
        <f>SUM(L1:L2)</f>
        <v>0</v>
      </c>
      <c r="M3" s="956"/>
      <c r="P3" s="121">
        <f>SUM(P1:P2)</f>
        <v>0</v>
      </c>
      <c r="Q3" s="956"/>
      <c r="T3" s="121">
        <f>SUM(T1:T2)</f>
        <v>0</v>
      </c>
      <c r="U3" s="36"/>
      <c r="X3" s="121">
        <f>SUM(X1:X2)</f>
        <v>0</v>
      </c>
      <c r="Y3" s="36"/>
      <c r="AB3" s="121">
        <f>SUM(AB1:AB2)</f>
        <v>0</v>
      </c>
      <c r="AC3" s="36"/>
    </row>
    <row r="4" spans="1:29" x14ac:dyDescent="0.25">
      <c r="L4" s="121"/>
      <c r="M4" s="956"/>
      <c r="P4" s="121"/>
      <c r="Q4" s="956"/>
      <c r="T4" s="121"/>
      <c r="U4" s="36"/>
      <c r="X4" s="121"/>
      <c r="Y4" s="36"/>
      <c r="AB4" s="121"/>
      <c r="AC4" s="36"/>
    </row>
    <row r="5" spans="1:29" ht="15.75" x14ac:dyDescent="0.25">
      <c r="B5" s="2170" t="s">
        <v>56</v>
      </c>
      <c r="P5" s="122"/>
      <c r="T5" s="122"/>
      <c r="X5" s="122"/>
      <c r="AB5" s="122"/>
    </row>
    <row r="6" spans="1:29" s="242" customFormat="1" ht="15.75" x14ac:dyDescent="0.25">
      <c r="A6" s="241"/>
      <c r="B6" s="2171"/>
      <c r="C6" s="909"/>
      <c r="D6" s="1832" t="s">
        <v>55</v>
      </c>
      <c r="E6" s="906"/>
      <c r="G6" s="327"/>
      <c r="H6" s="282" t="str">
        <f>LEFT(D6,4)+1&amp;"-"&amp;RIGHT(D6,4)+1</f>
        <v>2017-2018</v>
      </c>
      <c r="I6" s="914"/>
      <c r="J6" s="283"/>
      <c r="K6" s="334"/>
      <c r="L6" s="123" t="str">
        <f>LEFT(H6,4)+1&amp;"-"&amp;RIGHT(H6,4)+1</f>
        <v>2018-2019</v>
      </c>
      <c r="M6" s="958"/>
      <c r="N6" s="284"/>
      <c r="O6" s="337"/>
      <c r="P6" s="123" t="str">
        <f>LEFT(L6,4)+1&amp;"-"&amp;RIGHT(L6,4)+1</f>
        <v>2019-2020</v>
      </c>
      <c r="Q6" s="958"/>
      <c r="R6" s="2236"/>
      <c r="S6" s="2242"/>
      <c r="T6" s="123" t="str">
        <f>LEFT(P6,4)+1&amp;"-"&amp;RIGHT(P6,4)+1</f>
        <v>2020-2021</v>
      </c>
      <c r="U6" s="123"/>
      <c r="V6" s="285"/>
      <c r="W6" s="2245"/>
      <c r="X6" s="123" t="str">
        <f>LEFT(T6,4)+1&amp;"-"&amp;RIGHT(T6,4)+1</f>
        <v>2021-2022</v>
      </c>
      <c r="Y6" s="123"/>
      <c r="Z6" s="284"/>
      <c r="AA6" s="337"/>
      <c r="AB6" s="123" t="str">
        <f>LEFT(X6,4)+1&amp;"-"&amp;RIGHT(X6,4)+1</f>
        <v>2022-2023</v>
      </c>
      <c r="AC6" s="123"/>
    </row>
    <row r="7" spans="1:29" s="340" customFormat="1" x14ac:dyDescent="0.25">
      <c r="B7" s="2486" t="s">
        <v>54</v>
      </c>
      <c r="C7" s="2386"/>
      <c r="D7" s="340">
        <v>0</v>
      </c>
      <c r="E7" s="2386"/>
      <c r="G7" s="2338"/>
      <c r="H7" s="340">
        <v>0</v>
      </c>
      <c r="I7" s="2386"/>
      <c r="J7" s="455"/>
      <c r="K7" s="1668"/>
      <c r="L7" s="340">
        <f>H102</f>
        <v>287663</v>
      </c>
      <c r="M7" s="2347"/>
      <c r="O7" s="1668"/>
      <c r="P7" s="340">
        <f>L102</f>
        <v>-5116</v>
      </c>
      <c r="Q7" s="2347"/>
      <c r="R7" s="455"/>
      <c r="S7" s="2341"/>
      <c r="T7" s="340">
        <f>P102</f>
        <v>-5116</v>
      </c>
      <c r="V7" s="2429"/>
      <c r="W7" s="2343"/>
      <c r="X7" s="340">
        <f>T102</f>
        <v>-5116</v>
      </c>
      <c r="AA7" s="1668"/>
      <c r="AB7" s="340" t="e">
        <f>X102</f>
        <v>#REF!</v>
      </c>
    </row>
    <row r="8" spans="1:29" s="340" customFormat="1" x14ac:dyDescent="0.25">
      <c r="B8" s="2487"/>
      <c r="C8" s="2386"/>
      <c r="E8" s="2386"/>
      <c r="G8" s="2338"/>
      <c r="I8" s="2386"/>
      <c r="J8" s="455"/>
      <c r="K8" s="1668"/>
      <c r="M8" s="2347"/>
      <c r="O8" s="1668"/>
      <c r="Q8" s="2347"/>
      <c r="R8" s="455"/>
      <c r="S8" s="2341"/>
      <c r="V8" s="2429"/>
      <c r="W8" s="2343"/>
      <c r="AA8" s="1668"/>
    </row>
    <row r="9" spans="1:29" s="340" customFormat="1" x14ac:dyDescent="0.25">
      <c r="B9" s="2487" t="s">
        <v>52</v>
      </c>
      <c r="C9" s="2386"/>
      <c r="E9" s="2386"/>
      <c r="G9" s="456"/>
      <c r="H9" s="833"/>
      <c r="I9" s="2386"/>
      <c r="J9" s="342"/>
      <c r="K9" s="456"/>
      <c r="L9" s="833"/>
      <c r="M9" s="2347"/>
      <c r="O9" s="456"/>
      <c r="P9" s="833"/>
      <c r="Q9" s="2347"/>
      <c r="R9" s="455"/>
      <c r="S9" s="2238" t="str">
        <f>IF(P9=0,"0.00%",(T9-P9)/P9)</f>
        <v>0.00%</v>
      </c>
      <c r="T9" s="833">
        <f>T3</f>
        <v>0</v>
      </c>
      <c r="V9" s="2429"/>
      <c r="W9" s="2241" t="str">
        <f>IF(T9=0,"0.00%",(X9-T9)/T9)</f>
        <v>0.00%</v>
      </c>
      <c r="X9" s="833">
        <f>X3</f>
        <v>0</v>
      </c>
      <c r="AA9" s="456" t="str">
        <f>IF(X9=0,"0.00%",(AB9-X9)/X9)</f>
        <v>0.00%</v>
      </c>
      <c r="AB9" s="833">
        <f>AB3</f>
        <v>0</v>
      </c>
    </row>
    <row r="10" spans="1:29" s="340" customFormat="1" x14ac:dyDescent="0.25">
      <c r="B10" s="2441">
        <v>8981</v>
      </c>
      <c r="C10" s="2386" t="s">
        <v>987</v>
      </c>
      <c r="D10" s="340">
        <v>0</v>
      </c>
      <c r="E10" s="2386"/>
      <c r="G10" s="456" t="str">
        <f t="shared" ref="G10:G18" si="0">IF(D10=0,"0.00%",(H10-D10)/D10)</f>
        <v>0.00%</v>
      </c>
      <c r="H10" s="833">
        <v>425000</v>
      </c>
      <c r="I10" s="2386"/>
      <c r="J10" s="342"/>
      <c r="K10" s="456">
        <f t="shared" ref="K10:K14" si="1">IF(H10=0,"0.00%",(L10-H10)/H10)</f>
        <v>-1</v>
      </c>
      <c r="L10" s="833">
        <v>0</v>
      </c>
      <c r="M10" s="2347"/>
      <c r="O10" s="456" t="str">
        <f t="shared" ref="O10:O14" si="2">IF(L10=0,"0.00%",(P10-L10)/L10)</f>
        <v>0.00%</v>
      </c>
      <c r="P10" s="833">
        <f>+L10</f>
        <v>0</v>
      </c>
      <c r="Q10" s="2347"/>
      <c r="R10" s="455"/>
      <c r="S10" s="2238"/>
      <c r="T10" s="833"/>
      <c r="V10" s="2429"/>
      <c r="W10" s="2241"/>
      <c r="X10" s="833"/>
      <c r="AA10" s="456"/>
      <c r="AB10" s="833"/>
    </row>
    <row r="11" spans="1:29" s="340" customFormat="1" hidden="1" x14ac:dyDescent="0.25">
      <c r="B11" s="2441"/>
      <c r="C11" s="2386"/>
      <c r="D11" s="340">
        <v>0</v>
      </c>
      <c r="E11" s="2386"/>
      <c r="G11" s="456" t="str">
        <f t="shared" si="0"/>
        <v>0.00%</v>
      </c>
      <c r="H11" s="833">
        <v>0</v>
      </c>
      <c r="I11" s="2386"/>
      <c r="J11" s="342"/>
      <c r="K11" s="456" t="str">
        <f t="shared" si="1"/>
        <v>0.00%</v>
      </c>
      <c r="L11" s="833">
        <v>0</v>
      </c>
      <c r="M11" s="2347"/>
      <c r="O11" s="456" t="str">
        <f t="shared" si="2"/>
        <v>0.00%</v>
      </c>
      <c r="P11" s="833">
        <v>0</v>
      </c>
      <c r="Q11" s="2347"/>
      <c r="R11" s="455"/>
      <c r="S11" s="2238"/>
      <c r="T11" s="833"/>
      <c r="V11" s="2429"/>
      <c r="W11" s="2241"/>
      <c r="X11" s="833"/>
      <c r="AA11" s="456"/>
      <c r="AB11" s="833"/>
    </row>
    <row r="12" spans="1:29" s="340" customFormat="1" hidden="1" x14ac:dyDescent="0.25">
      <c r="B12" s="2441"/>
      <c r="C12" s="2386"/>
      <c r="D12" s="340">
        <v>0</v>
      </c>
      <c r="E12" s="2386"/>
      <c r="G12" s="456" t="str">
        <f t="shared" si="0"/>
        <v>0.00%</v>
      </c>
      <c r="H12" s="833">
        <v>0</v>
      </c>
      <c r="I12" s="2386"/>
      <c r="J12" s="342"/>
      <c r="K12" s="456" t="str">
        <f t="shared" si="1"/>
        <v>0.00%</v>
      </c>
      <c r="L12" s="833">
        <v>0</v>
      </c>
      <c r="M12" s="2347"/>
      <c r="O12" s="456" t="str">
        <f t="shared" si="2"/>
        <v>0.00%</v>
      </c>
      <c r="P12" s="833">
        <v>0</v>
      </c>
      <c r="Q12" s="2347"/>
      <c r="R12" s="455"/>
      <c r="S12" s="2238"/>
      <c r="T12" s="833"/>
      <c r="V12" s="2429"/>
      <c r="W12" s="2241"/>
      <c r="X12" s="833"/>
      <c r="AA12" s="456"/>
      <c r="AB12" s="833"/>
    </row>
    <row r="13" spans="1:29" s="340" customFormat="1" x14ac:dyDescent="0.25">
      <c r="B13" s="2441"/>
      <c r="C13" s="2386"/>
      <c r="E13" s="2386"/>
      <c r="G13" s="456" t="str">
        <f t="shared" si="0"/>
        <v>0.00%</v>
      </c>
      <c r="H13" s="833">
        <v>0</v>
      </c>
      <c r="I13" s="2386"/>
      <c r="J13" s="342"/>
      <c r="K13" s="456" t="str">
        <f t="shared" si="1"/>
        <v>0.00%</v>
      </c>
      <c r="L13" s="833">
        <v>0</v>
      </c>
      <c r="M13" s="2347"/>
      <c r="O13" s="456" t="str">
        <f t="shared" si="2"/>
        <v>0.00%</v>
      </c>
      <c r="P13" s="833">
        <v>0</v>
      </c>
      <c r="Q13" s="2347"/>
      <c r="R13" s="455"/>
      <c r="S13" s="2238"/>
      <c r="T13" s="833"/>
      <c r="V13" s="2429"/>
      <c r="W13" s="2241"/>
      <c r="X13" s="833"/>
      <c r="AA13" s="456"/>
      <c r="AB13" s="833"/>
    </row>
    <row r="14" spans="1:29" s="340" customFormat="1" x14ac:dyDescent="0.25">
      <c r="B14" s="2486" t="s">
        <v>137</v>
      </c>
      <c r="C14" s="2386"/>
      <c r="D14" s="458">
        <f>SUM(D9:D13)</f>
        <v>0</v>
      </c>
      <c r="E14" s="2386"/>
      <c r="G14" s="456" t="str">
        <f t="shared" si="0"/>
        <v>0.00%</v>
      </c>
      <c r="H14" s="458">
        <f>SUM(H9:H13)</f>
        <v>425000</v>
      </c>
      <c r="I14" s="2386"/>
      <c r="J14" s="342"/>
      <c r="K14" s="456">
        <f t="shared" si="1"/>
        <v>-1</v>
      </c>
      <c r="L14" s="458">
        <f>SUM(L9:L13)</f>
        <v>0</v>
      </c>
      <c r="M14" s="2316">
        <f>+L14-H14</f>
        <v>-425000</v>
      </c>
      <c r="O14" s="456" t="str">
        <f t="shared" si="2"/>
        <v>0.00%</v>
      </c>
      <c r="P14" s="458">
        <f>SUM(P9:P13)</f>
        <v>0</v>
      </c>
      <c r="Q14" s="2316">
        <f>+P14-L14</f>
        <v>0</v>
      </c>
      <c r="R14" s="455"/>
      <c r="S14" s="2238" t="str">
        <f>IF(P14=0,"0.00%",(T14-P14)/P14)</f>
        <v>0.00%</v>
      </c>
      <c r="T14" s="458">
        <f>SUM(T9:T10)</f>
        <v>0</v>
      </c>
      <c r="V14" s="2429"/>
      <c r="W14" s="2241" t="str">
        <f>IF(T14=0,"0.00%",(X14-T14)/T14)</f>
        <v>0.00%</v>
      </c>
      <c r="X14" s="458">
        <f>SUM(X9:X10)</f>
        <v>0</v>
      </c>
      <c r="AA14" s="456" t="str">
        <f>IF(X14=0,"0.00%",(AB14-X14)/X14)</f>
        <v>0.00%</v>
      </c>
      <c r="AB14" s="458">
        <f>SUM(AB9:AB10)</f>
        <v>0</v>
      </c>
    </row>
    <row r="15" spans="1:29" s="340" customFormat="1" x14ac:dyDescent="0.25">
      <c r="B15" s="2487"/>
      <c r="C15" s="2386"/>
      <c r="E15" s="2386"/>
      <c r="G15" s="2338"/>
      <c r="H15" s="833"/>
      <c r="I15" s="2386"/>
      <c r="J15" s="342"/>
      <c r="K15" s="2338"/>
      <c r="L15" s="833"/>
      <c r="M15" s="2347"/>
      <c r="O15" s="2338"/>
      <c r="P15" s="833"/>
      <c r="Q15" s="2347"/>
      <c r="R15" s="455"/>
      <c r="S15" s="2355"/>
      <c r="T15" s="833"/>
      <c r="V15" s="2429"/>
      <c r="W15" s="2357"/>
      <c r="X15" s="833"/>
      <c r="AA15" s="2338"/>
      <c r="AB15" s="833"/>
    </row>
    <row r="16" spans="1:29" s="340" customFormat="1" x14ac:dyDescent="0.25">
      <c r="B16" s="2449"/>
      <c r="C16" s="2375" t="s">
        <v>64</v>
      </c>
      <c r="D16" s="2359">
        <f>ROUND(D14-(D14/(1+E16)),0)</f>
        <v>0</v>
      </c>
      <c r="E16" s="2431">
        <v>0</v>
      </c>
      <c r="G16" s="456" t="str">
        <f t="shared" si="0"/>
        <v>0.00%</v>
      </c>
      <c r="H16" s="2359">
        <f>ROUND(H14-(H14/(1+B16)),0)</f>
        <v>0</v>
      </c>
      <c r="I16" s="2386"/>
      <c r="J16" s="342"/>
      <c r="K16" s="456" t="str">
        <f>IF(H16=0,"0.00%",(L16-H16)/H16)</f>
        <v>0.00%</v>
      </c>
      <c r="L16" s="2359">
        <f>ROUND(L14-(L14/(1+B16)),0)</f>
        <v>0</v>
      </c>
      <c r="M16" s="2347"/>
      <c r="O16" s="456" t="str">
        <f>IF(L16=0,"0.00%",(P16-L16)/L16)</f>
        <v>0.00%</v>
      </c>
      <c r="P16" s="2359">
        <f>ROUND(P14-(P14/(1+B16)),0)</f>
        <v>0</v>
      </c>
      <c r="Q16" s="2347"/>
      <c r="R16" s="455"/>
      <c r="S16" s="2238" t="str">
        <f>IF(P16=0,"0.00%",(T16-P16)/P16)</f>
        <v>0.00%</v>
      </c>
      <c r="T16" s="2359">
        <f>ROUND(T14-(T14/(1+B16)),0)</f>
        <v>0</v>
      </c>
      <c r="V16" s="2429"/>
      <c r="W16" s="2241" t="str">
        <f>IF(T16=0,"0.00%",(X16-T16)/T16)</f>
        <v>0.00%</v>
      </c>
      <c r="X16" s="2359">
        <f>ROUND(X14-(X14/(1+B16)),0)</f>
        <v>0</v>
      </c>
      <c r="AA16" s="456" t="str">
        <f>IF(X16=0,"0.00%",(AB16-X16)/X16)</f>
        <v>0.00%</v>
      </c>
      <c r="AB16" s="2359">
        <f>ROUND(AB14-(AB14/(1+G16)),0)</f>
        <v>0</v>
      </c>
    </row>
    <row r="17" spans="1:29" s="340" customFormat="1" x14ac:dyDescent="0.25">
      <c r="B17" s="2487"/>
      <c r="C17" s="2386"/>
      <c r="E17" s="2386"/>
      <c r="G17" s="2338"/>
      <c r="H17" s="833"/>
      <c r="I17" s="2386"/>
      <c r="J17" s="342"/>
      <c r="K17" s="2338"/>
      <c r="L17" s="833"/>
      <c r="M17" s="2347"/>
      <c r="O17" s="2338"/>
      <c r="P17" s="833"/>
      <c r="Q17" s="2347"/>
      <c r="R17" s="455"/>
      <c r="S17" s="2355"/>
      <c r="T17" s="833"/>
      <c r="V17" s="2429"/>
      <c r="W17" s="2357"/>
      <c r="X17" s="833"/>
      <c r="AA17" s="2338"/>
      <c r="AB17" s="833"/>
    </row>
    <row r="18" spans="1:29" s="340" customFormat="1" x14ac:dyDescent="0.25">
      <c r="B18" s="2486" t="s">
        <v>50</v>
      </c>
      <c r="C18" s="2386"/>
      <c r="D18" s="1866">
        <f>D14-D16+D7</f>
        <v>0</v>
      </c>
      <c r="E18" s="2386"/>
      <c r="G18" s="456" t="str">
        <f t="shared" si="0"/>
        <v>0.00%</v>
      </c>
      <c r="H18" s="1866">
        <f>H14-H16+H7</f>
        <v>425000</v>
      </c>
      <c r="J18" s="2488"/>
      <c r="K18" s="456">
        <f>IF(H18=0,"0.00%",(L18-H18)/H18)</f>
        <v>-0.32314588235294117</v>
      </c>
      <c r="L18" s="1866">
        <f>L14-L16+L7</f>
        <v>287663</v>
      </c>
      <c r="M18" s="2316">
        <f>+L18-H18</f>
        <v>-137337</v>
      </c>
      <c r="O18" s="456">
        <f>IF(L18=0,"0.00%",(P18-L18)/L18)</f>
        <v>-1.0177846994573512</v>
      </c>
      <c r="P18" s="1866">
        <f>P14-P16+P7</f>
        <v>-5116</v>
      </c>
      <c r="Q18" s="2316">
        <f>+P18-L18</f>
        <v>-292779</v>
      </c>
      <c r="R18" s="455"/>
      <c r="S18" s="2238">
        <f>IF(P18=0,"0.00%",(T18-P18)/P18)</f>
        <v>-1</v>
      </c>
      <c r="T18" s="2359">
        <f>T14-T16</f>
        <v>0</v>
      </c>
      <c r="V18" s="2429"/>
      <c r="W18" s="2241" t="str">
        <f>IF(T18=0,"0.00%",(X18-T18)/T18)</f>
        <v>0.00%</v>
      </c>
      <c r="X18" s="2359">
        <f>X14-X16</f>
        <v>0</v>
      </c>
      <c r="AA18" s="456" t="str">
        <f>IF(X18=0,"0.00%",(AB18-X18)/X18)</f>
        <v>0.00%</v>
      </c>
      <c r="AB18" s="2359">
        <f>AB14-AB16</f>
        <v>0</v>
      </c>
    </row>
    <row r="19" spans="1:29" s="340" customFormat="1" x14ac:dyDescent="0.25">
      <c r="B19" s="2487"/>
      <c r="C19" s="2386"/>
      <c r="E19" s="2386"/>
      <c r="G19" s="2338"/>
      <c r="H19" s="833"/>
      <c r="I19" s="2386"/>
      <c r="J19" s="342"/>
      <c r="K19" s="1668"/>
      <c r="L19" s="833"/>
      <c r="M19" s="2347"/>
      <c r="O19" s="1668"/>
      <c r="P19" s="833"/>
      <c r="Q19" s="2347"/>
      <c r="R19" s="455"/>
      <c r="S19" s="2341"/>
      <c r="T19" s="833"/>
      <c r="V19" s="2429"/>
      <c r="W19" s="2343"/>
      <c r="X19" s="833"/>
      <c r="AA19" s="1668"/>
      <c r="AB19" s="833"/>
    </row>
    <row r="20" spans="1:29" s="340" customFormat="1" x14ac:dyDescent="0.25">
      <c r="B20" s="2487"/>
      <c r="C20" s="2489"/>
      <c r="E20" s="2386"/>
      <c r="G20" s="2338"/>
      <c r="H20" s="833"/>
      <c r="I20" s="2386"/>
      <c r="J20" s="342"/>
      <c r="K20" s="1668"/>
      <c r="L20" s="833"/>
      <c r="M20" s="2347"/>
      <c r="O20" s="1668"/>
      <c r="P20" s="833"/>
      <c r="Q20" s="2347"/>
      <c r="R20" s="455"/>
      <c r="S20" s="2341"/>
      <c r="T20" s="833"/>
      <c r="V20" s="2429"/>
      <c r="W20" s="2343"/>
      <c r="X20" s="833"/>
      <c r="AA20" s="1668"/>
      <c r="AB20" s="833"/>
    </row>
    <row r="21" spans="1:29" s="340" customFormat="1" x14ac:dyDescent="0.25">
      <c r="A21" s="2433"/>
      <c r="B21" s="2487"/>
      <c r="C21" s="2386"/>
      <c r="D21" s="459" t="s">
        <v>807</v>
      </c>
      <c r="E21" s="1867"/>
      <c r="F21" s="2433"/>
      <c r="G21" s="2338"/>
      <c r="H21" s="459" t="s">
        <v>176</v>
      </c>
      <c r="I21" s="1867"/>
      <c r="J21" s="459"/>
      <c r="K21" s="1668"/>
      <c r="L21" s="2370"/>
      <c r="M21" s="1867"/>
      <c r="O21" s="1668"/>
      <c r="Q21" s="1867"/>
      <c r="R21" s="455"/>
      <c r="S21" s="2341"/>
      <c r="U21" s="2433"/>
      <c r="V21" s="2429"/>
      <c r="W21" s="2343"/>
      <c r="Y21" s="2433"/>
      <c r="AA21" s="1668"/>
      <c r="AC21" s="2433"/>
    </row>
    <row r="22" spans="1:29" s="340" customFormat="1" ht="17.25" x14ac:dyDescent="0.4">
      <c r="A22" s="2436"/>
      <c r="B22" s="2487"/>
      <c r="C22" s="2386"/>
      <c r="D22" s="2435" t="s">
        <v>808</v>
      </c>
      <c r="E22" s="2434"/>
      <c r="F22" s="2436"/>
      <c r="G22" s="2338"/>
      <c r="H22" s="2435" t="s">
        <v>48</v>
      </c>
      <c r="I22" s="2438"/>
      <c r="J22" s="459"/>
      <c r="K22" s="1668"/>
      <c r="L22" s="2372" t="s">
        <v>48</v>
      </c>
      <c r="M22" s="2373"/>
      <c r="O22" s="1668"/>
      <c r="P22" s="2372" t="s">
        <v>48</v>
      </c>
      <c r="Q22" s="2438">
        <v>1.7500000000000002E-2</v>
      </c>
      <c r="R22" s="455"/>
      <c r="S22" s="2341"/>
      <c r="T22" s="2372" t="s">
        <v>48</v>
      </c>
      <c r="U22" s="2438">
        <v>1.7500000000000002E-2</v>
      </c>
      <c r="V22" s="2429"/>
      <c r="W22" s="2343"/>
      <c r="X22" s="2372" t="s">
        <v>48</v>
      </c>
      <c r="Y22" s="2490">
        <v>0.02</v>
      </c>
      <c r="AA22" s="1668"/>
      <c r="AB22" s="2372" t="s">
        <v>48</v>
      </c>
      <c r="AC22" s="2490">
        <v>0.02</v>
      </c>
    </row>
    <row r="23" spans="1:29" s="1866" customFormat="1" x14ac:dyDescent="0.25">
      <c r="A23" s="460"/>
      <c r="B23" s="2486" t="s">
        <v>46</v>
      </c>
      <c r="C23" s="2375"/>
      <c r="E23" s="2375"/>
      <c r="G23" s="2376"/>
      <c r="I23" s="868"/>
      <c r="J23" s="460"/>
      <c r="K23" s="606"/>
      <c r="M23" s="2377"/>
      <c r="O23" s="606"/>
      <c r="Q23" s="2377"/>
      <c r="R23" s="460"/>
      <c r="S23" s="1669"/>
      <c r="U23" s="2491"/>
      <c r="V23" s="2492"/>
      <c r="W23" s="2382"/>
      <c r="Y23" s="2491"/>
      <c r="AA23" s="606"/>
      <c r="AC23" s="2491"/>
    </row>
    <row r="24" spans="1:29" s="340" customFormat="1" x14ac:dyDescent="0.25">
      <c r="A24" s="2493"/>
      <c r="B24" s="2494" t="s">
        <v>45</v>
      </c>
      <c r="C24" s="2495" t="s">
        <v>988</v>
      </c>
      <c r="D24" s="340">
        <v>0</v>
      </c>
      <c r="E24" s="2386"/>
      <c r="G24" s="456" t="str">
        <f t="shared" ref="G24:G29" si="3">IF(D24=0,"0.00%",(H24-D24)/D24)</f>
        <v>0.00%</v>
      </c>
      <c r="H24" s="340">
        <v>2384</v>
      </c>
      <c r="I24" s="897"/>
      <c r="J24" s="455"/>
      <c r="K24" s="456">
        <f t="shared" ref="K24:K28" si="4">IF(H24=0,"0.00%",(L24-H24)/H24)</f>
        <v>0.69211409395973156</v>
      </c>
      <c r="L24" s="340">
        <v>4034</v>
      </c>
      <c r="M24" s="2488" t="s">
        <v>173</v>
      </c>
      <c r="O24" s="456">
        <f t="shared" ref="O24:O29" si="5">IF(L24=0,"0.00%",(P24-L24)/L24)</f>
        <v>-1</v>
      </c>
      <c r="P24" s="340">
        <v>0</v>
      </c>
      <c r="Q24" s="2488" t="s">
        <v>173</v>
      </c>
      <c r="R24" s="455"/>
      <c r="S24" s="456" t="str">
        <f t="shared" ref="S24:S29" si="6">IF(P24=0,"0.00%",(T24-P24)/P24)</f>
        <v>0.00%</v>
      </c>
      <c r="T24" s="340">
        <v>0</v>
      </c>
      <c r="U24" s="2370"/>
      <c r="V24" s="2429"/>
      <c r="W24" s="2343"/>
      <c r="Y24" s="2370"/>
      <c r="AA24" s="1668"/>
      <c r="AC24" s="2370"/>
    </row>
    <row r="25" spans="1:29" s="340" customFormat="1" x14ac:dyDescent="0.25">
      <c r="A25" s="2493"/>
      <c r="B25" s="2385">
        <v>1175</v>
      </c>
      <c r="C25" s="1656" t="s">
        <v>1050</v>
      </c>
      <c r="D25" s="340">
        <v>0</v>
      </c>
      <c r="E25" s="2386"/>
      <c r="G25" s="456" t="str">
        <f t="shared" si="3"/>
        <v>0.00%</v>
      </c>
      <c r="H25" s="340">
        <v>450</v>
      </c>
      <c r="I25" s="897"/>
      <c r="J25" s="455"/>
      <c r="K25" s="456">
        <f t="shared" si="4"/>
        <v>-1</v>
      </c>
      <c r="L25" s="1866">
        <v>0</v>
      </c>
      <c r="M25" s="1867"/>
      <c r="O25" s="456" t="str">
        <f t="shared" si="5"/>
        <v>0.00%</v>
      </c>
      <c r="P25" s="340">
        <v>0</v>
      </c>
      <c r="Q25" s="2488"/>
      <c r="R25" s="455"/>
      <c r="S25" s="456" t="str">
        <f t="shared" si="6"/>
        <v>0.00%</v>
      </c>
      <c r="T25" s="340">
        <f>ROUND(P25*(1+$Q$22),0)</f>
        <v>0</v>
      </c>
      <c r="U25" s="2370"/>
      <c r="V25" s="2429"/>
      <c r="W25" s="2343"/>
      <c r="Y25" s="2370"/>
      <c r="AA25" s="1668"/>
      <c r="AC25" s="2370"/>
    </row>
    <row r="26" spans="1:29" s="340" customFormat="1" x14ac:dyDescent="0.25">
      <c r="A26" s="2493"/>
      <c r="B26" s="2496">
        <v>1181</v>
      </c>
      <c r="C26" s="2495" t="s">
        <v>42</v>
      </c>
      <c r="D26" s="340">
        <v>0</v>
      </c>
      <c r="E26" s="2386"/>
      <c r="G26" s="456" t="str">
        <f t="shared" si="3"/>
        <v>0.00%</v>
      </c>
      <c r="H26" s="340">
        <v>0</v>
      </c>
      <c r="I26" s="897"/>
      <c r="J26" s="455"/>
      <c r="K26" s="456" t="str">
        <f t="shared" si="4"/>
        <v>0.00%</v>
      </c>
      <c r="L26" s="340">
        <v>115740</v>
      </c>
      <c r="M26" s="2488"/>
      <c r="O26" s="456">
        <f t="shared" si="5"/>
        <v>-1</v>
      </c>
      <c r="P26" s="340">
        <v>0</v>
      </c>
      <c r="Q26" s="2488"/>
      <c r="R26" s="455"/>
      <c r="S26" s="456" t="str">
        <f t="shared" si="6"/>
        <v>0.00%</v>
      </c>
      <c r="T26" s="340">
        <v>0</v>
      </c>
      <c r="U26" s="2370"/>
      <c r="V26" s="2429"/>
      <c r="W26" s="2343"/>
      <c r="Y26" s="2370"/>
      <c r="AA26" s="1668"/>
      <c r="AC26" s="2370"/>
    </row>
    <row r="27" spans="1:29" s="340" customFormat="1" hidden="1" x14ac:dyDescent="0.25">
      <c r="A27" s="2493"/>
      <c r="B27" s="2496"/>
      <c r="C27" s="2495"/>
      <c r="D27" s="340">
        <v>0</v>
      </c>
      <c r="E27" s="2386"/>
      <c r="G27" s="456" t="str">
        <f t="shared" si="3"/>
        <v>0.00%</v>
      </c>
      <c r="H27" s="340">
        <v>0</v>
      </c>
      <c r="I27" s="897"/>
      <c r="J27" s="455"/>
      <c r="K27" s="456" t="str">
        <f t="shared" si="4"/>
        <v>0.00%</v>
      </c>
      <c r="L27" s="340">
        <f>+H27</f>
        <v>0</v>
      </c>
      <c r="M27" s="2488"/>
      <c r="O27" s="456" t="str">
        <f t="shared" si="5"/>
        <v>0.00%</v>
      </c>
      <c r="P27" s="340">
        <f>+L27</f>
        <v>0</v>
      </c>
      <c r="Q27" s="2488"/>
      <c r="R27" s="455"/>
      <c r="S27" s="456" t="str">
        <f t="shared" si="6"/>
        <v>0.00%</v>
      </c>
      <c r="T27" s="340">
        <f>+P27</f>
        <v>0</v>
      </c>
      <c r="U27" s="2370"/>
      <c r="V27" s="2429"/>
      <c r="W27" s="2343"/>
      <c r="Y27" s="2370"/>
      <c r="AA27" s="1668"/>
      <c r="AC27" s="2370"/>
    </row>
    <row r="28" spans="1:29" s="340" customFormat="1" hidden="1" x14ac:dyDescent="0.25">
      <c r="A28" s="455"/>
      <c r="B28" s="2496"/>
      <c r="C28" s="2386"/>
      <c r="D28" s="340">
        <v>0</v>
      </c>
      <c r="E28" s="2386"/>
      <c r="G28" s="456" t="str">
        <f t="shared" si="3"/>
        <v>0.00%</v>
      </c>
      <c r="H28" s="340">
        <v>0</v>
      </c>
      <c r="I28" s="897"/>
      <c r="J28" s="455"/>
      <c r="K28" s="456" t="str">
        <f t="shared" si="4"/>
        <v>0.00%</v>
      </c>
      <c r="L28" s="340">
        <f>+H28</f>
        <v>0</v>
      </c>
      <c r="M28" s="2488"/>
      <c r="O28" s="456" t="str">
        <f t="shared" si="5"/>
        <v>0.00%</v>
      </c>
      <c r="P28" s="340">
        <f>+L28</f>
        <v>0</v>
      </c>
      <c r="Q28" s="2488"/>
      <c r="R28" s="455"/>
      <c r="S28" s="456" t="str">
        <f t="shared" si="6"/>
        <v>0.00%</v>
      </c>
      <c r="T28" s="340">
        <f>+P28</f>
        <v>0</v>
      </c>
      <c r="U28" s="2370"/>
      <c r="V28" s="2429"/>
      <c r="W28" s="2343"/>
      <c r="Y28" s="2370"/>
      <c r="AA28" s="1668"/>
      <c r="AC28" s="2370"/>
    </row>
    <row r="29" spans="1:29" s="340" customFormat="1" x14ac:dyDescent="0.25">
      <c r="A29" s="459"/>
      <c r="B29" s="2441"/>
      <c r="C29" s="2386"/>
      <c r="D29" s="458">
        <f>SUM(D24:D28)</f>
        <v>0</v>
      </c>
      <c r="E29" s="2386"/>
      <c r="G29" s="456" t="str">
        <f t="shared" si="3"/>
        <v>0.00%</v>
      </c>
      <c r="H29" s="458">
        <f>SUM(H24:H28)</f>
        <v>2834</v>
      </c>
      <c r="I29" s="2316">
        <f>+H29-D29</f>
        <v>2834</v>
      </c>
      <c r="J29" s="459"/>
      <c r="K29" s="456">
        <f>IF(H29=0,"0.00%",(L29-H29)/H29)</f>
        <v>41.263232180663373</v>
      </c>
      <c r="L29" s="458">
        <f>SUM(L24:L28)</f>
        <v>119774</v>
      </c>
      <c r="M29" s="2316">
        <f>+L29-H29</f>
        <v>116940</v>
      </c>
      <c r="O29" s="456">
        <f t="shared" si="5"/>
        <v>-1</v>
      </c>
      <c r="P29" s="458">
        <f>SUM(P24:P28)</f>
        <v>0</v>
      </c>
      <c r="Q29" s="2316">
        <f>+P29-L29</f>
        <v>-119774</v>
      </c>
      <c r="R29" s="455"/>
      <c r="S29" s="456" t="str">
        <f t="shared" si="6"/>
        <v>0.00%</v>
      </c>
      <c r="T29" s="458">
        <f>SUM(T24:T28)</f>
        <v>0</v>
      </c>
      <c r="U29" s="2370"/>
      <c r="V29" s="2429"/>
      <c r="W29" s="2241" t="str">
        <f>IF(T29=0,"0.00%",(X29-T29)/T29)</f>
        <v>0.00%</v>
      </c>
      <c r="X29" s="458" t="e">
        <f>SUM(#REF!)</f>
        <v>#REF!</v>
      </c>
      <c r="Y29" s="2370"/>
      <c r="AA29" s="456" t="e">
        <f>IF(X29=0,"0.00%",(AB29-X29)/X29)</f>
        <v>#REF!</v>
      </c>
      <c r="AB29" s="458" t="e">
        <f>SUM(#REF!)</f>
        <v>#REF!</v>
      </c>
      <c r="AC29" s="2370"/>
    </row>
    <row r="30" spans="1:29" s="340" customFormat="1" x14ac:dyDescent="0.25">
      <c r="A30" s="455"/>
      <c r="B30" s="2487"/>
      <c r="C30" s="2386"/>
      <c r="E30" s="2386"/>
      <c r="G30" s="2338"/>
      <c r="I30" s="897"/>
      <c r="J30" s="455"/>
      <c r="K30" s="1668"/>
      <c r="M30" s="2340"/>
      <c r="O30" s="1668"/>
      <c r="Q30" s="2340"/>
      <c r="R30" s="455"/>
      <c r="S30" s="2341"/>
      <c r="U30" s="2370"/>
      <c r="V30" s="2429"/>
      <c r="W30" s="2343"/>
      <c r="Y30" s="2370"/>
      <c r="AA30" s="1668"/>
      <c r="AC30" s="2370"/>
    </row>
    <row r="31" spans="1:29" s="460" customFormat="1" x14ac:dyDescent="0.25">
      <c r="B31" s="2223" t="s">
        <v>35</v>
      </c>
      <c r="C31" s="897"/>
      <c r="D31" s="2497"/>
      <c r="E31" s="868"/>
      <c r="G31" s="2389"/>
      <c r="I31" s="868"/>
      <c r="K31" s="1669"/>
      <c r="M31" s="2390"/>
      <c r="O31" s="1669"/>
      <c r="Q31" s="2390"/>
      <c r="S31" s="1669"/>
      <c r="U31" s="2498"/>
      <c r="V31" s="2492"/>
      <c r="W31" s="2382"/>
      <c r="Y31" s="2498"/>
      <c r="AA31" s="1669"/>
      <c r="AC31" s="2498"/>
    </row>
    <row r="32" spans="1:29" s="340" customFormat="1" x14ac:dyDescent="0.25">
      <c r="A32" s="455"/>
      <c r="B32" s="2441"/>
      <c r="C32" s="2386"/>
      <c r="D32" s="340">
        <v>0</v>
      </c>
      <c r="E32" s="2386"/>
      <c r="G32" s="456" t="str">
        <f t="shared" ref="G32:G41" si="7">IF(D32=0,"0.00%",(H32-D32)/D32)</f>
        <v>0.00%</v>
      </c>
      <c r="H32" s="340">
        <v>0</v>
      </c>
      <c r="I32" s="897"/>
      <c r="J32" s="455"/>
      <c r="K32" s="456" t="str">
        <f t="shared" ref="K32:K41" si="8">IF(H32=0,"0.00%",(L32-H32)/H32)</f>
        <v>0.00%</v>
      </c>
      <c r="L32" s="340">
        <f>ROUND(H32*(1+$M$22),0)</f>
        <v>0</v>
      </c>
      <c r="M32" s="2488" t="str">
        <f>TEXT($M$22,"0.0%")&amp;" = Est. S &amp; C"</f>
        <v>0.0% = Est. S &amp; C</v>
      </c>
      <c r="O32" s="456" t="str">
        <f t="shared" ref="O32:O41" si="9">IF(L32=0,"0.00%",(P32-L32)/L32)</f>
        <v>0.00%</v>
      </c>
      <c r="P32" s="340">
        <f>ROUND(L32*(1+Q22),0)</f>
        <v>0</v>
      </c>
      <c r="Q32" s="2488" t="str">
        <f t="shared" ref="Q32:Q33" si="10">TEXT($Q$22,"0.0%")&amp;" = Est. S &amp; C"</f>
        <v>1.8% = Est. S &amp; C</v>
      </c>
      <c r="R32" s="455"/>
      <c r="S32" s="2238" t="str">
        <f t="shared" ref="S32:S34" si="11">IF(P32=0,"0.00%",(T32-P32)/P32)</f>
        <v>0.00%</v>
      </c>
      <c r="T32" s="340">
        <f>ROUND(P32*(1+U22),0)</f>
        <v>0</v>
      </c>
      <c r="U32" s="455" t="str">
        <f>TEXT(U22,"0.0%")&amp;" = Est. S &amp; C"</f>
        <v>1.8% = Est. S &amp; C</v>
      </c>
      <c r="V32" s="2429"/>
      <c r="W32" s="2241" t="str">
        <f t="shared" ref="W32:W34" si="12">IF(T32=0,"0.00%",(X32-T32)/T32)</f>
        <v>0.00%</v>
      </c>
      <c r="X32" s="340">
        <f>ROUND(T32*(1+Y22),0)</f>
        <v>0</v>
      </c>
      <c r="Y32" s="455" t="str">
        <f>TEXT(Y22,"0.0%")&amp;" = Est. S &amp; C"</f>
        <v>2.0% = Est. S &amp; C</v>
      </c>
      <c r="AA32" s="456" t="str">
        <f t="shared" ref="AA32:AA34" si="13">IF(X32=0,"0.00%",(AB32-X32)/X32)</f>
        <v>0.00%</v>
      </c>
      <c r="AB32" s="340">
        <f>ROUND(X32*(1+AC22),0)</f>
        <v>0</v>
      </c>
      <c r="AC32" s="455" t="str">
        <f>TEXT(AC22,"0.0%")&amp;" = Est. S &amp; C"</f>
        <v>2.0% = Est. S &amp; C</v>
      </c>
    </row>
    <row r="33" spans="1:29" s="340" customFormat="1" hidden="1" x14ac:dyDescent="0.25">
      <c r="A33" s="455"/>
      <c r="B33" s="2441"/>
      <c r="C33" s="2386"/>
      <c r="D33" s="340">
        <v>0</v>
      </c>
      <c r="E33" s="2386"/>
      <c r="G33" s="456" t="str">
        <f t="shared" si="7"/>
        <v>0.00%</v>
      </c>
      <c r="H33" s="340">
        <v>0</v>
      </c>
      <c r="I33" s="897"/>
      <c r="J33" s="455"/>
      <c r="K33" s="456" t="str">
        <f t="shared" si="8"/>
        <v>0.00%</v>
      </c>
      <c r="L33" s="340">
        <f t="shared" ref="L33:L41" si="14">ROUND(H33*(1+$M$22),0)</f>
        <v>0</v>
      </c>
      <c r="M33" s="2488" t="str">
        <f>TEXT($M$22,"0.0%")&amp;" = Est. S &amp; C"</f>
        <v>0.0% = Est. S &amp; C</v>
      </c>
      <c r="O33" s="456" t="str">
        <f t="shared" si="9"/>
        <v>0.00%</v>
      </c>
      <c r="P33" s="340">
        <f>ROUND(L33*(1+Q22),0)</f>
        <v>0</v>
      </c>
      <c r="Q33" s="2488" t="str">
        <f t="shared" si="10"/>
        <v>1.8% = Est. S &amp; C</v>
      </c>
      <c r="R33" s="455"/>
      <c r="S33" s="2238" t="str">
        <f t="shared" si="11"/>
        <v>0.00%</v>
      </c>
      <c r="T33" s="340">
        <f>ROUND(P33*(1+U22),0)</f>
        <v>0</v>
      </c>
      <c r="U33" s="455" t="str">
        <f>TEXT(U22,"0.0%")&amp;" = Est. S &amp; C"</f>
        <v>1.8% = Est. S &amp; C</v>
      </c>
      <c r="V33" s="2429"/>
      <c r="W33" s="2241" t="str">
        <f t="shared" si="12"/>
        <v>0.00%</v>
      </c>
      <c r="X33" s="340">
        <f>ROUND(T33*(1+Y22),0)</f>
        <v>0</v>
      </c>
      <c r="Y33" s="455" t="str">
        <f>TEXT(Y22,"0.0%")&amp;" = Est. S &amp; C"</f>
        <v>2.0% = Est. S &amp; C</v>
      </c>
      <c r="AA33" s="456" t="str">
        <f t="shared" si="13"/>
        <v>0.00%</v>
      </c>
      <c r="AB33" s="340">
        <f>ROUND(X33*(1+AC22),0)</f>
        <v>0</v>
      </c>
      <c r="AC33" s="455" t="str">
        <f>TEXT(AC22,"0.0%")&amp;" = Est. S &amp; C"</f>
        <v>2.0% = Est. S &amp; C</v>
      </c>
    </row>
    <row r="34" spans="1:29" s="340" customFormat="1" hidden="1" x14ac:dyDescent="0.25">
      <c r="A34" s="455"/>
      <c r="B34" s="2441"/>
      <c r="C34" s="2386"/>
      <c r="D34" s="340">
        <v>0</v>
      </c>
      <c r="E34" s="2386"/>
      <c r="G34" s="456" t="str">
        <f t="shared" si="7"/>
        <v>0.00%</v>
      </c>
      <c r="H34" s="340">
        <v>0</v>
      </c>
      <c r="I34" s="897"/>
      <c r="J34" s="455"/>
      <c r="K34" s="456" t="str">
        <f t="shared" si="8"/>
        <v>0.00%</v>
      </c>
      <c r="L34" s="340">
        <f t="shared" si="14"/>
        <v>0</v>
      </c>
      <c r="M34" s="2488" t="str">
        <f>TEXT($M$22,"0.0%")&amp;" = Est. S &amp; C"</f>
        <v>0.0% = Est. S &amp; C</v>
      </c>
      <c r="O34" s="456" t="str">
        <f t="shared" si="9"/>
        <v>0.00%</v>
      </c>
      <c r="P34" s="340">
        <f>ROUND(L34*(1+Q22),0)</f>
        <v>0</v>
      </c>
      <c r="Q34" s="2488" t="str">
        <f>TEXT($Q$22,"0.0%")&amp;" = Est. S &amp; C"</f>
        <v>1.8% = Est. S &amp; C</v>
      </c>
      <c r="R34" s="455"/>
      <c r="S34" s="2238" t="str">
        <f t="shared" si="11"/>
        <v>0.00%</v>
      </c>
      <c r="T34" s="340">
        <f>ROUND(P34*(1+U22),0)</f>
        <v>0</v>
      </c>
      <c r="U34" s="455" t="str">
        <f>TEXT(U22,"0.0%")&amp;" = Est. S &amp; C"</f>
        <v>1.8% = Est. S &amp; C</v>
      </c>
      <c r="V34" s="2429"/>
      <c r="W34" s="2241" t="str">
        <f t="shared" si="12"/>
        <v>0.00%</v>
      </c>
      <c r="X34" s="340">
        <f>ROUND(T34*(1+Y22),0)</f>
        <v>0</v>
      </c>
      <c r="Y34" s="455" t="str">
        <f>TEXT(Y22,"0.0%")&amp;" = Est. S &amp; C"</f>
        <v>2.0% = Est. S &amp; C</v>
      </c>
      <c r="AA34" s="456" t="str">
        <f t="shared" si="13"/>
        <v>0.00%</v>
      </c>
      <c r="AB34" s="340">
        <f>ROUND(X34*(1+AC22),0)</f>
        <v>0</v>
      </c>
      <c r="AC34" s="455" t="str">
        <f>TEXT(AC22,"0.0%")&amp;" = Est. S &amp; C"</f>
        <v>2.0% = Est. S &amp; C</v>
      </c>
    </row>
    <row r="35" spans="1:29" s="340" customFormat="1" hidden="1" x14ac:dyDescent="0.25">
      <c r="A35" s="455"/>
      <c r="B35" s="2441"/>
      <c r="C35" s="2386"/>
      <c r="D35" s="340">
        <v>0</v>
      </c>
      <c r="E35" s="2386"/>
      <c r="G35" s="456" t="str">
        <f t="shared" si="7"/>
        <v>0.00%</v>
      </c>
      <c r="H35" s="340">
        <v>0</v>
      </c>
      <c r="I35" s="897"/>
      <c r="J35" s="455"/>
      <c r="K35" s="456" t="str">
        <f t="shared" si="8"/>
        <v>0.00%</v>
      </c>
      <c r="L35" s="340">
        <f t="shared" si="14"/>
        <v>0</v>
      </c>
      <c r="M35" s="2488" t="str">
        <f t="shared" ref="M35:M41" si="15">TEXT($M$22,"0.0%")&amp;" = Est. S &amp; C"</f>
        <v>0.0% = Est. S &amp; C</v>
      </c>
      <c r="O35" s="456" t="str">
        <f t="shared" si="9"/>
        <v>0.00%</v>
      </c>
      <c r="P35" s="340">
        <f t="shared" ref="P35:P41" si="16">ROUND(L35*(1+$Q$22),0)</f>
        <v>0</v>
      </c>
      <c r="Q35" s="2488" t="str">
        <f t="shared" ref="Q35:Q41" si="17">TEXT($Q$22,"0.0%")&amp;" = Est. S &amp; C"</f>
        <v>1.8% = Est. S &amp; C</v>
      </c>
      <c r="R35" s="455"/>
      <c r="S35" s="2238"/>
      <c r="U35" s="455"/>
      <c r="V35" s="2429"/>
      <c r="W35" s="2241"/>
      <c r="Y35" s="455"/>
      <c r="AA35" s="456"/>
      <c r="AC35" s="455"/>
    </row>
    <row r="36" spans="1:29" s="340" customFormat="1" hidden="1" x14ac:dyDescent="0.25">
      <c r="A36" s="455"/>
      <c r="B36" s="2441"/>
      <c r="C36" s="2386"/>
      <c r="D36" s="340">
        <v>0</v>
      </c>
      <c r="E36" s="2428"/>
      <c r="G36" s="456" t="str">
        <f t="shared" si="7"/>
        <v>0.00%</v>
      </c>
      <c r="H36" s="340">
        <v>0</v>
      </c>
      <c r="I36" s="2393"/>
      <c r="J36" s="455"/>
      <c r="K36" s="456" t="str">
        <f t="shared" si="8"/>
        <v>0.00%</v>
      </c>
      <c r="L36" s="340">
        <f t="shared" si="14"/>
        <v>0</v>
      </c>
      <c r="M36" s="2488" t="str">
        <f t="shared" si="15"/>
        <v>0.0% = Est. S &amp; C</v>
      </c>
      <c r="O36" s="456" t="str">
        <f t="shared" si="9"/>
        <v>0.00%</v>
      </c>
      <c r="P36" s="340">
        <f t="shared" si="16"/>
        <v>0</v>
      </c>
      <c r="Q36" s="2488" t="str">
        <f t="shared" si="17"/>
        <v>1.8% = Est. S &amp; C</v>
      </c>
      <c r="R36" s="455"/>
      <c r="S36" s="2238"/>
      <c r="U36" s="455"/>
      <c r="V36" s="2429"/>
      <c r="W36" s="2241"/>
      <c r="Y36" s="455"/>
      <c r="AA36" s="456"/>
      <c r="AC36" s="455"/>
    </row>
    <row r="37" spans="1:29" s="340" customFormat="1" hidden="1" x14ac:dyDescent="0.25">
      <c r="A37" s="455"/>
      <c r="B37" s="2441"/>
      <c r="C37" s="2386"/>
      <c r="D37" s="340">
        <v>0</v>
      </c>
      <c r="E37" s="2386"/>
      <c r="G37" s="456" t="str">
        <f t="shared" si="7"/>
        <v>0.00%</v>
      </c>
      <c r="H37" s="340">
        <v>0</v>
      </c>
      <c r="I37" s="897"/>
      <c r="J37" s="455"/>
      <c r="K37" s="456" t="str">
        <f t="shared" si="8"/>
        <v>0.00%</v>
      </c>
      <c r="L37" s="340">
        <f t="shared" si="14"/>
        <v>0</v>
      </c>
      <c r="M37" s="2488" t="str">
        <f t="shared" si="15"/>
        <v>0.0% = Est. S &amp; C</v>
      </c>
      <c r="O37" s="456" t="str">
        <f t="shared" si="9"/>
        <v>0.00%</v>
      </c>
      <c r="P37" s="340">
        <f t="shared" si="16"/>
        <v>0</v>
      </c>
      <c r="Q37" s="2488" t="str">
        <f t="shared" si="17"/>
        <v>1.8% = Est. S &amp; C</v>
      </c>
      <c r="R37" s="455"/>
      <c r="S37" s="2238"/>
      <c r="U37" s="455"/>
      <c r="V37" s="2429"/>
      <c r="W37" s="2241"/>
      <c r="Y37" s="455"/>
      <c r="AA37" s="456"/>
      <c r="AC37" s="455"/>
    </row>
    <row r="38" spans="1:29" s="340" customFormat="1" hidden="1" x14ac:dyDescent="0.25">
      <c r="A38" s="455"/>
      <c r="B38" s="2441"/>
      <c r="C38" s="2386"/>
      <c r="D38" s="340">
        <v>0</v>
      </c>
      <c r="E38" s="2386"/>
      <c r="G38" s="456" t="str">
        <f t="shared" si="7"/>
        <v>0.00%</v>
      </c>
      <c r="I38" s="2393"/>
      <c r="J38" s="455"/>
      <c r="K38" s="456" t="str">
        <f t="shared" si="8"/>
        <v>0.00%</v>
      </c>
      <c r="L38" s="340">
        <f t="shared" si="14"/>
        <v>0</v>
      </c>
      <c r="M38" s="2488" t="str">
        <f t="shared" si="15"/>
        <v>0.0% = Est. S &amp; C</v>
      </c>
      <c r="O38" s="456" t="str">
        <f t="shared" si="9"/>
        <v>0.00%</v>
      </c>
      <c r="P38" s="340">
        <f t="shared" si="16"/>
        <v>0</v>
      </c>
      <c r="Q38" s="2488" t="str">
        <f t="shared" si="17"/>
        <v>1.8% = Est. S &amp; C</v>
      </c>
      <c r="R38" s="455"/>
      <c r="S38" s="2238"/>
      <c r="U38" s="455"/>
      <c r="V38" s="2429"/>
      <c r="W38" s="2241"/>
      <c r="Y38" s="455"/>
      <c r="AA38" s="456"/>
      <c r="AC38" s="455"/>
    </row>
    <row r="39" spans="1:29" s="340" customFormat="1" hidden="1" x14ac:dyDescent="0.25">
      <c r="A39" s="455"/>
      <c r="B39" s="2441"/>
      <c r="C39" s="2386"/>
      <c r="D39" s="340">
        <v>0</v>
      </c>
      <c r="E39" s="2386"/>
      <c r="G39" s="456" t="str">
        <f t="shared" si="7"/>
        <v>0.00%</v>
      </c>
      <c r="I39" s="897"/>
      <c r="J39" s="455"/>
      <c r="K39" s="456" t="str">
        <f t="shared" si="8"/>
        <v>0.00%</v>
      </c>
      <c r="L39" s="340">
        <f t="shared" si="14"/>
        <v>0</v>
      </c>
      <c r="M39" s="2488" t="str">
        <f t="shared" si="15"/>
        <v>0.0% = Est. S &amp; C</v>
      </c>
      <c r="O39" s="456" t="str">
        <f t="shared" si="9"/>
        <v>0.00%</v>
      </c>
      <c r="P39" s="340">
        <f t="shared" si="16"/>
        <v>0</v>
      </c>
      <c r="Q39" s="2488" t="str">
        <f t="shared" si="17"/>
        <v>1.8% = Est. S &amp; C</v>
      </c>
      <c r="R39" s="455"/>
      <c r="S39" s="2238"/>
      <c r="U39" s="455"/>
      <c r="V39" s="2429"/>
      <c r="W39" s="2241"/>
      <c r="Y39" s="455"/>
      <c r="AA39" s="456"/>
      <c r="AC39" s="455"/>
    </row>
    <row r="40" spans="1:29" s="340" customFormat="1" hidden="1" x14ac:dyDescent="0.25">
      <c r="A40" s="455"/>
      <c r="B40" s="2441"/>
      <c r="C40" s="2386"/>
      <c r="D40" s="340">
        <v>0</v>
      </c>
      <c r="E40" s="2386"/>
      <c r="G40" s="456" t="str">
        <f t="shared" si="7"/>
        <v>0.00%</v>
      </c>
      <c r="I40" s="897"/>
      <c r="J40" s="455"/>
      <c r="K40" s="456" t="str">
        <f t="shared" si="8"/>
        <v>0.00%</v>
      </c>
      <c r="L40" s="340">
        <f>ROUND(H40*(1+$M$22),0)</f>
        <v>0</v>
      </c>
      <c r="M40" s="2488" t="str">
        <f t="shared" si="15"/>
        <v>0.0% = Est. S &amp; C</v>
      </c>
      <c r="O40" s="456" t="str">
        <f t="shared" si="9"/>
        <v>0.00%</v>
      </c>
      <c r="P40" s="340">
        <f t="shared" si="16"/>
        <v>0</v>
      </c>
      <c r="Q40" s="2488" t="str">
        <f t="shared" si="17"/>
        <v>1.8% = Est. S &amp; C</v>
      </c>
      <c r="R40" s="455"/>
      <c r="S40" s="2238"/>
      <c r="U40" s="455"/>
      <c r="V40" s="2429"/>
      <c r="W40" s="2241"/>
      <c r="Y40" s="455"/>
      <c r="AA40" s="456"/>
      <c r="AC40" s="455"/>
    </row>
    <row r="41" spans="1:29" s="340" customFormat="1" hidden="1" x14ac:dyDescent="0.25">
      <c r="A41" s="455"/>
      <c r="B41" s="2441"/>
      <c r="C41" s="2386"/>
      <c r="D41" s="340">
        <v>0</v>
      </c>
      <c r="E41" s="2386"/>
      <c r="G41" s="456" t="str">
        <f t="shared" si="7"/>
        <v>0.00%</v>
      </c>
      <c r="I41" s="897"/>
      <c r="J41" s="455"/>
      <c r="K41" s="456" t="str">
        <f t="shared" si="8"/>
        <v>0.00%</v>
      </c>
      <c r="L41" s="340">
        <f t="shared" si="14"/>
        <v>0</v>
      </c>
      <c r="M41" s="2488" t="str">
        <f t="shared" si="15"/>
        <v>0.0% = Est. S &amp; C</v>
      </c>
      <c r="O41" s="456" t="str">
        <f t="shared" si="9"/>
        <v>0.00%</v>
      </c>
      <c r="P41" s="340">
        <f t="shared" si="16"/>
        <v>0</v>
      </c>
      <c r="Q41" s="2488" t="str">
        <f t="shared" si="17"/>
        <v>1.8% = Est. S &amp; C</v>
      </c>
      <c r="R41" s="455"/>
      <c r="S41" s="2238"/>
      <c r="U41" s="455"/>
      <c r="V41" s="2429"/>
      <c r="W41" s="2241"/>
      <c r="Y41" s="455"/>
      <c r="AA41" s="456"/>
      <c r="AC41" s="455"/>
    </row>
    <row r="42" spans="1:29" s="340" customFormat="1" x14ac:dyDescent="0.25">
      <c r="A42" s="459"/>
      <c r="B42" s="2441"/>
      <c r="C42" s="2386"/>
      <c r="D42" s="458">
        <f>SUM(D32:D41)</f>
        <v>0</v>
      </c>
      <c r="E42" s="2386"/>
      <c r="G42" s="456" t="str">
        <f>IF(D42=0,"0.00%",(H42-D42)/D42)</f>
        <v>0.00%</v>
      </c>
      <c r="H42" s="458">
        <f>SUM(H32:H41)</f>
        <v>0</v>
      </c>
      <c r="I42" s="2316">
        <f>+H42-D42</f>
        <v>0</v>
      </c>
      <c r="J42" s="459"/>
      <c r="K42" s="456" t="str">
        <f>IF(H42=0,"0.00%",(L42-H42)/H42)</f>
        <v>0.00%</v>
      </c>
      <c r="L42" s="458">
        <f>SUM(L32:L41)</f>
        <v>0</v>
      </c>
      <c r="M42" s="2316">
        <f>+L42-H42</f>
        <v>0</v>
      </c>
      <c r="O42" s="456" t="str">
        <f>IF(L42=0,"0.00%",(P42-L42)/L42)</f>
        <v>0.00%</v>
      </c>
      <c r="P42" s="458">
        <f>SUM(P32:P41)</f>
        <v>0</v>
      </c>
      <c r="Q42" s="2316">
        <f>+P42-L42</f>
        <v>0</v>
      </c>
      <c r="R42" s="455"/>
      <c r="S42" s="2238" t="str">
        <f>IF(P42=0,"0.00%",(T42-P42)/P42)</f>
        <v>0.00%</v>
      </c>
      <c r="T42" s="458">
        <f>SUM(T32:T41)</f>
        <v>0</v>
      </c>
      <c r="U42" s="2370"/>
      <c r="V42" s="2429"/>
      <c r="W42" s="2241" t="str">
        <f>IF(T42=0,"0.00%",(X42-T42)/T42)</f>
        <v>0.00%</v>
      </c>
      <c r="X42" s="458">
        <f>SUM(X32:X41)</f>
        <v>0</v>
      </c>
      <c r="Y42" s="2370"/>
      <c r="AA42" s="456" t="str">
        <f>IF(X42=0,"0.00%",(AB42-X42)/X42)</f>
        <v>0.00%</v>
      </c>
      <c r="AB42" s="458">
        <f>SUM(AB32:AB41)</f>
        <v>0</v>
      </c>
      <c r="AC42" s="2370"/>
    </row>
    <row r="43" spans="1:29" s="340" customFormat="1" x14ac:dyDescent="0.25">
      <c r="A43" s="455"/>
      <c r="B43" s="2487" t="s">
        <v>28</v>
      </c>
      <c r="C43" s="2386"/>
      <c r="E43" s="2386"/>
      <c r="G43" s="2338"/>
      <c r="I43" s="897"/>
      <c r="J43" s="455"/>
      <c r="K43" s="1668"/>
      <c r="M43" s="2340"/>
      <c r="O43" s="1668"/>
      <c r="Q43" s="2340"/>
      <c r="R43" s="455"/>
      <c r="S43" s="2341"/>
      <c r="U43" s="2370"/>
      <c r="V43" s="2429"/>
      <c r="W43" s="2343"/>
      <c r="Y43" s="2370"/>
      <c r="AA43" s="1668"/>
      <c r="AC43" s="2370"/>
    </row>
    <row r="44" spans="1:29" s="340" customFormat="1" x14ac:dyDescent="0.25">
      <c r="A44" s="460"/>
      <c r="B44" s="2486" t="s">
        <v>27</v>
      </c>
      <c r="C44" s="2386"/>
      <c r="E44" s="2386"/>
      <c r="G44" s="2338"/>
      <c r="I44" s="897"/>
      <c r="J44" s="455"/>
      <c r="K44" s="1668"/>
      <c r="M44" s="2340"/>
      <c r="O44" s="1668"/>
      <c r="Q44" s="2340"/>
      <c r="R44" s="455"/>
      <c r="S44" s="2341"/>
      <c r="U44" s="2370"/>
      <c r="V44" s="2429"/>
      <c r="W44" s="2343"/>
      <c r="Y44" s="2370"/>
      <c r="AA44" s="1668"/>
      <c r="AC44" s="2370"/>
    </row>
    <row r="45" spans="1:29" s="340" customFormat="1" x14ac:dyDescent="0.25">
      <c r="A45" s="455"/>
      <c r="B45" s="2441" t="s">
        <v>83</v>
      </c>
      <c r="C45" s="2386" t="s">
        <v>76</v>
      </c>
      <c r="D45" s="340">
        <v>0</v>
      </c>
      <c r="E45" s="897" t="str">
        <f>TEXT('MYP Assumptions'!$D$57,"0.00%")&amp;", STRS rate"</f>
        <v>12.58%, STRS rate</v>
      </c>
      <c r="G45" s="456" t="str">
        <f t="shared" ref="G45:G54" si="18">IF(D45=0,"0.00%",(H45-D45)/D45)</f>
        <v>0.00%</v>
      </c>
      <c r="H45" s="340">
        <v>314</v>
      </c>
      <c r="I45" s="897" t="str">
        <f>TEXT('MYP Assumptions'!E57,"0.00%")&amp;", projected STRS rate"</f>
        <v>14.43%, projected STRS rate</v>
      </c>
      <c r="J45" s="455"/>
      <c r="K45" s="456">
        <f t="shared" ref="K45:K54" si="19">IF(H45=0,"0.00%",(L45-H45)/H45)</f>
        <v>61.098726114649679</v>
      </c>
      <c r="L45" s="340">
        <v>19499</v>
      </c>
      <c r="M45" s="2488" t="str">
        <f>TEXT('MYP Assumptions'!F57,"0.00%")&amp;", projected STRS rate"</f>
        <v>16.28%, projected STRS rate</v>
      </c>
      <c r="O45" s="456">
        <f t="shared" ref="O45:O54" si="20">IF(L45=0,"0.00%",(P45-L45)/L45)</f>
        <v>-1</v>
      </c>
      <c r="P45" s="340">
        <v>0</v>
      </c>
      <c r="Q45" s="2488" t="str">
        <f>TEXT('MYP Assumptions'!G57,"0.00%")&amp;", projected STRS rate"</f>
        <v>18.13%, projected STRS rate</v>
      </c>
      <c r="R45" s="455"/>
      <c r="S45" s="2238" t="str">
        <f t="shared" ref="S45:S54" si="21">IF(P45=0,"0.00%",(T45-P45)/P45)</f>
        <v>0.00%</v>
      </c>
      <c r="T45" s="340">
        <f>ROUND(T29*LEFT(U45,6),0)</f>
        <v>0</v>
      </c>
      <c r="U45" s="455" t="str">
        <f>TEXT('MYP Assumptions'!H57,"0.00%")&amp;", projected STRS rate"</f>
        <v>19.10%, projected STRS rate</v>
      </c>
      <c r="V45" s="2429"/>
      <c r="W45" s="2241" t="str">
        <f t="shared" ref="W45:W54" si="22">IF(T45=0,"0.00%",(X45-T45)/T45)</f>
        <v>0.00%</v>
      </c>
      <c r="X45" s="340" t="e">
        <f>ROUND(X29*LEFT(Y45,6),0)</f>
        <v>#REF!</v>
      </c>
      <c r="Y45" s="455" t="str">
        <f>TEXT('MYP Assumptions'!I57,"0.00%")&amp;", projected STRS rate"</f>
        <v>19.10%, projected STRS rate</v>
      </c>
      <c r="AA45" s="456" t="e">
        <f t="shared" ref="AA45:AA54" si="23">IF(X45=0,"0.00%",(AB45-X45)/X45)</f>
        <v>#REF!</v>
      </c>
      <c r="AB45" s="340" t="e">
        <f>ROUND(AB29*LEFT(AC45,6),0)</f>
        <v>#REF!</v>
      </c>
      <c r="AC45" s="455" t="str">
        <f>TEXT('MYP Assumptions'!J57,"0.00%")&amp;", projected STRS rate"</f>
        <v>0.00%, projected STRS rate</v>
      </c>
    </row>
    <row r="46" spans="1:29" s="340" customFormat="1" x14ac:dyDescent="0.25">
      <c r="A46" s="455"/>
      <c r="B46" s="2441" t="s">
        <v>84</v>
      </c>
      <c r="C46" s="2386" t="s">
        <v>77</v>
      </c>
      <c r="D46" s="340">
        <v>0</v>
      </c>
      <c r="E46" s="897" t="str">
        <f>TEXT('MYP Assumptions'!$D$58,"0.00%")&amp;", PERS rate"</f>
        <v>13.89%, PERS rate</v>
      </c>
      <c r="G46" s="456" t="str">
        <f t="shared" si="18"/>
        <v>0.00%</v>
      </c>
      <c r="H46" s="340">
        <v>0</v>
      </c>
      <c r="I46" s="897" t="str">
        <f>TEXT('MYP Assumptions'!E58,"0.00%")&amp;", projected PERS rate"</f>
        <v>15.53%, projected PERS rate</v>
      </c>
      <c r="J46" s="455"/>
      <c r="K46" s="456" t="str">
        <f t="shared" si="19"/>
        <v>0.00%</v>
      </c>
      <c r="L46" s="340">
        <v>0</v>
      </c>
      <c r="M46" s="2488" t="str">
        <f>TEXT('MYP Assumptions'!F58,"0.00%")&amp;", projected PERS rate"</f>
        <v>18.06%, projected PERS rate</v>
      </c>
      <c r="O46" s="456" t="str">
        <f t="shared" si="20"/>
        <v>0.00%</v>
      </c>
      <c r="P46" s="340">
        <v>0</v>
      </c>
      <c r="Q46" s="2488" t="str">
        <f>TEXT('MYP Assumptions'!G58,"0.00%")&amp;", projected PERS rate"</f>
        <v>20.80%, projected PERS rate</v>
      </c>
      <c r="R46" s="455"/>
      <c r="S46" s="2238" t="str">
        <f t="shared" si="21"/>
        <v>0.00%</v>
      </c>
      <c r="T46" s="340">
        <f>ROUND(T42*LEFT(U46,6),0)</f>
        <v>0</v>
      </c>
      <c r="U46" s="455" t="str">
        <f>TEXT('MYP Assumptions'!H58,"0.00%")&amp;", projected PERS rate"</f>
        <v>23.50%, projected PERS rate</v>
      </c>
      <c r="V46" s="2429"/>
      <c r="W46" s="2241" t="str">
        <f t="shared" si="22"/>
        <v>0.00%</v>
      </c>
      <c r="X46" s="340">
        <f>ROUND(X42*LEFT(Y46,6),0)</f>
        <v>0</v>
      </c>
      <c r="Y46" s="455" t="str">
        <f>TEXT('MYP Assumptions'!I58,"0.00%")&amp;", projected PERS rate"</f>
        <v>24.60%, projected PERS rate</v>
      </c>
      <c r="AA46" s="456" t="str">
        <f t="shared" si="23"/>
        <v>0.00%</v>
      </c>
      <c r="AB46" s="340" t="e">
        <f>ROUND(AB42*LEFT(AC46,6),0)</f>
        <v>#VALUE!</v>
      </c>
      <c r="AC46" s="455" t="str">
        <f>TEXT('MYP Assumptions'!J58,"0.00%")&amp;", projected PERS rate"</f>
        <v>0.00%, projected PERS rate</v>
      </c>
    </row>
    <row r="47" spans="1:29" s="340" customFormat="1" x14ac:dyDescent="0.25">
      <c r="A47" s="455"/>
      <c r="B47" s="2441" t="s">
        <v>85</v>
      </c>
      <c r="C47" s="2386" t="s">
        <v>78</v>
      </c>
      <c r="D47" s="340">
        <v>0</v>
      </c>
      <c r="E47" s="897" t="str">
        <f>TEXT('MYP Assumptions'!$D$60,"0.00%")&amp;", SS rate"</f>
        <v>6.20%, SS rate</v>
      </c>
      <c r="G47" s="456" t="str">
        <f t="shared" si="18"/>
        <v>0.00%</v>
      </c>
      <c r="H47" s="340">
        <v>0</v>
      </c>
      <c r="I47" s="897" t="str">
        <f>TEXT('MYP Assumptions'!E60,"0.00%")&amp;", no rate change"</f>
        <v>6.20%, no rate change</v>
      </c>
      <c r="J47" s="455"/>
      <c r="K47" s="456" t="str">
        <f t="shared" si="19"/>
        <v>0.00%</v>
      </c>
      <c r="L47" s="340">
        <v>0</v>
      </c>
      <c r="M47" s="2488" t="str">
        <f>TEXT('MYP Assumptions'!F60,"0.00%")&amp;", no rate change"</f>
        <v>6.20%, no rate change</v>
      </c>
      <c r="O47" s="456" t="str">
        <f t="shared" si="20"/>
        <v>0.00%</v>
      </c>
      <c r="P47" s="340">
        <v>0</v>
      </c>
      <c r="Q47" s="2488" t="str">
        <f>TEXT('MYP Assumptions'!G60,"0.00%")&amp;", no rate change"</f>
        <v>6.20%, no rate change</v>
      </c>
      <c r="R47" s="455"/>
      <c r="S47" s="2238" t="str">
        <f t="shared" si="21"/>
        <v>0.00%</v>
      </c>
      <c r="T47" s="340">
        <f>ROUND(T42*LEFT(U47,5),0)</f>
        <v>0</v>
      </c>
      <c r="U47" s="455" t="str">
        <f>TEXT('MYP Assumptions'!H60,"0.00%")&amp;", no rate change"</f>
        <v>6.20%, no rate change</v>
      </c>
      <c r="V47" s="2429"/>
      <c r="W47" s="2241" t="str">
        <f t="shared" si="22"/>
        <v>0.00%</v>
      </c>
      <c r="X47" s="340">
        <f>ROUND(X42*LEFT(Y47,5),0)</f>
        <v>0</v>
      </c>
      <c r="Y47" s="455" t="str">
        <f>TEXT('MYP Assumptions'!I60,"0.00%")&amp;", no rate change"</f>
        <v>6.20%, no rate change</v>
      </c>
      <c r="AA47" s="456" t="str">
        <f t="shared" si="23"/>
        <v>0.00%</v>
      </c>
      <c r="AB47" s="340">
        <f>ROUND(AB42*LEFT(AC47,5),0)</f>
        <v>0</v>
      </c>
      <c r="AC47" s="455" t="str">
        <f>TEXT('MYP Assumptions'!J60,"0.00%")&amp;", no rate change"</f>
        <v>0.00%, no rate change</v>
      </c>
    </row>
    <row r="48" spans="1:29" s="340" customFormat="1" x14ac:dyDescent="0.25">
      <c r="A48" s="455"/>
      <c r="B48" s="2441" t="s">
        <v>86</v>
      </c>
      <c r="C48" s="2386" t="s">
        <v>79</v>
      </c>
      <c r="D48" s="340">
        <v>0</v>
      </c>
      <c r="E48" s="897" t="str">
        <f>TEXT('MYP Assumptions'!$D$61,"0.00%")&amp;", Medicare rate"</f>
        <v>1.45%, Medicare rate</v>
      </c>
      <c r="G48" s="456" t="str">
        <f t="shared" si="18"/>
        <v>0.00%</v>
      </c>
      <c r="H48" s="340">
        <v>32</v>
      </c>
      <c r="I48" s="897" t="str">
        <f>TEXT('MYP Assumptions'!E61,"0.00%")&amp;", no rate change"</f>
        <v>1.45%, no rate change</v>
      </c>
      <c r="J48" s="455"/>
      <c r="K48" s="456">
        <f t="shared" si="19"/>
        <v>53.34375</v>
      </c>
      <c r="L48" s="340">
        <v>1739</v>
      </c>
      <c r="M48" s="2488" t="str">
        <f>TEXT('MYP Assumptions'!F61,"0.00%")&amp;", no rate change"</f>
        <v>1.45%, no rate change</v>
      </c>
      <c r="O48" s="456">
        <f t="shared" si="20"/>
        <v>-1</v>
      </c>
      <c r="P48" s="340">
        <v>0</v>
      </c>
      <c r="Q48" s="2488" t="str">
        <f>TEXT('MYP Assumptions'!G61,"0.00%")&amp;", no rate change"</f>
        <v>1.45%, no rate change</v>
      </c>
      <c r="R48" s="455"/>
      <c r="S48" s="2238" t="str">
        <f t="shared" si="21"/>
        <v>0.00%</v>
      </c>
      <c r="T48" s="340">
        <f>ROUND((T42+T29)*LEFT(U48,5),0)</f>
        <v>0</v>
      </c>
      <c r="U48" s="455" t="str">
        <f>TEXT('MYP Assumptions'!H61,"0.00%")&amp;", no rate change"</f>
        <v>1.45%, no rate change</v>
      </c>
      <c r="V48" s="2429"/>
      <c r="W48" s="2241" t="str">
        <f t="shared" si="22"/>
        <v>0.00%</v>
      </c>
      <c r="X48" s="340" t="e">
        <f>ROUND((X42+X29)*LEFT(Y48,5),0)</f>
        <v>#REF!</v>
      </c>
      <c r="Y48" s="455" t="str">
        <f>TEXT('MYP Assumptions'!I61,"0.00%")&amp;", no rate change"</f>
        <v>1.45%, no rate change</v>
      </c>
      <c r="AA48" s="456" t="e">
        <f t="shared" si="23"/>
        <v>#REF!</v>
      </c>
      <c r="AB48" s="340" t="e">
        <f>ROUND((AB42+AB29)*LEFT(AC48,5),0)</f>
        <v>#REF!</v>
      </c>
      <c r="AC48" s="455" t="str">
        <f>TEXT('MYP Assumptions'!J61,"0.00%")&amp;", no rate change"</f>
        <v>0.00%, no rate change</v>
      </c>
    </row>
    <row r="49" spans="1:29" s="340" customFormat="1" x14ac:dyDescent="0.25">
      <c r="A49" s="455"/>
      <c r="B49" s="2441" t="s">
        <v>87</v>
      </c>
      <c r="C49" s="2386" t="s">
        <v>80</v>
      </c>
      <c r="D49" s="340">
        <v>0</v>
      </c>
      <c r="E49" s="897"/>
      <c r="G49" s="456" t="str">
        <f t="shared" si="18"/>
        <v>0.00%</v>
      </c>
      <c r="H49" s="340">
        <v>0</v>
      </c>
      <c r="I49" s="897"/>
      <c r="J49" s="455"/>
      <c r="K49" s="456" t="str">
        <f t="shared" si="19"/>
        <v>0.00%</v>
      </c>
      <c r="L49" s="340">
        <v>0</v>
      </c>
      <c r="M49" s="2488" t="str">
        <f>TEXT('MYP Assumptions'!$I$68,"0.00%")&amp;", projected increase"</f>
        <v>5.00%, projected increase</v>
      </c>
      <c r="O49" s="456" t="str">
        <f t="shared" si="20"/>
        <v>0.00%</v>
      </c>
      <c r="P49" s="340">
        <v>0</v>
      </c>
      <c r="Q49" s="2488" t="str">
        <f>TEXT('MYP Assumptions'!$I$68,"0.00%")&amp;", projected increase"</f>
        <v>5.00%, projected increase</v>
      </c>
      <c r="R49" s="455"/>
      <c r="S49" s="2238" t="str">
        <f t="shared" si="21"/>
        <v>0.00%</v>
      </c>
      <c r="T49" s="340">
        <f>ROUND((P49)*(LEFT(U49,5)+1),0)</f>
        <v>0</v>
      </c>
      <c r="U49" s="455" t="str">
        <f>TEXT('MYP Assumptions'!$I$68,"0.00%")&amp;", projected increase"</f>
        <v>5.00%, projected increase</v>
      </c>
      <c r="V49" s="2429"/>
      <c r="W49" s="2241" t="str">
        <f t="shared" si="22"/>
        <v>0.00%</v>
      </c>
      <c r="X49" s="340">
        <f>ROUND((T49)*(LEFT(Y49,5)+1),0)</f>
        <v>0</v>
      </c>
      <c r="Y49" s="455" t="str">
        <f>TEXT('MYP Assumptions'!$I$68,"0.00%")&amp;", projected increase"</f>
        <v>5.00%, projected increase</v>
      </c>
      <c r="AA49" s="456" t="str">
        <f t="shared" si="23"/>
        <v>0.00%</v>
      </c>
      <c r="AB49" s="340">
        <f>ROUND((X49)*(LEFT(AC49,5)+1),0)</f>
        <v>0</v>
      </c>
      <c r="AC49" s="455" t="str">
        <f>TEXT('MYP Assumptions'!$I$68,"0.00%")&amp;", projected increase"</f>
        <v>5.00%, projected increase</v>
      </c>
    </row>
    <row r="50" spans="1:29" s="340" customFormat="1" x14ac:dyDescent="0.25">
      <c r="A50" s="455"/>
      <c r="B50" s="2441" t="s">
        <v>88</v>
      </c>
      <c r="C50" s="2386" t="s">
        <v>81</v>
      </c>
      <c r="D50" s="340">
        <v>0</v>
      </c>
      <c r="E50" s="897" t="str">
        <f>TEXT('MYP Assumptions'!$D$62,"0.00%")&amp;", SUI rate"</f>
        <v>0.05%, SUI rate</v>
      </c>
      <c r="G50" s="456" t="str">
        <f t="shared" si="18"/>
        <v>0.00%</v>
      </c>
      <c r="H50" s="340">
        <v>1</v>
      </c>
      <c r="I50" s="897" t="str">
        <f>TEXT('MYP Assumptions'!E62,"0.00%")&amp;", no rate change"</f>
        <v>0.05%, no rate change</v>
      </c>
      <c r="J50" s="455"/>
      <c r="K50" s="456">
        <f t="shared" si="19"/>
        <v>59</v>
      </c>
      <c r="L50" s="340">
        <v>60</v>
      </c>
      <c r="M50" s="2488" t="str">
        <f>TEXT('MYP Assumptions'!F62,"0.00%")&amp;", no rate change"</f>
        <v>0.05%, no rate change</v>
      </c>
      <c r="O50" s="456">
        <f t="shared" si="20"/>
        <v>-1</v>
      </c>
      <c r="P50" s="340">
        <v>0</v>
      </c>
      <c r="Q50" s="2488" t="str">
        <f>TEXT('MYP Assumptions'!G62,"0.00%")&amp;", no rate change"</f>
        <v>0.05%, no rate change</v>
      </c>
      <c r="R50" s="455"/>
      <c r="S50" s="2238" t="str">
        <f t="shared" si="21"/>
        <v>0.00%</v>
      </c>
      <c r="T50" s="340">
        <f>ROUND((T42+T29)*LEFT(U50,5),0)</f>
        <v>0</v>
      </c>
      <c r="U50" s="455" t="str">
        <f>TEXT('MYP Assumptions'!H62,"0.00%")&amp;", no rate change"</f>
        <v>0.05%, no rate change</v>
      </c>
      <c r="V50" s="2429"/>
      <c r="W50" s="2241" t="str">
        <f t="shared" si="22"/>
        <v>0.00%</v>
      </c>
      <c r="X50" s="340" t="e">
        <f>ROUND((X42+X29)*LEFT(Y50,5),0)</f>
        <v>#REF!</v>
      </c>
      <c r="Y50" s="455" t="str">
        <f>TEXT('MYP Assumptions'!I62,"0.00%")&amp;", no rate change"</f>
        <v>0.05%, no rate change</v>
      </c>
      <c r="AA50" s="456" t="e">
        <f t="shared" si="23"/>
        <v>#REF!</v>
      </c>
      <c r="AB50" s="340" t="e">
        <f>ROUND((AB42+AB29)*LEFT(AC50,5),0)</f>
        <v>#REF!</v>
      </c>
      <c r="AC50" s="455" t="str">
        <f>TEXT('MYP Assumptions'!J62,"0.00%")&amp;", no rate change"</f>
        <v>0.00%, no rate change</v>
      </c>
    </row>
    <row r="51" spans="1:29" s="340" customFormat="1" x14ac:dyDescent="0.25">
      <c r="A51" s="455"/>
      <c r="B51" s="2441" t="s">
        <v>89</v>
      </c>
      <c r="C51" s="2386" t="s">
        <v>82</v>
      </c>
      <c r="D51" s="340">
        <v>0</v>
      </c>
      <c r="E51" s="897" t="str">
        <f>TEXT('MYP Assumptions'!$D$63,"0.00%")&amp;", W/C rate"</f>
        <v>1.10%, W/C rate</v>
      </c>
      <c r="G51" s="456" t="str">
        <f t="shared" si="18"/>
        <v>0.00%</v>
      </c>
      <c r="H51" s="340">
        <v>23</v>
      </c>
      <c r="I51" s="897" t="str">
        <f>TEXT('MYP Assumptions'!E63,"0.00%")&amp;", no rate change"</f>
        <v>0.80%, no rate change</v>
      </c>
      <c r="J51" s="455"/>
      <c r="K51" s="456">
        <f t="shared" si="19"/>
        <v>40.608695652173914</v>
      </c>
      <c r="L51" s="340">
        <v>957</v>
      </c>
      <c r="M51" s="2488" t="str">
        <f>TEXT('MYP Assumptions'!F63,"0.00%")&amp;", no rate change"</f>
        <v>0.80%, no rate change</v>
      </c>
      <c r="O51" s="456">
        <f t="shared" si="20"/>
        <v>-1</v>
      </c>
      <c r="P51" s="340">
        <v>0</v>
      </c>
      <c r="Q51" s="2488" t="str">
        <f>TEXT('MYP Assumptions'!G63,"0.00%")&amp;", no rate change"</f>
        <v>0.80%, no rate change</v>
      </c>
      <c r="R51" s="455"/>
      <c r="S51" s="2238" t="str">
        <f t="shared" si="21"/>
        <v>0.00%</v>
      </c>
      <c r="T51" s="340">
        <f>ROUND((T42+T29)*LEFT(U51,5),0)</f>
        <v>0</v>
      </c>
      <c r="U51" s="455" t="str">
        <f>TEXT('MYP Assumptions'!H63,"0.00%")&amp;", no rate change"</f>
        <v>0.80%, no rate change</v>
      </c>
      <c r="V51" s="2429"/>
      <c r="W51" s="2241" t="str">
        <f t="shared" si="22"/>
        <v>0.00%</v>
      </c>
      <c r="X51" s="340" t="e">
        <f>ROUND((X42+X29)*LEFT(Y51,5),0)</f>
        <v>#REF!</v>
      </c>
      <c r="Y51" s="455" t="str">
        <f>TEXT('MYP Assumptions'!I63,"0.00%")&amp;", no rate change"</f>
        <v>0.80%, no rate change</v>
      </c>
      <c r="AA51" s="456" t="e">
        <f t="shared" si="23"/>
        <v>#REF!</v>
      </c>
      <c r="AB51" s="340" t="e">
        <f>ROUND((AB42+AB29)*LEFT(AC51,5),0)</f>
        <v>#REF!</v>
      </c>
      <c r="AC51" s="455" t="str">
        <f>TEXT('MYP Assumptions'!J63,"0.00%")&amp;", no rate change"</f>
        <v>0.00%, no rate change</v>
      </c>
    </row>
    <row r="52" spans="1:29" s="340" customFormat="1" x14ac:dyDescent="0.25">
      <c r="A52" s="455"/>
      <c r="B52" s="2441" t="s">
        <v>469</v>
      </c>
      <c r="C52" s="2386" t="s">
        <v>470</v>
      </c>
      <c r="D52" s="340">
        <v>0</v>
      </c>
      <c r="E52" s="2386"/>
      <c r="G52" s="456" t="str">
        <f t="shared" si="18"/>
        <v>0.00%</v>
      </c>
      <c r="H52" s="340">
        <v>0</v>
      </c>
      <c r="I52" s="897"/>
      <c r="J52" s="455"/>
      <c r="K52" s="456" t="str">
        <f t="shared" si="19"/>
        <v>0.00%</v>
      </c>
      <c r="L52" s="340">
        <v>0</v>
      </c>
      <c r="M52" s="2488" t="s">
        <v>165</v>
      </c>
      <c r="O52" s="456" t="str">
        <f t="shared" si="20"/>
        <v>0.00%</v>
      </c>
      <c r="P52" s="340">
        <f>L52</f>
        <v>0</v>
      </c>
      <c r="Q52" s="2488" t="s">
        <v>165</v>
      </c>
      <c r="R52" s="455"/>
      <c r="S52" s="2238" t="str">
        <f t="shared" si="21"/>
        <v>0.00%</v>
      </c>
      <c r="T52" s="340">
        <f>P52</f>
        <v>0</v>
      </c>
      <c r="U52" s="455" t="s">
        <v>165</v>
      </c>
      <c r="V52" s="2429"/>
      <c r="W52" s="2241" t="str">
        <f t="shared" si="22"/>
        <v>0.00%</v>
      </c>
      <c r="X52" s="340">
        <f>T52</f>
        <v>0</v>
      </c>
      <c r="Y52" s="455" t="s">
        <v>165</v>
      </c>
      <c r="AA52" s="456" t="str">
        <f t="shared" si="23"/>
        <v>0.00%</v>
      </c>
      <c r="AB52" s="340">
        <f>X52</f>
        <v>0</v>
      </c>
      <c r="AC52" s="455" t="s">
        <v>165</v>
      </c>
    </row>
    <row r="53" spans="1:29" s="340" customFormat="1" x14ac:dyDescent="0.25">
      <c r="A53" s="455"/>
      <c r="B53" s="2441" t="s">
        <v>91</v>
      </c>
      <c r="C53" s="2386" t="s">
        <v>93</v>
      </c>
      <c r="D53" s="340">
        <v>0</v>
      </c>
      <c r="E53" s="2386"/>
      <c r="G53" s="456" t="str">
        <f t="shared" si="18"/>
        <v>0.00%</v>
      </c>
      <c r="H53" s="340">
        <v>0</v>
      </c>
      <c r="I53" s="897"/>
      <c r="J53" s="455"/>
      <c r="K53" s="456" t="str">
        <f t="shared" si="19"/>
        <v>0.00%</v>
      </c>
      <c r="L53" s="340">
        <v>0</v>
      </c>
      <c r="M53" s="2488" t="s">
        <v>173</v>
      </c>
      <c r="O53" s="456" t="str">
        <f t="shared" si="20"/>
        <v>0.00%</v>
      </c>
      <c r="P53" s="340">
        <f>+L53</f>
        <v>0</v>
      </c>
      <c r="Q53" s="2488" t="s">
        <v>173</v>
      </c>
      <c r="R53" s="455"/>
      <c r="S53" s="2238" t="str">
        <f t="shared" ref="S53" si="24">IF(P53=0,"0.00%",(T53-P53)/P53)</f>
        <v>0.00%</v>
      </c>
      <c r="T53" s="340">
        <f>P53</f>
        <v>0</v>
      </c>
      <c r="U53" s="455" t="s">
        <v>165</v>
      </c>
      <c r="V53" s="2429"/>
      <c r="W53" s="2241"/>
      <c r="Y53" s="455"/>
      <c r="AA53" s="456"/>
      <c r="AC53" s="455"/>
    </row>
    <row r="54" spans="1:29" s="340" customFormat="1" x14ac:dyDescent="0.25">
      <c r="A54" s="459"/>
      <c r="B54" s="2441"/>
      <c r="C54" s="2386"/>
      <c r="D54" s="458">
        <f>SUM(D45:D53)</f>
        <v>0</v>
      </c>
      <c r="E54" s="2386"/>
      <c r="G54" s="456" t="str">
        <f t="shared" si="18"/>
        <v>0.00%</v>
      </c>
      <c r="H54" s="458">
        <f>SUM(H45:H53)</f>
        <v>370</v>
      </c>
      <c r="I54" s="2316">
        <f>+H54-D54</f>
        <v>370</v>
      </c>
      <c r="J54" s="459"/>
      <c r="K54" s="456">
        <f t="shared" si="19"/>
        <v>59.148648648648646</v>
      </c>
      <c r="L54" s="458">
        <f>SUM(L45:L53)</f>
        <v>22255</v>
      </c>
      <c r="M54" s="2316">
        <f>+L54-H54</f>
        <v>21885</v>
      </c>
      <c r="O54" s="456">
        <f t="shared" si="20"/>
        <v>-1</v>
      </c>
      <c r="P54" s="458">
        <f>SUM(P45:P53)</f>
        <v>0</v>
      </c>
      <c r="Q54" s="2316">
        <f>+P54-L54</f>
        <v>-22255</v>
      </c>
      <c r="R54" s="455"/>
      <c r="S54" s="2238" t="str">
        <f t="shared" si="21"/>
        <v>0.00%</v>
      </c>
      <c r="T54" s="458">
        <f>SUM(T45:T53)</f>
        <v>0</v>
      </c>
      <c r="U54" s="2370"/>
      <c r="V54" s="2429"/>
      <c r="W54" s="2241" t="str">
        <f t="shared" si="22"/>
        <v>0.00%</v>
      </c>
      <c r="X54" s="458" t="e">
        <f>SUM(X45:X53)</f>
        <v>#REF!</v>
      </c>
      <c r="Y54" s="2370"/>
      <c r="AA54" s="456" t="e">
        <f t="shared" si="23"/>
        <v>#REF!</v>
      </c>
      <c r="AB54" s="458" t="e">
        <f>SUM(AB45:AB53)</f>
        <v>#REF!</v>
      </c>
      <c r="AC54" s="2370"/>
    </row>
    <row r="55" spans="1:29" s="340" customFormat="1" x14ac:dyDescent="0.25">
      <c r="A55" s="460"/>
      <c r="B55" s="2441"/>
      <c r="C55" s="2386"/>
      <c r="E55" s="2386"/>
      <c r="G55" s="2338"/>
      <c r="I55" s="897"/>
      <c r="J55" s="455"/>
      <c r="K55" s="1668"/>
      <c r="M55" s="2340"/>
      <c r="O55" s="1668"/>
      <c r="Q55" s="2340"/>
      <c r="R55" s="455"/>
      <c r="S55" s="2341"/>
      <c r="U55" s="2370"/>
      <c r="V55" s="2429"/>
      <c r="W55" s="2343"/>
      <c r="Y55" s="2370"/>
      <c r="AA55" s="1668"/>
      <c r="AC55" s="2370"/>
    </row>
    <row r="56" spans="1:29" s="340" customFormat="1" x14ac:dyDescent="0.25">
      <c r="A56" s="459"/>
      <c r="B56" s="2486" t="s">
        <v>26</v>
      </c>
      <c r="C56" s="2386"/>
      <c r="D56" s="458">
        <f>SUM(D54,D42,D29)</f>
        <v>0</v>
      </c>
      <c r="E56" s="2386"/>
      <c r="G56" s="456" t="str">
        <f>IF(D56=0,"0.00%",(H56-D56)/D56)</f>
        <v>0.00%</v>
      </c>
      <c r="H56" s="458">
        <f>SUM(H54,H42,H29)</f>
        <v>3204</v>
      </c>
      <c r="I56" s="2316">
        <f>+H56-D56</f>
        <v>3204</v>
      </c>
      <c r="J56" s="459"/>
      <c r="K56" s="456">
        <f>IF(H56=0,"0.00%",(L56-H56)/H56)</f>
        <v>43.328651685393261</v>
      </c>
      <c r="L56" s="458">
        <f>SUM(L54,L42,L29)</f>
        <v>142029</v>
      </c>
      <c r="M56" s="2316">
        <f>+L56-H56</f>
        <v>138825</v>
      </c>
      <c r="O56" s="456">
        <f>IF(L56=0,"0.00%",(P56-L56)/L56)</f>
        <v>-1</v>
      </c>
      <c r="P56" s="458">
        <f>SUM(P54,P42,P29)</f>
        <v>0</v>
      </c>
      <c r="Q56" s="2316">
        <f>+P56-L56</f>
        <v>-142029</v>
      </c>
      <c r="R56" s="455"/>
      <c r="S56" s="2238" t="str">
        <f>IF(P56=0,"0.00%",(T56-P56)/P56)</f>
        <v>0.00%</v>
      </c>
      <c r="T56" s="458">
        <f>SUM(T54,T42,T29)</f>
        <v>0</v>
      </c>
      <c r="U56" s="2370"/>
      <c r="V56" s="2429"/>
      <c r="W56" s="2241" t="str">
        <f>IF(T56=0,"0.00%",(X56-T56)/T56)</f>
        <v>0.00%</v>
      </c>
      <c r="X56" s="458" t="e">
        <f>SUM(X54,X42,X29)</f>
        <v>#REF!</v>
      </c>
      <c r="Y56" s="2370"/>
      <c r="AA56" s="456" t="e">
        <f>IF(X56=0,"0.00%",(AB56-X56)/X56)</f>
        <v>#REF!</v>
      </c>
      <c r="AB56" s="458" t="e">
        <f>SUM(AB54,AB42,AB29)</f>
        <v>#REF!</v>
      </c>
      <c r="AC56" s="2370"/>
    </row>
    <row r="57" spans="1:29" s="340" customFormat="1" x14ac:dyDescent="0.25">
      <c r="A57" s="455"/>
      <c r="B57" s="2487"/>
      <c r="C57" s="2386"/>
      <c r="E57" s="2386"/>
      <c r="G57" s="2338"/>
      <c r="I57" s="897"/>
      <c r="J57" s="455"/>
      <c r="K57" s="1668"/>
      <c r="M57" s="2340"/>
      <c r="O57" s="1668"/>
      <c r="Q57" s="2340"/>
      <c r="R57" s="455"/>
      <c r="S57" s="2341"/>
      <c r="U57" s="2370"/>
      <c r="V57" s="2429"/>
      <c r="W57" s="2343"/>
      <c r="Y57" s="2370"/>
      <c r="AA57" s="1668"/>
      <c r="AC57" s="2370"/>
    </row>
    <row r="58" spans="1:29" s="340" customFormat="1" x14ac:dyDescent="0.25">
      <c r="A58" s="455"/>
      <c r="B58" s="2487"/>
      <c r="C58" s="2386"/>
      <c r="E58" s="2386"/>
      <c r="G58" s="2338"/>
      <c r="I58" s="897"/>
      <c r="J58" s="455"/>
      <c r="K58" s="1668"/>
      <c r="M58" s="2340"/>
      <c r="N58" s="456"/>
      <c r="O58" s="1668"/>
      <c r="Q58" s="2340"/>
      <c r="R58" s="455"/>
      <c r="S58" s="2341"/>
      <c r="U58" s="2370"/>
      <c r="V58" s="2429"/>
      <c r="W58" s="2343"/>
      <c r="Y58" s="2370"/>
      <c r="AA58" s="1668"/>
      <c r="AC58" s="2370"/>
    </row>
    <row r="59" spans="1:29" s="340" customFormat="1" x14ac:dyDescent="0.25">
      <c r="A59" s="455"/>
      <c r="B59" s="2223" t="s">
        <v>25</v>
      </c>
      <c r="C59" s="868" t="s">
        <v>947</v>
      </c>
      <c r="D59" s="2497"/>
      <c r="E59" s="2386"/>
      <c r="G59" s="2338"/>
      <c r="H59" s="606"/>
      <c r="I59" s="897"/>
      <c r="J59" s="455"/>
      <c r="K59" s="1668"/>
      <c r="L59" s="606"/>
      <c r="M59" s="2488"/>
      <c r="O59" s="1668"/>
      <c r="P59" s="606"/>
      <c r="Q59" s="2488"/>
      <c r="R59" s="455"/>
      <c r="S59" s="2341"/>
      <c r="U59" s="2370"/>
      <c r="V59" s="2429"/>
      <c r="W59" s="2343"/>
      <c r="Y59" s="2370"/>
      <c r="AA59" s="1668"/>
      <c r="AC59" s="2370"/>
    </row>
    <row r="60" spans="1:29" s="340" customFormat="1" x14ac:dyDescent="0.25">
      <c r="A60" s="455"/>
      <c r="B60" s="2441">
        <v>4353</v>
      </c>
      <c r="C60" s="2386" t="s">
        <v>989</v>
      </c>
      <c r="D60" s="340">
        <v>0</v>
      </c>
      <c r="E60" s="2386"/>
      <c r="G60" s="456" t="str">
        <f t="shared" ref="G60:G70" si="25">IF(D60=0,"0.00%",(H60-D60)/D60)</f>
        <v>0.00%</v>
      </c>
      <c r="H60" s="340">
        <v>8272</v>
      </c>
      <c r="I60" s="897"/>
      <c r="J60" s="455"/>
      <c r="K60" s="456">
        <f t="shared" ref="K60:K70" si="26">IF(H60=0,"0.00%",(L60-H60)/H60)</f>
        <v>-0.54061895551257255</v>
      </c>
      <c r="L60" s="340">
        <v>3800</v>
      </c>
      <c r="M60" s="2488"/>
      <c r="O60" s="456">
        <f t="shared" ref="O60:O70" si="27">IF(L60=0,"0.00%",(P60-L60)/L60)</f>
        <v>-1</v>
      </c>
      <c r="P60" s="340">
        <v>0</v>
      </c>
      <c r="Q60" s="2488"/>
      <c r="R60" s="455"/>
      <c r="S60" s="2238" t="str">
        <f t="shared" ref="S60:S70" si="28">IF(P60=0,"0.00%",(T60-P60)/P60)</f>
        <v>0.00%</v>
      </c>
      <c r="T60" s="340">
        <f>ROUND(P60*(LEFT(U60,5)+1),0)</f>
        <v>0</v>
      </c>
      <c r="U60" s="455" t="str">
        <f>TEXT('MYP Assumptions'!H78,"0.00%")&amp;", CPI"</f>
        <v>3.23%, CPI</v>
      </c>
      <c r="V60" s="2429"/>
      <c r="W60" s="2241" t="str">
        <f t="shared" ref="W60:W70" si="29">IF(T60=0,"0.00%",(X60-T60)/T60)</f>
        <v>0.00%</v>
      </c>
      <c r="X60" s="340">
        <f>ROUND(T60*(LEFT(Y60,5)+1),0)</f>
        <v>0</v>
      </c>
      <c r="Y60" s="455" t="str">
        <f>TEXT('MYP Assumptions'!I78,"0.00%")&amp;", CPI"</f>
        <v>2.73%, CPI</v>
      </c>
      <c r="AA60" s="456" t="str">
        <f t="shared" ref="AA60:AA70" si="30">IF(X60=0,"0.00%",(AB60-X60)/X60)</f>
        <v>0.00%</v>
      </c>
      <c r="AB60" s="340">
        <f>ROUND(X60*(LEFT(AC60,5)+1),0)</f>
        <v>0</v>
      </c>
      <c r="AC60" s="455" t="str">
        <f>TEXT('MYP Assumptions'!J78,"0.00%")&amp;", CPI"</f>
        <v>2.73%, CPI</v>
      </c>
    </row>
    <row r="61" spans="1:29" s="340" customFormat="1" x14ac:dyDescent="0.25">
      <c r="A61" s="455"/>
      <c r="B61" s="2441"/>
      <c r="C61" s="2386"/>
      <c r="D61" s="340">
        <v>0</v>
      </c>
      <c r="E61" s="2386"/>
      <c r="G61" s="456" t="str">
        <f t="shared" si="25"/>
        <v>0.00%</v>
      </c>
      <c r="H61" s="340">
        <v>0</v>
      </c>
      <c r="I61" s="897"/>
      <c r="J61" s="455"/>
      <c r="K61" s="456" t="str">
        <f t="shared" si="26"/>
        <v>0.00%</v>
      </c>
      <c r="L61" s="340">
        <v>0</v>
      </c>
      <c r="M61" s="2488"/>
      <c r="O61" s="456" t="str">
        <f t="shared" si="27"/>
        <v>0.00%</v>
      </c>
      <c r="P61" s="340">
        <f t="shared" ref="P61:P65" si="31">+(1-$P$59)*L61</f>
        <v>0</v>
      </c>
      <c r="Q61" s="2488"/>
      <c r="R61" s="455"/>
      <c r="S61" s="2238" t="str">
        <f t="shared" si="28"/>
        <v>0.00%</v>
      </c>
      <c r="T61" s="340">
        <f t="shared" ref="T61:T69" si="32">ROUND(P61*(LEFT(U61,5)+1),0)</f>
        <v>0</v>
      </c>
      <c r="U61" s="455" t="str">
        <f>TEXT('MYP Assumptions'!H78,"0.00%")&amp;", CPI"</f>
        <v>3.23%, CPI</v>
      </c>
      <c r="V61" s="2429"/>
      <c r="W61" s="2241" t="str">
        <f t="shared" si="29"/>
        <v>0.00%</v>
      </c>
      <c r="X61" s="340">
        <f t="shared" ref="X61:X69" si="33">ROUND(T61*(LEFT(Y61,5)+1),0)</f>
        <v>0</v>
      </c>
      <c r="Y61" s="455" t="str">
        <f>TEXT('MYP Assumptions'!I78,"0.00%")&amp;", CPI"</f>
        <v>2.73%, CPI</v>
      </c>
      <c r="AA61" s="456" t="str">
        <f t="shared" si="30"/>
        <v>0.00%</v>
      </c>
      <c r="AB61" s="340">
        <f t="shared" ref="AB61:AB69" si="34">ROUND(X61*(LEFT(AC61,5)+1),0)</f>
        <v>0</v>
      </c>
      <c r="AC61" s="455" t="str">
        <f>TEXT('MYP Assumptions'!J78,"0.00%")&amp;", CPI"</f>
        <v>2.73%, CPI</v>
      </c>
    </row>
    <row r="62" spans="1:29" s="340" customFormat="1" hidden="1" x14ac:dyDescent="0.25">
      <c r="A62" s="455"/>
      <c r="B62" s="2441"/>
      <c r="C62" s="2386"/>
      <c r="D62" s="340">
        <v>0</v>
      </c>
      <c r="E62" s="2386"/>
      <c r="G62" s="456" t="str">
        <f t="shared" si="25"/>
        <v>0.00%</v>
      </c>
      <c r="H62" s="340">
        <v>0</v>
      </c>
      <c r="I62" s="897"/>
      <c r="J62" s="455"/>
      <c r="K62" s="456" t="str">
        <f t="shared" si="26"/>
        <v>0.00%</v>
      </c>
      <c r="L62" s="340">
        <v>0</v>
      </c>
      <c r="M62" s="2488"/>
      <c r="O62" s="456" t="str">
        <f t="shared" si="27"/>
        <v>0.00%</v>
      </c>
      <c r="P62" s="340">
        <f t="shared" si="31"/>
        <v>0</v>
      </c>
      <c r="Q62" s="2488"/>
      <c r="R62" s="455"/>
      <c r="S62" s="2238" t="str">
        <f t="shared" si="28"/>
        <v>0.00%</v>
      </c>
      <c r="T62" s="340">
        <f t="shared" si="32"/>
        <v>0</v>
      </c>
      <c r="U62" s="455" t="str">
        <f>TEXT('MYP Assumptions'!H78,"0.00%")&amp;", CPI"</f>
        <v>3.23%, CPI</v>
      </c>
      <c r="V62" s="2429"/>
      <c r="W62" s="2241" t="str">
        <f t="shared" si="29"/>
        <v>0.00%</v>
      </c>
      <c r="X62" s="340">
        <f t="shared" si="33"/>
        <v>0</v>
      </c>
      <c r="Y62" s="455" t="str">
        <f>TEXT('MYP Assumptions'!I78,"0.00%")&amp;", CPI"</f>
        <v>2.73%, CPI</v>
      </c>
      <c r="AA62" s="456" t="str">
        <f t="shared" si="30"/>
        <v>0.00%</v>
      </c>
      <c r="AB62" s="340">
        <f t="shared" si="34"/>
        <v>0</v>
      </c>
      <c r="AC62" s="455" t="str">
        <f>TEXT('MYP Assumptions'!J78,"0.00%")&amp;", CPI"</f>
        <v>2.73%, CPI</v>
      </c>
    </row>
    <row r="63" spans="1:29" s="340" customFormat="1" hidden="1" x14ac:dyDescent="0.25">
      <c r="A63" s="455"/>
      <c r="B63" s="2441"/>
      <c r="C63" s="2386"/>
      <c r="D63" s="340">
        <v>0</v>
      </c>
      <c r="E63" s="2386"/>
      <c r="G63" s="456" t="str">
        <f t="shared" si="25"/>
        <v>0.00%</v>
      </c>
      <c r="H63" s="340">
        <v>0</v>
      </c>
      <c r="I63" s="897"/>
      <c r="J63" s="455"/>
      <c r="K63" s="456" t="str">
        <f t="shared" si="26"/>
        <v>0.00%</v>
      </c>
      <c r="L63" s="340">
        <v>0</v>
      </c>
      <c r="M63" s="2488"/>
      <c r="O63" s="456" t="str">
        <f t="shared" si="27"/>
        <v>0.00%</v>
      </c>
      <c r="P63" s="340">
        <f t="shared" si="31"/>
        <v>0</v>
      </c>
      <c r="Q63" s="2488"/>
      <c r="R63" s="455"/>
      <c r="S63" s="2238" t="str">
        <f t="shared" si="28"/>
        <v>0.00%</v>
      </c>
      <c r="T63" s="340">
        <f t="shared" si="32"/>
        <v>0</v>
      </c>
      <c r="U63" s="455" t="str">
        <f>TEXT('MYP Assumptions'!H78,"0.00%")&amp;", CPI"</f>
        <v>3.23%, CPI</v>
      </c>
      <c r="V63" s="2429"/>
      <c r="W63" s="2241" t="str">
        <f t="shared" si="29"/>
        <v>0.00%</v>
      </c>
      <c r="X63" s="340">
        <f t="shared" si="33"/>
        <v>0</v>
      </c>
      <c r="Y63" s="455" t="str">
        <f>TEXT('MYP Assumptions'!I78,"0.00%")&amp;", CPI"</f>
        <v>2.73%, CPI</v>
      </c>
      <c r="AA63" s="456" t="str">
        <f t="shared" si="30"/>
        <v>0.00%</v>
      </c>
      <c r="AB63" s="340">
        <f t="shared" si="34"/>
        <v>0</v>
      </c>
      <c r="AC63" s="455" t="str">
        <f>TEXT('MYP Assumptions'!J78,"0.00%")&amp;", CPI"</f>
        <v>2.73%, CPI</v>
      </c>
    </row>
    <row r="64" spans="1:29" s="340" customFormat="1" hidden="1" x14ac:dyDescent="0.25">
      <c r="A64" s="455"/>
      <c r="B64" s="2441"/>
      <c r="C64" s="2386"/>
      <c r="D64" s="340">
        <v>0</v>
      </c>
      <c r="E64" s="2386"/>
      <c r="G64" s="456" t="str">
        <f t="shared" si="25"/>
        <v>0.00%</v>
      </c>
      <c r="H64" s="340">
        <v>0</v>
      </c>
      <c r="I64" s="897"/>
      <c r="J64" s="455"/>
      <c r="K64" s="456" t="str">
        <f t="shared" si="26"/>
        <v>0.00%</v>
      </c>
      <c r="L64" s="340">
        <v>0</v>
      </c>
      <c r="M64" s="2488"/>
      <c r="O64" s="456" t="str">
        <f t="shared" si="27"/>
        <v>0.00%</v>
      </c>
      <c r="P64" s="340">
        <f t="shared" si="31"/>
        <v>0</v>
      </c>
      <c r="Q64" s="2488"/>
      <c r="R64" s="455"/>
      <c r="S64" s="2238" t="str">
        <f t="shared" si="28"/>
        <v>0.00%</v>
      </c>
      <c r="T64" s="340">
        <f t="shared" si="32"/>
        <v>0</v>
      </c>
      <c r="U64" s="455" t="str">
        <f>TEXT('MYP Assumptions'!H78,"0.00%")&amp;", CPI"</f>
        <v>3.23%, CPI</v>
      </c>
      <c r="V64" s="2429"/>
      <c r="W64" s="2241" t="str">
        <f t="shared" si="29"/>
        <v>0.00%</v>
      </c>
      <c r="X64" s="340">
        <f t="shared" si="33"/>
        <v>0</v>
      </c>
      <c r="Y64" s="455" t="str">
        <f>TEXT('MYP Assumptions'!I78,"0.00%")&amp;", CPI"</f>
        <v>2.73%, CPI</v>
      </c>
      <c r="AA64" s="456" t="str">
        <f t="shared" si="30"/>
        <v>0.00%</v>
      </c>
      <c r="AB64" s="340">
        <f t="shared" si="34"/>
        <v>0</v>
      </c>
      <c r="AC64" s="455" t="str">
        <f>TEXT('MYP Assumptions'!J78,"0.00%")&amp;", CPI"</f>
        <v>2.73%, CPI</v>
      </c>
    </row>
    <row r="65" spans="1:29" s="340" customFormat="1" hidden="1" x14ac:dyDescent="0.25">
      <c r="A65" s="455"/>
      <c r="B65" s="2441"/>
      <c r="C65" s="2386"/>
      <c r="D65" s="340">
        <v>0</v>
      </c>
      <c r="E65" s="2386"/>
      <c r="G65" s="456" t="str">
        <f t="shared" si="25"/>
        <v>0.00%</v>
      </c>
      <c r="H65" s="340">
        <v>0</v>
      </c>
      <c r="I65" s="897"/>
      <c r="J65" s="455"/>
      <c r="K65" s="456" t="str">
        <f t="shared" si="26"/>
        <v>0.00%</v>
      </c>
      <c r="L65" s="340">
        <f t="shared" ref="L65" si="35">+(1-$L$59)*H65</f>
        <v>0</v>
      </c>
      <c r="M65" s="2488"/>
      <c r="O65" s="456" t="str">
        <f t="shared" si="27"/>
        <v>0.00%</v>
      </c>
      <c r="P65" s="340">
        <f t="shared" si="31"/>
        <v>0</v>
      </c>
      <c r="Q65" s="2488"/>
      <c r="R65" s="455"/>
      <c r="S65" s="2238" t="str">
        <f t="shared" si="28"/>
        <v>0.00%</v>
      </c>
      <c r="T65" s="340">
        <f t="shared" si="32"/>
        <v>0</v>
      </c>
      <c r="U65" s="455" t="str">
        <f>TEXT('MYP Assumptions'!H78,"0.00%")&amp;", CPI"</f>
        <v>3.23%, CPI</v>
      </c>
      <c r="V65" s="2429"/>
      <c r="W65" s="2241" t="str">
        <f t="shared" si="29"/>
        <v>0.00%</v>
      </c>
      <c r="X65" s="340">
        <f t="shared" si="33"/>
        <v>0</v>
      </c>
      <c r="Y65" s="455" t="str">
        <f>TEXT('MYP Assumptions'!I78,"0.00%")&amp;", CPI"</f>
        <v>2.73%, CPI</v>
      </c>
      <c r="AA65" s="456" t="str">
        <f t="shared" si="30"/>
        <v>0.00%</v>
      </c>
      <c r="AB65" s="340">
        <f t="shared" si="34"/>
        <v>0</v>
      </c>
      <c r="AC65" s="455" t="str">
        <f>TEXT('MYP Assumptions'!J78,"0.00%")&amp;", CPI"</f>
        <v>2.73%, CPI</v>
      </c>
    </row>
    <row r="66" spans="1:29" s="340" customFormat="1" hidden="1" x14ac:dyDescent="0.25">
      <c r="A66" s="455"/>
      <c r="B66" s="2441"/>
      <c r="C66" s="2386"/>
      <c r="D66" s="340">
        <v>0</v>
      </c>
      <c r="E66" s="2386"/>
      <c r="G66" s="456"/>
      <c r="I66" s="897"/>
      <c r="J66" s="455"/>
      <c r="K66" s="456"/>
      <c r="M66" s="2488"/>
      <c r="O66" s="456"/>
      <c r="Q66" s="2488"/>
      <c r="R66" s="455"/>
      <c r="S66" s="2238"/>
      <c r="U66" s="455"/>
      <c r="V66" s="2429"/>
      <c r="W66" s="2241"/>
      <c r="Y66" s="455"/>
      <c r="AA66" s="456"/>
      <c r="AC66" s="455"/>
    </row>
    <row r="67" spans="1:29" s="340" customFormat="1" hidden="1" x14ac:dyDescent="0.25">
      <c r="A67" s="455"/>
      <c r="B67" s="2441"/>
      <c r="C67" s="2386"/>
      <c r="D67" s="340">
        <v>0</v>
      </c>
      <c r="E67" s="2386"/>
      <c r="G67" s="456" t="str">
        <f t="shared" si="25"/>
        <v>0.00%</v>
      </c>
      <c r="H67" s="340">
        <f t="shared" ref="H67:H69" si="36">ROUND(D67*(LEFT(I67,5)+1),0)</f>
        <v>0</v>
      </c>
      <c r="I67" s="897" t="str">
        <f>TEXT('MYP Assumptions'!$E$78,"0.00%")&amp;", CPI"</f>
        <v>3.37%, CPI</v>
      </c>
      <c r="J67" s="455"/>
      <c r="K67" s="456" t="str">
        <f t="shared" si="26"/>
        <v>0.00%</v>
      </c>
      <c r="L67" s="340">
        <f t="shared" ref="L67:L69" si="37">+(1-L66)*H67</f>
        <v>0</v>
      </c>
      <c r="M67" s="2488" t="str">
        <f t="shared" ref="M67:M69" si="38">TEXT($L$59,"0.00%")&amp;"   reduction"</f>
        <v>0.00%   reduction</v>
      </c>
      <c r="O67" s="456" t="str">
        <f t="shared" si="27"/>
        <v>0.00%</v>
      </c>
      <c r="P67" s="340">
        <f t="shared" ref="P67:P69" si="39">ROUND(L67*(LEFT(Q67,5)+1),0)</f>
        <v>0</v>
      </c>
      <c r="Q67" s="2488" t="str">
        <f>TEXT('MYP Assumptions'!$G$78,"0.00%")&amp;", CPI"</f>
        <v>3.36%, CPI</v>
      </c>
      <c r="R67" s="455"/>
      <c r="S67" s="2238"/>
      <c r="U67" s="455"/>
      <c r="V67" s="2429"/>
      <c r="W67" s="2241"/>
      <c r="Y67" s="455"/>
      <c r="AA67" s="456"/>
      <c r="AC67" s="455"/>
    </row>
    <row r="68" spans="1:29" s="340" customFormat="1" hidden="1" x14ac:dyDescent="0.25">
      <c r="A68" s="455"/>
      <c r="B68" s="2441"/>
      <c r="C68" s="2386"/>
      <c r="E68" s="2386"/>
      <c r="G68" s="456" t="str">
        <f t="shared" si="25"/>
        <v>0.00%</v>
      </c>
      <c r="H68" s="340">
        <f t="shared" si="36"/>
        <v>0</v>
      </c>
      <c r="I68" s="897" t="str">
        <f>TEXT('MYP Assumptions'!$E$78,"0.00%")&amp;", CPI"</f>
        <v>3.37%, CPI</v>
      </c>
      <c r="J68" s="455"/>
      <c r="K68" s="456" t="str">
        <f t="shared" si="26"/>
        <v>0.00%</v>
      </c>
      <c r="L68" s="340">
        <f t="shared" si="37"/>
        <v>0</v>
      </c>
      <c r="M68" s="2488" t="str">
        <f t="shared" si="38"/>
        <v>0.00%   reduction</v>
      </c>
      <c r="O68" s="456" t="str">
        <f t="shared" si="27"/>
        <v>0.00%</v>
      </c>
      <c r="P68" s="340">
        <f t="shared" si="39"/>
        <v>0</v>
      </c>
      <c r="Q68" s="2488" t="str">
        <f>TEXT('MYP Assumptions'!$G$78,"0.00%")&amp;", CPI"</f>
        <v>3.36%, CPI</v>
      </c>
      <c r="R68" s="455"/>
      <c r="S68" s="2238"/>
      <c r="U68" s="455"/>
      <c r="V68" s="2429"/>
      <c r="W68" s="2241"/>
      <c r="Y68" s="455"/>
      <c r="AA68" s="456"/>
      <c r="AC68" s="455"/>
    </row>
    <row r="69" spans="1:29" s="340" customFormat="1" hidden="1" x14ac:dyDescent="0.25">
      <c r="A69" s="455"/>
      <c r="B69" s="2441"/>
      <c r="C69" s="2386"/>
      <c r="E69" s="2386"/>
      <c r="G69" s="456" t="str">
        <f t="shared" si="25"/>
        <v>0.00%</v>
      </c>
      <c r="H69" s="340">
        <f t="shared" si="36"/>
        <v>0</v>
      </c>
      <c r="I69" s="897" t="str">
        <f>TEXT('MYP Assumptions'!$E$78,"0.00%")&amp;", CPI"</f>
        <v>3.37%, CPI</v>
      </c>
      <c r="J69" s="455"/>
      <c r="K69" s="456" t="str">
        <f t="shared" si="26"/>
        <v>0.00%</v>
      </c>
      <c r="L69" s="340">
        <f t="shared" si="37"/>
        <v>0</v>
      </c>
      <c r="M69" s="2488" t="str">
        <f t="shared" si="38"/>
        <v>0.00%   reduction</v>
      </c>
      <c r="O69" s="456" t="str">
        <f t="shared" si="27"/>
        <v>0.00%</v>
      </c>
      <c r="P69" s="340">
        <f t="shared" si="39"/>
        <v>0</v>
      </c>
      <c r="Q69" s="2488" t="str">
        <f>TEXT('MYP Assumptions'!$G$78,"0.00%")&amp;", CPI"</f>
        <v>3.36%, CPI</v>
      </c>
      <c r="R69" s="455"/>
      <c r="S69" s="2238" t="str">
        <f t="shared" si="28"/>
        <v>0.00%</v>
      </c>
      <c r="T69" s="340">
        <f t="shared" si="32"/>
        <v>0</v>
      </c>
      <c r="U69" s="455" t="str">
        <f>TEXT('MYP Assumptions'!H78,"0.00%")&amp;", CPI"</f>
        <v>3.23%, CPI</v>
      </c>
      <c r="V69" s="2429"/>
      <c r="W69" s="2241" t="str">
        <f t="shared" si="29"/>
        <v>0.00%</v>
      </c>
      <c r="X69" s="340">
        <f t="shared" si="33"/>
        <v>0</v>
      </c>
      <c r="Y69" s="455" t="str">
        <f>TEXT('MYP Assumptions'!I78,"0.00%")&amp;", CPI"</f>
        <v>2.73%, CPI</v>
      </c>
      <c r="AA69" s="456" t="str">
        <f t="shared" si="30"/>
        <v>0.00%</v>
      </c>
      <c r="AB69" s="340">
        <f t="shared" si="34"/>
        <v>0</v>
      </c>
      <c r="AC69" s="455" t="str">
        <f>TEXT('MYP Assumptions'!J78,"0.00%")&amp;", CPI"</f>
        <v>2.73%, CPI</v>
      </c>
    </row>
    <row r="70" spans="1:29" s="340" customFormat="1" x14ac:dyDescent="0.25">
      <c r="A70" s="459"/>
      <c r="B70" s="2451"/>
      <c r="C70" s="2386"/>
      <c r="D70" s="458">
        <f>SUM(D60:D69)</f>
        <v>0</v>
      </c>
      <c r="E70" s="2386"/>
      <c r="G70" s="456" t="str">
        <f t="shared" si="25"/>
        <v>0.00%</v>
      </c>
      <c r="H70" s="458">
        <f>SUM(H60:H69)</f>
        <v>8272</v>
      </c>
      <c r="I70" s="2316">
        <f>+H70-D70</f>
        <v>8272</v>
      </c>
      <c r="J70" s="459"/>
      <c r="K70" s="456">
        <f t="shared" si="26"/>
        <v>-0.54061895551257255</v>
      </c>
      <c r="L70" s="458">
        <f>SUM(L60:L69)</f>
        <v>3800</v>
      </c>
      <c r="M70" s="2316">
        <f>+L70-H70</f>
        <v>-4472</v>
      </c>
      <c r="O70" s="456">
        <f t="shared" si="27"/>
        <v>-1</v>
      </c>
      <c r="P70" s="458">
        <f>SUM(P60:P69)</f>
        <v>0</v>
      </c>
      <c r="Q70" s="2316">
        <f>+P70-L70</f>
        <v>-3800</v>
      </c>
      <c r="R70" s="455"/>
      <c r="S70" s="2238" t="str">
        <f t="shared" si="28"/>
        <v>0.00%</v>
      </c>
      <c r="T70" s="458">
        <f>SUM(T60:T69)</f>
        <v>0</v>
      </c>
      <c r="U70" s="2370"/>
      <c r="V70" s="2429"/>
      <c r="W70" s="2241" t="str">
        <f t="shared" si="29"/>
        <v>0.00%</v>
      </c>
      <c r="X70" s="458">
        <f>SUM(X60:X69)</f>
        <v>0</v>
      </c>
      <c r="Y70" s="2370"/>
      <c r="AA70" s="456" t="str">
        <f t="shared" si="30"/>
        <v>0.00%</v>
      </c>
      <c r="AB70" s="458">
        <f>SUM(AB60:AB69)</f>
        <v>0</v>
      </c>
      <c r="AC70" s="2370"/>
    </row>
    <row r="71" spans="1:29" s="340" customFormat="1" x14ac:dyDescent="0.25">
      <c r="A71" s="455"/>
      <c r="B71" s="2487"/>
      <c r="C71" s="2386"/>
      <c r="E71" s="2386"/>
      <c r="G71" s="2338"/>
      <c r="I71" s="897"/>
      <c r="J71" s="455"/>
      <c r="K71" s="1668"/>
      <c r="M71" s="2340"/>
      <c r="O71" s="1668"/>
      <c r="Q71" s="2340"/>
      <c r="R71" s="455"/>
      <c r="S71" s="2341"/>
      <c r="U71" s="2370"/>
      <c r="V71" s="2429"/>
      <c r="W71" s="2343"/>
      <c r="Y71" s="2370"/>
      <c r="AA71" s="1668"/>
      <c r="AC71" s="2370"/>
    </row>
    <row r="72" spans="1:29" s="460" customFormat="1" x14ac:dyDescent="0.25">
      <c r="B72" s="2486" t="s">
        <v>16</v>
      </c>
      <c r="C72" s="868"/>
      <c r="E72" s="868"/>
      <c r="G72" s="2389"/>
      <c r="I72" s="868"/>
      <c r="K72" s="1669"/>
      <c r="M72" s="2390"/>
      <c r="O72" s="1669"/>
      <c r="Q72" s="2390"/>
      <c r="S72" s="1669"/>
      <c r="U72" s="2498"/>
      <c r="V72" s="2492"/>
      <c r="W72" s="2382"/>
      <c r="Y72" s="2498"/>
      <c r="AA72" s="1669"/>
      <c r="AC72" s="2498"/>
    </row>
    <row r="73" spans="1:29" s="340" customFormat="1" x14ac:dyDescent="0.25">
      <c r="A73" s="455"/>
      <c r="B73" s="2441">
        <v>5213</v>
      </c>
      <c r="C73" s="2386" t="s">
        <v>886</v>
      </c>
      <c r="D73" s="340">
        <v>0</v>
      </c>
      <c r="E73" s="2386"/>
      <c r="G73" s="456" t="str">
        <f t="shared" ref="G73:G78" si="40">IF(D73=0,"0.00%",(H73-D73)/D73)</f>
        <v>0.00%</v>
      </c>
      <c r="H73" s="340">
        <v>2595</v>
      </c>
      <c r="I73" s="897"/>
      <c r="J73" s="455"/>
      <c r="K73" s="456">
        <f t="shared" ref="K73:K83" si="41">IF(H73=0,"0.00%",(L73-H73)/H73)</f>
        <v>-0.65317919075144504</v>
      </c>
      <c r="L73" s="340">
        <v>900</v>
      </c>
      <c r="M73" s="2390"/>
      <c r="O73" s="456">
        <f t="shared" ref="O73:O83" si="42">IF(L73=0,"0.00%",(P73-L73)/L73)</f>
        <v>-1</v>
      </c>
      <c r="P73" s="340">
        <v>0</v>
      </c>
      <c r="Q73" s="2488"/>
      <c r="R73" s="455"/>
      <c r="S73" s="2238" t="str">
        <f t="shared" ref="S73:S83" si="43">IF(P73=0,"0.00%",(T73-P73)/P73)</f>
        <v>0.00%</v>
      </c>
      <c r="T73" s="340">
        <f>ROUND(P73*(LEFT(U73,5)+1),0)</f>
        <v>0</v>
      </c>
      <c r="U73" s="455" t="str">
        <f>TEXT('MYP Assumptions'!H78,"0.00%")&amp;", CPI"</f>
        <v>3.23%, CPI</v>
      </c>
      <c r="V73" s="2429"/>
      <c r="W73" s="2241" t="str">
        <f t="shared" ref="W73:W83" si="44">IF(T73=0,"0.00%",(X73-T73)/T73)</f>
        <v>0.00%</v>
      </c>
      <c r="X73" s="340">
        <f>ROUND(T73*(LEFT(Y73,5)+1),0)</f>
        <v>0</v>
      </c>
      <c r="Y73" s="455" t="str">
        <f>TEXT('MYP Assumptions'!I78,"0.00%")&amp;", CPI"</f>
        <v>2.73%, CPI</v>
      </c>
      <c r="AA73" s="456" t="str">
        <f t="shared" ref="AA73:AA83" si="45">IF(X73=0,"0.00%",(AB73-X73)/X73)</f>
        <v>0.00%</v>
      </c>
      <c r="AB73" s="340">
        <f>ROUND(X73*(LEFT(AC73,5)+1),0)</f>
        <v>0</v>
      </c>
      <c r="AC73" s="455" t="str">
        <f>TEXT('MYP Assumptions'!J78,"0.00%")&amp;", CPI"</f>
        <v>2.73%, CPI</v>
      </c>
    </row>
    <row r="74" spans="1:29" s="340" customFormat="1" x14ac:dyDescent="0.25">
      <c r="A74" s="455"/>
      <c r="B74" s="2441">
        <v>5603</v>
      </c>
      <c r="C74" s="2386" t="s">
        <v>1051</v>
      </c>
      <c r="D74" s="340">
        <v>0</v>
      </c>
      <c r="E74" s="2386"/>
      <c r="G74" s="456" t="str">
        <f t="shared" si="40"/>
        <v>0.00%</v>
      </c>
      <c r="H74" s="340">
        <v>950</v>
      </c>
      <c r="I74" s="2393"/>
      <c r="J74" s="455"/>
      <c r="K74" s="456">
        <f t="shared" si="41"/>
        <v>0.57894736842105265</v>
      </c>
      <c r="L74" s="340">
        <v>1500</v>
      </c>
      <c r="M74" s="2347"/>
      <c r="O74" s="456">
        <f t="shared" si="42"/>
        <v>-1</v>
      </c>
      <c r="P74" s="340">
        <v>0</v>
      </c>
      <c r="Q74" s="2488"/>
      <c r="R74" s="455"/>
      <c r="S74" s="2238" t="str">
        <f t="shared" si="43"/>
        <v>0.00%</v>
      </c>
      <c r="T74" s="340">
        <f t="shared" ref="T74:T82" si="46">ROUND(P74*(LEFT(U74,5)+1),0)</f>
        <v>0</v>
      </c>
      <c r="U74" s="455" t="str">
        <f>TEXT('MYP Assumptions'!H78,"0.00%")&amp;", CPI"</f>
        <v>3.23%, CPI</v>
      </c>
      <c r="V74" s="2429"/>
      <c r="W74" s="2241" t="str">
        <f t="shared" si="44"/>
        <v>0.00%</v>
      </c>
      <c r="X74" s="340">
        <f t="shared" ref="X74:X82" si="47">ROUND(T74*(LEFT(Y74,5)+1),0)</f>
        <v>0</v>
      </c>
      <c r="Y74" s="455" t="str">
        <f>TEXT('MYP Assumptions'!I78,"0.00%")&amp;", CPI"</f>
        <v>2.73%, CPI</v>
      </c>
      <c r="AA74" s="456" t="str">
        <f t="shared" si="45"/>
        <v>0.00%</v>
      </c>
      <c r="AB74" s="340">
        <f t="shared" ref="AB74:AB82" si="48">ROUND(X74*(LEFT(AC74,5)+1),0)</f>
        <v>0</v>
      </c>
      <c r="AC74" s="455" t="str">
        <f>TEXT('MYP Assumptions'!J78,"0.00%")&amp;", CPI"</f>
        <v>2.73%, CPI</v>
      </c>
    </row>
    <row r="75" spans="1:29" s="340" customFormat="1" x14ac:dyDescent="0.25">
      <c r="A75" s="455"/>
      <c r="B75" s="2441">
        <v>5807</v>
      </c>
      <c r="C75" s="2386" t="s">
        <v>8</v>
      </c>
      <c r="D75" s="340">
        <v>0</v>
      </c>
      <c r="E75" s="2386"/>
      <c r="G75" s="456" t="str">
        <f t="shared" si="40"/>
        <v>0.00%</v>
      </c>
      <c r="H75" s="340">
        <v>122316</v>
      </c>
      <c r="I75" s="897"/>
      <c r="J75" s="455"/>
      <c r="K75" s="456">
        <f t="shared" si="41"/>
        <v>9.5931848654305249E-2</v>
      </c>
      <c r="L75" s="340">
        <v>134050</v>
      </c>
      <c r="M75" s="2488"/>
      <c r="O75" s="456">
        <f t="shared" si="42"/>
        <v>-1</v>
      </c>
      <c r="P75" s="340">
        <v>0</v>
      </c>
      <c r="Q75" s="2488"/>
      <c r="R75" s="455"/>
      <c r="S75" s="2238" t="str">
        <f t="shared" si="43"/>
        <v>0.00%</v>
      </c>
      <c r="T75" s="340">
        <f t="shared" si="46"/>
        <v>0</v>
      </c>
      <c r="U75" s="455" t="str">
        <f>TEXT('MYP Assumptions'!H78,"0.00%")&amp;", CPI"</f>
        <v>3.23%, CPI</v>
      </c>
      <c r="V75" s="2429"/>
      <c r="W75" s="2241" t="str">
        <f t="shared" si="44"/>
        <v>0.00%</v>
      </c>
      <c r="X75" s="340">
        <f t="shared" si="47"/>
        <v>0</v>
      </c>
      <c r="Y75" s="455" t="str">
        <f>TEXT('MYP Assumptions'!I78,"0.00%")&amp;", CPI"</f>
        <v>2.73%, CPI</v>
      </c>
      <c r="AA75" s="456" t="str">
        <f t="shared" si="45"/>
        <v>0.00%</v>
      </c>
      <c r="AB75" s="340">
        <f t="shared" si="48"/>
        <v>0</v>
      </c>
      <c r="AC75" s="455" t="str">
        <f>TEXT('MYP Assumptions'!J78,"0.00%")&amp;", CPI"</f>
        <v>2.73%, CPI</v>
      </c>
    </row>
    <row r="76" spans="1:29" s="340" customFormat="1" x14ac:dyDescent="0.25">
      <c r="A76" s="455"/>
      <c r="B76" s="2441" t="s">
        <v>1094</v>
      </c>
      <c r="C76" s="2386" t="s">
        <v>1095</v>
      </c>
      <c r="D76" s="340">
        <v>0</v>
      </c>
      <c r="E76" s="2386"/>
      <c r="G76" s="456" t="str">
        <f t="shared" si="40"/>
        <v>0.00%</v>
      </c>
      <c r="H76" s="340">
        <v>0</v>
      </c>
      <c r="I76" s="897"/>
      <c r="J76" s="455"/>
      <c r="K76" s="456" t="str">
        <f t="shared" si="41"/>
        <v>0.00%</v>
      </c>
      <c r="L76" s="340">
        <f>500+10000</f>
        <v>10500</v>
      </c>
      <c r="M76" s="2488"/>
      <c r="O76" s="456">
        <f t="shared" si="42"/>
        <v>-1</v>
      </c>
      <c r="P76" s="340">
        <v>0</v>
      </c>
      <c r="Q76" s="2488"/>
      <c r="R76" s="455"/>
      <c r="S76" s="2238" t="str">
        <f t="shared" si="43"/>
        <v>0.00%</v>
      </c>
      <c r="T76" s="340">
        <f t="shared" si="46"/>
        <v>0</v>
      </c>
      <c r="U76" s="455" t="str">
        <f>TEXT('MYP Assumptions'!H78,"0.00%")&amp;", CPI"</f>
        <v>3.23%, CPI</v>
      </c>
      <c r="V76" s="2429"/>
      <c r="W76" s="2241" t="str">
        <f t="shared" si="44"/>
        <v>0.00%</v>
      </c>
      <c r="X76" s="340">
        <f t="shared" si="47"/>
        <v>0</v>
      </c>
      <c r="Y76" s="455" t="str">
        <f>TEXT('MYP Assumptions'!I78,"0.00%")&amp;", CPI"</f>
        <v>2.73%, CPI</v>
      </c>
      <c r="AA76" s="456" t="str">
        <f t="shared" si="45"/>
        <v>0.00%</v>
      </c>
      <c r="AB76" s="340">
        <f t="shared" si="48"/>
        <v>0</v>
      </c>
      <c r="AC76" s="455" t="str">
        <f>TEXT('MYP Assumptions'!J78,"0.00%")&amp;", CPI"</f>
        <v>2.73%, CPI</v>
      </c>
    </row>
    <row r="77" spans="1:29" s="340" customFormat="1" hidden="1" x14ac:dyDescent="0.25">
      <c r="A77" s="455"/>
      <c r="B77" s="2441"/>
      <c r="C77" s="2386"/>
      <c r="D77" s="340">
        <v>0</v>
      </c>
      <c r="E77" s="2386"/>
      <c r="G77" s="456" t="str">
        <f t="shared" si="40"/>
        <v>0.00%</v>
      </c>
      <c r="H77" s="340">
        <v>0</v>
      </c>
      <c r="I77" s="897"/>
      <c r="J77" s="455"/>
      <c r="K77" s="456" t="str">
        <f t="shared" si="41"/>
        <v>0.00%</v>
      </c>
      <c r="L77" s="340">
        <f>+H77</f>
        <v>0</v>
      </c>
      <c r="M77" s="2488" t="str">
        <f>TEXT('MYP Assumptions'!$F$78,"0.00%")&amp;", CPI"</f>
        <v>3.58%, CPI</v>
      </c>
      <c r="O77" s="456" t="str">
        <f t="shared" si="42"/>
        <v>0.00%</v>
      </c>
      <c r="P77" s="340">
        <f>+L77</f>
        <v>0</v>
      </c>
      <c r="Q77" s="2488" t="str">
        <f>TEXT('MYP Assumptions'!$G$78,"0.00%")&amp;", CPI"</f>
        <v>3.36%, CPI</v>
      </c>
      <c r="R77" s="455"/>
      <c r="S77" s="2238" t="str">
        <f t="shared" si="43"/>
        <v>0.00%</v>
      </c>
      <c r="T77" s="340">
        <f t="shared" si="46"/>
        <v>0</v>
      </c>
      <c r="U77" s="455" t="str">
        <f>TEXT('MYP Assumptions'!H78,"0.00%")&amp;", CPI"</f>
        <v>3.23%, CPI</v>
      </c>
      <c r="V77" s="2429"/>
      <c r="W77" s="2241" t="str">
        <f t="shared" si="44"/>
        <v>0.00%</v>
      </c>
      <c r="X77" s="340">
        <f t="shared" si="47"/>
        <v>0</v>
      </c>
      <c r="Y77" s="455" t="str">
        <f>TEXT('MYP Assumptions'!I78,"0.00%")&amp;", CPI"</f>
        <v>2.73%, CPI</v>
      </c>
      <c r="AA77" s="456" t="str">
        <f t="shared" si="45"/>
        <v>0.00%</v>
      </c>
      <c r="AB77" s="340">
        <f t="shared" si="48"/>
        <v>0</v>
      </c>
      <c r="AC77" s="455" t="str">
        <f>TEXT('MYP Assumptions'!J78,"0.00%")&amp;", CPI"</f>
        <v>2.73%, CPI</v>
      </c>
    </row>
    <row r="78" spans="1:29" s="340" customFormat="1" hidden="1" x14ac:dyDescent="0.25">
      <c r="A78" s="455"/>
      <c r="B78" s="2441"/>
      <c r="C78" s="2386"/>
      <c r="D78" s="340">
        <v>0</v>
      </c>
      <c r="E78" s="2386"/>
      <c r="G78" s="456" t="str">
        <f t="shared" si="40"/>
        <v>0.00%</v>
      </c>
      <c r="H78" s="340">
        <v>0</v>
      </c>
      <c r="I78" s="897"/>
      <c r="J78" s="455"/>
      <c r="K78" s="456" t="str">
        <f t="shared" si="41"/>
        <v>0.00%</v>
      </c>
      <c r="L78" s="340">
        <f t="shared" ref="L78:L82" si="49">ROUND(H78*(LEFT(M78,5)+1),0)</f>
        <v>0</v>
      </c>
      <c r="M78" s="2488" t="str">
        <f>TEXT('MYP Assumptions'!F78,"0.00%")&amp;", CPI"</f>
        <v>3.58%, CPI</v>
      </c>
      <c r="O78" s="456" t="str">
        <f t="shared" si="42"/>
        <v>0.00%</v>
      </c>
      <c r="P78" s="340">
        <f t="shared" ref="P78:P82" si="50">ROUND(L78*(LEFT(Q78,5)+1),0)</f>
        <v>0</v>
      </c>
      <c r="Q78" s="2488" t="str">
        <f>TEXT('MYP Assumptions'!G78,"0.00%")&amp;", CPI"</f>
        <v>3.36%, CPI</v>
      </c>
      <c r="R78" s="455"/>
      <c r="S78" s="2238" t="str">
        <f t="shared" si="43"/>
        <v>0.00%</v>
      </c>
      <c r="T78" s="340">
        <f t="shared" si="46"/>
        <v>0</v>
      </c>
      <c r="U78" s="455" t="str">
        <f>TEXT('MYP Assumptions'!H78,"0.00%")&amp;", CPI"</f>
        <v>3.23%, CPI</v>
      </c>
      <c r="V78" s="2429"/>
      <c r="W78" s="2241" t="str">
        <f t="shared" si="44"/>
        <v>0.00%</v>
      </c>
      <c r="X78" s="340">
        <f t="shared" si="47"/>
        <v>0</v>
      </c>
      <c r="Y78" s="455" t="str">
        <f>TEXT('MYP Assumptions'!I78,"0.00%")&amp;", CPI"</f>
        <v>2.73%, CPI</v>
      </c>
      <c r="AA78" s="456" t="str">
        <f t="shared" si="45"/>
        <v>0.00%</v>
      </c>
      <c r="AB78" s="340">
        <f t="shared" si="48"/>
        <v>0</v>
      </c>
      <c r="AC78" s="455" t="str">
        <f>TEXT('MYP Assumptions'!J78,"0.00%")&amp;", CPI"</f>
        <v>2.73%, CPI</v>
      </c>
    </row>
    <row r="79" spans="1:29" s="340" customFormat="1" hidden="1" x14ac:dyDescent="0.25">
      <c r="A79" s="455"/>
      <c r="B79" s="2441"/>
      <c r="C79" s="2386"/>
      <c r="D79" s="340">
        <v>0</v>
      </c>
      <c r="E79" s="2386"/>
      <c r="G79" s="456" t="str">
        <f>IF(D79=0,"0.00%",(H79-D79)/D79)</f>
        <v>0.00%</v>
      </c>
      <c r="H79" s="340">
        <v>0</v>
      </c>
      <c r="I79" s="897"/>
      <c r="J79" s="455"/>
      <c r="K79" s="456" t="str">
        <f t="shared" si="41"/>
        <v>0.00%</v>
      </c>
      <c r="L79" s="340">
        <f t="shared" si="49"/>
        <v>0</v>
      </c>
      <c r="M79" s="2488" t="str">
        <f>TEXT('MYP Assumptions'!F78,"0.00%")&amp;", CPI"</f>
        <v>3.58%, CPI</v>
      </c>
      <c r="O79" s="456" t="str">
        <f t="shared" si="42"/>
        <v>0.00%</v>
      </c>
      <c r="P79" s="340">
        <f t="shared" si="50"/>
        <v>0</v>
      </c>
      <c r="Q79" s="2488" t="str">
        <f>TEXT('MYP Assumptions'!G78,"0.00%")&amp;", CPI"</f>
        <v>3.36%, CPI</v>
      </c>
      <c r="R79" s="455"/>
      <c r="S79" s="2238" t="str">
        <f t="shared" si="43"/>
        <v>0.00%</v>
      </c>
      <c r="T79" s="340">
        <f t="shared" si="46"/>
        <v>0</v>
      </c>
      <c r="U79" s="455" t="str">
        <f>TEXT('MYP Assumptions'!H78,"0.00%")&amp;", CPI"</f>
        <v>3.23%, CPI</v>
      </c>
      <c r="V79" s="2429"/>
      <c r="W79" s="2241" t="str">
        <f t="shared" si="44"/>
        <v>0.00%</v>
      </c>
      <c r="X79" s="340">
        <f t="shared" si="47"/>
        <v>0</v>
      </c>
      <c r="Y79" s="455" t="str">
        <f>TEXT('MYP Assumptions'!I78,"0.00%")&amp;", CPI"</f>
        <v>2.73%, CPI</v>
      </c>
      <c r="AA79" s="456" t="str">
        <f t="shared" si="45"/>
        <v>0.00%</v>
      </c>
      <c r="AB79" s="340">
        <f t="shared" si="48"/>
        <v>0</v>
      </c>
      <c r="AC79" s="455" t="str">
        <f>TEXT('MYP Assumptions'!J78,"0.00%")&amp;", CPI"</f>
        <v>2.73%, CPI</v>
      </c>
    </row>
    <row r="80" spans="1:29" s="340" customFormat="1" hidden="1" x14ac:dyDescent="0.25">
      <c r="A80" s="455"/>
      <c r="B80" s="2441"/>
      <c r="C80" s="2386"/>
      <c r="D80" s="340">
        <v>0</v>
      </c>
      <c r="E80" s="2386"/>
      <c r="G80" s="456" t="str">
        <f t="shared" ref="G80:G83" si="51">IF(D80=0,"0.00%",(H80-D80)/D80)</f>
        <v>0.00%</v>
      </c>
      <c r="H80" s="340">
        <v>0</v>
      </c>
      <c r="I80" s="897"/>
      <c r="J80" s="455"/>
      <c r="K80" s="456" t="str">
        <f t="shared" si="41"/>
        <v>0.00%</v>
      </c>
      <c r="L80" s="340">
        <f t="shared" si="49"/>
        <v>0</v>
      </c>
      <c r="M80" s="2488" t="str">
        <f>TEXT('MYP Assumptions'!F78,"0.00%")&amp;", CPI"</f>
        <v>3.58%, CPI</v>
      </c>
      <c r="O80" s="456" t="str">
        <f t="shared" si="42"/>
        <v>0.00%</v>
      </c>
      <c r="P80" s="340">
        <f t="shared" si="50"/>
        <v>0</v>
      </c>
      <c r="Q80" s="2488" t="str">
        <f>TEXT('MYP Assumptions'!G78,"0.00%")&amp;", CPI"</f>
        <v>3.36%, CPI</v>
      </c>
      <c r="R80" s="455"/>
      <c r="S80" s="2238" t="str">
        <f t="shared" si="43"/>
        <v>0.00%</v>
      </c>
      <c r="T80" s="340">
        <f t="shared" si="46"/>
        <v>0</v>
      </c>
      <c r="U80" s="455" t="str">
        <f>TEXT('MYP Assumptions'!H78,"0.00%")&amp;", CPI"</f>
        <v>3.23%, CPI</v>
      </c>
      <c r="V80" s="2429"/>
      <c r="W80" s="2241" t="str">
        <f t="shared" si="44"/>
        <v>0.00%</v>
      </c>
      <c r="X80" s="340">
        <f t="shared" si="47"/>
        <v>0</v>
      </c>
      <c r="Y80" s="455" t="str">
        <f>TEXT('MYP Assumptions'!I78,"0.00%")&amp;", CPI"</f>
        <v>2.73%, CPI</v>
      </c>
      <c r="AA80" s="456" t="str">
        <f t="shared" si="45"/>
        <v>0.00%</v>
      </c>
      <c r="AB80" s="340">
        <f t="shared" si="48"/>
        <v>0</v>
      </c>
      <c r="AC80" s="455" t="str">
        <f>TEXT('MYP Assumptions'!J78,"0.00%")&amp;", CPI"</f>
        <v>2.73%, CPI</v>
      </c>
    </row>
    <row r="81" spans="1:29" s="340" customFormat="1" hidden="1" x14ac:dyDescent="0.25">
      <c r="A81" s="455"/>
      <c r="B81" s="2441"/>
      <c r="C81" s="2386"/>
      <c r="D81" s="340">
        <v>0</v>
      </c>
      <c r="E81" s="2386"/>
      <c r="G81" s="456" t="str">
        <f t="shared" si="51"/>
        <v>0.00%</v>
      </c>
      <c r="H81" s="340">
        <v>0</v>
      </c>
      <c r="I81" s="897"/>
      <c r="J81" s="455"/>
      <c r="K81" s="456" t="str">
        <f t="shared" si="41"/>
        <v>0.00%</v>
      </c>
      <c r="L81" s="340">
        <f t="shared" si="49"/>
        <v>0</v>
      </c>
      <c r="M81" s="2488" t="str">
        <f>TEXT('MYP Assumptions'!F78,"0.00%")&amp;", CPI"</f>
        <v>3.58%, CPI</v>
      </c>
      <c r="O81" s="456" t="str">
        <f t="shared" si="42"/>
        <v>0.00%</v>
      </c>
      <c r="P81" s="340">
        <f t="shared" si="50"/>
        <v>0</v>
      </c>
      <c r="Q81" s="2488" t="str">
        <f>TEXT('MYP Assumptions'!G78,"0.00%")&amp;", CPI"</f>
        <v>3.36%, CPI</v>
      </c>
      <c r="R81" s="455"/>
      <c r="S81" s="2238" t="str">
        <f t="shared" si="43"/>
        <v>0.00%</v>
      </c>
      <c r="T81" s="340">
        <f t="shared" si="46"/>
        <v>0</v>
      </c>
      <c r="U81" s="455" t="str">
        <f>TEXT('MYP Assumptions'!H78,"0.00%")&amp;", CPI"</f>
        <v>3.23%, CPI</v>
      </c>
      <c r="V81" s="2429"/>
      <c r="W81" s="2241" t="str">
        <f t="shared" si="44"/>
        <v>0.00%</v>
      </c>
      <c r="X81" s="340">
        <f t="shared" si="47"/>
        <v>0</v>
      </c>
      <c r="Y81" s="455" t="str">
        <f>TEXT('MYP Assumptions'!I78,"0.00%")&amp;", CPI"</f>
        <v>2.73%, CPI</v>
      </c>
      <c r="AA81" s="456" t="str">
        <f t="shared" si="45"/>
        <v>0.00%</v>
      </c>
      <c r="AB81" s="340">
        <f t="shared" si="48"/>
        <v>0</v>
      </c>
      <c r="AC81" s="455" t="str">
        <f>TEXT('MYP Assumptions'!J78,"0.00%")&amp;", CPI"</f>
        <v>2.73%, CPI</v>
      </c>
    </row>
    <row r="82" spans="1:29" s="340" customFormat="1" hidden="1" x14ac:dyDescent="0.25">
      <c r="A82" s="455"/>
      <c r="B82" s="2441"/>
      <c r="C82" s="2386"/>
      <c r="D82" s="340">
        <v>0</v>
      </c>
      <c r="E82" s="2386"/>
      <c r="G82" s="456" t="str">
        <f t="shared" si="51"/>
        <v>0.00%</v>
      </c>
      <c r="H82" s="340">
        <v>0</v>
      </c>
      <c r="I82" s="897"/>
      <c r="J82" s="455"/>
      <c r="K82" s="456" t="str">
        <f t="shared" si="41"/>
        <v>0.00%</v>
      </c>
      <c r="L82" s="340">
        <f t="shared" si="49"/>
        <v>0</v>
      </c>
      <c r="M82" s="2488" t="str">
        <f>TEXT('MYP Assumptions'!F78,"0.00%")&amp;", CPI"</f>
        <v>3.58%, CPI</v>
      </c>
      <c r="O82" s="456" t="str">
        <f t="shared" si="42"/>
        <v>0.00%</v>
      </c>
      <c r="P82" s="340">
        <f t="shared" si="50"/>
        <v>0</v>
      </c>
      <c r="Q82" s="2488" t="str">
        <f>TEXT('MYP Assumptions'!G78,"0.00%")&amp;", CPI"</f>
        <v>3.36%, CPI</v>
      </c>
      <c r="R82" s="455"/>
      <c r="S82" s="2238" t="str">
        <f t="shared" si="43"/>
        <v>0.00%</v>
      </c>
      <c r="T82" s="340">
        <f t="shared" si="46"/>
        <v>0</v>
      </c>
      <c r="U82" s="455" t="str">
        <f>TEXT('MYP Assumptions'!H78,"0.00%")&amp;", CPI"</f>
        <v>3.23%, CPI</v>
      </c>
      <c r="V82" s="2429"/>
      <c r="W82" s="2241" t="str">
        <f t="shared" si="44"/>
        <v>0.00%</v>
      </c>
      <c r="X82" s="340">
        <f t="shared" si="47"/>
        <v>0</v>
      </c>
      <c r="Y82" s="455" t="str">
        <f>TEXT('MYP Assumptions'!I78,"0.00%")&amp;", CPI"</f>
        <v>2.73%, CPI</v>
      </c>
      <c r="AA82" s="456" t="str">
        <f t="shared" si="45"/>
        <v>0.00%</v>
      </c>
      <c r="AB82" s="340">
        <f t="shared" si="48"/>
        <v>0</v>
      </c>
      <c r="AC82" s="455" t="str">
        <f>TEXT('MYP Assumptions'!J78,"0.00%")&amp;", CPI"</f>
        <v>2.73%, CPI</v>
      </c>
    </row>
    <row r="83" spans="1:29" s="340" customFormat="1" x14ac:dyDescent="0.25">
      <c r="A83" s="459"/>
      <c r="B83" s="2487"/>
      <c r="C83" s="2386"/>
      <c r="D83" s="458">
        <f>SUM(D73:D82)</f>
        <v>0</v>
      </c>
      <c r="E83" s="2386"/>
      <c r="G83" s="456" t="str">
        <f t="shared" si="51"/>
        <v>0.00%</v>
      </c>
      <c r="H83" s="458">
        <f>SUM(H73:H82)</f>
        <v>125861</v>
      </c>
      <c r="I83" s="2316">
        <f>+H83-D83</f>
        <v>125861</v>
      </c>
      <c r="J83" s="459"/>
      <c r="K83" s="456">
        <f t="shared" si="41"/>
        <v>0.16755786145033014</v>
      </c>
      <c r="L83" s="458">
        <f>SUM(L73:L82)</f>
        <v>146950</v>
      </c>
      <c r="M83" s="2316">
        <f>+L83-H83</f>
        <v>21089</v>
      </c>
      <c r="O83" s="456">
        <f t="shared" si="42"/>
        <v>-1</v>
      </c>
      <c r="P83" s="458">
        <f>SUM(P73:P82)</f>
        <v>0</v>
      </c>
      <c r="Q83" s="2316">
        <f>+P83-L83</f>
        <v>-146950</v>
      </c>
      <c r="R83" s="455"/>
      <c r="S83" s="2238" t="str">
        <f t="shared" si="43"/>
        <v>0.00%</v>
      </c>
      <c r="T83" s="458">
        <f>SUM(T73:T82)</f>
        <v>0</v>
      </c>
      <c r="U83" s="2370"/>
      <c r="V83" s="2429"/>
      <c r="W83" s="2241" t="str">
        <f t="shared" si="44"/>
        <v>0.00%</v>
      </c>
      <c r="X83" s="458">
        <f>SUM(X73:X82)</f>
        <v>0</v>
      </c>
      <c r="Y83" s="2370"/>
      <c r="AA83" s="456" t="str">
        <f t="shared" si="45"/>
        <v>0.00%</v>
      </c>
      <c r="AB83" s="458">
        <f>SUM(AB73:AB82)</f>
        <v>0</v>
      </c>
      <c r="AC83" s="2370"/>
    </row>
    <row r="84" spans="1:29" s="340" customFormat="1" x14ac:dyDescent="0.25">
      <c r="A84" s="455"/>
      <c r="B84" s="2486"/>
      <c r="C84" s="2386"/>
      <c r="E84" s="2386"/>
      <c r="G84" s="456"/>
      <c r="I84" s="897"/>
      <c r="J84" s="455"/>
      <c r="K84" s="1668"/>
      <c r="M84" s="2340"/>
      <c r="O84" s="1668"/>
      <c r="Q84" s="2340"/>
      <c r="R84" s="455"/>
      <c r="S84" s="2341"/>
      <c r="U84" s="2370"/>
      <c r="V84" s="2429"/>
      <c r="W84" s="2343"/>
      <c r="Y84" s="2370"/>
      <c r="AA84" s="1668"/>
      <c r="AC84" s="2370"/>
    </row>
    <row r="85" spans="1:29" s="457" customFormat="1" x14ac:dyDescent="0.25">
      <c r="A85" s="897"/>
      <c r="B85" s="2337" t="s">
        <v>328</v>
      </c>
      <c r="C85" s="1656"/>
      <c r="D85" s="340"/>
      <c r="E85" s="2386"/>
      <c r="F85" s="340"/>
      <c r="G85" s="456"/>
      <c r="H85" s="340"/>
      <c r="I85" s="897"/>
      <c r="J85" s="455"/>
      <c r="K85" s="1668"/>
      <c r="L85" s="340"/>
      <c r="M85" s="901"/>
      <c r="O85" s="1668"/>
      <c r="P85" s="340"/>
      <c r="Q85" s="901"/>
      <c r="R85" s="592"/>
      <c r="S85" s="2341"/>
      <c r="T85" s="340"/>
      <c r="U85" s="2344"/>
      <c r="V85" s="952"/>
      <c r="W85" s="2343"/>
      <c r="X85" s="340"/>
      <c r="Y85" s="2344"/>
      <c r="AA85" s="1668"/>
      <c r="AB85" s="340"/>
      <c r="AC85" s="2344"/>
    </row>
    <row r="86" spans="1:29" s="457" customFormat="1" x14ac:dyDescent="0.25">
      <c r="A86" s="897"/>
      <c r="B86" s="2385">
        <v>6400</v>
      </c>
      <c r="C86" s="1656" t="s">
        <v>329</v>
      </c>
      <c r="D86" s="340">
        <v>0</v>
      </c>
      <c r="E86" s="2386"/>
      <c r="F86" s="340"/>
      <c r="G86" s="456"/>
      <c r="H86" s="340">
        <v>0</v>
      </c>
      <c r="I86" s="897"/>
      <c r="J86" s="455"/>
      <c r="K86" s="456"/>
      <c r="L86" s="340">
        <v>0</v>
      </c>
      <c r="M86" s="901"/>
      <c r="O86" s="456"/>
      <c r="P86" s="340">
        <v>0</v>
      </c>
      <c r="Q86" s="901"/>
      <c r="R86" s="592"/>
      <c r="S86" s="2238"/>
      <c r="T86" s="340">
        <v>0</v>
      </c>
      <c r="U86" s="2344"/>
      <c r="V86" s="952"/>
      <c r="W86" s="2241"/>
      <c r="X86" s="340">
        <v>0</v>
      </c>
      <c r="Y86" s="2344"/>
      <c r="AA86" s="456"/>
      <c r="AB86" s="340">
        <v>0</v>
      </c>
      <c r="AC86" s="2344"/>
    </row>
    <row r="87" spans="1:29" s="457" customFormat="1" ht="23.25" hidden="1" customHeight="1" x14ac:dyDescent="0.25">
      <c r="A87" s="897"/>
      <c r="B87" s="2385"/>
      <c r="C87" s="1656"/>
      <c r="D87" s="340">
        <v>0</v>
      </c>
      <c r="E87" s="2386"/>
      <c r="F87" s="340"/>
      <c r="G87" s="456"/>
      <c r="H87" s="340">
        <v>0</v>
      </c>
      <c r="I87" s="897"/>
      <c r="J87" s="455"/>
      <c r="K87" s="456"/>
      <c r="L87" s="340">
        <v>0</v>
      </c>
      <c r="M87" s="901"/>
      <c r="O87" s="456"/>
      <c r="P87" s="340">
        <v>0</v>
      </c>
      <c r="Q87" s="901"/>
      <c r="R87" s="592"/>
      <c r="S87" s="2238"/>
      <c r="T87" s="340">
        <v>0</v>
      </c>
      <c r="U87" s="2344"/>
      <c r="V87" s="952"/>
      <c r="W87" s="2241"/>
      <c r="X87" s="340">
        <v>0</v>
      </c>
      <c r="Y87" s="2344"/>
      <c r="AA87" s="456"/>
      <c r="AB87" s="340">
        <v>0</v>
      </c>
      <c r="AC87" s="2344"/>
    </row>
    <row r="88" spans="1:29" s="457" customFormat="1" hidden="1" x14ac:dyDescent="0.25">
      <c r="A88" s="897"/>
      <c r="B88" s="2337"/>
      <c r="C88" s="1656"/>
      <c r="D88" s="340">
        <v>0</v>
      </c>
      <c r="E88" s="2386"/>
      <c r="F88" s="340"/>
      <c r="G88" s="456"/>
      <c r="H88" s="340">
        <v>0</v>
      </c>
      <c r="I88" s="897"/>
      <c r="J88" s="455"/>
      <c r="K88" s="456"/>
      <c r="L88" s="340">
        <v>0</v>
      </c>
      <c r="M88" s="901"/>
      <c r="O88" s="456"/>
      <c r="P88" s="340">
        <v>0</v>
      </c>
      <c r="Q88" s="901"/>
      <c r="R88" s="592"/>
      <c r="S88" s="2238"/>
      <c r="T88" s="340">
        <v>0</v>
      </c>
      <c r="U88" s="2344"/>
      <c r="V88" s="952"/>
      <c r="W88" s="2241"/>
      <c r="X88" s="340">
        <v>0</v>
      </c>
      <c r="Y88" s="2344"/>
      <c r="AA88" s="456"/>
      <c r="AB88" s="340">
        <v>0</v>
      </c>
      <c r="AC88" s="2344"/>
    </row>
    <row r="89" spans="1:29" s="457" customFormat="1" x14ac:dyDescent="0.25">
      <c r="A89" s="897"/>
      <c r="B89" s="2337"/>
      <c r="C89" s="1656"/>
      <c r="D89" s="2368">
        <f>SUM(D86:D88)</f>
        <v>0</v>
      </c>
      <c r="E89" s="2386"/>
      <c r="F89" s="340"/>
      <c r="G89" s="456"/>
      <c r="H89" s="2368">
        <f>SUM(H86:H88)</f>
        <v>0</v>
      </c>
      <c r="I89" s="897"/>
      <c r="J89" s="455"/>
      <c r="K89" s="456"/>
      <c r="L89" s="2368">
        <f>SUM(L86:L88)</f>
        <v>0</v>
      </c>
      <c r="M89" s="901"/>
      <c r="O89" s="456"/>
      <c r="P89" s="2368">
        <f>SUM(P86:P88)</f>
        <v>0</v>
      </c>
      <c r="Q89" s="901"/>
      <c r="R89" s="592"/>
      <c r="S89" s="2238"/>
      <c r="T89" s="2368">
        <f>SUM(T86:T88)</f>
        <v>0</v>
      </c>
      <c r="U89" s="2344"/>
      <c r="V89" s="952"/>
      <c r="W89" s="2241"/>
      <c r="X89" s="2368">
        <f>SUM(X86:X88)</f>
        <v>0</v>
      </c>
      <c r="Y89" s="2344"/>
      <c r="AA89" s="456"/>
      <c r="AB89" s="2368">
        <f>SUM(AB86:AB88)</f>
        <v>0</v>
      </c>
      <c r="AC89" s="2344"/>
    </row>
    <row r="90" spans="1:29" s="457" customFormat="1" x14ac:dyDescent="0.25">
      <c r="A90" s="897"/>
      <c r="B90" s="2345"/>
      <c r="C90" s="1656"/>
      <c r="D90" s="340"/>
      <c r="E90" s="2386"/>
      <c r="F90" s="340"/>
      <c r="G90" s="2338"/>
      <c r="H90" s="340"/>
      <c r="I90" s="897"/>
      <c r="J90" s="455"/>
      <c r="K90" s="2338"/>
      <c r="L90" s="340"/>
      <c r="M90" s="901"/>
      <c r="O90" s="2338"/>
      <c r="P90" s="340"/>
      <c r="Q90" s="901"/>
      <c r="R90" s="592"/>
      <c r="S90" s="2355"/>
      <c r="T90" s="340"/>
      <c r="U90" s="2344"/>
      <c r="V90" s="952"/>
      <c r="W90" s="2357"/>
      <c r="X90" s="340"/>
      <c r="Y90" s="2344"/>
      <c r="AA90" s="2338"/>
      <c r="AB90" s="340"/>
      <c r="AC90" s="2344"/>
    </row>
    <row r="91" spans="1:29" s="457" customFormat="1" x14ac:dyDescent="0.25">
      <c r="A91" s="897"/>
      <c r="B91" s="2337" t="s">
        <v>518</v>
      </c>
      <c r="C91" s="1656"/>
      <c r="D91" s="340"/>
      <c r="E91" s="2386"/>
      <c r="F91" s="340"/>
      <c r="G91" s="456"/>
      <c r="H91" s="340"/>
      <c r="I91" s="897"/>
      <c r="J91" s="455"/>
      <c r="K91" s="1668"/>
      <c r="L91" s="340"/>
      <c r="M91" s="901"/>
      <c r="O91" s="1668"/>
      <c r="P91" s="340"/>
      <c r="Q91" s="901"/>
      <c r="R91" s="592"/>
      <c r="S91" s="2341"/>
      <c r="T91" s="340"/>
      <c r="U91" s="2344"/>
      <c r="V91" s="952"/>
      <c r="W91" s="2343"/>
      <c r="X91" s="340"/>
      <c r="Y91" s="2344"/>
      <c r="AA91" s="1668"/>
      <c r="AB91" s="340"/>
      <c r="AC91" s="2344"/>
    </row>
    <row r="92" spans="1:29" s="457" customFormat="1" x14ac:dyDescent="0.25">
      <c r="A92" s="897"/>
      <c r="B92" s="2385" t="s">
        <v>984</v>
      </c>
      <c r="C92" s="1656"/>
      <c r="D92" s="340">
        <v>0</v>
      </c>
      <c r="E92" s="2386"/>
      <c r="F92" s="340"/>
      <c r="G92" s="456" t="str">
        <f t="shared" ref="G92:G93" si="52">IF(D92=0,"0.00%",(H92-D92)/D92)</f>
        <v>0.00%</v>
      </c>
      <c r="H92" s="340">
        <v>0</v>
      </c>
      <c r="I92" s="2476"/>
      <c r="J92" s="455"/>
      <c r="K92" s="456" t="str">
        <f t="shared" ref="K92:K93" si="53">IF(H92=0,"0.00%",(L92-H92)/H92)</f>
        <v>0.00%</v>
      </c>
      <c r="L92" s="340">
        <f>+H92</f>
        <v>0</v>
      </c>
      <c r="M92" s="2476"/>
      <c r="O92" s="456" t="str">
        <f t="shared" ref="O92:O93" si="54">IF(L92=0,"0.00%",(P92-L92)/L92)</f>
        <v>0.00%</v>
      </c>
      <c r="P92" s="340">
        <f>+L92</f>
        <v>0</v>
      </c>
      <c r="Q92" s="2476"/>
      <c r="R92" s="592"/>
      <c r="S92" s="2341"/>
      <c r="T92" s="340">
        <f>+P92</f>
        <v>0</v>
      </c>
      <c r="U92" s="455" t="s">
        <v>173</v>
      </c>
      <c r="V92" s="952"/>
      <c r="W92" s="2343"/>
      <c r="X92" s="340">
        <f>+T92</f>
        <v>0</v>
      </c>
      <c r="Y92" s="455" t="s">
        <v>173</v>
      </c>
      <c r="AA92" s="1668"/>
      <c r="AB92" s="340">
        <f>+X92</f>
        <v>0</v>
      </c>
      <c r="AC92" s="455" t="s">
        <v>173</v>
      </c>
    </row>
    <row r="93" spans="1:29" s="457" customFormat="1" hidden="1" x14ac:dyDescent="0.25">
      <c r="A93" s="897"/>
      <c r="B93" s="2385"/>
      <c r="C93" s="1656"/>
      <c r="D93" s="340">
        <v>0</v>
      </c>
      <c r="E93" s="2386"/>
      <c r="F93" s="340"/>
      <c r="G93" s="456" t="str">
        <f t="shared" si="52"/>
        <v>0.00%</v>
      </c>
      <c r="H93" s="340">
        <v>0</v>
      </c>
      <c r="I93" s="899"/>
      <c r="J93" s="455"/>
      <c r="K93" s="456" t="str">
        <f t="shared" si="53"/>
        <v>0.00%</v>
      </c>
      <c r="L93" s="340">
        <f>+H93</f>
        <v>0</v>
      </c>
      <c r="M93" s="899"/>
      <c r="O93" s="456" t="str">
        <f t="shared" si="54"/>
        <v>0.00%</v>
      </c>
      <c r="P93" s="340">
        <f>+L93</f>
        <v>0</v>
      </c>
      <c r="Q93" s="899"/>
      <c r="R93" s="592"/>
      <c r="S93" s="2341"/>
      <c r="T93" s="340">
        <v>0</v>
      </c>
      <c r="U93" s="455"/>
      <c r="V93" s="952"/>
      <c r="W93" s="2343"/>
      <c r="X93" s="340">
        <v>0</v>
      </c>
      <c r="Y93" s="455"/>
      <c r="AA93" s="1668"/>
      <c r="AB93" s="340">
        <v>0</v>
      </c>
      <c r="AC93" s="455"/>
    </row>
    <row r="94" spans="1:29" s="457" customFormat="1" hidden="1" x14ac:dyDescent="0.25">
      <c r="A94" s="897"/>
      <c r="B94" s="2385"/>
      <c r="C94" s="1656"/>
      <c r="D94" s="340">
        <v>0</v>
      </c>
      <c r="E94" s="2386"/>
      <c r="F94" s="340"/>
      <c r="G94" s="456"/>
      <c r="H94" s="340"/>
      <c r="I94" s="899"/>
      <c r="J94" s="455"/>
      <c r="K94" s="456"/>
      <c r="L94" s="340"/>
      <c r="M94" s="2499"/>
      <c r="O94" s="456"/>
      <c r="P94" s="340"/>
      <c r="Q94" s="2499"/>
      <c r="R94" s="592"/>
      <c r="S94" s="2341"/>
      <c r="T94" s="340"/>
      <c r="U94" s="455"/>
      <c r="V94" s="952"/>
      <c r="W94" s="2343"/>
      <c r="X94" s="340"/>
      <c r="Y94" s="455"/>
      <c r="AA94" s="1668"/>
      <c r="AB94" s="340"/>
      <c r="AC94" s="455"/>
    </row>
    <row r="95" spans="1:29" s="2378" customFormat="1" x14ac:dyDescent="0.25">
      <c r="A95" s="868"/>
      <c r="B95" s="2358"/>
      <c r="C95" s="2384"/>
      <c r="D95" s="2442">
        <f>SUM(D92:D94)</f>
        <v>0</v>
      </c>
      <c r="E95" s="2375"/>
      <c r="F95" s="1866"/>
      <c r="G95" s="456" t="str">
        <f t="shared" ref="G95" si="55">IF(D95=0,"0.00%",(H95-D95)/D95)</f>
        <v>0.00%</v>
      </c>
      <c r="H95" s="2442">
        <f>SUM(H92:H94)</f>
        <v>0</v>
      </c>
      <c r="I95" s="2316">
        <f>+H95-D95</f>
        <v>0</v>
      </c>
      <c r="J95" s="460"/>
      <c r="K95" s="456" t="str">
        <f t="shared" ref="K95" si="56">IF(H95=0,"0.00%",(L95-H95)/H95)</f>
        <v>0.00%</v>
      </c>
      <c r="L95" s="2442">
        <f>SUM(L92:L94)</f>
        <v>0</v>
      </c>
      <c r="M95" s="2316">
        <f>+L95-H95</f>
        <v>0</v>
      </c>
      <c r="O95" s="456" t="str">
        <f t="shared" ref="O95" si="57">IF(L95=0,"0.00%",(P95-L95)/L95)</f>
        <v>0.00%</v>
      </c>
      <c r="P95" s="2442">
        <f>SUM(P92:P94)</f>
        <v>0</v>
      </c>
      <c r="Q95" s="2316">
        <f>+P95-L95</f>
        <v>0</v>
      </c>
      <c r="R95" s="461"/>
      <c r="S95" s="1669"/>
      <c r="T95" s="2442">
        <f>SUM(T92:T94)</f>
        <v>0</v>
      </c>
      <c r="U95" s="460"/>
      <c r="V95" s="2381"/>
      <c r="W95" s="2382"/>
      <c r="X95" s="2442">
        <f>SUM(X92:X94)</f>
        <v>0</v>
      </c>
      <c r="Y95" s="460"/>
      <c r="AA95" s="606"/>
      <c r="AB95" s="2442">
        <f>SUM(AB92:AB94)</f>
        <v>0</v>
      </c>
      <c r="AC95" s="460"/>
    </row>
    <row r="96" spans="1:29" s="457" customFormat="1" x14ac:dyDescent="0.25">
      <c r="A96" s="897"/>
      <c r="B96" s="2345"/>
      <c r="C96" s="1656"/>
      <c r="D96" s="340"/>
      <c r="E96" s="2386"/>
      <c r="F96" s="340"/>
      <c r="G96" s="2338"/>
      <c r="H96" s="340"/>
      <c r="I96" s="897"/>
      <c r="J96" s="455"/>
      <c r="K96" s="2338"/>
      <c r="L96" s="340"/>
      <c r="M96" s="901"/>
      <c r="O96" s="2338"/>
      <c r="P96" s="340"/>
      <c r="Q96" s="901"/>
      <c r="R96" s="592"/>
      <c r="S96" s="2355"/>
      <c r="T96" s="340"/>
      <c r="U96" s="2344"/>
      <c r="V96" s="952"/>
      <c r="W96" s="2357"/>
      <c r="X96" s="340"/>
      <c r="Y96" s="2344"/>
      <c r="AA96" s="2338"/>
      <c r="AB96" s="340"/>
      <c r="AC96" s="2344"/>
    </row>
    <row r="97" spans="1:29" s="340" customFormat="1" x14ac:dyDescent="0.25">
      <c r="A97" s="455"/>
      <c r="B97" s="2487"/>
      <c r="C97" s="2386"/>
      <c r="E97" s="2386"/>
      <c r="G97" s="2338"/>
      <c r="I97" s="897"/>
      <c r="J97" s="455"/>
      <c r="K97" s="1668"/>
      <c r="M97" s="2340"/>
      <c r="O97" s="1668"/>
      <c r="Q97" s="2340"/>
      <c r="R97" s="455"/>
      <c r="S97" s="2341"/>
      <c r="U97" s="2370"/>
      <c r="V97" s="2429"/>
      <c r="W97" s="2343"/>
      <c r="Y97" s="2370"/>
      <c r="AA97" s="1668"/>
      <c r="AC97" s="2370"/>
    </row>
    <row r="98" spans="1:29" s="340" customFormat="1" x14ac:dyDescent="0.25">
      <c r="A98" s="459"/>
      <c r="B98" s="2486" t="s">
        <v>0</v>
      </c>
      <c r="C98" s="2386"/>
      <c r="D98" s="458">
        <f>SUM(D83,D70,D56,D16,D89,D95)</f>
        <v>0</v>
      </c>
      <c r="E98" s="2386"/>
      <c r="G98" s="456" t="str">
        <f>IF(D98=0,"0.00%",(H98-D98)/D98)</f>
        <v>0.00%</v>
      </c>
      <c r="H98" s="458">
        <f>SUM(H83,H70,H56,H16,H89,H95)</f>
        <v>137337</v>
      </c>
      <c r="I98" s="2316">
        <f>+H98-D98</f>
        <v>137337</v>
      </c>
      <c r="J98" s="459"/>
      <c r="K98" s="456">
        <f>IF(H98=0,"0.00%",(L98-H98)/H98)</f>
        <v>1.131829004565412</v>
      </c>
      <c r="L98" s="458">
        <f>SUM(L83,L70,L56,L16,L89,L95)</f>
        <v>292779</v>
      </c>
      <c r="M98" s="2316">
        <f>+L98-H98</f>
        <v>155442</v>
      </c>
      <c r="O98" s="456">
        <f>IF(L98=0,"0.00%",(P98-L98)/L98)</f>
        <v>-1</v>
      </c>
      <c r="P98" s="458">
        <f>SUM(P83,P70,P56,P16,P89,P95)</f>
        <v>0</v>
      </c>
      <c r="Q98" s="2316">
        <f>+P98-L98</f>
        <v>-292779</v>
      </c>
      <c r="R98" s="455"/>
      <c r="S98" s="2238" t="str">
        <f>IF(P98=0,"0.00%",(T98-P98)/P98)</f>
        <v>0.00%</v>
      </c>
      <c r="T98" s="458">
        <f>SUM(T83,T70,T56,T16)</f>
        <v>0</v>
      </c>
      <c r="U98" s="2370"/>
      <c r="V98" s="2429"/>
      <c r="W98" s="2241" t="str">
        <f>IF(T98=0,"0.00%",(X98-T98)/T98)</f>
        <v>0.00%</v>
      </c>
      <c r="X98" s="458" t="e">
        <f>SUM(X83,X70,X56,X16)</f>
        <v>#REF!</v>
      </c>
      <c r="Y98" s="2370"/>
      <c r="AA98" s="456" t="e">
        <f>IF(X98=0,"0.00%",(AB98-X98)/X98)</f>
        <v>#REF!</v>
      </c>
      <c r="AB98" s="458" t="e">
        <f>SUM(AB83,AB70,AB56,AB16)</f>
        <v>#REF!</v>
      </c>
      <c r="AC98" s="2370"/>
    </row>
    <row r="99" spans="1:29" s="340" customFormat="1" x14ac:dyDescent="0.25">
      <c r="A99" s="455"/>
      <c r="B99" s="2487"/>
      <c r="C99" s="2386"/>
      <c r="E99" s="2386"/>
      <c r="G99" s="2338"/>
      <c r="I99" s="897"/>
      <c r="J99" s="455"/>
      <c r="K99" s="1668"/>
      <c r="M99" s="2340"/>
      <c r="O99" s="1668"/>
      <c r="Q99" s="2340"/>
      <c r="R99" s="455"/>
      <c r="S99" s="2341"/>
      <c r="U99" s="2370"/>
      <c r="V99" s="2429"/>
      <c r="W99" s="2343"/>
      <c r="Y99" s="2370"/>
      <c r="AA99" s="1668"/>
      <c r="AC99" s="2370"/>
    </row>
    <row r="100" spans="1:29" s="340" customFormat="1" x14ac:dyDescent="0.25">
      <c r="A100" s="455"/>
      <c r="B100" s="2486" t="s">
        <v>138</v>
      </c>
      <c r="C100" s="2386"/>
      <c r="D100" s="833">
        <f>D14-D98</f>
        <v>0</v>
      </c>
      <c r="E100" s="2386"/>
      <c r="G100" s="456" t="str">
        <f>IF(D100=0,"0.00%",(H100-D100)/D100)</f>
        <v>0.00%</v>
      </c>
      <c r="H100" s="833">
        <f>H14-H98</f>
        <v>287663</v>
      </c>
      <c r="I100" s="897"/>
      <c r="J100" s="455"/>
      <c r="K100" s="456">
        <f>IF(H100=0,"0.00%",(L100-H100)/H100)</f>
        <v>-2.0177846994573509</v>
      </c>
      <c r="L100" s="833">
        <f>L14-L98</f>
        <v>-292779</v>
      </c>
      <c r="M100" s="2340"/>
      <c r="O100" s="456">
        <f>IF(L100=0,"0.00%",(P100-L100)/L100)</f>
        <v>-1</v>
      </c>
      <c r="P100" s="833">
        <f>P14-P98</f>
        <v>0</v>
      </c>
      <c r="Q100" s="2340"/>
      <c r="R100" s="455"/>
      <c r="S100" s="2238" t="str">
        <f>IF(P100=0,"0.00%",(T100-P100)/P100)</f>
        <v>0.00%</v>
      </c>
      <c r="T100" s="833">
        <f>T14-T98</f>
        <v>0</v>
      </c>
      <c r="U100" s="2370"/>
      <c r="V100" s="2429"/>
      <c r="W100" s="2241" t="str">
        <f>IF(T100=0,"0.00%",(X100-T100)/T100)</f>
        <v>0.00%</v>
      </c>
      <c r="X100" s="833" t="e">
        <f>X14-X98</f>
        <v>#REF!</v>
      </c>
      <c r="Y100" s="2370"/>
      <c r="AA100" s="456" t="e">
        <f>IF(X100=0,"0.00%",(AB100-X100)/X100)</f>
        <v>#REF!</v>
      </c>
      <c r="AB100" s="833" t="e">
        <f>AB14-AB98</f>
        <v>#REF!</v>
      </c>
      <c r="AC100" s="2370"/>
    </row>
    <row r="101" spans="1:29" s="340" customFormat="1" x14ac:dyDescent="0.25">
      <c r="B101" s="2486"/>
      <c r="C101" s="2489"/>
      <c r="D101" s="833"/>
      <c r="E101" s="2386"/>
      <c r="G101" s="2338"/>
      <c r="H101" s="833"/>
      <c r="I101" s="897"/>
      <c r="J101" s="455"/>
      <c r="K101" s="1668"/>
      <c r="L101" s="833"/>
      <c r="M101" s="2340"/>
      <c r="O101" s="1668"/>
      <c r="P101" s="833"/>
      <c r="Q101" s="2340"/>
      <c r="R101" s="455"/>
      <c r="S101" s="2341"/>
      <c r="T101" s="833"/>
      <c r="U101" s="2370"/>
      <c r="V101" s="2429"/>
      <c r="W101" s="2343"/>
      <c r="X101" s="833"/>
      <c r="Y101" s="2370"/>
      <c r="AA101" s="1668"/>
      <c r="AB101" s="833"/>
      <c r="AC101" s="2370"/>
    </row>
    <row r="102" spans="1:29" s="340" customFormat="1" x14ac:dyDescent="0.25">
      <c r="B102" s="2486" t="s">
        <v>136</v>
      </c>
      <c r="C102" s="2500"/>
      <c r="D102" s="833">
        <f>D7+D100</f>
        <v>0</v>
      </c>
      <c r="E102" s="2386"/>
      <c r="G102" s="456" t="str">
        <f>IF(D102=0,"0.00%",(H102-D102)/D102)</f>
        <v>0.00%</v>
      </c>
      <c r="H102" s="833">
        <f>H7+H100</f>
        <v>287663</v>
      </c>
      <c r="I102" s="897"/>
      <c r="J102" s="455"/>
      <c r="K102" s="456">
        <f>IF(H102=0,"0.00%",(L102-H102)/H102)</f>
        <v>-1.0177846994573512</v>
      </c>
      <c r="L102" s="833">
        <f>L7+L100</f>
        <v>-5116</v>
      </c>
      <c r="M102" s="2340"/>
      <c r="O102" s="456">
        <f>IF(L102=0,"0.00%",(P102-L102)/L102)</f>
        <v>0</v>
      </c>
      <c r="P102" s="833">
        <f>P7+P100</f>
        <v>-5116</v>
      </c>
      <c r="Q102" s="2340"/>
      <c r="R102" s="455"/>
      <c r="S102" s="2238">
        <f>IF(P102=0,"0.00%",(T102-P102)/P102)</f>
        <v>0</v>
      </c>
      <c r="T102" s="833">
        <f>T7+T100</f>
        <v>-5116</v>
      </c>
      <c r="U102" s="2370"/>
      <c r="V102" s="2429"/>
      <c r="W102" s="2241" t="e">
        <f>IF(T102=0,"0.00%",(X102-T102)/T102)</f>
        <v>#REF!</v>
      </c>
      <c r="X102" s="833" t="e">
        <f>X7+X100</f>
        <v>#REF!</v>
      </c>
      <c r="Y102" s="2370"/>
      <c r="AA102" s="456" t="e">
        <f>IF(X102=0,"0.00%",(AB102-X102)/X102)</f>
        <v>#REF!</v>
      </c>
      <c r="AB102" s="833" t="e">
        <f>AB7+AB100</f>
        <v>#REF!</v>
      </c>
      <c r="AC102" s="2370"/>
    </row>
    <row r="103" spans="1:29" s="340" customFormat="1" x14ac:dyDescent="0.25">
      <c r="B103" s="2487"/>
      <c r="C103" s="868"/>
      <c r="E103" s="2386"/>
      <c r="G103" s="2355"/>
      <c r="H103" s="459"/>
      <c r="I103" s="898"/>
      <c r="J103" s="459"/>
      <c r="K103" s="1668"/>
      <c r="L103" s="459"/>
      <c r="M103" s="2340"/>
      <c r="O103" s="1668"/>
      <c r="P103" s="459"/>
      <c r="Q103" s="2340"/>
      <c r="R103" s="455"/>
      <c r="S103" s="2341"/>
      <c r="T103" s="459"/>
      <c r="U103" s="2370"/>
      <c r="V103" s="2429"/>
      <c r="W103" s="2343"/>
      <c r="X103" s="459"/>
      <c r="Y103" s="2370"/>
      <c r="AA103" s="1668"/>
      <c r="AB103" s="459"/>
      <c r="AC103" s="2370"/>
    </row>
    <row r="104" spans="1:29" s="340" customFormat="1" x14ac:dyDescent="0.25">
      <c r="B104" s="2487"/>
      <c r="C104" s="897"/>
      <c r="E104" s="2386"/>
      <c r="G104" s="2355"/>
      <c r="H104" s="455"/>
      <c r="I104" s="897"/>
      <c r="J104" s="455"/>
      <c r="K104" s="1668"/>
      <c r="M104" s="2340"/>
      <c r="O104" s="1668"/>
      <c r="Q104" s="2340"/>
      <c r="R104" s="455"/>
      <c r="S104" s="2341"/>
      <c r="U104" s="2370"/>
      <c r="V104" s="2429"/>
      <c r="W104" s="2343"/>
      <c r="Y104" s="2370"/>
      <c r="AA104" s="1668"/>
      <c r="AC104" s="2370"/>
    </row>
    <row r="105" spans="1:29" s="340" customFormat="1" x14ac:dyDescent="0.25">
      <c r="B105" s="2487"/>
      <c r="C105" s="897"/>
      <c r="E105" s="2386"/>
      <c r="G105" s="2355"/>
      <c r="H105" s="455"/>
      <c r="I105" s="897"/>
      <c r="J105" s="455"/>
      <c r="K105" s="1668"/>
      <c r="M105" s="2340"/>
      <c r="O105" s="1668"/>
      <c r="Q105" s="2340"/>
      <c r="R105" s="455"/>
      <c r="S105" s="2341"/>
      <c r="U105" s="2370"/>
      <c r="V105" s="2429"/>
      <c r="W105" s="2343"/>
      <c r="Y105" s="2370"/>
      <c r="AA105" s="1668"/>
      <c r="AC105" s="2370"/>
    </row>
    <row r="106" spans="1:29" s="340" customFormat="1" x14ac:dyDescent="0.25">
      <c r="B106" s="2487"/>
      <c r="C106" s="897"/>
      <c r="E106" s="2386"/>
      <c r="G106" s="2355"/>
      <c r="H106" s="455"/>
      <c r="I106" s="897"/>
      <c r="J106" s="455"/>
      <c r="K106" s="1668"/>
      <c r="M106" s="2340"/>
      <c r="O106" s="1668"/>
      <c r="Q106" s="2340"/>
      <c r="R106" s="455"/>
      <c r="S106" s="2341"/>
      <c r="U106" s="2370"/>
      <c r="V106" s="2429"/>
      <c r="W106" s="2343"/>
      <c r="Y106" s="2370"/>
      <c r="AA106" s="1668"/>
      <c r="AC106" s="2370"/>
    </row>
    <row r="107" spans="1:29" s="340" customFormat="1" x14ac:dyDescent="0.25">
      <c r="B107" s="2487"/>
      <c r="C107" s="897"/>
      <c r="E107" s="2386"/>
      <c r="G107" s="2355"/>
      <c r="H107" s="455"/>
      <c r="I107" s="897"/>
      <c r="J107" s="455"/>
      <c r="K107" s="1668"/>
      <c r="M107" s="2340"/>
      <c r="O107" s="1668"/>
      <c r="Q107" s="2340"/>
      <c r="R107" s="455"/>
      <c r="S107" s="2341"/>
      <c r="U107" s="2370"/>
      <c r="V107" s="2429"/>
      <c r="W107" s="2343"/>
      <c r="Y107" s="2370"/>
      <c r="AA107" s="1668"/>
      <c r="AC107" s="2370"/>
    </row>
    <row r="108" spans="1:29" s="2410" customFormat="1" ht="11.25" x14ac:dyDescent="0.2">
      <c r="B108" s="2501"/>
      <c r="C108" s="2502" t="s">
        <v>263</v>
      </c>
      <c r="D108" s="2397">
        <f>+D95+D89+D83+D70+D56</f>
        <v>0</v>
      </c>
      <c r="E108" s="2419"/>
      <c r="G108" s="2399" t="s">
        <v>221</v>
      </c>
      <c r="H108" s="2397">
        <f>+H95+H89+H83+H70+H56</f>
        <v>137337</v>
      </c>
      <c r="I108" s="2400"/>
      <c r="J108" s="607"/>
      <c r="K108" s="2399" t="s">
        <v>221</v>
      </c>
      <c r="L108" s="2397">
        <f>+L95+L89+L83+L70+L56</f>
        <v>292779</v>
      </c>
      <c r="M108" s="2401"/>
      <c r="O108" s="2399" t="s">
        <v>221</v>
      </c>
      <c r="P108" s="2397">
        <f>+P95+P89+P83+P70+P56</f>
        <v>0</v>
      </c>
      <c r="Q108" s="2401"/>
      <c r="R108" s="2414"/>
      <c r="S108" s="2405" t="s">
        <v>221</v>
      </c>
      <c r="T108" s="2397">
        <f>+T83+T70+T54+T42+T29</f>
        <v>0</v>
      </c>
      <c r="U108" s="2403"/>
      <c r="V108" s="2503"/>
      <c r="W108" s="2408" t="s">
        <v>221</v>
      </c>
      <c r="X108" s="2397" t="e">
        <f>+X83+X70+X54+X42+X29</f>
        <v>#REF!</v>
      </c>
      <c r="Y108" s="2403"/>
      <c r="AA108" s="2399" t="s">
        <v>221</v>
      </c>
      <c r="AB108" s="2397" t="e">
        <f>+AB83+AB70+AB54+AB42+AB29</f>
        <v>#REF!</v>
      </c>
      <c r="AC108" s="2403"/>
    </row>
    <row r="109" spans="1:29" s="2414" customFormat="1" x14ac:dyDescent="0.25">
      <c r="B109" s="2501"/>
      <c r="C109" s="2504"/>
      <c r="D109" s="2505">
        <f>+D98-D108</f>
        <v>0</v>
      </c>
      <c r="E109" s="2413"/>
      <c r="G109" s="2416"/>
      <c r="H109" s="2505">
        <f>+H98-H108</f>
        <v>0</v>
      </c>
      <c r="I109" s="2413"/>
      <c r="K109" s="2416"/>
      <c r="L109" s="2505">
        <f>+L98-L108</f>
        <v>0</v>
      </c>
      <c r="M109" s="2506"/>
      <c r="O109" s="2416"/>
      <c r="P109" s="2505">
        <f>+P98-P108</f>
        <v>0</v>
      </c>
      <c r="Q109" s="2507"/>
      <c r="R109" s="455"/>
      <c r="S109" s="2416"/>
      <c r="T109" s="2505"/>
      <c r="V109" s="2503"/>
      <c r="W109" s="2417"/>
      <c r="X109" s="2505"/>
      <c r="AA109" s="2416"/>
      <c r="AB109" s="2505"/>
    </row>
    <row r="110" spans="1:29" s="2414" customFormat="1" ht="11.25" x14ac:dyDescent="0.2">
      <c r="B110" s="2501"/>
      <c r="C110" s="2504"/>
      <c r="D110" s="2505"/>
      <c r="E110" s="2413"/>
      <c r="G110" s="2416"/>
      <c r="H110" s="2505"/>
      <c r="I110" s="2413"/>
      <c r="K110" s="2416"/>
      <c r="L110" s="2505"/>
      <c r="M110" s="2507"/>
      <c r="O110" s="2416"/>
      <c r="P110" s="2505"/>
      <c r="Q110" s="2507"/>
      <c r="S110" s="2416"/>
      <c r="T110" s="2505"/>
      <c r="V110" s="2503"/>
      <c r="W110" s="2417"/>
      <c r="X110" s="2505"/>
      <c r="AA110" s="2416"/>
      <c r="AB110" s="2505"/>
    </row>
    <row r="111" spans="1:29" s="455" customFormat="1" ht="15" customHeight="1" x14ac:dyDescent="0.25">
      <c r="B111" s="2508"/>
      <c r="C111" s="2509"/>
      <c r="D111" s="459"/>
      <c r="E111" s="897"/>
      <c r="G111" s="2447"/>
      <c r="H111" s="459"/>
      <c r="I111" s="897"/>
      <c r="K111" s="2447"/>
      <c r="L111" s="459"/>
      <c r="M111" s="2488"/>
      <c r="O111" s="2447"/>
      <c r="P111" s="459"/>
      <c r="Q111" s="2488"/>
      <c r="S111" s="2447"/>
      <c r="T111" s="459"/>
      <c r="V111" s="2429"/>
      <c r="W111" s="2448"/>
      <c r="X111" s="459"/>
      <c r="AA111" s="2447"/>
      <c r="AB111" s="459"/>
    </row>
    <row r="112" spans="1:29" s="340" customFormat="1" x14ac:dyDescent="0.25">
      <c r="A112" s="455"/>
      <c r="B112" s="2508"/>
      <c r="C112" s="2509"/>
      <c r="D112" s="455"/>
      <c r="E112" s="2386"/>
      <c r="G112" s="2338"/>
      <c r="H112" s="2424"/>
      <c r="I112" s="897"/>
      <c r="J112" s="455"/>
      <c r="K112" s="1668"/>
      <c r="L112" s="2370"/>
      <c r="M112" s="2347"/>
      <c r="O112" s="1668"/>
      <c r="Q112" s="2347"/>
      <c r="R112" s="2414"/>
      <c r="S112" s="2341"/>
      <c r="V112" s="2429"/>
      <c r="W112" s="2343"/>
      <c r="AA112" s="1668"/>
    </row>
    <row r="113" spans="1:29" s="340" customFormat="1" x14ac:dyDescent="0.25">
      <c r="A113" s="455"/>
      <c r="B113" s="2510"/>
      <c r="C113" s="897"/>
      <c r="D113" s="342"/>
      <c r="E113" s="2386"/>
      <c r="G113" s="2338"/>
      <c r="H113" s="2424"/>
      <c r="I113" s="897"/>
      <c r="J113" s="455"/>
      <c r="K113" s="1668"/>
      <c r="L113" s="2370"/>
      <c r="M113" s="2347"/>
      <c r="O113" s="1668"/>
      <c r="Q113" s="2347"/>
      <c r="R113" s="455"/>
      <c r="S113" s="2341"/>
      <c r="V113" s="2429"/>
      <c r="W113" s="2343"/>
      <c r="AA113" s="1668"/>
    </row>
    <row r="114" spans="1:29" s="340" customFormat="1" x14ac:dyDescent="0.25">
      <c r="B114" s="2510"/>
      <c r="C114" s="897"/>
      <c r="D114" s="455"/>
      <c r="E114" s="2386"/>
      <c r="G114" s="2338"/>
      <c r="H114" s="2424"/>
      <c r="I114" s="897"/>
      <c r="J114" s="455"/>
      <c r="K114" s="1668"/>
      <c r="L114" s="2370"/>
      <c r="M114" s="2347"/>
      <c r="O114" s="1668"/>
      <c r="Q114" s="2347"/>
      <c r="R114" s="2414"/>
      <c r="S114" s="2341"/>
      <c r="V114" s="2429"/>
      <c r="W114" s="2343"/>
      <c r="AA114" s="1668"/>
    </row>
    <row r="115" spans="1:29" s="340" customFormat="1" x14ac:dyDescent="0.25">
      <c r="B115" s="2510"/>
      <c r="C115" s="897"/>
      <c r="D115" s="455"/>
      <c r="E115" s="2386"/>
      <c r="G115" s="2338"/>
      <c r="H115" s="2424"/>
      <c r="I115" s="897"/>
      <c r="J115" s="455"/>
      <c r="K115" s="1668"/>
      <c r="L115" s="2370"/>
      <c r="M115" s="2347"/>
      <c r="O115" s="1668"/>
      <c r="Q115" s="2347"/>
      <c r="R115" s="455"/>
      <c r="S115" s="2341"/>
      <c r="V115" s="2429"/>
      <c r="W115" s="2343"/>
      <c r="AA115" s="1668"/>
    </row>
    <row r="116" spans="1:29" s="340" customFormat="1" ht="15" customHeight="1" x14ac:dyDescent="0.25">
      <c r="B116" s="2510"/>
      <c r="C116" s="897"/>
      <c r="D116" s="455"/>
      <c r="E116" s="2386"/>
      <c r="G116" s="2338"/>
      <c r="H116" s="2424"/>
      <c r="I116" s="897"/>
      <c r="J116" s="455"/>
      <c r="K116" s="1668"/>
      <c r="L116" s="2370"/>
      <c r="M116" s="2347"/>
      <c r="O116" s="1668"/>
      <c r="Q116" s="2347"/>
      <c r="R116" s="455"/>
      <c r="S116" s="2341"/>
      <c r="V116" s="2429"/>
      <c r="W116" s="2343"/>
      <c r="AA116" s="1668"/>
    </row>
    <row r="117" spans="1:29" s="340" customFormat="1" x14ac:dyDescent="0.25">
      <c r="B117" s="2510"/>
      <c r="C117" s="897"/>
      <c r="D117" s="455"/>
      <c r="E117" s="2386"/>
      <c r="G117" s="2338"/>
      <c r="H117" s="2424"/>
      <c r="I117" s="897"/>
      <c r="J117" s="455"/>
      <c r="K117" s="1668"/>
      <c r="L117" s="2370"/>
      <c r="M117" s="2347"/>
      <c r="O117" s="1668"/>
      <c r="Q117" s="2347"/>
      <c r="R117" s="455"/>
      <c r="S117" s="2341"/>
      <c r="V117" s="2429"/>
      <c r="W117" s="2343"/>
      <c r="AA117" s="1668"/>
    </row>
    <row r="118" spans="1:29" s="340" customFormat="1" x14ac:dyDescent="0.25">
      <c r="B118" s="2510"/>
      <c r="C118" s="897"/>
      <c r="D118" s="455"/>
      <c r="E118" s="2386"/>
      <c r="G118" s="2338"/>
      <c r="H118" s="2424"/>
      <c r="I118" s="897"/>
      <c r="J118" s="455"/>
      <c r="K118" s="1668"/>
      <c r="L118" s="2370"/>
      <c r="M118" s="2347"/>
      <c r="O118" s="1668"/>
      <c r="Q118" s="2347"/>
      <c r="R118" s="455"/>
      <c r="S118" s="2341"/>
      <c r="V118" s="2429"/>
      <c r="W118" s="2343"/>
      <c r="AA118" s="1668"/>
    </row>
    <row r="119" spans="1:29" s="340" customFormat="1" ht="15" customHeight="1" x14ac:dyDescent="0.25">
      <c r="B119" s="2564"/>
      <c r="C119" s="2564"/>
      <c r="D119" s="455"/>
      <c r="E119" s="2386"/>
      <c r="G119" s="2338"/>
      <c r="H119" s="2424"/>
      <c r="I119" s="897"/>
      <c r="J119" s="455"/>
      <c r="K119" s="1668"/>
      <c r="L119" s="2370"/>
      <c r="M119" s="2347"/>
      <c r="O119" s="1668"/>
      <c r="Q119" s="2347"/>
      <c r="R119" s="455"/>
      <c r="S119" s="2341"/>
      <c r="V119" s="2429"/>
      <c r="W119" s="2343"/>
      <c r="AA119" s="1668"/>
    </row>
    <row r="120" spans="1:29" s="340" customFormat="1" x14ac:dyDescent="0.25">
      <c r="B120" s="2564"/>
      <c r="C120" s="2564"/>
      <c r="D120" s="455"/>
      <c r="E120" s="2386"/>
      <c r="G120" s="2338"/>
      <c r="H120" s="2424"/>
      <c r="I120" s="897"/>
      <c r="J120" s="455"/>
      <c r="K120" s="1668"/>
      <c r="L120" s="2370"/>
      <c r="M120" s="2347"/>
      <c r="O120" s="1668"/>
      <c r="Q120" s="2347"/>
      <c r="R120" s="455"/>
      <c r="S120" s="2341"/>
      <c r="V120" s="2429"/>
      <c r="W120" s="2343"/>
      <c r="AA120" s="1668"/>
    </row>
    <row r="121" spans="1:29" s="2386" customFormat="1" x14ac:dyDescent="0.25">
      <c r="A121" s="340"/>
      <c r="B121" s="2510"/>
      <c r="C121" s="897"/>
      <c r="D121" s="460"/>
      <c r="F121" s="340"/>
      <c r="G121" s="2338"/>
      <c r="H121" s="2424"/>
      <c r="I121" s="897"/>
      <c r="J121" s="455"/>
      <c r="K121" s="1668"/>
      <c r="L121" s="2370"/>
      <c r="M121" s="2347"/>
      <c r="N121" s="340"/>
      <c r="O121" s="1668"/>
      <c r="P121" s="340"/>
      <c r="Q121" s="2347"/>
      <c r="R121" s="455"/>
      <c r="S121" s="2341"/>
      <c r="T121" s="340"/>
      <c r="U121" s="340"/>
      <c r="V121" s="2429"/>
      <c r="W121" s="2343"/>
      <c r="X121" s="340"/>
      <c r="Y121" s="340"/>
      <c r="Z121" s="340"/>
      <c r="AA121" s="1668"/>
      <c r="AB121" s="340"/>
      <c r="AC121" s="340"/>
    </row>
    <row r="122" spans="1:29" s="2386" customFormat="1" x14ac:dyDescent="0.25">
      <c r="A122" s="340"/>
      <c r="B122" s="2510"/>
      <c r="C122" s="897"/>
      <c r="D122" s="455"/>
      <c r="F122" s="340"/>
      <c r="G122" s="2338"/>
      <c r="H122" s="2424"/>
      <c r="I122" s="897"/>
      <c r="J122" s="455"/>
      <c r="K122" s="1668"/>
      <c r="L122" s="2370"/>
      <c r="M122" s="2347"/>
      <c r="N122" s="340"/>
      <c r="O122" s="1668"/>
      <c r="P122" s="340"/>
      <c r="Q122" s="2347"/>
      <c r="R122" s="455"/>
      <c r="S122" s="2341"/>
      <c r="T122" s="340"/>
      <c r="U122" s="340"/>
      <c r="V122" s="2429"/>
      <c r="W122" s="2343"/>
      <c r="X122" s="340"/>
      <c r="Y122" s="340"/>
      <c r="Z122" s="340"/>
      <c r="AA122" s="1668"/>
      <c r="AB122" s="340"/>
      <c r="AC122" s="340"/>
    </row>
    <row r="123" spans="1:29" s="2386" customFormat="1" x14ac:dyDescent="0.25">
      <c r="A123" s="340"/>
      <c r="B123" s="2510"/>
      <c r="C123" s="897"/>
      <c r="D123" s="455"/>
      <c r="F123" s="340"/>
      <c r="G123" s="2338"/>
      <c r="H123" s="2424"/>
      <c r="I123" s="897"/>
      <c r="J123" s="455"/>
      <c r="K123" s="1668"/>
      <c r="L123" s="2370"/>
      <c r="M123" s="2347"/>
      <c r="N123" s="340"/>
      <c r="O123" s="1668"/>
      <c r="P123" s="340"/>
      <c r="Q123" s="2347"/>
      <c r="R123" s="455"/>
      <c r="S123" s="2341"/>
      <c r="T123" s="340"/>
      <c r="U123" s="340"/>
      <c r="V123" s="2429"/>
      <c r="W123" s="2343"/>
      <c r="X123" s="340"/>
      <c r="Y123" s="340"/>
      <c r="Z123" s="340"/>
      <c r="AA123" s="1668"/>
      <c r="AB123" s="340"/>
      <c r="AC123" s="340"/>
    </row>
    <row r="124" spans="1:29" s="2386" customFormat="1" ht="28.5" customHeight="1" x14ac:dyDescent="0.25">
      <c r="A124" s="340"/>
      <c r="B124" s="2510"/>
      <c r="C124" s="897"/>
      <c r="D124" s="342"/>
      <c r="F124" s="340"/>
      <c r="G124" s="2338"/>
      <c r="H124" s="2424"/>
      <c r="I124" s="897"/>
      <c r="J124" s="455"/>
      <c r="K124" s="1668"/>
      <c r="L124" s="2370"/>
      <c r="M124" s="2347"/>
      <c r="N124" s="340"/>
      <c r="O124" s="1668"/>
      <c r="P124" s="340"/>
      <c r="Q124" s="2347"/>
      <c r="R124" s="455"/>
      <c r="S124" s="2341"/>
      <c r="T124" s="340"/>
      <c r="U124" s="340"/>
      <c r="V124" s="2429"/>
      <c r="W124" s="2343"/>
      <c r="X124" s="340"/>
      <c r="Y124" s="340"/>
      <c r="Z124" s="340"/>
      <c r="AA124" s="1668"/>
      <c r="AB124" s="340"/>
      <c r="AC124" s="340"/>
    </row>
    <row r="125" spans="1:29" s="2386" customFormat="1" x14ac:dyDescent="0.25">
      <c r="A125" s="340"/>
      <c r="B125" s="2510"/>
      <c r="C125" s="897"/>
      <c r="D125" s="455"/>
      <c r="F125" s="340"/>
      <c r="G125" s="2338"/>
      <c r="H125" s="2424"/>
      <c r="I125" s="897"/>
      <c r="J125" s="455"/>
      <c r="K125" s="1668"/>
      <c r="L125" s="2370"/>
      <c r="M125" s="2347"/>
      <c r="N125" s="340"/>
      <c r="O125" s="1668"/>
      <c r="P125" s="340"/>
      <c r="Q125" s="2347"/>
      <c r="R125" s="455"/>
      <c r="S125" s="2341"/>
      <c r="T125" s="340"/>
      <c r="U125" s="340"/>
      <c r="V125" s="2429"/>
      <c r="W125" s="2343"/>
      <c r="X125" s="340"/>
      <c r="Y125" s="340"/>
      <c r="Z125" s="340"/>
      <c r="AA125" s="1668"/>
      <c r="AB125" s="340"/>
      <c r="AC125" s="340"/>
    </row>
    <row r="126" spans="1:29" s="2386" customFormat="1" x14ac:dyDescent="0.25">
      <c r="A126" s="340"/>
      <c r="B126" s="2510"/>
      <c r="C126" s="897"/>
      <c r="D126" s="455"/>
      <c r="F126" s="340"/>
      <c r="G126" s="2338"/>
      <c r="H126" s="2424"/>
      <c r="I126" s="897"/>
      <c r="J126" s="455"/>
      <c r="K126" s="1668"/>
      <c r="L126" s="2370"/>
      <c r="M126" s="2347"/>
      <c r="N126" s="340"/>
      <c r="O126" s="1668"/>
      <c r="P126" s="340"/>
      <c r="Q126" s="2347"/>
      <c r="R126" s="455"/>
      <c r="S126" s="2341"/>
      <c r="T126" s="340"/>
      <c r="U126" s="340"/>
      <c r="V126" s="2429"/>
      <c r="W126" s="2343"/>
      <c r="X126" s="340"/>
      <c r="Y126" s="340"/>
      <c r="Z126" s="340"/>
      <c r="AA126" s="1668"/>
      <c r="AB126" s="340"/>
      <c r="AC126" s="340"/>
    </row>
    <row r="127" spans="1:29" s="2386" customFormat="1" x14ac:dyDescent="0.25">
      <c r="A127" s="340"/>
      <c r="B127" s="2510"/>
      <c r="C127" s="897"/>
      <c r="D127" s="455"/>
      <c r="F127" s="340"/>
      <c r="G127" s="2338"/>
      <c r="H127" s="2424"/>
      <c r="I127" s="897"/>
      <c r="J127" s="455"/>
      <c r="K127" s="1668"/>
      <c r="L127" s="2370"/>
      <c r="M127" s="2347"/>
      <c r="N127" s="340"/>
      <c r="O127" s="1668"/>
      <c r="P127" s="340"/>
      <c r="Q127" s="2347"/>
      <c r="R127" s="455"/>
      <c r="S127" s="2341"/>
      <c r="T127" s="340"/>
      <c r="U127" s="340"/>
      <c r="V127" s="2429"/>
      <c r="W127" s="2343"/>
      <c r="X127" s="340"/>
      <c r="Y127" s="340"/>
      <c r="Z127" s="340"/>
      <c r="AA127" s="1668"/>
      <c r="AB127" s="340"/>
      <c r="AC127" s="340"/>
    </row>
    <row r="128" spans="1:29" s="2386" customFormat="1" x14ac:dyDescent="0.25">
      <c r="A128" s="340"/>
      <c r="B128" s="2510"/>
      <c r="C128" s="897"/>
      <c r="D128" s="455"/>
      <c r="F128" s="340"/>
      <c r="G128" s="2338"/>
      <c r="H128" s="2424"/>
      <c r="I128" s="897"/>
      <c r="J128" s="455"/>
      <c r="K128" s="1668"/>
      <c r="L128" s="2370"/>
      <c r="M128" s="2347"/>
      <c r="N128" s="340"/>
      <c r="O128" s="1668"/>
      <c r="P128" s="340"/>
      <c r="Q128" s="2347"/>
      <c r="R128" s="455"/>
      <c r="S128" s="2341"/>
      <c r="T128" s="340"/>
      <c r="U128" s="340"/>
      <c r="V128" s="2429"/>
      <c r="W128" s="2343"/>
      <c r="X128" s="340"/>
      <c r="Y128" s="340"/>
      <c r="Z128" s="340"/>
      <c r="AA128" s="1668"/>
      <c r="AB128" s="340"/>
      <c r="AC128" s="340"/>
    </row>
    <row r="129" spans="1:29" s="2386" customFormat="1" x14ac:dyDescent="0.25">
      <c r="A129" s="340"/>
      <c r="B129" s="2510"/>
      <c r="C129" s="897"/>
      <c r="D129" s="455"/>
      <c r="F129" s="340"/>
      <c r="G129" s="2338"/>
      <c r="H129" s="2424"/>
      <c r="I129" s="897"/>
      <c r="J129" s="455"/>
      <c r="K129" s="1668"/>
      <c r="L129" s="2370"/>
      <c r="M129" s="2347"/>
      <c r="N129" s="340"/>
      <c r="O129" s="1668"/>
      <c r="P129" s="340"/>
      <c r="Q129" s="2347"/>
      <c r="R129" s="455"/>
      <c r="S129" s="2341"/>
      <c r="T129" s="340"/>
      <c r="U129" s="340"/>
      <c r="V129" s="2429"/>
      <c r="W129" s="2343"/>
      <c r="X129" s="340"/>
      <c r="Y129" s="340"/>
      <c r="Z129" s="340"/>
      <c r="AA129" s="1668"/>
      <c r="AB129" s="340"/>
      <c r="AC129" s="340"/>
    </row>
    <row r="130" spans="1:29" s="2386" customFormat="1" x14ac:dyDescent="0.25">
      <c r="A130" s="340"/>
      <c r="B130" s="2510"/>
      <c r="C130" s="897"/>
      <c r="D130" s="455"/>
      <c r="F130" s="340"/>
      <c r="G130" s="2338"/>
      <c r="H130" s="2424"/>
      <c r="I130" s="897"/>
      <c r="J130" s="455"/>
      <c r="K130" s="1668"/>
      <c r="L130" s="2370"/>
      <c r="M130" s="2347"/>
      <c r="N130" s="340"/>
      <c r="O130" s="1668"/>
      <c r="P130" s="340"/>
      <c r="Q130" s="2347"/>
      <c r="R130" s="455"/>
      <c r="S130" s="2341"/>
      <c r="T130" s="340"/>
      <c r="U130" s="340"/>
      <c r="V130" s="2429"/>
      <c r="W130" s="2343"/>
      <c r="X130" s="340"/>
      <c r="Y130" s="340"/>
      <c r="Z130" s="340"/>
      <c r="AA130" s="1668"/>
      <c r="AB130" s="340"/>
      <c r="AC130" s="340"/>
    </row>
    <row r="131" spans="1:29" s="2386" customFormat="1" x14ac:dyDescent="0.25">
      <c r="A131" s="340"/>
      <c r="B131" s="2510"/>
      <c r="C131" s="897"/>
      <c r="D131" s="455"/>
      <c r="F131" s="340"/>
      <c r="G131" s="2338"/>
      <c r="H131" s="2424"/>
      <c r="I131" s="897"/>
      <c r="J131" s="455"/>
      <c r="K131" s="1668"/>
      <c r="L131" s="2370"/>
      <c r="M131" s="2347"/>
      <c r="N131" s="340"/>
      <c r="O131" s="1668"/>
      <c r="P131" s="340"/>
      <c r="Q131" s="2347"/>
      <c r="R131" s="455"/>
      <c r="S131" s="2341"/>
      <c r="T131" s="340"/>
      <c r="U131" s="340"/>
      <c r="V131" s="2429"/>
      <c r="W131" s="2343"/>
      <c r="X131" s="340"/>
      <c r="Y131" s="340"/>
      <c r="Z131" s="340"/>
      <c r="AA131" s="1668"/>
      <c r="AB131" s="340"/>
      <c r="AC131" s="340"/>
    </row>
    <row r="132" spans="1:29" s="848" customFormat="1" x14ac:dyDescent="0.25">
      <c r="A132" s="108"/>
      <c r="B132" s="2169"/>
      <c r="C132" s="856"/>
      <c r="D132" s="36"/>
      <c r="F132" s="2"/>
      <c r="G132" s="52"/>
      <c r="H132" s="121"/>
      <c r="I132" s="856"/>
      <c r="J132" s="66"/>
      <c r="K132" s="333"/>
      <c r="L132" s="122"/>
      <c r="M132" s="957"/>
      <c r="N132" s="2"/>
      <c r="O132" s="333"/>
      <c r="P132" s="2"/>
      <c r="Q132" s="957"/>
      <c r="R132" s="36"/>
      <c r="S132" s="338"/>
      <c r="T132" s="2"/>
      <c r="U132" s="2"/>
      <c r="V132" s="280"/>
      <c r="W132" s="2244"/>
      <c r="X132" s="2"/>
      <c r="Y132" s="2"/>
      <c r="Z132" s="2"/>
      <c r="AA132" s="333"/>
      <c r="AB132" s="2"/>
      <c r="AC132" s="2"/>
    </row>
    <row r="133" spans="1:29" s="848" customFormat="1" x14ac:dyDescent="0.25">
      <c r="A133" s="108"/>
      <c r="B133" s="2169"/>
      <c r="C133" s="856"/>
      <c r="D133" s="36"/>
      <c r="F133" s="2"/>
      <c r="G133" s="52"/>
      <c r="H133" s="121"/>
      <c r="I133" s="856"/>
      <c r="J133" s="66"/>
      <c r="K133" s="333"/>
      <c r="L133" s="122"/>
      <c r="M133" s="957"/>
      <c r="N133" s="2"/>
      <c r="O133" s="333"/>
      <c r="P133" s="2"/>
      <c r="Q133" s="957"/>
      <c r="R133" s="36"/>
      <c r="S133" s="338"/>
      <c r="T133" s="2"/>
      <c r="U133" s="2"/>
      <c r="V133" s="280"/>
      <c r="W133" s="2244"/>
      <c r="X133" s="2"/>
      <c r="Y133" s="2"/>
      <c r="Z133" s="2"/>
      <c r="AA133" s="333"/>
      <c r="AB133" s="2"/>
      <c r="AC133" s="2"/>
    </row>
    <row r="134" spans="1:29" s="848" customFormat="1" x14ac:dyDescent="0.25">
      <c r="A134" s="108"/>
      <c r="B134" s="2169"/>
      <c r="C134" s="856"/>
      <c r="D134" s="36"/>
      <c r="F134" s="2"/>
      <c r="G134" s="52"/>
      <c r="H134" s="121"/>
      <c r="I134" s="856"/>
      <c r="J134" s="66"/>
      <c r="K134" s="333"/>
      <c r="L134" s="122"/>
      <c r="M134" s="957"/>
      <c r="N134" s="2"/>
      <c r="O134" s="333"/>
      <c r="P134" s="2"/>
      <c r="Q134" s="957"/>
      <c r="R134" s="36"/>
      <c r="S134" s="338"/>
      <c r="T134" s="2"/>
      <c r="U134" s="2"/>
      <c r="V134" s="280"/>
      <c r="W134" s="2244"/>
      <c r="X134" s="2"/>
      <c r="Y134" s="2"/>
      <c r="Z134" s="2"/>
      <c r="AA134" s="333"/>
      <c r="AB134" s="2"/>
      <c r="AC134" s="2"/>
    </row>
    <row r="135" spans="1:29" s="848" customFormat="1" x14ac:dyDescent="0.25">
      <c r="A135" s="108"/>
      <c r="B135" s="2169"/>
      <c r="C135" s="856"/>
      <c r="D135" s="36"/>
      <c r="F135" s="2"/>
      <c r="G135" s="52"/>
      <c r="H135" s="121"/>
      <c r="I135" s="856"/>
      <c r="J135" s="66"/>
      <c r="K135" s="333"/>
      <c r="L135" s="122"/>
      <c r="M135" s="957"/>
      <c r="N135" s="2"/>
      <c r="O135" s="333"/>
      <c r="P135" s="2"/>
      <c r="Q135" s="957"/>
      <c r="R135" s="36"/>
      <c r="S135" s="338"/>
      <c r="T135" s="2"/>
      <c r="U135" s="2"/>
      <c r="V135" s="280"/>
      <c r="W135" s="2244"/>
      <c r="X135" s="2"/>
      <c r="Y135" s="2"/>
      <c r="Z135" s="2"/>
      <c r="AA135" s="333"/>
      <c r="AB135" s="2"/>
      <c r="AC135" s="2"/>
    </row>
    <row r="136" spans="1:29" s="848" customFormat="1" x14ac:dyDescent="0.25">
      <c r="A136" s="108"/>
      <c r="B136" s="2169"/>
      <c r="C136" s="856"/>
      <c r="D136" s="36"/>
      <c r="F136" s="2"/>
      <c r="G136" s="52"/>
      <c r="H136" s="121"/>
      <c r="I136" s="856"/>
      <c r="J136" s="66"/>
      <c r="K136" s="333"/>
      <c r="L136" s="122"/>
      <c r="M136" s="957"/>
      <c r="N136" s="2"/>
      <c r="O136" s="333"/>
      <c r="P136" s="2"/>
      <c r="Q136" s="957"/>
      <c r="R136" s="36"/>
      <c r="S136" s="338"/>
      <c r="T136" s="2"/>
      <c r="U136" s="2"/>
      <c r="V136" s="280"/>
      <c r="W136" s="2244"/>
      <c r="X136" s="2"/>
      <c r="Y136" s="2"/>
      <c r="Z136" s="2"/>
      <c r="AA136" s="333"/>
      <c r="AB136" s="2"/>
      <c r="AC136" s="2"/>
    </row>
    <row r="137" spans="1:29" s="848" customFormat="1" x14ac:dyDescent="0.25">
      <c r="A137" s="108"/>
      <c r="B137" s="2169"/>
      <c r="C137" s="856"/>
      <c r="D137" s="36"/>
      <c r="F137" s="2"/>
      <c r="G137" s="52"/>
      <c r="H137" s="121"/>
      <c r="I137" s="856"/>
      <c r="J137" s="66"/>
      <c r="K137" s="333"/>
      <c r="L137" s="122"/>
      <c r="M137" s="957"/>
      <c r="N137" s="2"/>
      <c r="O137" s="333"/>
      <c r="P137" s="2"/>
      <c r="Q137" s="957"/>
      <c r="R137" s="36"/>
      <c r="S137" s="338"/>
      <c r="T137" s="2"/>
      <c r="U137" s="2"/>
      <c r="V137" s="280"/>
      <c r="W137" s="2244"/>
      <c r="X137" s="2"/>
      <c r="Y137" s="2"/>
      <c r="Z137" s="2"/>
      <c r="AA137" s="333"/>
      <c r="AB137" s="2"/>
      <c r="AC137" s="2"/>
    </row>
    <row r="138" spans="1:29" s="848" customFormat="1" x14ac:dyDescent="0.25">
      <c r="A138" s="108"/>
      <c r="B138" s="2169"/>
      <c r="C138" s="856"/>
      <c r="D138" s="36"/>
      <c r="F138" s="2"/>
      <c r="G138" s="52"/>
      <c r="H138" s="121"/>
      <c r="I138" s="856"/>
      <c r="J138" s="66"/>
      <c r="K138" s="333"/>
      <c r="L138" s="122"/>
      <c r="M138" s="957"/>
      <c r="N138" s="2"/>
      <c r="O138" s="333"/>
      <c r="P138" s="2"/>
      <c r="Q138" s="957"/>
      <c r="R138" s="36"/>
      <c r="S138" s="338"/>
      <c r="T138" s="2"/>
      <c r="U138" s="2"/>
      <c r="V138" s="280"/>
      <c r="W138" s="2244"/>
      <c r="X138" s="2"/>
      <c r="Y138" s="2"/>
      <c r="Z138" s="2"/>
      <c r="AA138" s="333"/>
      <c r="AB138" s="2"/>
      <c r="AC138" s="2"/>
    </row>
    <row r="139" spans="1:29" s="848" customFormat="1" x14ac:dyDescent="0.25">
      <c r="A139" s="108"/>
      <c r="B139" s="2169"/>
      <c r="C139" s="856"/>
      <c r="D139" s="36"/>
      <c r="F139" s="2"/>
      <c r="G139" s="52"/>
      <c r="H139" s="121"/>
      <c r="I139" s="856"/>
      <c r="J139" s="66"/>
      <c r="K139" s="333"/>
      <c r="L139" s="122"/>
      <c r="M139" s="957"/>
      <c r="N139" s="2"/>
      <c r="O139" s="333"/>
      <c r="P139" s="2"/>
      <c r="Q139" s="957"/>
      <c r="R139" s="36"/>
      <c r="S139" s="338"/>
      <c r="T139" s="2"/>
      <c r="U139" s="2"/>
      <c r="V139" s="280"/>
      <c r="W139" s="2244"/>
      <c r="X139" s="2"/>
      <c r="Y139" s="2"/>
      <c r="Z139" s="2"/>
      <c r="AA139" s="333"/>
      <c r="AB139" s="2"/>
      <c r="AC139" s="2"/>
    </row>
  </sheetData>
  <sheetProtection password="E247" sheet="1" objects="1" scenarios="1"/>
  <mergeCells count="1">
    <mergeCell ref="B119:C120"/>
  </mergeCells>
  <pageMargins left="0.25" right="0.25" top="0.5" bottom="0.5" header="0.25" footer="0.25"/>
  <pageSetup paperSize="17" orientation="portrait" r:id="rId1"/>
  <headerFooter>
    <oddHeader>&amp;L&amp;F</oddHeader>
    <oddFooter>&amp;R&amp;A</oddFooter>
  </headerFooter>
  <rowBreaks count="1" manualBreakCount="1">
    <brk id="111"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AC131"/>
  <sheetViews>
    <sheetView zoomScaleNormal="100" workbookViewId="0">
      <pane xSplit="3" ySplit="6" topLeftCell="H7" activePane="bottomRight" state="frozen"/>
      <selection activeCell="H7" sqref="H7"/>
      <selection pane="topRight" activeCell="H7" sqref="H7"/>
      <selection pane="bottomLeft" activeCell="H7" sqref="H7"/>
      <selection pane="bottomRight" activeCell="H7" sqref="H7"/>
    </sheetView>
  </sheetViews>
  <sheetFormatPr defaultRowHeight="15" x14ac:dyDescent="0.25"/>
  <cols>
    <col min="1" max="1" width="1.7109375" style="143" customWidth="1"/>
    <col min="2" max="2" width="8.5703125" style="2172" customWidth="1"/>
    <col min="3" max="3" width="18.28515625" style="844" customWidth="1"/>
    <col min="4" max="4" width="16" style="2" hidden="1" customWidth="1"/>
    <col min="5" max="5" width="17.7109375" style="844" hidden="1" customWidth="1"/>
    <col min="6" max="6" width="6" style="39" hidden="1" customWidth="1"/>
    <col min="7" max="7" width="11" style="52" hidden="1" customWidth="1"/>
    <col min="8" max="8" width="13.85546875" style="121" bestFit="1" customWidth="1"/>
    <col min="9" max="9" width="26" style="853" hidden="1" customWidth="1"/>
    <col min="10" max="10" width="5.7109375" style="59" hidden="1" customWidth="1"/>
    <col min="11" max="11" width="10.140625" style="333" hidden="1" customWidth="1"/>
    <col min="12" max="12" width="15.7109375" style="122" customWidth="1"/>
    <col min="13" max="13" width="26" style="844" hidden="1" customWidth="1"/>
    <col min="14" max="14" width="5.7109375" style="39" hidden="1" customWidth="1"/>
    <col min="15" max="15" width="9.42578125" style="333" hidden="1" customWidth="1"/>
    <col min="16" max="16" width="15.42578125" style="2" customWidth="1"/>
    <col min="17" max="17" width="24.85546875" style="844" hidden="1" customWidth="1"/>
    <col min="18" max="18" width="5.28515625" style="51" hidden="1" customWidth="1"/>
    <col min="19" max="19" width="9.42578125" style="338" hidden="1" customWidth="1"/>
    <col min="20" max="20" width="14" style="39" customWidth="1"/>
    <col min="21" max="21" width="24.85546875" style="39" hidden="1" customWidth="1"/>
    <col min="22" max="22" width="5.7109375" style="109" customWidth="1"/>
    <col min="23" max="23" width="9.42578125" style="2244" hidden="1" customWidth="1"/>
    <col min="24" max="24" width="14" style="39" hidden="1" customWidth="1"/>
    <col min="25" max="25" width="24.85546875" style="39" hidden="1" customWidth="1"/>
    <col min="26" max="26" width="5.7109375" style="39" hidden="1" customWidth="1"/>
    <col min="27" max="27" width="9.42578125" style="333" hidden="1" customWidth="1"/>
    <col min="28" max="28" width="14" style="39" hidden="1" customWidth="1"/>
    <col min="29" max="29" width="24.85546875" style="39" hidden="1" customWidth="1"/>
    <col min="30" max="16384" width="9.140625" style="39"/>
  </cols>
  <sheetData>
    <row r="1" spans="1:29" x14ac:dyDescent="0.25">
      <c r="B1" s="2172" t="s">
        <v>61</v>
      </c>
      <c r="C1" s="873" t="s">
        <v>274</v>
      </c>
      <c r="D1" s="97">
        <v>0</v>
      </c>
      <c r="E1" s="842"/>
      <c r="F1" s="98"/>
      <c r="G1" s="325"/>
      <c r="H1" s="99">
        <v>0</v>
      </c>
      <c r="I1" s="842"/>
      <c r="L1" s="121">
        <v>0</v>
      </c>
      <c r="M1" s="842"/>
      <c r="P1" s="121">
        <v>0</v>
      </c>
      <c r="Q1" s="842"/>
      <c r="T1" s="86">
        <v>0</v>
      </c>
      <c r="U1" s="98"/>
      <c r="X1" s="86">
        <v>0</v>
      </c>
      <c r="Y1" s="98"/>
      <c r="AB1" s="86">
        <v>0</v>
      </c>
      <c r="AC1" s="98"/>
    </row>
    <row r="2" spans="1:29" ht="17.25" x14ac:dyDescent="0.4">
      <c r="B2" s="2173" t="s">
        <v>59</v>
      </c>
      <c r="C2" s="930" t="s">
        <v>806</v>
      </c>
      <c r="D2" s="99">
        <v>0</v>
      </c>
      <c r="E2" s="842"/>
      <c r="F2" s="98"/>
      <c r="G2" s="326"/>
      <c r="H2" s="99">
        <v>0</v>
      </c>
      <c r="I2" s="842"/>
      <c r="L2" s="87">
        <v>0</v>
      </c>
      <c r="M2" s="842"/>
      <c r="P2" s="87">
        <v>0</v>
      </c>
      <c r="Q2" s="842"/>
      <c r="T2" s="87">
        <v>0</v>
      </c>
      <c r="U2" s="98"/>
      <c r="X2" s="87">
        <v>0</v>
      </c>
      <c r="Y2" s="98"/>
      <c r="AB2" s="87">
        <v>0</v>
      </c>
      <c r="AC2" s="98"/>
    </row>
    <row r="3" spans="1:29" x14ac:dyDescent="0.25">
      <c r="D3" s="281">
        <f>+SUM(D1:D2)</f>
        <v>0</v>
      </c>
      <c r="E3" s="843"/>
      <c r="F3" s="100"/>
      <c r="G3" s="83"/>
      <c r="H3" s="281">
        <f>+SUM(H1:H2)</f>
        <v>0</v>
      </c>
      <c r="I3" s="852"/>
      <c r="L3" s="121">
        <f>SUM(L1:L2)</f>
        <v>0</v>
      </c>
      <c r="M3" s="853"/>
      <c r="P3" s="121">
        <f>SUM(P1:P2)</f>
        <v>0</v>
      </c>
      <c r="Q3" s="853"/>
      <c r="T3" s="86">
        <f>SUM(T1:T2)</f>
        <v>0</v>
      </c>
      <c r="U3" s="51"/>
      <c r="X3" s="86">
        <f>SUM(X1:X2)</f>
        <v>0</v>
      </c>
      <c r="Y3" s="51"/>
      <c r="AB3" s="86">
        <f>SUM(AB1:AB2)</f>
        <v>0</v>
      </c>
      <c r="AC3" s="51"/>
    </row>
    <row r="4" spans="1:29" x14ac:dyDescent="0.25">
      <c r="L4" s="121"/>
      <c r="M4" s="853"/>
      <c r="P4" s="121"/>
      <c r="Q4" s="853"/>
      <c r="T4" s="86"/>
      <c r="U4" s="51"/>
      <c r="X4" s="86"/>
      <c r="Y4" s="51"/>
      <c r="AB4" s="86"/>
      <c r="AC4" s="51"/>
    </row>
    <row r="5" spans="1:29" ht="15.75" x14ac:dyDescent="0.25">
      <c r="B5" s="2174" t="s">
        <v>56</v>
      </c>
      <c r="P5" s="122"/>
      <c r="T5" s="73"/>
      <c r="X5" s="73"/>
      <c r="AB5" s="73"/>
    </row>
    <row r="6" spans="1:29" s="89" customFormat="1" ht="15.75" x14ac:dyDescent="0.25">
      <c r="A6" s="144"/>
      <c r="B6" s="2175"/>
      <c r="C6" s="877"/>
      <c r="D6" s="243" t="s">
        <v>55</v>
      </c>
      <c r="E6" s="845"/>
      <c r="G6" s="327"/>
      <c r="H6" s="282" t="str">
        <f>LEFT(D6,4)+1&amp;"-"&amp;RIGHT(D6,4)+1</f>
        <v>2017-2018</v>
      </c>
      <c r="I6" s="854"/>
      <c r="J6" s="93"/>
      <c r="K6" s="334"/>
      <c r="L6" s="123" t="str">
        <f>LEFT(H6,4)+1&amp;"-"&amp;RIGHT(H6,4)+1</f>
        <v>2018-2019</v>
      </c>
      <c r="M6" s="888"/>
      <c r="N6" s="96"/>
      <c r="O6" s="337"/>
      <c r="P6" s="123" t="str">
        <f>LEFT(L6,4)+1&amp;"-"&amp;RIGHT(L6,4)+1</f>
        <v>2019-2020</v>
      </c>
      <c r="Q6" s="888"/>
      <c r="R6" s="2237"/>
      <c r="S6" s="2242"/>
      <c r="T6" s="95" t="str">
        <f>LEFT(P6,4)+1&amp;"-"&amp;RIGHT(P6,4)+1</f>
        <v>2020-2021</v>
      </c>
      <c r="U6" s="95"/>
      <c r="V6" s="110"/>
      <c r="W6" s="2245"/>
      <c r="X6" s="95" t="str">
        <f>LEFT(T6,4)+1&amp;"-"&amp;RIGHT(T6,4)+1</f>
        <v>2021-2022</v>
      </c>
      <c r="Y6" s="95"/>
      <c r="Z6" s="96"/>
      <c r="AA6" s="337"/>
      <c r="AB6" s="95" t="str">
        <f>LEFT(X6,4)+1&amp;"-"&amp;RIGHT(X6,4)+1</f>
        <v>2022-2023</v>
      </c>
      <c r="AC6" s="95"/>
    </row>
    <row r="7" spans="1:29" s="457" customFormat="1" x14ac:dyDescent="0.25">
      <c r="A7" s="1656"/>
      <c r="B7" s="2337" t="s">
        <v>54</v>
      </c>
      <c r="C7" s="1656"/>
      <c r="D7" s="340">
        <v>1526770.77</v>
      </c>
      <c r="E7" s="1656"/>
      <c r="G7" s="2338"/>
      <c r="H7" s="340">
        <f>+D89</f>
        <v>816257.51</v>
      </c>
      <c r="I7" s="1656"/>
      <c r="J7" s="599"/>
      <c r="K7" s="1668"/>
      <c r="L7" s="340">
        <f>H89</f>
        <v>1720681.51</v>
      </c>
      <c r="M7" s="2482" t="s">
        <v>1065</v>
      </c>
      <c r="O7" s="1668"/>
      <c r="P7" s="340">
        <f>L89</f>
        <v>891459.51</v>
      </c>
      <c r="Q7" s="1656"/>
      <c r="R7" s="592"/>
      <c r="S7" s="2341"/>
      <c r="T7" s="340">
        <f>P89</f>
        <v>9064.5100000000093</v>
      </c>
      <c r="V7" s="952"/>
      <c r="W7" s="2343"/>
      <c r="X7" s="340">
        <f>T89</f>
        <v>126408.51000000001</v>
      </c>
      <c r="AA7" s="1668"/>
      <c r="AB7" s="340">
        <f>X89</f>
        <v>-215092.49</v>
      </c>
    </row>
    <row r="8" spans="1:29" s="457" customFormat="1" x14ac:dyDescent="0.25">
      <c r="A8" s="1656"/>
      <c r="B8" s="2345"/>
      <c r="C8" s="1656"/>
      <c r="D8" s="340"/>
      <c r="E8" s="1656"/>
      <c r="G8" s="2338"/>
      <c r="H8" s="340"/>
      <c r="I8" s="340">
        <v>1035318.49</v>
      </c>
      <c r="J8" s="592"/>
      <c r="K8" s="1668"/>
      <c r="L8" s="340"/>
      <c r="M8" s="2483">
        <f>+'RS 0000 &amp; 1400'!L13</f>
        <v>2654872</v>
      </c>
      <c r="O8" s="1668"/>
      <c r="P8" s="340"/>
      <c r="Q8" s="1656"/>
      <c r="R8" s="592"/>
      <c r="S8" s="2341"/>
      <c r="V8" s="952"/>
      <c r="W8" s="2343"/>
      <c r="AA8" s="1668"/>
    </row>
    <row r="9" spans="1:29" s="457" customFormat="1" x14ac:dyDescent="0.25">
      <c r="A9" s="1656"/>
      <c r="B9" s="2345" t="s">
        <v>52</v>
      </c>
      <c r="C9" s="2384" t="s">
        <v>1074</v>
      </c>
      <c r="D9" s="340">
        <v>450000</v>
      </c>
      <c r="E9" s="1656" t="s">
        <v>929</v>
      </c>
      <c r="G9" s="456">
        <f>IF(D9=0,"0.00%",(H9-D9)/D9)</f>
        <v>0</v>
      </c>
      <c r="H9" s="833">
        <v>450000</v>
      </c>
      <c r="I9" s="1656" t="s">
        <v>929</v>
      </c>
      <c r="J9" s="342"/>
      <c r="K9" s="456">
        <f>IF(H9=0,"0.00%",(L9-H9)/H9)</f>
        <v>0</v>
      </c>
      <c r="L9" s="833">
        <f>+H9</f>
        <v>450000</v>
      </c>
      <c r="M9" s="1656" t="s">
        <v>929</v>
      </c>
      <c r="O9" s="456">
        <f>IF(L9=0,"0.00%",(P9-L9)/L9)</f>
        <v>0</v>
      </c>
      <c r="P9" s="833">
        <f>+L9</f>
        <v>450000</v>
      </c>
      <c r="Q9" s="1656" t="s">
        <v>929</v>
      </c>
      <c r="R9" s="592"/>
      <c r="S9" s="2238">
        <f>IF(P9=0,"0.00%",(T9-P9)/P9)</f>
        <v>0</v>
      </c>
      <c r="T9" s="833">
        <f>+P9</f>
        <v>450000</v>
      </c>
      <c r="V9" s="952"/>
      <c r="W9" s="2241">
        <f>IF(T9=0,"0.00%",(X9-T9)/T9)</f>
        <v>-1</v>
      </c>
      <c r="X9" s="833">
        <f>X3</f>
        <v>0</v>
      </c>
      <c r="AA9" s="456" t="str">
        <f>IF(X9=0,"0.00%",(AB9-X9)/X9)</f>
        <v>0.00%</v>
      </c>
      <c r="AB9" s="833">
        <f>AB3</f>
        <v>0</v>
      </c>
    </row>
    <row r="10" spans="1:29" s="457" customFormat="1" x14ac:dyDescent="0.25">
      <c r="A10" s="1656"/>
      <c r="B10" s="2345">
        <v>8981</v>
      </c>
      <c r="C10" s="2384" t="s">
        <v>455</v>
      </c>
      <c r="D10" s="340">
        <v>807000</v>
      </c>
      <c r="E10" s="1656" t="s">
        <v>1073</v>
      </c>
      <c r="G10" s="456">
        <f t="shared" ref="G10:G15" si="0">IF(D10=0,"0.00%",(H10-D10)/D10)</f>
        <v>-4.9566294919454771E-3</v>
      </c>
      <c r="H10" s="833">
        <v>803000</v>
      </c>
      <c r="I10" s="1656" t="s">
        <v>1073</v>
      </c>
      <c r="J10" s="342"/>
      <c r="K10" s="456">
        <f>IF(H10=0,"0.00%",(L10-H10)/H10)</f>
        <v>1.7395666251556663</v>
      </c>
      <c r="L10" s="833">
        <v>2199872</v>
      </c>
      <c r="M10" s="1656" t="s">
        <v>1096</v>
      </c>
      <c r="O10" s="456">
        <f>IF(L10=0,"0.00%",(P10-L10)/L10)</f>
        <v>-1</v>
      </c>
      <c r="P10" s="833">
        <f>-L2</f>
        <v>0</v>
      </c>
      <c r="Q10" s="1656"/>
      <c r="R10" s="592"/>
      <c r="S10" s="2238" t="str">
        <f>IF(P10=0,"0.00%",(T10-P10)/P10)</f>
        <v>0.00%</v>
      </c>
      <c r="T10" s="833">
        <f>-P2</f>
        <v>0</v>
      </c>
      <c r="V10" s="952"/>
      <c r="W10" s="2241" t="str">
        <f>IF(T10=0,"0.00%",(X10-T10)/T10)</f>
        <v>0.00%</v>
      </c>
      <c r="X10" s="833">
        <f>-T2</f>
        <v>0</v>
      </c>
      <c r="AA10" s="456" t="str">
        <f>IF(X10=0,"0.00%",(AB10-X10)/X10)</f>
        <v>0.00%</v>
      </c>
      <c r="AB10" s="833">
        <f>-X2</f>
        <v>0</v>
      </c>
    </row>
    <row r="11" spans="1:29" s="457" customFormat="1" x14ac:dyDescent="0.25">
      <c r="A11" s="1656"/>
      <c r="B11" s="2337" t="s">
        <v>137</v>
      </c>
      <c r="C11" s="1656"/>
      <c r="D11" s="458">
        <f>SUM(D9:D10)</f>
        <v>1257000</v>
      </c>
      <c r="E11" s="1656"/>
      <c r="G11" s="456">
        <f t="shared" si="0"/>
        <v>-3.1821797931583136E-3</v>
      </c>
      <c r="H11" s="458">
        <f>SUM(H9:H10)</f>
        <v>1253000</v>
      </c>
      <c r="I11" s="2316">
        <f>+H11-D11</f>
        <v>-4000</v>
      </c>
      <c r="J11" s="601"/>
      <c r="K11" s="456">
        <f>IF(H11=0,"0.00%",(L11-H11)/H11)</f>
        <v>1.1148220271348763</v>
      </c>
      <c r="L11" s="458">
        <f>SUM(L9:L10)</f>
        <v>2649872</v>
      </c>
      <c r="M11" s="2316">
        <f>+L11-H11</f>
        <v>1396872</v>
      </c>
      <c r="O11" s="456">
        <f>IF(L11=0,"0.00%",(P11-L11)/L11)</f>
        <v>-0.83018047664189065</v>
      </c>
      <c r="P11" s="458">
        <f>SUM(P9:P10)</f>
        <v>450000</v>
      </c>
      <c r="Q11" s="2316">
        <f>+P11-L11</f>
        <v>-2199872</v>
      </c>
      <c r="R11" s="592"/>
      <c r="S11" s="2238">
        <f>IF(P11=0,"0.00%",(T11-P11)/P11)</f>
        <v>0</v>
      </c>
      <c r="T11" s="2353">
        <f>SUM(T9:T10)</f>
        <v>450000</v>
      </c>
      <c r="V11" s="952"/>
      <c r="W11" s="2241">
        <f>IF(T11=0,"0.00%",(X11-T11)/T11)</f>
        <v>-1</v>
      </c>
      <c r="X11" s="2353">
        <f>SUM(X9:X10)</f>
        <v>0</v>
      </c>
      <c r="AA11" s="456" t="str">
        <f>IF(X11=0,"0.00%",(AB11-X11)/X11)</f>
        <v>0.00%</v>
      </c>
      <c r="AB11" s="2353">
        <f>SUM(AB9:AB10)</f>
        <v>0</v>
      </c>
    </row>
    <row r="12" spans="1:29" s="457" customFormat="1" x14ac:dyDescent="0.25">
      <c r="A12" s="1656"/>
      <c r="B12" s="2345"/>
      <c r="C12" s="1656"/>
      <c r="D12" s="340"/>
      <c r="E12" s="1656"/>
      <c r="G12" s="2338"/>
      <c r="H12" s="833"/>
      <c r="I12" s="1656"/>
      <c r="J12" s="602"/>
      <c r="K12" s="2338"/>
      <c r="L12" s="833"/>
      <c r="M12" s="1656"/>
      <c r="O12" s="2338"/>
      <c r="P12" s="833"/>
      <c r="Q12" s="1656"/>
      <c r="R12" s="592"/>
      <c r="S12" s="2355"/>
      <c r="T12" s="2356"/>
      <c r="V12" s="952"/>
      <c r="W12" s="2357"/>
      <c r="X12" s="2356"/>
      <c r="AA12" s="2338"/>
      <c r="AB12" s="2356"/>
    </row>
    <row r="13" spans="1:29" s="457" customFormat="1" x14ac:dyDescent="0.25">
      <c r="A13" s="1656"/>
      <c r="B13" s="2345"/>
      <c r="C13" s="2384" t="s">
        <v>64</v>
      </c>
      <c r="D13" s="2359">
        <f>ROUND(D11-(D11/(1+E13)),0)</f>
        <v>0</v>
      </c>
      <c r="E13" s="2361">
        <v>0</v>
      </c>
      <c r="G13" s="456" t="str">
        <f t="shared" si="0"/>
        <v>0.00%</v>
      </c>
      <c r="H13" s="2359">
        <f>ROUND(H11-(H11/(1+E13)),0)</f>
        <v>0</v>
      </c>
      <c r="I13" s="1656"/>
      <c r="J13" s="603"/>
      <c r="K13" s="456" t="str">
        <f>IF(H13=0,"0.00%",(L13-H13)/H13)</f>
        <v>0.00%</v>
      </c>
      <c r="L13" s="2359">
        <f>ROUND(L11-(L11/(1+E13)),0)</f>
        <v>0</v>
      </c>
      <c r="M13" s="1656"/>
      <c r="O13" s="456" t="str">
        <f>IF(L13=0,"0.00%",(P13-L13)/L13)</f>
        <v>0.00%</v>
      </c>
      <c r="P13" s="2359">
        <f>ROUND(P11-(P11/(1+E13)),0)</f>
        <v>0</v>
      </c>
      <c r="Q13" s="1656"/>
      <c r="R13" s="592"/>
      <c r="S13" s="2238" t="str">
        <f>IF(P13=0,"0.00%",(T13-P13)/P13)</f>
        <v>0.00%</v>
      </c>
      <c r="T13" s="2362">
        <f>ROUND(T11-(T11/(1+E13)),0)</f>
        <v>0</v>
      </c>
      <c r="V13" s="952"/>
      <c r="W13" s="2241" t="str">
        <f>IF(T13=0,"0.00%",(X13-T13)/T13)</f>
        <v>0.00%</v>
      </c>
      <c r="X13" s="2362">
        <f>ROUND(X11-(X11/(1+E13)),0)</f>
        <v>0</v>
      </c>
      <c r="AA13" s="456" t="str">
        <f>IF(X13=0,"0.00%",(AB13-X13)/X13)</f>
        <v>0.00%</v>
      </c>
      <c r="AB13" s="2362">
        <f>ROUND(AB11-(AB11/(1+G13)),0)</f>
        <v>0</v>
      </c>
    </row>
    <row r="14" spans="1:29" s="457" customFormat="1" x14ac:dyDescent="0.25">
      <c r="A14" s="1656"/>
      <c r="B14" s="2345"/>
      <c r="C14" s="1656"/>
      <c r="D14" s="340"/>
      <c r="E14" s="1656"/>
      <c r="G14" s="2338"/>
      <c r="H14" s="833"/>
      <c r="I14" s="1656"/>
      <c r="J14" s="602"/>
      <c r="K14" s="2338"/>
      <c r="L14" s="833"/>
      <c r="M14" s="1656"/>
      <c r="O14" s="2338"/>
      <c r="P14" s="833"/>
      <c r="Q14" s="1656"/>
      <c r="R14" s="592"/>
      <c r="S14" s="2355"/>
      <c r="T14" s="2356"/>
      <c r="V14" s="952"/>
      <c r="W14" s="2357"/>
      <c r="X14" s="2356"/>
      <c r="AA14" s="2338"/>
      <c r="AB14" s="2356"/>
    </row>
    <row r="15" spans="1:29" s="457" customFormat="1" x14ac:dyDescent="0.25">
      <c r="A15" s="1656"/>
      <c r="B15" s="2337" t="s">
        <v>50</v>
      </c>
      <c r="C15" s="1656"/>
      <c r="D15" s="1866">
        <f>+D11+D7-D13</f>
        <v>2783770.77</v>
      </c>
      <c r="E15" s="1656"/>
      <c r="G15" s="456">
        <f t="shared" si="0"/>
        <v>-0.25667101174426082</v>
      </c>
      <c r="H15" s="1866">
        <f>+H11+H7-H13</f>
        <v>2069257.51</v>
      </c>
      <c r="I15" s="1656"/>
      <c r="J15" s="601"/>
      <c r="K15" s="456">
        <f>IF(H15=0,"0.00%",(L15-H15)/H15)</f>
        <v>1.1121361110826655</v>
      </c>
      <c r="L15" s="1866">
        <f>+L11+L7-L13</f>
        <v>4370553.51</v>
      </c>
      <c r="M15" s="2456"/>
      <c r="O15" s="456">
        <f>IF(L15=0,"0.00%",(P15-L15)/L15)</f>
        <v>-0.69306873673307345</v>
      </c>
      <c r="P15" s="1866">
        <f>+P11+P7-P13</f>
        <v>1341459.51</v>
      </c>
      <c r="Q15" s="1656"/>
      <c r="R15" s="592"/>
      <c r="S15" s="2238">
        <f>IF(P15=0,"0.00%",(T15-P15)/P15)</f>
        <v>-0.66454447812591821</v>
      </c>
      <c r="T15" s="2366">
        <f>T11-T13</f>
        <v>450000</v>
      </c>
      <c r="V15" s="952"/>
      <c r="W15" s="2241">
        <f>IF(T15=0,"0.00%",(X15-T15)/T15)</f>
        <v>-1</v>
      </c>
      <c r="X15" s="2366">
        <f>X11-X13</f>
        <v>0</v>
      </c>
      <c r="AA15" s="456" t="str">
        <f>IF(X15=0,"0.00%",(AB15-X15)/X15)</f>
        <v>0.00%</v>
      </c>
      <c r="AB15" s="2366">
        <f>AB11-AB13</f>
        <v>0</v>
      </c>
    </row>
    <row r="16" spans="1:29" s="457" customFormat="1" x14ac:dyDescent="0.25">
      <c r="A16" s="1656"/>
      <c r="B16" s="2345"/>
      <c r="C16" s="1656"/>
      <c r="D16" s="340"/>
      <c r="E16" s="1656"/>
      <c r="G16" s="2338"/>
      <c r="H16" s="833"/>
      <c r="I16" s="1656"/>
      <c r="J16" s="601"/>
      <c r="K16" s="1668"/>
      <c r="L16" s="833"/>
      <c r="M16" s="1656"/>
      <c r="O16" s="1668"/>
      <c r="P16" s="833"/>
      <c r="Q16" s="1656"/>
      <c r="R16" s="592"/>
      <c r="S16" s="2341"/>
      <c r="T16" s="2367"/>
      <c r="V16" s="952"/>
      <c r="W16" s="2343"/>
      <c r="X16" s="2367"/>
      <c r="AA16" s="1668"/>
      <c r="AB16" s="2367"/>
    </row>
    <row r="17" spans="1:29" s="457" customFormat="1" x14ac:dyDescent="0.25">
      <c r="A17" s="1656"/>
      <c r="B17" s="2345"/>
      <c r="C17" s="2432"/>
      <c r="D17" s="340"/>
      <c r="E17" s="1656"/>
      <c r="G17" s="2338"/>
      <c r="H17" s="833"/>
      <c r="I17" s="1656"/>
      <c r="J17" s="602"/>
      <c r="K17" s="1668"/>
      <c r="L17" s="833"/>
      <c r="M17" s="1656"/>
      <c r="O17" s="1668"/>
      <c r="P17" s="833"/>
      <c r="Q17" s="1656"/>
      <c r="R17" s="592"/>
      <c r="S17" s="2341"/>
      <c r="T17" s="2356"/>
      <c r="V17" s="952"/>
      <c r="W17" s="2343"/>
      <c r="X17" s="2356"/>
      <c r="AA17" s="1668"/>
      <c r="AB17" s="2356"/>
    </row>
    <row r="18" spans="1:29" s="457" customFormat="1" x14ac:dyDescent="0.25">
      <c r="A18" s="1867"/>
      <c r="B18" s="2345"/>
      <c r="C18" s="1656"/>
      <c r="D18" s="459" t="s">
        <v>807</v>
      </c>
      <c r="E18" s="1867"/>
      <c r="F18" s="2433"/>
      <c r="G18" s="2338"/>
      <c r="H18" s="459" t="s">
        <v>176</v>
      </c>
      <c r="I18" s="1867"/>
      <c r="J18" s="604"/>
      <c r="K18" s="1668"/>
      <c r="L18" s="2370"/>
      <c r="M18" s="1867"/>
      <c r="O18" s="1668"/>
      <c r="P18" s="340"/>
      <c r="Q18" s="1867"/>
      <c r="R18" s="592"/>
      <c r="S18" s="2341"/>
      <c r="U18" s="2433"/>
      <c r="V18" s="952"/>
      <c r="W18" s="2343"/>
      <c r="Y18" s="2433"/>
      <c r="AA18" s="1668"/>
      <c r="AC18" s="2433"/>
    </row>
    <row r="19" spans="1:29" s="457" customFormat="1" ht="17.25" x14ac:dyDescent="0.4">
      <c r="A19" s="2434"/>
      <c r="B19" s="2345"/>
      <c r="C19" s="1656"/>
      <c r="D19" s="2435" t="s">
        <v>808</v>
      </c>
      <c r="E19" s="2434"/>
      <c r="F19" s="2436"/>
      <c r="G19" s="2338"/>
      <c r="H19" s="2435" t="s">
        <v>48</v>
      </c>
      <c r="I19" s="2373"/>
      <c r="J19" s="459"/>
      <c r="K19" s="1668"/>
      <c r="L19" s="2372" t="s">
        <v>48</v>
      </c>
      <c r="M19" s="2373"/>
      <c r="O19" s="1668"/>
      <c r="P19" s="2372" t="s">
        <v>48</v>
      </c>
      <c r="Q19" s="2373">
        <v>0.02</v>
      </c>
      <c r="R19" s="592"/>
      <c r="S19" s="2341"/>
      <c r="T19" s="2372" t="s">
        <v>48</v>
      </c>
      <c r="U19" s="2374">
        <v>0.02</v>
      </c>
      <c r="V19" s="952"/>
      <c r="W19" s="2343"/>
      <c r="X19" s="2372" t="s">
        <v>48</v>
      </c>
      <c r="Y19" s="2374">
        <v>0.02</v>
      </c>
      <c r="AA19" s="1668"/>
      <c r="AB19" s="2372" t="s">
        <v>48</v>
      </c>
      <c r="AC19" s="2374">
        <v>0.02</v>
      </c>
    </row>
    <row r="20" spans="1:29" s="2378" customFormat="1" x14ac:dyDescent="0.25">
      <c r="A20" s="900"/>
      <c r="B20" s="2337" t="s">
        <v>46</v>
      </c>
      <c r="C20" s="2384"/>
      <c r="D20" s="1866"/>
      <c r="E20" s="2375"/>
      <c r="F20" s="1866"/>
      <c r="G20" s="2376"/>
      <c r="H20" s="1866"/>
      <c r="I20" s="868"/>
      <c r="J20" s="460"/>
      <c r="K20" s="606"/>
      <c r="L20" s="1866"/>
      <c r="M20" s="2379"/>
      <c r="O20" s="606"/>
      <c r="P20" s="1866"/>
      <c r="Q20" s="2379"/>
      <c r="R20" s="461"/>
      <c r="S20" s="1669"/>
      <c r="T20" s="1866"/>
      <c r="U20" s="2383"/>
      <c r="V20" s="2381"/>
      <c r="W20" s="2382"/>
      <c r="X20" s="1866"/>
      <c r="Y20" s="2383"/>
      <c r="AA20" s="606"/>
      <c r="AB20" s="1866"/>
      <c r="AC20" s="2383"/>
    </row>
    <row r="21" spans="1:29" s="457" customFormat="1" x14ac:dyDescent="0.25">
      <c r="A21" s="2439"/>
      <c r="B21" s="2385">
        <v>1112</v>
      </c>
      <c r="C21" s="1656" t="s">
        <v>988</v>
      </c>
      <c r="D21" s="340">
        <v>0</v>
      </c>
      <c r="E21" s="2386"/>
      <c r="F21" s="340"/>
      <c r="G21" s="456" t="str">
        <f t="shared" ref="G21:G30" si="1">IF(D21=0,"0.00%",(H21-D21)/D21)</f>
        <v>0.00%</v>
      </c>
      <c r="H21" s="340">
        <f t="shared" ref="H21:H27" si="2">ROUND(D21*(1+$I$19),0)</f>
        <v>0</v>
      </c>
      <c r="I21" s="899"/>
      <c r="J21" s="455"/>
      <c r="K21" s="456" t="str">
        <f t="shared" ref="K21:K27" si="3">IF(H21=0,"0.00%",(L21-H21)/H21)</f>
        <v>0.00%</v>
      </c>
      <c r="L21" s="340">
        <v>4500</v>
      </c>
      <c r="M21" s="897"/>
      <c r="O21" s="456">
        <f t="shared" ref="O21:O27" si="4">IF(L21=0,"0.00%",(P21-L21)/L21)</f>
        <v>0</v>
      </c>
      <c r="P21" s="340">
        <f>L21</f>
        <v>4500</v>
      </c>
      <c r="Q21" s="897"/>
      <c r="R21" s="592"/>
      <c r="S21" s="2238">
        <f t="shared" ref="S21:S27" si="5">IF(P21=0,"0.00%",(T21-P21)/P21)</f>
        <v>0</v>
      </c>
      <c r="T21" s="340">
        <f>P21</f>
        <v>4500</v>
      </c>
      <c r="U21" s="897"/>
      <c r="V21" s="952"/>
      <c r="W21" s="2241">
        <f t="shared" ref="W21:W27" si="6">IF(T21=0,"0.00%",(X21-T21)/T21)</f>
        <v>0.02</v>
      </c>
      <c r="X21" s="340">
        <f>ROUND(T21*(1+Y19),0)</f>
        <v>4590</v>
      </c>
      <c r="Y21" s="455" t="str">
        <f>TEXT(Y19,"0.0%")&amp;" = Est. S &amp; C"</f>
        <v>2.0% = Est. S &amp; C</v>
      </c>
      <c r="AA21" s="456">
        <f t="shared" ref="AA21:AA27" si="7">IF(X21=0,"0.00%",(AB21-X21)/X21)</f>
        <v>2.0043572984749455E-2</v>
      </c>
      <c r="AB21" s="340">
        <f>ROUND(X21*(1+AC19),0)</f>
        <v>4682</v>
      </c>
      <c r="AC21" s="455" t="str">
        <f>TEXT(AC19,"0.0%")&amp;" = Est. S &amp; C"</f>
        <v>2.0% = Est. S &amp; C</v>
      </c>
    </row>
    <row r="22" spans="1:29" s="457" customFormat="1" x14ac:dyDescent="0.25">
      <c r="A22" s="897"/>
      <c r="B22" s="2385">
        <v>1181</v>
      </c>
      <c r="C22" s="1656" t="s">
        <v>42</v>
      </c>
      <c r="D22" s="340">
        <v>0</v>
      </c>
      <c r="E22" s="2386"/>
      <c r="F22" s="340"/>
      <c r="G22" s="456" t="str">
        <f t="shared" si="1"/>
        <v>0.00%</v>
      </c>
      <c r="H22" s="340">
        <f t="shared" si="2"/>
        <v>0</v>
      </c>
      <c r="I22" s="897"/>
      <c r="J22" s="455"/>
      <c r="K22" s="456" t="str">
        <f t="shared" si="3"/>
        <v>0.00%</v>
      </c>
      <c r="L22" s="340">
        <v>22400</v>
      </c>
      <c r="M22" s="897"/>
      <c r="O22" s="456">
        <f t="shared" si="4"/>
        <v>0</v>
      </c>
      <c r="P22" s="340">
        <f>L22</f>
        <v>22400</v>
      </c>
      <c r="Q22" s="897"/>
      <c r="R22" s="592"/>
      <c r="S22" s="2238">
        <f t="shared" si="5"/>
        <v>0</v>
      </c>
      <c r="T22" s="340">
        <f>P22</f>
        <v>22400</v>
      </c>
      <c r="U22" s="897"/>
      <c r="V22" s="952"/>
      <c r="W22" s="2241">
        <f t="shared" si="6"/>
        <v>0.02</v>
      </c>
      <c r="X22" s="340">
        <f>ROUND(T22*(1+Y19),0)</f>
        <v>22848</v>
      </c>
      <c r="Y22" s="455" t="str">
        <f>TEXT(Y19,"0.0%")&amp;" = Est. S &amp; C"</f>
        <v>2.0% = Est. S &amp; C</v>
      </c>
      <c r="AA22" s="456">
        <f t="shared" si="7"/>
        <v>2.000175070028011E-2</v>
      </c>
      <c r="AB22" s="340">
        <f>ROUND(X22*(1+AC19),0)</f>
        <v>23305</v>
      </c>
      <c r="AC22" s="455" t="str">
        <f>TEXT(AC19,"0.0%")&amp;" = Est. S &amp; C"</f>
        <v>2.0% = Est. S &amp; C</v>
      </c>
    </row>
    <row r="23" spans="1:29" s="457" customFormat="1" x14ac:dyDescent="0.25">
      <c r="A23" s="897"/>
      <c r="B23" s="2385"/>
      <c r="C23" s="1656"/>
      <c r="D23" s="340">
        <v>0</v>
      </c>
      <c r="E23" s="2386"/>
      <c r="F23" s="340"/>
      <c r="G23" s="456" t="str">
        <f t="shared" si="1"/>
        <v>0.00%</v>
      </c>
      <c r="H23" s="340">
        <f t="shared" si="2"/>
        <v>0</v>
      </c>
      <c r="I23" s="897"/>
      <c r="J23" s="455"/>
      <c r="K23" s="456" t="str">
        <f t="shared" si="3"/>
        <v>0.00%</v>
      </c>
      <c r="L23" s="340">
        <f>ROUND(H23*(1+M19),0)</f>
        <v>0</v>
      </c>
      <c r="M23" s="897"/>
      <c r="O23" s="456" t="str">
        <f t="shared" si="4"/>
        <v>0.00%</v>
      </c>
      <c r="P23" s="340">
        <f>ROUND(L23*(1+Q19),0)</f>
        <v>0</v>
      </c>
      <c r="Q23" s="897"/>
      <c r="R23" s="592"/>
      <c r="S23" s="2238" t="str">
        <f t="shared" si="5"/>
        <v>0.00%</v>
      </c>
      <c r="T23" s="340">
        <f>ROUND(P23*(1+U19),0)</f>
        <v>0</v>
      </c>
      <c r="U23" s="897"/>
      <c r="V23" s="952"/>
      <c r="W23" s="2241" t="str">
        <f t="shared" si="6"/>
        <v>0.00%</v>
      </c>
      <c r="X23" s="340">
        <f>ROUND(T23*(1+Y19),0)</f>
        <v>0</v>
      </c>
      <c r="Y23" s="455" t="str">
        <f>TEXT(Y19,"0.0%")&amp;" = Est. S &amp; C"</f>
        <v>2.0% = Est. S &amp; C</v>
      </c>
      <c r="AA23" s="456" t="str">
        <f t="shared" si="7"/>
        <v>0.00%</v>
      </c>
      <c r="AB23" s="340">
        <f>ROUND(X23*(1+AC19),0)</f>
        <v>0</v>
      </c>
      <c r="AC23" s="455" t="str">
        <f>TEXT(AC19,"0.0%")&amp;" = Est. S &amp; C"</f>
        <v>2.0% = Est. S &amp; C</v>
      </c>
    </row>
    <row r="24" spans="1:29" s="457" customFormat="1" hidden="1" x14ac:dyDescent="0.25">
      <c r="A24" s="897"/>
      <c r="B24" s="2385"/>
      <c r="C24" s="1656"/>
      <c r="D24" s="340">
        <v>0</v>
      </c>
      <c r="E24" s="2386"/>
      <c r="F24" s="340"/>
      <c r="G24" s="456" t="str">
        <f t="shared" si="1"/>
        <v>0.00%</v>
      </c>
      <c r="H24" s="340">
        <f t="shared" si="2"/>
        <v>0</v>
      </c>
      <c r="I24" s="897"/>
      <c r="J24" s="455"/>
      <c r="K24" s="456" t="str">
        <f t="shared" si="3"/>
        <v>0.00%</v>
      </c>
      <c r="L24" s="340">
        <f>ROUND(H24*(1+M19),0)</f>
        <v>0</v>
      </c>
      <c r="M24" s="897"/>
      <c r="O24" s="456" t="str">
        <f t="shared" si="4"/>
        <v>0.00%</v>
      </c>
      <c r="P24" s="340">
        <f>ROUND(L24*(1+Q19),0)</f>
        <v>0</v>
      </c>
      <c r="Q24" s="897" t="str">
        <f>TEXT(Q19,"0.0%")&amp;" = Est. S &amp; C"</f>
        <v>2.0% = Est. S &amp; C</v>
      </c>
      <c r="R24" s="592"/>
      <c r="S24" s="2238" t="str">
        <f t="shared" si="5"/>
        <v>0.00%</v>
      </c>
      <c r="T24" s="340">
        <f>ROUND(P24*(1+U19),0)</f>
        <v>0</v>
      </c>
      <c r="U24" s="455" t="str">
        <f>TEXT(U19,"0.0%")&amp;" = Est. S &amp; C"</f>
        <v>2.0% = Est. S &amp; C</v>
      </c>
      <c r="V24" s="952"/>
      <c r="W24" s="2241" t="str">
        <f t="shared" si="6"/>
        <v>0.00%</v>
      </c>
      <c r="X24" s="340">
        <f>ROUND(T24*(1+Y19),0)</f>
        <v>0</v>
      </c>
      <c r="Y24" s="455" t="str">
        <f>TEXT(Y19,"0.0%")&amp;" = Est. S &amp; C"</f>
        <v>2.0% = Est. S &amp; C</v>
      </c>
      <c r="AA24" s="456" t="str">
        <f t="shared" si="7"/>
        <v>0.00%</v>
      </c>
      <c r="AB24" s="340">
        <f>ROUND(X24*(1+AC19),0)</f>
        <v>0</v>
      </c>
      <c r="AC24" s="455" t="str">
        <f>TEXT(AC19,"0.0%")&amp;" = Est. S &amp; C"</f>
        <v>2.0% = Est. S &amp; C</v>
      </c>
    </row>
    <row r="25" spans="1:29" s="457" customFormat="1" hidden="1" x14ac:dyDescent="0.25">
      <c r="A25" s="897"/>
      <c r="B25" s="2385"/>
      <c r="C25" s="1656"/>
      <c r="D25" s="340">
        <v>0</v>
      </c>
      <c r="E25" s="2386"/>
      <c r="F25" s="340"/>
      <c r="G25" s="456" t="str">
        <f t="shared" si="1"/>
        <v>0.00%</v>
      </c>
      <c r="H25" s="340">
        <f t="shared" si="2"/>
        <v>0</v>
      </c>
      <c r="I25" s="897"/>
      <c r="J25" s="455"/>
      <c r="K25" s="456" t="str">
        <f t="shared" si="3"/>
        <v>0.00%</v>
      </c>
      <c r="L25" s="340">
        <f>ROUND(H25*(1+M19),0)</f>
        <v>0</v>
      </c>
      <c r="M25" s="897"/>
      <c r="O25" s="456" t="str">
        <f t="shared" si="4"/>
        <v>0.00%</v>
      </c>
      <c r="P25" s="340">
        <f>ROUND(L25*(1+Q19),0)</f>
        <v>0</v>
      </c>
      <c r="Q25" s="897" t="str">
        <f>TEXT(Q19,"0.0%")&amp;" = Est. S &amp; C"</f>
        <v>2.0% = Est. S &amp; C</v>
      </c>
      <c r="R25" s="592"/>
      <c r="S25" s="2238" t="str">
        <f t="shared" si="5"/>
        <v>0.00%</v>
      </c>
      <c r="T25" s="340">
        <f>ROUND(P25*(1+U19),0)</f>
        <v>0</v>
      </c>
      <c r="U25" s="455" t="str">
        <f>TEXT(U19,"0.0%")&amp;" = Est. S &amp; C"</f>
        <v>2.0% = Est. S &amp; C</v>
      </c>
      <c r="V25" s="952"/>
      <c r="W25" s="2241" t="str">
        <f t="shared" si="6"/>
        <v>0.00%</v>
      </c>
      <c r="X25" s="340">
        <f>ROUND(T25*(1+Y19),0)</f>
        <v>0</v>
      </c>
      <c r="Y25" s="455" t="str">
        <f>TEXT(Y19,"0.0%")&amp;" = Est. S &amp; C"</f>
        <v>2.0% = Est. S &amp; C</v>
      </c>
      <c r="AA25" s="456" t="str">
        <f t="shared" si="7"/>
        <v>0.00%</v>
      </c>
      <c r="AB25" s="340">
        <f>ROUND(X25*(1+AC19),0)</f>
        <v>0</v>
      </c>
      <c r="AC25" s="455" t="str">
        <f>TEXT(AC19,"0.0%")&amp;" = Est. S &amp; C"</f>
        <v>2.0% = Est. S &amp; C</v>
      </c>
    </row>
    <row r="26" spans="1:29" s="457" customFormat="1" hidden="1" x14ac:dyDescent="0.25">
      <c r="A26" s="897"/>
      <c r="B26" s="2385"/>
      <c r="C26" s="1656"/>
      <c r="D26" s="340">
        <v>0</v>
      </c>
      <c r="E26" s="2386"/>
      <c r="F26" s="340"/>
      <c r="G26" s="456" t="str">
        <f t="shared" si="1"/>
        <v>0.00%</v>
      </c>
      <c r="H26" s="340">
        <f t="shared" si="2"/>
        <v>0</v>
      </c>
      <c r="I26" s="897"/>
      <c r="J26" s="455"/>
      <c r="K26" s="456" t="str">
        <f t="shared" si="3"/>
        <v>0.00%</v>
      </c>
      <c r="L26" s="340">
        <f>ROUND(H26*(1+M19),0)</f>
        <v>0</v>
      </c>
      <c r="M26" s="2341"/>
      <c r="O26" s="456" t="str">
        <f t="shared" si="4"/>
        <v>0.00%</v>
      </c>
      <c r="P26" s="340">
        <f>ROUND(L26*(1+Q19),0)</f>
        <v>0</v>
      </c>
      <c r="Q26" s="897" t="str">
        <f>TEXT(Q19,"0.0%")&amp;" = Est. S &amp; C"</f>
        <v>2.0% = Est. S &amp; C</v>
      </c>
      <c r="R26" s="592"/>
      <c r="S26" s="2238" t="str">
        <f t="shared" si="5"/>
        <v>0.00%</v>
      </c>
      <c r="T26" s="340">
        <f>ROUND(P26*(1+U19),0)</f>
        <v>0</v>
      </c>
      <c r="U26" s="455" t="str">
        <f>TEXT(U19,"0.0%")&amp;" = Est. S &amp; C"</f>
        <v>2.0% = Est. S &amp; C</v>
      </c>
      <c r="V26" s="952"/>
      <c r="W26" s="2241" t="str">
        <f t="shared" si="6"/>
        <v>0.00%</v>
      </c>
      <c r="X26" s="340">
        <f>ROUND(T26*(1+Y19),0)</f>
        <v>0</v>
      </c>
      <c r="Y26" s="455" t="str">
        <f>TEXT(Y19,"0.0%")&amp;" = Est. S &amp; C"</f>
        <v>2.0% = Est. S &amp; C</v>
      </c>
      <c r="AA26" s="456" t="str">
        <f t="shared" si="7"/>
        <v>0.00%</v>
      </c>
      <c r="AB26" s="340">
        <f>ROUND(X26*(1+AC19),0)</f>
        <v>0</v>
      </c>
      <c r="AC26" s="455" t="str">
        <f>TEXT(AC19,"0.0%")&amp;" = Est. S &amp; C"</f>
        <v>2.0% = Est. S &amp; C</v>
      </c>
    </row>
    <row r="27" spans="1:29" s="457" customFormat="1" hidden="1" x14ac:dyDescent="0.25">
      <c r="A27" s="897"/>
      <c r="B27" s="2385"/>
      <c r="C27" s="1656"/>
      <c r="D27" s="340">
        <v>0</v>
      </c>
      <c r="E27" s="2386"/>
      <c r="F27" s="340"/>
      <c r="G27" s="456" t="str">
        <f t="shared" si="1"/>
        <v>0.00%</v>
      </c>
      <c r="H27" s="340">
        <f t="shared" si="2"/>
        <v>0</v>
      </c>
      <c r="I27" s="897"/>
      <c r="J27" s="455"/>
      <c r="K27" s="456" t="str">
        <f t="shared" si="3"/>
        <v>0.00%</v>
      </c>
      <c r="L27" s="340">
        <f>ROUND(H27*(1+M19),0)</f>
        <v>0</v>
      </c>
      <c r="M27" s="897"/>
      <c r="O27" s="456" t="str">
        <f t="shared" si="4"/>
        <v>0.00%</v>
      </c>
      <c r="P27" s="340">
        <f>ROUND(L27*(1+Q19),0)</f>
        <v>0</v>
      </c>
      <c r="Q27" s="897" t="str">
        <f>TEXT(Q19,"0.0%")&amp;" = Est. S &amp; C"</f>
        <v>2.0% = Est. S &amp; C</v>
      </c>
      <c r="R27" s="592"/>
      <c r="S27" s="2238" t="str">
        <f t="shared" si="5"/>
        <v>0.00%</v>
      </c>
      <c r="T27" s="340">
        <f>ROUND(P27*(1+U19),0)</f>
        <v>0</v>
      </c>
      <c r="U27" s="455" t="str">
        <f>TEXT(U19,"0.0%")&amp;" = Est. S &amp; C"</f>
        <v>2.0% = Est. S &amp; C</v>
      </c>
      <c r="V27" s="952"/>
      <c r="W27" s="2241" t="str">
        <f t="shared" si="6"/>
        <v>0.00%</v>
      </c>
      <c r="X27" s="340">
        <f>ROUND(T27*(1+Y19),0)</f>
        <v>0</v>
      </c>
      <c r="Y27" s="455" t="str">
        <f>TEXT(Y19,"0.0%")&amp;" = Est. S &amp; C"</f>
        <v>2.0% = Est. S &amp; C</v>
      </c>
      <c r="AA27" s="456" t="str">
        <f t="shared" si="7"/>
        <v>0.00%</v>
      </c>
      <c r="AB27" s="340">
        <f>ROUND(X27*(1+AC19),0)</f>
        <v>0</v>
      </c>
      <c r="AC27" s="455" t="str">
        <f>TEXT(AC19,"0.0%")&amp;" = Est. S &amp; C"</f>
        <v>2.0% = Est. S &amp; C</v>
      </c>
    </row>
    <row r="28" spans="1:29" s="457" customFormat="1" hidden="1" x14ac:dyDescent="0.25">
      <c r="A28" s="897"/>
      <c r="B28" s="2385"/>
      <c r="C28" s="1656"/>
      <c r="D28" s="340">
        <v>0</v>
      </c>
      <c r="E28" s="2386"/>
      <c r="F28" s="340"/>
      <c r="G28" s="456" t="str">
        <f>IF(D28=0,"0.00%",(H28-D28)/D28)</f>
        <v>0.00%</v>
      </c>
      <c r="H28" s="340">
        <f>ROUND(D28*(1+$I$19),0)</f>
        <v>0</v>
      </c>
      <c r="I28" s="897"/>
      <c r="J28" s="455"/>
      <c r="K28" s="456" t="str">
        <f>IF(H28=0,"0.00%",(L28-H28)/H28)</f>
        <v>0.00%</v>
      </c>
      <c r="L28" s="340">
        <f>ROUND(H28*(1+M20),0)</f>
        <v>0</v>
      </c>
      <c r="M28" s="897"/>
      <c r="O28" s="456" t="str">
        <f>IF(L28=0,"0.00%",(P28-L28)/L28)</f>
        <v>0.00%</v>
      </c>
      <c r="P28" s="340">
        <f>ROUND(L28*(1+Q20),0)</f>
        <v>0</v>
      </c>
      <c r="Q28" s="897" t="str">
        <f>TEXT(Q20,"0.0%")&amp;" = Est. S &amp; C"</f>
        <v>0.0% = Est. S &amp; C</v>
      </c>
      <c r="R28" s="592"/>
      <c r="S28" s="2238" t="str">
        <f>IF(P28=0,"0.00%",(T28-P28)/P28)</f>
        <v>0.00%</v>
      </c>
      <c r="T28" s="340">
        <f>ROUND(P28*(1+U20),0)</f>
        <v>0</v>
      </c>
      <c r="U28" s="455" t="str">
        <f>TEXT(U20,"0.0%")&amp;" = Est. S &amp; C"</f>
        <v>0.0% = Est. S &amp; C</v>
      </c>
      <c r="V28" s="952"/>
      <c r="W28" s="2241" t="str">
        <f>IF(T28=0,"0.00%",(X28-T28)/T28)</f>
        <v>0.00%</v>
      </c>
      <c r="X28" s="340">
        <f>ROUND(T28*(1+Y20),0)</f>
        <v>0</v>
      </c>
      <c r="Y28" s="455" t="str">
        <f>TEXT(Y20,"0.0%")&amp;" = Est. S &amp; C"</f>
        <v>0.0% = Est. S &amp; C</v>
      </c>
      <c r="AA28" s="456" t="str">
        <f>IF(X28=0,"0.00%",(AB28-X28)/X28)</f>
        <v>0.00%</v>
      </c>
      <c r="AB28" s="340">
        <f>ROUND(X28*(1+AC20),0)</f>
        <v>0</v>
      </c>
      <c r="AC28" s="455" t="str">
        <f>TEXT(AC20,"0.0%")&amp;" = Est. S &amp; C"</f>
        <v>0.0% = Est. S &amp; C</v>
      </c>
    </row>
    <row r="29" spans="1:29" s="457" customFormat="1" ht="6" customHeight="1" x14ac:dyDescent="0.25">
      <c r="A29" s="897"/>
      <c r="B29" s="2385"/>
      <c r="C29" s="1656"/>
      <c r="D29" s="340"/>
      <c r="E29" s="2386"/>
      <c r="F29" s="340"/>
      <c r="G29" s="456"/>
      <c r="H29" s="340"/>
      <c r="I29" s="897"/>
      <c r="J29" s="455"/>
      <c r="K29" s="1668"/>
      <c r="L29" s="340"/>
      <c r="M29" s="901"/>
      <c r="O29" s="1668"/>
      <c r="P29" s="340"/>
      <c r="Q29" s="901"/>
      <c r="R29" s="592"/>
      <c r="S29" s="2341"/>
      <c r="T29" s="340"/>
      <c r="U29" s="2344"/>
      <c r="V29" s="952"/>
      <c r="W29" s="2343"/>
      <c r="X29" s="340"/>
      <c r="Y29" s="2344"/>
      <c r="AA29" s="1668"/>
      <c r="AB29" s="340"/>
      <c r="AC29" s="2344"/>
    </row>
    <row r="30" spans="1:29" s="457" customFormat="1" x14ac:dyDescent="0.25">
      <c r="A30" s="898"/>
      <c r="B30" s="2385"/>
      <c r="C30" s="1656"/>
      <c r="D30" s="458">
        <f>SUM(D21:D29)</f>
        <v>0</v>
      </c>
      <c r="E30" s="2386"/>
      <c r="F30" s="340"/>
      <c r="G30" s="456" t="str">
        <f t="shared" si="1"/>
        <v>0.00%</v>
      </c>
      <c r="H30" s="458">
        <f>SUM(H21:H29)</f>
        <v>0</v>
      </c>
      <c r="I30" s="898"/>
      <c r="J30" s="459"/>
      <c r="K30" s="456" t="str">
        <f>IF(H30=0,"0.00%",(L30-H30)/H30)</f>
        <v>0.00%</v>
      </c>
      <c r="L30" s="458">
        <f>SUM(L21:L29)</f>
        <v>26900</v>
      </c>
      <c r="M30" s="901"/>
      <c r="O30" s="456">
        <f>IF(L30=0,"0.00%",(P30-L30)/L30)</f>
        <v>0</v>
      </c>
      <c r="P30" s="458">
        <f>SUM(P21:P29)</f>
        <v>26900</v>
      </c>
      <c r="Q30" s="901"/>
      <c r="R30" s="592"/>
      <c r="S30" s="2238">
        <f>IF(P30=0,"0.00%",(T30-P30)/P30)</f>
        <v>0</v>
      </c>
      <c r="T30" s="458">
        <f>SUM(T21:T29)</f>
        <v>26900</v>
      </c>
      <c r="U30" s="2344"/>
      <c r="V30" s="952"/>
      <c r="W30" s="2241">
        <f>IF(T30=0,"0.00%",(X30-T30)/T30)</f>
        <v>0.02</v>
      </c>
      <c r="X30" s="458">
        <f>SUM(X21:X29)</f>
        <v>27438</v>
      </c>
      <c r="Y30" s="2344"/>
      <c r="AA30" s="456">
        <f>IF(X30=0,"0.00%",(AB30-X30)/X30)</f>
        <v>2.0008746993221079E-2</v>
      </c>
      <c r="AB30" s="458">
        <f>SUM(AB21:AB29)</f>
        <v>27987</v>
      </c>
      <c r="AC30" s="2344"/>
    </row>
    <row r="31" spans="1:29" s="457" customFormat="1" x14ac:dyDescent="0.25">
      <c r="A31" s="897"/>
      <c r="B31" s="2345"/>
      <c r="C31" s="1656"/>
      <c r="D31" s="340"/>
      <c r="E31" s="2386"/>
      <c r="F31" s="340"/>
      <c r="G31" s="2338"/>
      <c r="H31" s="340"/>
      <c r="I31" s="899"/>
      <c r="J31" s="455"/>
      <c r="K31" s="1668"/>
      <c r="L31" s="340"/>
      <c r="M31" s="2388"/>
      <c r="O31" s="1668"/>
      <c r="P31" s="340"/>
      <c r="Q31" s="2388"/>
      <c r="R31" s="592"/>
      <c r="S31" s="2341"/>
      <c r="T31" s="340"/>
      <c r="U31" s="2344"/>
      <c r="V31" s="952"/>
      <c r="W31" s="2343"/>
      <c r="X31" s="340"/>
      <c r="Y31" s="2344"/>
      <c r="AA31" s="1668"/>
      <c r="AB31" s="340"/>
      <c r="AC31" s="2344"/>
    </row>
    <row r="32" spans="1:29" s="461" customFormat="1" x14ac:dyDescent="0.25">
      <c r="A32" s="900"/>
      <c r="B32" s="2440" t="s">
        <v>35</v>
      </c>
      <c r="C32" s="900"/>
      <c r="D32" s="460"/>
      <c r="E32" s="868"/>
      <c r="F32" s="460"/>
      <c r="G32" s="2389"/>
      <c r="H32" s="460"/>
      <c r="I32" s="868"/>
      <c r="J32" s="460"/>
      <c r="K32" s="1669"/>
      <c r="L32" s="460"/>
      <c r="M32" s="902"/>
      <c r="O32" s="1669"/>
      <c r="P32" s="460"/>
      <c r="Q32" s="902"/>
      <c r="S32" s="1669"/>
      <c r="T32" s="460"/>
      <c r="U32" s="2392"/>
      <c r="V32" s="2381"/>
      <c r="W32" s="2382"/>
      <c r="X32" s="460"/>
      <c r="Y32" s="2392"/>
      <c r="AA32" s="1669"/>
      <c r="AB32" s="460"/>
      <c r="AC32" s="2392"/>
    </row>
    <row r="33" spans="1:29" s="457" customFormat="1" hidden="1" x14ac:dyDescent="0.25">
      <c r="A33" s="897"/>
      <c r="B33" s="2385"/>
      <c r="C33" s="1656"/>
      <c r="D33" s="340">
        <v>0</v>
      </c>
      <c r="E33" s="2386"/>
      <c r="F33" s="340"/>
      <c r="G33" s="456" t="str">
        <f t="shared" ref="G33:G39" si="8">IF(D33=0,"0.00%",(H33-D33)/D33)</f>
        <v>0.00%</v>
      </c>
      <c r="H33" s="340">
        <f t="shared" ref="H33:H39" si="9">ROUND(D33*(1+$I$19),0)</f>
        <v>0</v>
      </c>
      <c r="I33" s="897"/>
      <c r="J33" s="455"/>
      <c r="K33" s="456" t="str">
        <f t="shared" ref="K33:K39" si="10">IF(H33=0,"0.00%",(L33-H33)/H33)</f>
        <v>0.00%</v>
      </c>
      <c r="L33" s="340">
        <f>ROUND(H33*(1+M19),0)</f>
        <v>0</v>
      </c>
      <c r="M33" s="897"/>
      <c r="O33" s="456" t="str">
        <f t="shared" ref="O33:O39" si="11">IF(L33=0,"0.00%",(P33-L33)/L33)</f>
        <v>0.00%</v>
      </c>
      <c r="P33" s="340">
        <f>ROUND(L33*(1+Q19),0)</f>
        <v>0</v>
      </c>
      <c r="Q33" s="897" t="str">
        <f>TEXT(Q19,"0.0%")&amp;" = Est. S &amp; C"</f>
        <v>2.0% = Est. S &amp; C</v>
      </c>
      <c r="R33" s="592"/>
      <c r="S33" s="2238" t="str">
        <f t="shared" ref="S33:S39" si="12">IF(P33=0,"0.00%",(T33-P33)/P33)</f>
        <v>0.00%</v>
      </c>
      <c r="T33" s="340">
        <f>ROUND(P33*(1+U19),0)</f>
        <v>0</v>
      </c>
      <c r="U33" s="455" t="str">
        <f>TEXT(U19,"0.0%")&amp;" = Est. S &amp; C"</f>
        <v>2.0% = Est. S &amp; C</v>
      </c>
      <c r="V33" s="952"/>
      <c r="W33" s="2241" t="str">
        <f t="shared" ref="W33:W39" si="13">IF(T33=0,"0.00%",(X33-T33)/T33)</f>
        <v>0.00%</v>
      </c>
      <c r="X33" s="340">
        <f>ROUND(T33*(1+Y19),0)</f>
        <v>0</v>
      </c>
      <c r="Y33" s="455" t="str">
        <f>TEXT(Y19,"0.0%")&amp;" = Est. S &amp; C"</f>
        <v>2.0% = Est. S &amp; C</v>
      </c>
      <c r="AA33" s="456" t="str">
        <f t="shared" ref="AA33:AA39" si="14">IF(X33=0,"0.00%",(AB33-X33)/X33)</f>
        <v>0.00%</v>
      </c>
      <c r="AB33" s="340">
        <f>ROUND(X33*(1+AC19),0)</f>
        <v>0</v>
      </c>
      <c r="AC33" s="455" t="str">
        <f>TEXT(AC19,"0.0%")&amp;" = Est. S &amp; C"</f>
        <v>2.0% = Est. S &amp; C</v>
      </c>
    </row>
    <row r="34" spans="1:29" s="457" customFormat="1" hidden="1" x14ac:dyDescent="0.25">
      <c r="A34" s="897"/>
      <c r="B34" s="2385"/>
      <c r="C34" s="1656"/>
      <c r="D34" s="340">
        <v>0</v>
      </c>
      <c r="E34" s="2386"/>
      <c r="F34" s="340"/>
      <c r="G34" s="456" t="str">
        <f t="shared" si="8"/>
        <v>0.00%</v>
      </c>
      <c r="H34" s="340">
        <f t="shared" si="9"/>
        <v>0</v>
      </c>
      <c r="I34" s="897"/>
      <c r="J34" s="455"/>
      <c r="K34" s="456" t="str">
        <f t="shared" si="10"/>
        <v>0.00%</v>
      </c>
      <c r="L34" s="340">
        <f>ROUND(H34*(1+M19),0)</f>
        <v>0</v>
      </c>
      <c r="M34" s="897"/>
      <c r="O34" s="456" t="str">
        <f t="shared" si="11"/>
        <v>0.00%</v>
      </c>
      <c r="P34" s="340">
        <f>ROUND(L34*(1+Q19),0)</f>
        <v>0</v>
      </c>
      <c r="Q34" s="897" t="str">
        <f>TEXT(Q19,"0.0%")&amp;" = Est. S &amp; C"</f>
        <v>2.0% = Est. S &amp; C</v>
      </c>
      <c r="R34" s="592"/>
      <c r="S34" s="2238" t="str">
        <f t="shared" si="12"/>
        <v>0.00%</v>
      </c>
      <c r="T34" s="340">
        <f>ROUND(P34*(1+U19),0)</f>
        <v>0</v>
      </c>
      <c r="U34" s="455" t="str">
        <f>TEXT(U19,"0.0%")&amp;" = Est. S &amp; C"</f>
        <v>2.0% = Est. S &amp; C</v>
      </c>
      <c r="V34" s="952"/>
      <c r="W34" s="2241" t="str">
        <f t="shared" si="13"/>
        <v>0.00%</v>
      </c>
      <c r="X34" s="340">
        <f>ROUND(T34*(1+Y19),0)</f>
        <v>0</v>
      </c>
      <c r="Y34" s="455" t="str">
        <f>TEXT(Y19,"0.0%")&amp;" = Est. S &amp; C"</f>
        <v>2.0% = Est. S &amp; C</v>
      </c>
      <c r="AA34" s="456" t="str">
        <f t="shared" si="14"/>
        <v>0.00%</v>
      </c>
      <c r="AB34" s="340">
        <f>ROUND(X34*(1+AC19),0)</f>
        <v>0</v>
      </c>
      <c r="AC34" s="455" t="str">
        <f>TEXT(AC19,"0.0%")&amp;" = Est. S &amp; C"</f>
        <v>2.0% = Est. S &amp; C</v>
      </c>
    </row>
    <row r="35" spans="1:29" s="457" customFormat="1" hidden="1" x14ac:dyDescent="0.25">
      <c r="A35" s="897"/>
      <c r="B35" s="2385"/>
      <c r="C35" s="1656"/>
      <c r="D35" s="340">
        <v>0</v>
      </c>
      <c r="E35" s="2386"/>
      <c r="F35" s="340"/>
      <c r="G35" s="456" t="str">
        <f t="shared" si="8"/>
        <v>0.00%</v>
      </c>
      <c r="H35" s="340">
        <f t="shared" si="9"/>
        <v>0</v>
      </c>
      <c r="I35" s="897"/>
      <c r="J35" s="455"/>
      <c r="K35" s="456" t="str">
        <f t="shared" si="10"/>
        <v>0.00%</v>
      </c>
      <c r="L35" s="340">
        <f>ROUND(H35*(1+M19),0)</f>
        <v>0</v>
      </c>
      <c r="M35" s="897"/>
      <c r="O35" s="456" t="str">
        <f t="shared" si="11"/>
        <v>0.00%</v>
      </c>
      <c r="P35" s="340">
        <f>ROUND(L35*(1+Q19),0)</f>
        <v>0</v>
      </c>
      <c r="Q35" s="897" t="str">
        <f>TEXT(Q19,"0.0%")&amp;" = Est. S &amp; C"</f>
        <v>2.0% = Est. S &amp; C</v>
      </c>
      <c r="R35" s="592"/>
      <c r="S35" s="2238" t="str">
        <f t="shared" si="12"/>
        <v>0.00%</v>
      </c>
      <c r="T35" s="340">
        <f>ROUND(P35*(1+U19),0)</f>
        <v>0</v>
      </c>
      <c r="U35" s="455" t="str">
        <f>TEXT(U19,"0.0%")&amp;" = Est. S &amp; C"</f>
        <v>2.0% = Est. S &amp; C</v>
      </c>
      <c r="V35" s="952"/>
      <c r="W35" s="2241" t="str">
        <f t="shared" si="13"/>
        <v>0.00%</v>
      </c>
      <c r="X35" s="340">
        <f>ROUND(T35*(1+Y19),0)</f>
        <v>0</v>
      </c>
      <c r="Y35" s="455" t="str">
        <f>TEXT(Y19,"0.0%")&amp;" = Est. S &amp; C"</f>
        <v>2.0% = Est. S &amp; C</v>
      </c>
      <c r="AA35" s="456" t="str">
        <f t="shared" si="14"/>
        <v>0.00%</v>
      </c>
      <c r="AB35" s="340">
        <f>ROUND(X35*(1+AC19),0)</f>
        <v>0</v>
      </c>
      <c r="AC35" s="455" t="str">
        <f>TEXT(AC19,"0.0%")&amp;" = Est. S &amp; C"</f>
        <v>2.0% = Est. S &amp; C</v>
      </c>
    </row>
    <row r="36" spans="1:29" s="457" customFormat="1" hidden="1" x14ac:dyDescent="0.25">
      <c r="A36" s="897"/>
      <c r="B36" s="2385"/>
      <c r="C36" s="1656"/>
      <c r="D36" s="340">
        <v>0</v>
      </c>
      <c r="E36" s="2386"/>
      <c r="F36" s="340"/>
      <c r="G36" s="456" t="str">
        <f t="shared" si="8"/>
        <v>0.00%</v>
      </c>
      <c r="H36" s="340">
        <f t="shared" si="9"/>
        <v>0</v>
      </c>
      <c r="I36" s="897"/>
      <c r="J36" s="455"/>
      <c r="K36" s="456" t="str">
        <f t="shared" si="10"/>
        <v>0.00%</v>
      </c>
      <c r="L36" s="340">
        <f>ROUND(H36*(1+M19),0)</f>
        <v>0</v>
      </c>
      <c r="M36" s="897"/>
      <c r="O36" s="456" t="str">
        <f t="shared" si="11"/>
        <v>0.00%</v>
      </c>
      <c r="P36" s="340">
        <f>ROUND(L36*(1+Q19),0)</f>
        <v>0</v>
      </c>
      <c r="Q36" s="897" t="str">
        <f>TEXT(Q19,"0.0%")&amp;" = Est. S &amp; C"</f>
        <v>2.0% = Est. S &amp; C</v>
      </c>
      <c r="R36" s="592"/>
      <c r="S36" s="2238" t="str">
        <f t="shared" si="12"/>
        <v>0.00%</v>
      </c>
      <c r="T36" s="340">
        <f>ROUND(P36*(1+U19),0)</f>
        <v>0</v>
      </c>
      <c r="U36" s="455" t="str">
        <f>TEXT(U19,"0.0%")&amp;" = Est. S &amp; C"</f>
        <v>2.0% = Est. S &amp; C</v>
      </c>
      <c r="V36" s="952"/>
      <c r="W36" s="2241" t="str">
        <f t="shared" si="13"/>
        <v>0.00%</v>
      </c>
      <c r="X36" s="340">
        <f>ROUND(T36*(1+Y19),0)</f>
        <v>0</v>
      </c>
      <c r="Y36" s="455" t="str">
        <f>TEXT(Y19,"0.0%")&amp;" = Est. S &amp; C"</f>
        <v>2.0% = Est. S &amp; C</v>
      </c>
      <c r="AA36" s="456" t="str">
        <f t="shared" si="14"/>
        <v>0.00%</v>
      </c>
      <c r="AB36" s="340">
        <f>ROUND(X36*(1+AC19),0)</f>
        <v>0</v>
      </c>
      <c r="AC36" s="455" t="str">
        <f>TEXT(AC19,"0.0%")&amp;" = Est. S &amp; C"</f>
        <v>2.0% = Est. S &amp; C</v>
      </c>
    </row>
    <row r="37" spans="1:29" s="457" customFormat="1" hidden="1" x14ac:dyDescent="0.25">
      <c r="A37" s="897"/>
      <c r="B37" s="2385"/>
      <c r="C37" s="1656"/>
      <c r="D37" s="340">
        <v>0</v>
      </c>
      <c r="E37" s="2386"/>
      <c r="F37" s="340"/>
      <c r="G37" s="456" t="str">
        <f t="shared" si="8"/>
        <v>0.00%</v>
      </c>
      <c r="H37" s="340">
        <f t="shared" si="9"/>
        <v>0</v>
      </c>
      <c r="I37" s="897"/>
      <c r="J37" s="455"/>
      <c r="K37" s="456" t="str">
        <f t="shared" si="10"/>
        <v>0.00%</v>
      </c>
      <c r="L37" s="340">
        <f>ROUND(H37*(1+M19),0)</f>
        <v>0</v>
      </c>
      <c r="M37" s="897"/>
      <c r="O37" s="456" t="str">
        <f t="shared" si="11"/>
        <v>0.00%</v>
      </c>
      <c r="P37" s="340">
        <f>ROUND(L37*(1+Q19),0)</f>
        <v>0</v>
      </c>
      <c r="Q37" s="897" t="str">
        <f>TEXT(Q19,"0.0%")&amp;" = Est. S &amp; C"</f>
        <v>2.0% = Est. S &amp; C</v>
      </c>
      <c r="R37" s="592"/>
      <c r="S37" s="2238" t="str">
        <f t="shared" si="12"/>
        <v>0.00%</v>
      </c>
      <c r="T37" s="340">
        <f>ROUND(P37*(1+U19),0)</f>
        <v>0</v>
      </c>
      <c r="U37" s="455" t="str">
        <f>TEXT(U19,"0.0%")&amp;" = Est. S &amp; C"</f>
        <v>2.0% = Est. S &amp; C</v>
      </c>
      <c r="V37" s="952"/>
      <c r="W37" s="2241" t="str">
        <f t="shared" si="13"/>
        <v>0.00%</v>
      </c>
      <c r="X37" s="340">
        <f>ROUND(T37*(1+Y19),0)</f>
        <v>0</v>
      </c>
      <c r="Y37" s="455" t="str">
        <f>TEXT(Y19,"0.0%")&amp;" = Est. S &amp; C"</f>
        <v>2.0% = Est. S &amp; C</v>
      </c>
      <c r="AA37" s="456" t="str">
        <f t="shared" si="14"/>
        <v>0.00%</v>
      </c>
      <c r="AB37" s="340">
        <f>ROUND(X37*(1+AC19),0)</f>
        <v>0</v>
      </c>
      <c r="AC37" s="455" t="str">
        <f>TEXT(AC19,"0.0%")&amp;" = Est. S &amp; C"</f>
        <v>2.0% = Est. S &amp; C</v>
      </c>
    </row>
    <row r="38" spans="1:29" s="457" customFormat="1" hidden="1" x14ac:dyDescent="0.25">
      <c r="A38" s="897"/>
      <c r="B38" s="2385"/>
      <c r="C38" s="1656"/>
      <c r="D38" s="340">
        <v>0</v>
      </c>
      <c r="E38" s="2386"/>
      <c r="F38" s="340"/>
      <c r="G38" s="456" t="str">
        <f t="shared" si="8"/>
        <v>0.00%</v>
      </c>
      <c r="H38" s="340">
        <f t="shared" si="9"/>
        <v>0</v>
      </c>
      <c r="I38" s="897"/>
      <c r="J38" s="455"/>
      <c r="K38" s="456" t="str">
        <f t="shared" si="10"/>
        <v>0.00%</v>
      </c>
      <c r="L38" s="340">
        <f>ROUND(H38*(1+M19),0)</f>
        <v>0</v>
      </c>
      <c r="M38" s="897"/>
      <c r="O38" s="456" t="str">
        <f t="shared" si="11"/>
        <v>0.00%</v>
      </c>
      <c r="P38" s="340">
        <f>ROUND(L38*(1+Q19),0)</f>
        <v>0</v>
      </c>
      <c r="Q38" s="897" t="str">
        <f>TEXT(Q19,"0.0%")&amp;" = Est. S &amp; C"</f>
        <v>2.0% = Est. S &amp; C</v>
      </c>
      <c r="R38" s="592"/>
      <c r="S38" s="2238" t="str">
        <f t="shared" si="12"/>
        <v>0.00%</v>
      </c>
      <c r="T38" s="340">
        <f>ROUND(P38*(1+U19),0)</f>
        <v>0</v>
      </c>
      <c r="U38" s="455" t="str">
        <f>TEXT(U19,"0.0%")&amp;" = Est. S &amp; C"</f>
        <v>2.0% = Est. S &amp; C</v>
      </c>
      <c r="V38" s="952"/>
      <c r="W38" s="2241" t="str">
        <f t="shared" si="13"/>
        <v>0.00%</v>
      </c>
      <c r="X38" s="340">
        <f>ROUND(T38*(1+Y19),0)</f>
        <v>0</v>
      </c>
      <c r="Y38" s="455" t="str">
        <f>TEXT(Y19,"0.0%")&amp;" = Est. S &amp; C"</f>
        <v>2.0% = Est. S &amp; C</v>
      </c>
      <c r="AA38" s="456" t="str">
        <f t="shared" si="14"/>
        <v>0.00%</v>
      </c>
      <c r="AB38" s="340">
        <f>ROUND(X38*(1+AC19),0)</f>
        <v>0</v>
      </c>
      <c r="AC38" s="455" t="str">
        <f>TEXT(AC19,"0.0%")&amp;" = Est. S &amp; C"</f>
        <v>2.0% = Est. S &amp; C</v>
      </c>
    </row>
    <row r="39" spans="1:29" s="457" customFormat="1" hidden="1" x14ac:dyDescent="0.25">
      <c r="A39" s="897"/>
      <c r="B39" s="2385"/>
      <c r="C39" s="1656"/>
      <c r="D39" s="340">
        <v>0</v>
      </c>
      <c r="E39" s="2386"/>
      <c r="F39" s="340"/>
      <c r="G39" s="456" t="str">
        <f t="shared" si="8"/>
        <v>0.00%</v>
      </c>
      <c r="H39" s="340">
        <f t="shared" si="9"/>
        <v>0</v>
      </c>
      <c r="I39" s="897"/>
      <c r="J39" s="455"/>
      <c r="K39" s="456" t="str">
        <f t="shared" si="10"/>
        <v>0.00%</v>
      </c>
      <c r="L39" s="340">
        <f>ROUND(H39*(1+M19),0)</f>
        <v>0</v>
      </c>
      <c r="M39" s="897"/>
      <c r="O39" s="456" t="str">
        <f t="shared" si="11"/>
        <v>0.00%</v>
      </c>
      <c r="P39" s="340">
        <f>ROUND(L39*(1+Q19),0)</f>
        <v>0</v>
      </c>
      <c r="Q39" s="897" t="str">
        <f>TEXT(Q19,"0.0%")&amp;" = Est. S &amp; C"</f>
        <v>2.0% = Est. S &amp; C</v>
      </c>
      <c r="R39" s="592"/>
      <c r="S39" s="2238" t="str">
        <f t="shared" si="12"/>
        <v>0.00%</v>
      </c>
      <c r="T39" s="340">
        <f>ROUND(P39*(1+U19),0)</f>
        <v>0</v>
      </c>
      <c r="U39" s="455" t="str">
        <f>TEXT(U19,"0.0%")&amp;" = Est. S &amp; C"</f>
        <v>2.0% = Est. S &amp; C</v>
      </c>
      <c r="V39" s="952"/>
      <c r="W39" s="2241" t="str">
        <f t="shared" si="13"/>
        <v>0.00%</v>
      </c>
      <c r="X39" s="340">
        <f>ROUND(T39*(1+Y19),0)</f>
        <v>0</v>
      </c>
      <c r="Y39" s="455" t="str">
        <f>TEXT(Y19,"0.0%")&amp;" = Est. S &amp; C"</f>
        <v>2.0% = Est. S &amp; C</v>
      </c>
      <c r="AA39" s="456" t="str">
        <f t="shared" si="14"/>
        <v>0.00%</v>
      </c>
      <c r="AB39" s="340">
        <f>ROUND(X39*(1+AC19),0)</f>
        <v>0</v>
      </c>
      <c r="AC39" s="455" t="str">
        <f>TEXT(AC19,"0.0%")&amp;" = Est. S &amp; C"</f>
        <v>2.0% = Est. S &amp; C</v>
      </c>
    </row>
    <row r="40" spans="1:29" s="457" customFormat="1" ht="6" customHeight="1" x14ac:dyDescent="0.25">
      <c r="A40" s="897"/>
      <c r="B40" s="2385"/>
      <c r="C40" s="1656"/>
      <c r="D40" s="340"/>
      <c r="E40" s="2386"/>
      <c r="F40" s="340"/>
      <c r="G40" s="2338"/>
      <c r="H40" s="340"/>
      <c r="I40" s="897"/>
      <c r="J40" s="455"/>
      <c r="K40" s="1668"/>
      <c r="L40" s="340"/>
      <c r="M40" s="901"/>
      <c r="O40" s="1668"/>
      <c r="P40" s="340"/>
      <c r="Q40" s="901"/>
      <c r="R40" s="592"/>
      <c r="S40" s="2341"/>
      <c r="T40" s="340"/>
      <c r="U40" s="2344"/>
      <c r="V40" s="952"/>
      <c r="W40" s="2343"/>
      <c r="X40" s="340"/>
      <c r="Y40" s="2344"/>
      <c r="AA40" s="1668"/>
      <c r="AB40" s="340"/>
      <c r="AC40" s="2344"/>
    </row>
    <row r="41" spans="1:29" s="457" customFormat="1" x14ac:dyDescent="0.25">
      <c r="A41" s="898"/>
      <c r="B41" s="2385"/>
      <c r="C41" s="1656"/>
      <c r="D41" s="458">
        <f>SUM(D33:D40)</f>
        <v>0</v>
      </c>
      <c r="E41" s="2386"/>
      <c r="F41" s="340"/>
      <c r="G41" s="456" t="str">
        <f>IF(D41=0,"0.00%",(H41-D41)/D41)</f>
        <v>0.00%</v>
      </c>
      <c r="H41" s="458">
        <f>SUM(H33:H40)</f>
        <v>0</v>
      </c>
      <c r="I41" s="898"/>
      <c r="J41" s="459"/>
      <c r="K41" s="456" t="str">
        <f>IF(H41=0,"0.00%",(L41-H41)/H41)</f>
        <v>0.00%</v>
      </c>
      <c r="L41" s="458">
        <f>SUM(L33:L40)</f>
        <v>0</v>
      </c>
      <c r="M41" s="901"/>
      <c r="O41" s="456" t="str">
        <f>IF(L41=0,"0.00%",(P41-L41)/L41)</f>
        <v>0.00%</v>
      </c>
      <c r="P41" s="458">
        <f>SUM(P33:P40)</f>
        <v>0</v>
      </c>
      <c r="Q41" s="901"/>
      <c r="R41" s="592"/>
      <c r="S41" s="2238" t="str">
        <f>IF(P41=0,"0.00%",(T41-P41)/P41)</f>
        <v>0.00%</v>
      </c>
      <c r="T41" s="458">
        <f>SUM(T33:T40)</f>
        <v>0</v>
      </c>
      <c r="U41" s="2344"/>
      <c r="V41" s="952"/>
      <c r="W41" s="2241" t="str">
        <f>IF(T41=0,"0.00%",(X41-T41)/T41)</f>
        <v>0.00%</v>
      </c>
      <c r="X41" s="458">
        <f>SUM(X33:X40)</f>
        <v>0</v>
      </c>
      <c r="Y41" s="2344"/>
      <c r="AA41" s="456" t="str">
        <f>IF(X41=0,"0.00%",(AB41-X41)/X41)</f>
        <v>0.00%</v>
      </c>
      <c r="AB41" s="458">
        <f>SUM(AB33:AB40)</f>
        <v>0</v>
      </c>
      <c r="AC41" s="2344"/>
    </row>
    <row r="42" spans="1:29" s="457" customFormat="1" x14ac:dyDescent="0.25">
      <c r="A42" s="897"/>
      <c r="B42" s="2345" t="s">
        <v>28</v>
      </c>
      <c r="C42" s="1656"/>
      <c r="D42" s="340"/>
      <c r="E42" s="2386"/>
      <c r="F42" s="340"/>
      <c r="G42" s="2338"/>
      <c r="H42" s="340"/>
      <c r="I42" s="897"/>
      <c r="J42" s="455"/>
      <c r="K42" s="1668"/>
      <c r="L42" s="340"/>
      <c r="M42" s="901"/>
      <c r="O42" s="1668"/>
      <c r="P42" s="340"/>
      <c r="Q42" s="901"/>
      <c r="R42" s="592"/>
      <c r="S42" s="2341"/>
      <c r="T42" s="340"/>
      <c r="U42" s="2344"/>
      <c r="V42" s="952"/>
      <c r="W42" s="2343"/>
      <c r="X42" s="340"/>
      <c r="Y42" s="2344"/>
      <c r="AA42" s="1668"/>
      <c r="AB42" s="340"/>
      <c r="AC42" s="2344"/>
    </row>
    <row r="43" spans="1:29" s="457" customFormat="1" x14ac:dyDescent="0.25">
      <c r="A43" s="868"/>
      <c r="B43" s="2337" t="s">
        <v>27</v>
      </c>
      <c r="C43" s="1656"/>
      <c r="D43" s="340"/>
      <c r="E43" s="2386"/>
      <c r="F43" s="340"/>
      <c r="G43" s="2338"/>
      <c r="H43" s="340"/>
      <c r="I43" s="897"/>
      <c r="J43" s="455"/>
      <c r="K43" s="1668"/>
      <c r="L43" s="340"/>
      <c r="M43" s="901"/>
      <c r="O43" s="1668"/>
      <c r="P43" s="340"/>
      <c r="Q43" s="901"/>
      <c r="R43" s="592"/>
      <c r="S43" s="2341"/>
      <c r="T43" s="340"/>
      <c r="U43" s="2344"/>
      <c r="V43" s="952"/>
      <c r="W43" s="2343"/>
      <c r="X43" s="340"/>
      <c r="Y43" s="2344"/>
      <c r="AA43" s="1668"/>
      <c r="AB43" s="340"/>
      <c r="AC43" s="2344"/>
    </row>
    <row r="44" spans="1:29" s="457" customFormat="1" x14ac:dyDescent="0.25">
      <c r="A44" s="897"/>
      <c r="B44" s="2385" t="s">
        <v>83</v>
      </c>
      <c r="C44" s="1656" t="s">
        <v>76</v>
      </c>
      <c r="D44" s="340">
        <v>0</v>
      </c>
      <c r="E44" s="899" t="str">
        <f>TEXT('MYP Assumptions'!$D$57,"0.00%")&amp;", STRS rate"</f>
        <v>12.58%, STRS rate</v>
      </c>
      <c r="F44" s="340"/>
      <c r="G44" s="456" t="str">
        <f t="shared" ref="G44:G53" si="15">IF(D44=0,"0.00%",(H44-D44)/D44)</f>
        <v>0.00%</v>
      </c>
      <c r="H44" s="340">
        <f>ROUND(H30*LEFT(I44,6),0)</f>
        <v>0</v>
      </c>
      <c r="I44" s="899" t="str">
        <f>TEXT('MYP Assumptions'!E57,"0.00%")&amp;", projected STRS rate"</f>
        <v>14.43%, projected STRS rate</v>
      </c>
      <c r="J44" s="455"/>
      <c r="K44" s="456" t="str">
        <f t="shared" ref="K44:K53" si="16">IF(H44=0,"0.00%",(L44-H44)/H44)</f>
        <v>0.00%</v>
      </c>
      <c r="L44" s="340">
        <v>4379</v>
      </c>
      <c r="M44" s="899" t="str">
        <f>TEXT('MYP Assumptions'!F57,"0.00%")&amp;", projected STRS rate"</f>
        <v>16.28%, projected STRS rate</v>
      </c>
      <c r="O44" s="456">
        <f t="shared" ref="O44:O53" si="17">IF(L44=0,"0.00%",(P44-L44)/L44)</f>
        <v>0.11372459465631422</v>
      </c>
      <c r="P44" s="340">
        <f>ROUND(P30*LEFT(Q44,6),0)</f>
        <v>4877</v>
      </c>
      <c r="Q44" s="899" t="str">
        <f>TEXT('MYP Assumptions'!G57,"0.00%")&amp;", projected STRS rate"</f>
        <v>18.13%, projected STRS rate</v>
      </c>
      <c r="R44" s="592"/>
      <c r="S44" s="2238">
        <f t="shared" ref="S44:S53" si="18">IF(P44=0,"0.00%",(T44-P44)/P44)</f>
        <v>5.351650604880049E-2</v>
      </c>
      <c r="T44" s="340">
        <f>ROUND(T30*LEFT(U44,6),0)</f>
        <v>5138</v>
      </c>
      <c r="U44" s="953" t="str">
        <f>TEXT('MYP Assumptions'!H57,"0.00%")&amp;", projected STRS rate"</f>
        <v>19.10%, projected STRS rate</v>
      </c>
      <c r="V44" s="952"/>
      <c r="W44" s="2241">
        <f t="shared" ref="W44:W53" si="19">IF(T44=0,"0.00%",(X44-T44)/T44)</f>
        <v>2.0046710782405604E-2</v>
      </c>
      <c r="X44" s="340">
        <f>ROUND(X30*LEFT(Y44,6),0)</f>
        <v>5241</v>
      </c>
      <c r="Y44" s="953" t="str">
        <f>TEXT('MYP Assumptions'!I57,"0.00%")&amp;", projected STRS rate"</f>
        <v>19.10%, projected STRS rate</v>
      </c>
      <c r="AA44" s="456" t="e">
        <f t="shared" ref="AA44:AA53" si="20">IF(X44=0,"0.00%",(AB44-X44)/X44)</f>
        <v>#VALUE!</v>
      </c>
      <c r="AB44" s="340" t="e">
        <f>ROUND(AB30*LEFT(AC44,6),0)</f>
        <v>#VALUE!</v>
      </c>
      <c r="AC44" s="953" t="str">
        <f>TEXT('MYP Assumptions'!J57,"0.00%")&amp;", projected STRS rate"</f>
        <v>0.00%, projected STRS rate</v>
      </c>
    </row>
    <row r="45" spans="1:29" s="457" customFormat="1" x14ac:dyDescent="0.25">
      <c r="A45" s="897"/>
      <c r="B45" s="2385" t="s">
        <v>84</v>
      </c>
      <c r="C45" s="1656" t="s">
        <v>77</v>
      </c>
      <c r="D45" s="340">
        <v>0</v>
      </c>
      <c r="E45" s="899" t="str">
        <f>TEXT('MYP Assumptions'!$D$58,"0.00%")&amp;", PERS rate"</f>
        <v>13.89%, PERS rate</v>
      </c>
      <c r="F45" s="340"/>
      <c r="G45" s="456" t="str">
        <f t="shared" si="15"/>
        <v>0.00%</v>
      </c>
      <c r="H45" s="340">
        <f>ROUND(H41*LEFT(I45,6),0)</f>
        <v>0</v>
      </c>
      <c r="I45" s="899" t="str">
        <f>TEXT('MYP Assumptions'!E58,"0.00%")&amp;", projected PERS rate"</f>
        <v>15.53%, projected PERS rate</v>
      </c>
      <c r="J45" s="455"/>
      <c r="K45" s="456" t="str">
        <f t="shared" si="16"/>
        <v>0.00%</v>
      </c>
      <c r="L45" s="340">
        <v>0</v>
      </c>
      <c r="M45" s="899" t="str">
        <f>TEXT('MYP Assumptions'!F58,"0.00%")&amp;", projected PERS rate"</f>
        <v>18.06%, projected PERS rate</v>
      </c>
      <c r="O45" s="456" t="str">
        <f t="shared" si="17"/>
        <v>0.00%</v>
      </c>
      <c r="P45" s="340">
        <f>ROUND(P41*LEFT(Q45,6),0)</f>
        <v>0</v>
      </c>
      <c r="Q45" s="899" t="str">
        <f>TEXT('MYP Assumptions'!G58,"0.00%")&amp;", projected PERS rate"</f>
        <v>20.80%, projected PERS rate</v>
      </c>
      <c r="R45" s="592"/>
      <c r="S45" s="2238" t="str">
        <f t="shared" si="18"/>
        <v>0.00%</v>
      </c>
      <c r="T45" s="340">
        <f>ROUND(T41*LEFT(U45,6),0)</f>
        <v>0</v>
      </c>
      <c r="U45" s="953" t="str">
        <f>TEXT('MYP Assumptions'!H58,"0.00%")&amp;", projected PERS rate"</f>
        <v>23.50%, projected PERS rate</v>
      </c>
      <c r="V45" s="952"/>
      <c r="W45" s="2241" t="str">
        <f t="shared" si="19"/>
        <v>0.00%</v>
      </c>
      <c r="X45" s="340">
        <f>ROUND(X41*LEFT(Y45,6),0)</f>
        <v>0</v>
      </c>
      <c r="Y45" s="953" t="str">
        <f>TEXT('MYP Assumptions'!I58,"0.00%")&amp;", projected PERS rate"</f>
        <v>24.60%, projected PERS rate</v>
      </c>
      <c r="AA45" s="456" t="str">
        <f t="shared" si="20"/>
        <v>0.00%</v>
      </c>
      <c r="AB45" s="340" t="e">
        <f>ROUND(AB41*LEFT(AC45,6),0)</f>
        <v>#VALUE!</v>
      </c>
      <c r="AC45" s="953" t="str">
        <f>TEXT('MYP Assumptions'!J58,"0.00%")&amp;", projected PERS rate"</f>
        <v>0.00%, projected PERS rate</v>
      </c>
    </row>
    <row r="46" spans="1:29" s="457" customFormat="1" x14ac:dyDescent="0.25">
      <c r="A46" s="897"/>
      <c r="B46" s="2385" t="s">
        <v>85</v>
      </c>
      <c r="C46" s="1656" t="s">
        <v>78</v>
      </c>
      <c r="D46" s="340">
        <v>0</v>
      </c>
      <c r="E46" s="899" t="str">
        <f>TEXT('MYP Assumptions'!$D$60,"0.00%")&amp;", SS rate"</f>
        <v>6.20%, SS rate</v>
      </c>
      <c r="F46" s="340"/>
      <c r="G46" s="456" t="str">
        <f t="shared" si="15"/>
        <v>0.00%</v>
      </c>
      <c r="H46" s="340">
        <f>ROUND(H41*LEFT(I46,5),0)</f>
        <v>0</v>
      </c>
      <c r="I46" s="899" t="str">
        <f>TEXT('MYP Assumptions'!E60,"0.00%")&amp;", no rate change"</f>
        <v>6.20%, no rate change</v>
      </c>
      <c r="J46" s="455"/>
      <c r="K46" s="456" t="str">
        <f t="shared" si="16"/>
        <v>0.00%</v>
      </c>
      <c r="L46" s="340">
        <v>0</v>
      </c>
      <c r="M46" s="899" t="str">
        <f>TEXT('MYP Assumptions'!F60,"0.00%")&amp;", no rate change"</f>
        <v>6.20%, no rate change</v>
      </c>
      <c r="O46" s="456" t="str">
        <f t="shared" si="17"/>
        <v>0.00%</v>
      </c>
      <c r="P46" s="340">
        <f>ROUND(P41*LEFT(Q46,5),0)</f>
        <v>0</v>
      </c>
      <c r="Q46" s="899" t="str">
        <f>TEXT('MYP Assumptions'!G60,"0.00%")&amp;", no rate change"</f>
        <v>6.20%, no rate change</v>
      </c>
      <c r="R46" s="592"/>
      <c r="S46" s="2238" t="str">
        <f t="shared" si="18"/>
        <v>0.00%</v>
      </c>
      <c r="T46" s="340">
        <f>ROUND(T41*LEFT(U46,5),0)</f>
        <v>0</v>
      </c>
      <c r="U46" s="953" t="str">
        <f>TEXT('MYP Assumptions'!H60,"0.00%")&amp;", no rate change"</f>
        <v>6.20%, no rate change</v>
      </c>
      <c r="V46" s="952"/>
      <c r="W46" s="2241" t="str">
        <f t="shared" si="19"/>
        <v>0.00%</v>
      </c>
      <c r="X46" s="340">
        <f>ROUND(X41*LEFT(Y46,5),0)</f>
        <v>0</v>
      </c>
      <c r="Y46" s="953" t="str">
        <f>TEXT('MYP Assumptions'!I60,"0.00%")&amp;", no rate change"</f>
        <v>6.20%, no rate change</v>
      </c>
      <c r="AA46" s="456" t="str">
        <f t="shared" si="20"/>
        <v>0.00%</v>
      </c>
      <c r="AB46" s="340">
        <f>ROUND(AB41*LEFT(AC46,5),0)</f>
        <v>0</v>
      </c>
      <c r="AC46" s="953" t="str">
        <f>TEXT('MYP Assumptions'!J60,"0.00%")&amp;", no rate change"</f>
        <v>0.00%, no rate change</v>
      </c>
    </row>
    <row r="47" spans="1:29" s="457" customFormat="1" x14ac:dyDescent="0.25">
      <c r="A47" s="897"/>
      <c r="B47" s="2385" t="s">
        <v>86</v>
      </c>
      <c r="C47" s="1656" t="s">
        <v>79</v>
      </c>
      <c r="D47" s="340">
        <v>0</v>
      </c>
      <c r="E47" s="899" t="str">
        <f>TEXT('MYP Assumptions'!$D$61,"0.00%")&amp;", Medicare rate"</f>
        <v>1.45%, Medicare rate</v>
      </c>
      <c r="F47" s="340"/>
      <c r="G47" s="456" t="str">
        <f t="shared" si="15"/>
        <v>0.00%</v>
      </c>
      <c r="H47" s="340">
        <f>ROUND((H41+H30)*LEFT(I47,5),0)</f>
        <v>0</v>
      </c>
      <c r="I47" s="899" t="str">
        <f>TEXT('MYP Assumptions'!E61,"0.00%")&amp;", no rate change"</f>
        <v>1.45%, no rate change</v>
      </c>
      <c r="J47" s="455"/>
      <c r="K47" s="456" t="str">
        <f t="shared" si="16"/>
        <v>0.00%</v>
      </c>
      <c r="L47" s="340">
        <v>391</v>
      </c>
      <c r="M47" s="899" t="str">
        <f>TEXT('MYP Assumptions'!F61,"0.00%")&amp;", no rate change"</f>
        <v>1.45%, no rate change</v>
      </c>
      <c r="O47" s="456">
        <f t="shared" si="17"/>
        <v>-2.5575447570332483E-3</v>
      </c>
      <c r="P47" s="340">
        <f>ROUND((P41+P30)*LEFT(Q47,5),0)</f>
        <v>390</v>
      </c>
      <c r="Q47" s="899" t="str">
        <f>TEXT('MYP Assumptions'!G61,"0.00%")&amp;", no rate change"</f>
        <v>1.45%, no rate change</v>
      </c>
      <c r="R47" s="592"/>
      <c r="S47" s="2238">
        <f t="shared" si="18"/>
        <v>0</v>
      </c>
      <c r="T47" s="340">
        <f>ROUND((T41+T30)*LEFT(U47,5),0)</f>
        <v>390</v>
      </c>
      <c r="U47" s="953" t="str">
        <f>TEXT('MYP Assumptions'!H61,"0.00%")&amp;", no rate change"</f>
        <v>1.45%, no rate change</v>
      </c>
      <c r="V47" s="952"/>
      <c r="W47" s="2241">
        <f t="shared" si="19"/>
        <v>2.0512820512820513E-2</v>
      </c>
      <c r="X47" s="340">
        <f>ROUND((X41+X30)*LEFT(Y47,5),0)</f>
        <v>398</v>
      </c>
      <c r="Y47" s="953" t="str">
        <f>TEXT('MYP Assumptions'!I61,"0.00%")&amp;", no rate change"</f>
        <v>1.45%, no rate change</v>
      </c>
      <c r="AA47" s="456">
        <f t="shared" si="20"/>
        <v>-1</v>
      </c>
      <c r="AB47" s="340">
        <f>ROUND((AB41+AB30)*LEFT(AC47,5),0)</f>
        <v>0</v>
      </c>
      <c r="AC47" s="953" t="str">
        <f>TEXT('MYP Assumptions'!J61,"0.00%")&amp;", no rate change"</f>
        <v>0.00%, no rate change</v>
      </c>
    </row>
    <row r="48" spans="1:29" s="457" customFormat="1" x14ac:dyDescent="0.25">
      <c r="A48" s="897"/>
      <c r="B48" s="2385" t="s">
        <v>87</v>
      </c>
      <c r="C48" s="1656" t="s">
        <v>80</v>
      </c>
      <c r="D48" s="340">
        <v>0</v>
      </c>
      <c r="E48" s="899"/>
      <c r="F48" s="340"/>
      <c r="G48" s="456" t="str">
        <f t="shared" si="15"/>
        <v>0.00%</v>
      </c>
      <c r="H48" s="340">
        <f>ROUND((D48)*(LEFT(I48,5)+1),0)</f>
        <v>0</v>
      </c>
      <c r="I48" s="899" t="str">
        <f>TEXT('MYP Assumptions'!$I$68,"0.00%")&amp;", projected increase"</f>
        <v>5.00%, projected increase</v>
      </c>
      <c r="J48" s="455"/>
      <c r="K48" s="456" t="str">
        <f t="shared" si="16"/>
        <v>0.00%</v>
      </c>
      <c r="L48" s="340">
        <v>0</v>
      </c>
      <c r="M48" s="899" t="str">
        <f>TEXT('MYP Assumptions'!$I$68,"0.00%")&amp;", projected increase"</f>
        <v>5.00%, projected increase</v>
      </c>
      <c r="O48" s="456" t="str">
        <f t="shared" si="17"/>
        <v>0.00%</v>
      </c>
      <c r="P48" s="340">
        <f>ROUND((L48)*(LEFT(Q48,5)+1),0)</f>
        <v>0</v>
      </c>
      <c r="Q48" s="899" t="str">
        <f>TEXT('MYP Assumptions'!$I$68,"0.00%")&amp;", projected increase"</f>
        <v>5.00%, projected increase</v>
      </c>
      <c r="R48" s="592"/>
      <c r="S48" s="2238" t="str">
        <f t="shared" si="18"/>
        <v>0.00%</v>
      </c>
      <c r="T48" s="340">
        <f>ROUND((P48)*(LEFT(U48,5)+1),0)</f>
        <v>0</v>
      </c>
      <c r="U48" s="953" t="str">
        <f>TEXT('MYP Assumptions'!$I$68,"0.00%")&amp;", projected increase"</f>
        <v>5.00%, projected increase</v>
      </c>
      <c r="V48" s="952"/>
      <c r="W48" s="2241" t="str">
        <f t="shared" si="19"/>
        <v>0.00%</v>
      </c>
      <c r="X48" s="340">
        <f>ROUND((T48)*(LEFT(Y48,5)+1),0)</f>
        <v>0</v>
      </c>
      <c r="Y48" s="953" t="str">
        <f>TEXT('MYP Assumptions'!$I$68,"0.00%")&amp;", projected increase"</f>
        <v>5.00%, projected increase</v>
      </c>
      <c r="AA48" s="456" t="str">
        <f t="shared" si="20"/>
        <v>0.00%</v>
      </c>
      <c r="AB48" s="340">
        <f>ROUND((X48)*(LEFT(AC48,5)+1),0)</f>
        <v>0</v>
      </c>
      <c r="AC48" s="953" t="str">
        <f>TEXT('MYP Assumptions'!$I$68,"0.00%")&amp;", projected increase"</f>
        <v>5.00%, projected increase</v>
      </c>
    </row>
    <row r="49" spans="1:29" s="457" customFormat="1" x14ac:dyDescent="0.25">
      <c r="A49" s="897"/>
      <c r="B49" s="2385" t="s">
        <v>88</v>
      </c>
      <c r="C49" s="1656" t="s">
        <v>81</v>
      </c>
      <c r="D49" s="340">
        <v>0</v>
      </c>
      <c r="E49" s="899" t="str">
        <f>TEXT('MYP Assumptions'!$D$62,"0.00%")&amp;", SUI rate"</f>
        <v>0.05%, SUI rate</v>
      </c>
      <c r="F49" s="340"/>
      <c r="G49" s="456" t="str">
        <f t="shared" si="15"/>
        <v>0.00%</v>
      </c>
      <c r="H49" s="340">
        <f>ROUND((H41+H30)*LEFT(I49,5),0)</f>
        <v>0</v>
      </c>
      <c r="I49" s="899" t="str">
        <f>TEXT('MYP Assumptions'!E62,"0.00%")&amp;", no rate change"</f>
        <v>0.05%, no rate change</v>
      </c>
      <c r="J49" s="455"/>
      <c r="K49" s="456" t="str">
        <f t="shared" si="16"/>
        <v>0.00%</v>
      </c>
      <c r="L49" s="340">
        <v>14</v>
      </c>
      <c r="M49" s="899" t="str">
        <f>TEXT('MYP Assumptions'!F62,"0.00%")&amp;", no rate change"</f>
        <v>0.05%, no rate change</v>
      </c>
      <c r="O49" s="456">
        <f t="shared" si="17"/>
        <v>-7.1428571428571425E-2</v>
      </c>
      <c r="P49" s="340">
        <f>ROUND((P41+P30)*LEFT(Q49,5),0)</f>
        <v>13</v>
      </c>
      <c r="Q49" s="899" t="str">
        <f>TEXT('MYP Assumptions'!G62,"0.00%")&amp;", no rate change"</f>
        <v>0.05%, no rate change</v>
      </c>
      <c r="R49" s="592"/>
      <c r="S49" s="2238">
        <f t="shared" si="18"/>
        <v>0</v>
      </c>
      <c r="T49" s="340">
        <f>ROUND((T41+T30)*LEFT(U49,5),0)</f>
        <v>13</v>
      </c>
      <c r="U49" s="953" t="str">
        <f>TEXT('MYP Assumptions'!H62,"0.00%")&amp;", no rate change"</f>
        <v>0.05%, no rate change</v>
      </c>
      <c r="V49" s="952"/>
      <c r="W49" s="2241">
        <f t="shared" si="19"/>
        <v>7.6923076923076927E-2</v>
      </c>
      <c r="X49" s="340">
        <f>ROUND((X41+X30)*LEFT(Y49,5),0)</f>
        <v>14</v>
      </c>
      <c r="Y49" s="953" t="str">
        <f>TEXT('MYP Assumptions'!I62,"0.00%")&amp;", no rate change"</f>
        <v>0.05%, no rate change</v>
      </c>
      <c r="AA49" s="456">
        <f t="shared" si="20"/>
        <v>-1</v>
      </c>
      <c r="AB49" s="340">
        <f>ROUND((AB41+AB30)*LEFT(AC49,5),0)</f>
        <v>0</v>
      </c>
      <c r="AC49" s="953" t="str">
        <f>TEXT('MYP Assumptions'!J62,"0.00%")&amp;", no rate change"</f>
        <v>0.00%, no rate change</v>
      </c>
    </row>
    <row r="50" spans="1:29" s="457" customFormat="1" x14ac:dyDescent="0.25">
      <c r="A50" s="897"/>
      <c r="B50" s="2385" t="s">
        <v>89</v>
      </c>
      <c r="C50" s="1656" t="s">
        <v>82</v>
      </c>
      <c r="D50" s="340">
        <v>0</v>
      </c>
      <c r="E50" s="899" t="str">
        <f>TEXT('MYP Assumptions'!$D$63,"0.00%")&amp;", W/C rate"</f>
        <v>1.10%, W/C rate</v>
      </c>
      <c r="F50" s="340"/>
      <c r="G50" s="456" t="str">
        <f t="shared" si="15"/>
        <v>0.00%</v>
      </c>
      <c r="H50" s="340">
        <f>ROUND((H41+H30)*LEFT(I50,5),0)</f>
        <v>0</v>
      </c>
      <c r="I50" s="899" t="str">
        <f>TEXT('MYP Assumptions'!E63,"0.00%")&amp;", no rate change"</f>
        <v>0.80%, no rate change</v>
      </c>
      <c r="J50" s="455"/>
      <c r="K50" s="456" t="str">
        <f t="shared" si="16"/>
        <v>0.00%</v>
      </c>
      <c r="L50" s="340">
        <v>215</v>
      </c>
      <c r="M50" s="899" t="str">
        <f>TEXT('MYP Assumptions'!F63,"0.00%")&amp;", no rate change"</f>
        <v>0.80%, no rate change</v>
      </c>
      <c r="O50" s="456">
        <f t="shared" si="17"/>
        <v>0</v>
      </c>
      <c r="P50" s="340">
        <f>ROUND((P41+P30)*LEFT(Q50,5),0)</f>
        <v>215</v>
      </c>
      <c r="Q50" s="899" t="str">
        <f>TEXT('MYP Assumptions'!G63,"0.00%")&amp;", no rate change"</f>
        <v>0.80%, no rate change</v>
      </c>
      <c r="R50" s="592"/>
      <c r="S50" s="2238">
        <f t="shared" si="18"/>
        <v>0</v>
      </c>
      <c r="T50" s="340">
        <f>ROUND((T41+T30)*LEFT(U50,5),0)</f>
        <v>215</v>
      </c>
      <c r="U50" s="953" t="str">
        <f>TEXT('MYP Assumptions'!H63,"0.00%")&amp;", no rate change"</f>
        <v>0.80%, no rate change</v>
      </c>
      <c r="V50" s="952"/>
      <c r="W50" s="2241">
        <f t="shared" si="19"/>
        <v>2.3255813953488372E-2</v>
      </c>
      <c r="X50" s="340">
        <f>ROUND((X41+X30)*LEFT(Y50,5),0)</f>
        <v>220</v>
      </c>
      <c r="Y50" s="953" t="str">
        <f>TEXT('MYP Assumptions'!I63,"0.00%")&amp;", no rate change"</f>
        <v>0.80%, no rate change</v>
      </c>
      <c r="AA50" s="456">
        <f t="shared" si="20"/>
        <v>-1</v>
      </c>
      <c r="AB50" s="340">
        <f>ROUND((AB41+AB30)*LEFT(AC50,5),0)</f>
        <v>0</v>
      </c>
      <c r="AC50" s="953" t="str">
        <f>TEXT('MYP Assumptions'!J63,"0.00%")&amp;", no rate change"</f>
        <v>0.00%, no rate change</v>
      </c>
    </row>
    <row r="51" spans="1:29" s="457" customFormat="1" x14ac:dyDescent="0.25">
      <c r="A51" s="897"/>
      <c r="B51" s="2385" t="s">
        <v>90</v>
      </c>
      <c r="C51" s="1656" t="s">
        <v>92</v>
      </c>
      <c r="D51" s="340">
        <v>0</v>
      </c>
      <c r="E51" s="2386"/>
      <c r="F51" s="340"/>
      <c r="G51" s="456" t="str">
        <f t="shared" si="15"/>
        <v>0.00%</v>
      </c>
      <c r="H51" s="340">
        <f>D51</f>
        <v>0</v>
      </c>
      <c r="I51" s="899" t="s">
        <v>165</v>
      </c>
      <c r="J51" s="455"/>
      <c r="K51" s="456" t="str">
        <f t="shared" si="16"/>
        <v>0.00%</v>
      </c>
      <c r="L51" s="340">
        <f>H51</f>
        <v>0</v>
      </c>
      <c r="M51" s="899" t="s">
        <v>165</v>
      </c>
      <c r="O51" s="456" t="str">
        <f t="shared" si="17"/>
        <v>0.00%</v>
      </c>
      <c r="P51" s="340">
        <f>L51</f>
        <v>0</v>
      </c>
      <c r="Q51" s="899" t="s">
        <v>165</v>
      </c>
      <c r="R51" s="592"/>
      <c r="S51" s="2238" t="str">
        <f t="shared" si="18"/>
        <v>0.00%</v>
      </c>
      <c r="T51" s="340">
        <f>P51</f>
        <v>0</v>
      </c>
      <c r="U51" s="953" t="s">
        <v>165</v>
      </c>
      <c r="V51" s="952"/>
      <c r="W51" s="2241" t="str">
        <f t="shared" si="19"/>
        <v>0.00%</v>
      </c>
      <c r="X51" s="340">
        <f>T51</f>
        <v>0</v>
      </c>
      <c r="Y51" s="953" t="s">
        <v>165</v>
      </c>
      <c r="AA51" s="456" t="str">
        <f t="shared" si="20"/>
        <v>0.00%</v>
      </c>
      <c r="AB51" s="340">
        <f>X51</f>
        <v>0</v>
      </c>
      <c r="AC51" s="953" t="s">
        <v>165</v>
      </c>
    </row>
    <row r="52" spans="1:29" s="457" customFormat="1" x14ac:dyDescent="0.25">
      <c r="A52" s="897"/>
      <c r="B52" s="2385" t="s">
        <v>91</v>
      </c>
      <c r="C52" s="1656" t="s">
        <v>93</v>
      </c>
      <c r="D52" s="340">
        <v>0</v>
      </c>
      <c r="E52" s="2386"/>
      <c r="F52" s="340"/>
      <c r="G52" s="456" t="str">
        <f t="shared" si="15"/>
        <v>0.00%</v>
      </c>
      <c r="H52" s="340">
        <f>D52</f>
        <v>0</v>
      </c>
      <c r="I52" s="899" t="s">
        <v>165</v>
      </c>
      <c r="J52" s="455"/>
      <c r="K52" s="456" t="str">
        <f t="shared" si="16"/>
        <v>0.00%</v>
      </c>
      <c r="L52" s="340">
        <f>H52</f>
        <v>0</v>
      </c>
      <c r="M52" s="899" t="s">
        <v>165</v>
      </c>
      <c r="O52" s="456" t="str">
        <f t="shared" si="17"/>
        <v>0.00%</v>
      </c>
      <c r="P52" s="340">
        <f>L52</f>
        <v>0</v>
      </c>
      <c r="Q52" s="899" t="s">
        <v>165</v>
      </c>
      <c r="R52" s="592"/>
      <c r="S52" s="2238" t="str">
        <f t="shared" si="18"/>
        <v>0.00%</v>
      </c>
      <c r="T52" s="340">
        <f>P52</f>
        <v>0</v>
      </c>
      <c r="U52" s="953" t="s">
        <v>165</v>
      </c>
      <c r="V52" s="952"/>
      <c r="W52" s="2241" t="str">
        <f t="shared" si="19"/>
        <v>0.00%</v>
      </c>
      <c r="X52" s="340">
        <f>T52</f>
        <v>0</v>
      </c>
      <c r="Y52" s="953" t="s">
        <v>165</v>
      </c>
      <c r="AA52" s="456" t="str">
        <f t="shared" si="20"/>
        <v>0.00%</v>
      </c>
      <c r="AB52" s="340">
        <f>X52</f>
        <v>0</v>
      </c>
      <c r="AC52" s="953" t="s">
        <v>165</v>
      </c>
    </row>
    <row r="53" spans="1:29" s="457" customFormat="1" x14ac:dyDescent="0.25">
      <c r="A53" s="898"/>
      <c r="B53" s="2385"/>
      <c r="C53" s="1656"/>
      <c r="D53" s="458">
        <f>SUM(D44:D52)</f>
        <v>0</v>
      </c>
      <c r="E53" s="2386"/>
      <c r="F53" s="340"/>
      <c r="G53" s="456" t="str">
        <f t="shared" si="15"/>
        <v>0.00%</v>
      </c>
      <c r="H53" s="458">
        <f>SUM(H44:H52)</f>
        <v>0</v>
      </c>
      <c r="I53" s="898"/>
      <c r="J53" s="459"/>
      <c r="K53" s="456" t="str">
        <f t="shared" si="16"/>
        <v>0.00%</v>
      </c>
      <c r="L53" s="458">
        <f>SUM(L44:L52)</f>
        <v>4999</v>
      </c>
      <c r="M53" s="901"/>
      <c r="O53" s="456">
        <f t="shared" si="17"/>
        <v>9.9219843968793756E-2</v>
      </c>
      <c r="P53" s="458">
        <f>SUM(P44:P52)</f>
        <v>5495</v>
      </c>
      <c r="Q53" s="901"/>
      <c r="R53" s="592"/>
      <c r="S53" s="2238">
        <f t="shared" si="18"/>
        <v>4.7497725204731576E-2</v>
      </c>
      <c r="T53" s="458">
        <f>SUM(T44:T52)</f>
        <v>5756</v>
      </c>
      <c r="U53" s="2344"/>
      <c r="V53" s="952"/>
      <c r="W53" s="2241">
        <f t="shared" si="19"/>
        <v>2.0326615705350937E-2</v>
      </c>
      <c r="X53" s="458">
        <f>SUM(X44:X52)</f>
        <v>5873</v>
      </c>
      <c r="Y53" s="2344"/>
      <c r="AA53" s="456" t="e">
        <f t="shared" si="20"/>
        <v>#VALUE!</v>
      </c>
      <c r="AB53" s="458" t="e">
        <f>SUM(AB44:AB52)</f>
        <v>#VALUE!</v>
      </c>
      <c r="AC53" s="2344"/>
    </row>
    <row r="54" spans="1:29" s="457" customFormat="1" x14ac:dyDescent="0.25">
      <c r="A54" s="868"/>
      <c r="B54" s="2385"/>
      <c r="C54" s="1656"/>
      <c r="D54" s="340"/>
      <c r="E54" s="2386"/>
      <c r="F54" s="340"/>
      <c r="G54" s="2338"/>
      <c r="H54" s="340"/>
      <c r="I54" s="897"/>
      <c r="J54" s="455"/>
      <c r="K54" s="1668"/>
      <c r="L54" s="340"/>
      <c r="M54" s="901"/>
      <c r="O54" s="1668"/>
      <c r="P54" s="340"/>
      <c r="Q54" s="901"/>
      <c r="R54" s="592"/>
      <c r="S54" s="2341"/>
      <c r="T54" s="340"/>
      <c r="U54" s="2344"/>
      <c r="V54" s="952"/>
      <c r="W54" s="2343"/>
      <c r="X54" s="340"/>
      <c r="Y54" s="2344"/>
      <c r="AA54" s="1668"/>
      <c r="AB54" s="340"/>
      <c r="AC54" s="2344"/>
    </row>
    <row r="55" spans="1:29" s="457" customFormat="1" x14ac:dyDescent="0.25">
      <c r="A55" s="898"/>
      <c r="B55" s="2337" t="s">
        <v>26</v>
      </c>
      <c r="C55" s="1656"/>
      <c r="D55" s="458">
        <f>SUM(D53,D41,D30)</f>
        <v>0</v>
      </c>
      <c r="E55" s="2386"/>
      <c r="F55" s="340"/>
      <c r="G55" s="456" t="str">
        <f>IF(D55=0,"0.00%",(H55-D55)/D55)</f>
        <v>0.00%</v>
      </c>
      <c r="H55" s="458">
        <f>SUM(H53,H41,H30)</f>
        <v>0</v>
      </c>
      <c r="I55" s="898"/>
      <c r="J55" s="459"/>
      <c r="K55" s="456" t="str">
        <f>IF(H55=0,"0.00%",(L55-H55)/H55)</f>
        <v>0.00%</v>
      </c>
      <c r="L55" s="458">
        <f>SUM(L53,L41,L30)</f>
        <v>31899</v>
      </c>
      <c r="M55" s="901"/>
      <c r="O55" s="456">
        <f>IF(L55=0,"0.00%",(P55-L55)/L55)</f>
        <v>1.5549076773566569E-2</v>
      </c>
      <c r="P55" s="458">
        <f>SUM(P53,P41,P30)</f>
        <v>32395</v>
      </c>
      <c r="Q55" s="901"/>
      <c r="R55" s="592"/>
      <c r="S55" s="2238">
        <f>IF(P55=0,"0.00%",(T55-P55)/P55)</f>
        <v>8.0567988887173952E-3</v>
      </c>
      <c r="T55" s="458">
        <f>SUM(T53,T41,T30)</f>
        <v>32656</v>
      </c>
      <c r="U55" s="2344"/>
      <c r="V55" s="952"/>
      <c r="W55" s="2241">
        <f>IF(T55=0,"0.00%",(X55-T55)/T55)</f>
        <v>2.0057569818716314E-2</v>
      </c>
      <c r="X55" s="458">
        <f>SUM(X53,X41,X30)</f>
        <v>33311</v>
      </c>
      <c r="Y55" s="2344"/>
      <c r="AA55" s="456" t="e">
        <f>IF(X55=0,"0.00%",(AB55-X55)/X55)</f>
        <v>#VALUE!</v>
      </c>
      <c r="AB55" s="458" t="e">
        <f>SUM(AB53,AB41,AB30)</f>
        <v>#VALUE!</v>
      </c>
      <c r="AC55" s="2344"/>
    </row>
    <row r="56" spans="1:29" s="457" customFormat="1" x14ac:dyDescent="0.25">
      <c r="A56" s="2339"/>
      <c r="B56" s="2345"/>
      <c r="C56" s="1656"/>
      <c r="D56" s="340"/>
      <c r="E56" s="2386"/>
      <c r="F56" s="340"/>
      <c r="G56" s="2338"/>
      <c r="H56" s="340"/>
      <c r="I56" s="897"/>
      <c r="J56" s="455"/>
      <c r="K56" s="1668"/>
      <c r="L56" s="340"/>
      <c r="M56" s="901"/>
      <c r="O56" s="1668"/>
      <c r="P56" s="340"/>
      <c r="Q56" s="901"/>
      <c r="R56" s="592"/>
      <c r="S56" s="2341"/>
      <c r="T56" s="340"/>
      <c r="U56" s="2344"/>
      <c r="V56" s="952"/>
      <c r="W56" s="2343"/>
      <c r="X56" s="340"/>
      <c r="Y56" s="2344"/>
      <c r="AA56" s="1668"/>
      <c r="AB56" s="340"/>
      <c r="AC56" s="2344"/>
    </row>
    <row r="57" spans="1:29" s="457" customFormat="1" x14ac:dyDescent="0.25">
      <c r="A57" s="897"/>
      <c r="B57" s="2345"/>
      <c r="C57" s="1656"/>
      <c r="D57" s="340"/>
      <c r="E57" s="2386"/>
      <c r="F57" s="340"/>
      <c r="G57" s="2338"/>
      <c r="H57" s="340"/>
      <c r="I57" s="897"/>
      <c r="J57" s="455"/>
      <c r="K57" s="1668"/>
      <c r="L57" s="340"/>
      <c r="M57" s="901"/>
      <c r="O57" s="1668"/>
      <c r="P57" s="340"/>
      <c r="Q57" s="901"/>
      <c r="R57" s="592"/>
      <c r="S57" s="2341"/>
      <c r="T57" s="340"/>
      <c r="U57" s="2344"/>
      <c r="V57" s="952"/>
      <c r="W57" s="2343"/>
      <c r="X57" s="340"/>
      <c r="Y57" s="2344"/>
      <c r="AA57" s="1668"/>
      <c r="AB57" s="340"/>
      <c r="AC57" s="2344"/>
    </row>
    <row r="58" spans="1:29" s="457" customFormat="1" x14ac:dyDescent="0.25">
      <c r="A58" s="2339"/>
      <c r="B58" s="2440" t="s">
        <v>25</v>
      </c>
      <c r="C58" s="900"/>
      <c r="D58" s="340"/>
      <c r="E58" s="2386"/>
      <c r="F58" s="340"/>
      <c r="G58" s="2338"/>
      <c r="H58" s="340"/>
      <c r="I58" s="897"/>
      <c r="J58" s="455"/>
      <c r="K58" s="1668"/>
      <c r="L58" s="340"/>
      <c r="M58" s="2484"/>
      <c r="O58" s="1668"/>
      <c r="P58" s="340"/>
      <c r="Q58" s="901"/>
      <c r="R58" s="592"/>
      <c r="S58" s="2341"/>
      <c r="T58" s="340"/>
      <c r="U58" s="2344"/>
      <c r="V58" s="952"/>
      <c r="W58" s="2343"/>
      <c r="X58" s="340"/>
      <c r="Y58" s="2344"/>
      <c r="AA58" s="1668"/>
      <c r="AB58" s="340"/>
      <c r="AC58" s="2344"/>
    </row>
    <row r="59" spans="1:29" s="457" customFormat="1" x14ac:dyDescent="0.25">
      <c r="A59" s="897"/>
      <c r="B59" s="2385">
        <v>4110</v>
      </c>
      <c r="C59" s="1656" t="s">
        <v>275</v>
      </c>
      <c r="D59" s="340">
        <v>1933380.01</v>
      </c>
      <c r="E59" s="2386"/>
      <c r="F59" s="340"/>
      <c r="G59" s="456">
        <f t="shared" ref="G59:G66" si="21">IF(D59=0,"0.00%",(H59-D59)/D59)</f>
        <v>-1</v>
      </c>
      <c r="H59" s="340">
        <v>0</v>
      </c>
      <c r="I59" s="899" t="s">
        <v>276</v>
      </c>
      <c r="J59" s="455"/>
      <c r="K59" s="456" t="str">
        <f t="shared" ref="K59:K66" si="22">IF(H59=0,"0.00%",(L59-H59)/H59)</f>
        <v>0.00%</v>
      </c>
      <c r="L59" s="340">
        <v>3100000</v>
      </c>
      <c r="M59" s="899" t="s">
        <v>276</v>
      </c>
      <c r="O59" s="456">
        <f t="shared" ref="O59:O66" si="23">IF(L59=0,"0.00%",(P59-L59)/L59)</f>
        <v>-0.67741935483870963</v>
      </c>
      <c r="P59" s="340">
        <v>1000000</v>
      </c>
      <c r="Q59" s="899" t="s">
        <v>276</v>
      </c>
      <c r="R59" s="592"/>
      <c r="S59" s="2238">
        <f t="shared" ref="S59:S66" si="24">IF(P59=0,"0.00%",(T59-P59)/P59)</f>
        <v>-1</v>
      </c>
      <c r="T59" s="340">
        <v>0</v>
      </c>
      <c r="U59" s="953" t="s">
        <v>276</v>
      </c>
      <c r="V59" s="952"/>
      <c r="W59" s="2241" t="str">
        <f t="shared" ref="W59:W66" si="25">IF(T59=0,"0.00%",(X59-T59)/T59)</f>
        <v>0.00%</v>
      </c>
      <c r="X59" s="340">
        <f>ROUND(T59*(LEFT(Y59,5)+1),0)</f>
        <v>0</v>
      </c>
      <c r="Y59" s="953" t="str">
        <f>TEXT('MYP Assumptions'!I78,"0.00%")&amp;", CPI"</f>
        <v>2.73%, CPI</v>
      </c>
      <c r="AA59" s="456" t="str">
        <f t="shared" ref="AA59:AA66" si="26">IF(X59=0,"0.00%",(AB59-X59)/X59)</f>
        <v>0.00%</v>
      </c>
      <c r="AB59" s="340">
        <f>ROUND(X59*(LEFT(AC59,5)+1),0)</f>
        <v>0</v>
      </c>
      <c r="AC59" s="953" t="str">
        <f>TEXT('MYP Assumptions'!J78,"0.00%")&amp;", CPI"</f>
        <v>2.73%, CPI</v>
      </c>
    </row>
    <row r="60" spans="1:29" s="457" customFormat="1" x14ac:dyDescent="0.25">
      <c r="A60" s="897"/>
      <c r="B60" s="2385">
        <v>4310</v>
      </c>
      <c r="C60" s="1656" t="s">
        <v>274</v>
      </c>
      <c r="D60" s="340">
        <v>432.67</v>
      </c>
      <c r="E60" s="2386"/>
      <c r="F60" s="340"/>
      <c r="G60" s="456">
        <f t="shared" si="21"/>
        <v>692.36908036147645</v>
      </c>
      <c r="H60" s="340">
        <v>300000</v>
      </c>
      <c r="I60" s="899"/>
      <c r="J60" s="455"/>
      <c r="K60" s="456">
        <f t="shared" si="22"/>
        <v>-0.84566666666666668</v>
      </c>
      <c r="L60" s="340">
        <v>46300</v>
      </c>
      <c r="M60" s="2485"/>
      <c r="O60" s="456">
        <f t="shared" si="23"/>
        <v>-1</v>
      </c>
      <c r="P60" s="340">
        <v>0</v>
      </c>
      <c r="Q60" s="899"/>
      <c r="R60" s="592"/>
      <c r="S60" s="2238" t="str">
        <f t="shared" si="24"/>
        <v>0.00%</v>
      </c>
      <c r="T60" s="340">
        <v>0</v>
      </c>
      <c r="U60" s="953"/>
      <c r="V60" s="952"/>
      <c r="W60" s="2241" t="str">
        <f t="shared" si="25"/>
        <v>0.00%</v>
      </c>
      <c r="X60" s="340">
        <f t="shared" ref="X60:X65" si="27">ROUND(T60*(LEFT(Y60,5)+1),0)</f>
        <v>0</v>
      </c>
      <c r="Y60" s="953" t="str">
        <f>TEXT('MYP Assumptions'!I78,"0.00%")&amp;", CPI"</f>
        <v>2.73%, CPI</v>
      </c>
      <c r="AA60" s="456" t="str">
        <f t="shared" si="26"/>
        <v>0.00%</v>
      </c>
      <c r="AB60" s="340">
        <f t="shared" ref="AB60:AB65" si="28">ROUND(X60*(LEFT(AC60,5)+1),0)</f>
        <v>0</v>
      </c>
      <c r="AC60" s="953" t="str">
        <f>TEXT('MYP Assumptions'!J78,"0.00%")&amp;", CPI"</f>
        <v>2.73%, CPI</v>
      </c>
    </row>
    <row r="61" spans="1:29" s="457" customFormat="1" hidden="1" x14ac:dyDescent="0.25">
      <c r="A61" s="897"/>
      <c r="B61" s="2385"/>
      <c r="C61" s="1656"/>
      <c r="D61" s="340">
        <v>0</v>
      </c>
      <c r="E61" s="2386"/>
      <c r="F61" s="340"/>
      <c r="G61" s="456" t="str">
        <f t="shared" si="21"/>
        <v>0.00%</v>
      </c>
      <c r="H61" s="340">
        <f t="shared" ref="H61:H65" si="29">ROUND(D61*(LEFT(I61,5)+1),0)</f>
        <v>0</v>
      </c>
      <c r="I61" s="899" t="str">
        <f>TEXT('MYP Assumptions'!E78,"0.00%")&amp;", CPI"</f>
        <v>3.37%, CPI</v>
      </c>
      <c r="J61" s="455"/>
      <c r="K61" s="456" t="str">
        <f t="shared" si="22"/>
        <v>0.00%</v>
      </c>
      <c r="L61" s="340">
        <f t="shared" ref="L61:L65" si="30">ROUND(H61*(LEFT(M61,5)+1),0)</f>
        <v>0</v>
      </c>
      <c r="M61" s="899" t="str">
        <f>TEXT('MYP Assumptions'!F78,"0.00%")&amp;", CPI"</f>
        <v>3.58%, CPI</v>
      </c>
      <c r="O61" s="456" t="str">
        <f t="shared" si="23"/>
        <v>0.00%</v>
      </c>
      <c r="P61" s="340">
        <f t="shared" ref="P61:P65" si="31">ROUND(L61*(LEFT(Q61,5)+1),0)</f>
        <v>0</v>
      </c>
      <c r="Q61" s="899" t="str">
        <f>TEXT('MYP Assumptions'!G78,"0.00%")&amp;", CPI"</f>
        <v>3.36%, CPI</v>
      </c>
      <c r="R61" s="592"/>
      <c r="S61" s="2238" t="str">
        <f t="shared" si="24"/>
        <v>0.00%</v>
      </c>
      <c r="T61" s="340">
        <f t="shared" ref="T61:T65" si="32">ROUND(P61*(LEFT(U61,5)+1),0)</f>
        <v>0</v>
      </c>
      <c r="U61" s="953" t="str">
        <f>TEXT('MYP Assumptions'!H78,"0.00%")&amp;", CPI"</f>
        <v>3.23%, CPI</v>
      </c>
      <c r="V61" s="952"/>
      <c r="W61" s="2241" t="str">
        <f t="shared" si="25"/>
        <v>0.00%</v>
      </c>
      <c r="X61" s="340">
        <f t="shared" si="27"/>
        <v>0</v>
      </c>
      <c r="Y61" s="953" t="str">
        <f>TEXT('MYP Assumptions'!I78,"0.00%")&amp;", CPI"</f>
        <v>2.73%, CPI</v>
      </c>
      <c r="AA61" s="456" t="str">
        <f t="shared" si="26"/>
        <v>0.00%</v>
      </c>
      <c r="AB61" s="340">
        <f t="shared" si="28"/>
        <v>0</v>
      </c>
      <c r="AC61" s="953" t="str">
        <f>TEXT('MYP Assumptions'!J78,"0.00%")&amp;", CPI"</f>
        <v>2.73%, CPI</v>
      </c>
    </row>
    <row r="62" spans="1:29" s="457" customFormat="1" hidden="1" x14ac:dyDescent="0.25">
      <c r="A62" s="897"/>
      <c r="B62" s="2385"/>
      <c r="C62" s="1656"/>
      <c r="D62" s="340">
        <v>0</v>
      </c>
      <c r="E62" s="2386"/>
      <c r="F62" s="340"/>
      <c r="G62" s="456" t="str">
        <f t="shared" si="21"/>
        <v>0.00%</v>
      </c>
      <c r="H62" s="340">
        <f t="shared" si="29"/>
        <v>0</v>
      </c>
      <c r="I62" s="899" t="str">
        <f>TEXT('MYP Assumptions'!E78,"0.00%")&amp;", CPI"</f>
        <v>3.37%, CPI</v>
      </c>
      <c r="J62" s="455"/>
      <c r="K62" s="456" t="str">
        <f t="shared" si="22"/>
        <v>0.00%</v>
      </c>
      <c r="L62" s="340">
        <f t="shared" si="30"/>
        <v>0</v>
      </c>
      <c r="M62" s="899" t="str">
        <f>TEXT('MYP Assumptions'!F78,"0.00%")&amp;", CPI"</f>
        <v>3.58%, CPI</v>
      </c>
      <c r="O62" s="456" t="str">
        <f t="shared" si="23"/>
        <v>0.00%</v>
      </c>
      <c r="P62" s="340">
        <f t="shared" si="31"/>
        <v>0</v>
      </c>
      <c r="Q62" s="899" t="str">
        <f>TEXT('MYP Assumptions'!G78,"0.00%")&amp;", CPI"</f>
        <v>3.36%, CPI</v>
      </c>
      <c r="R62" s="592"/>
      <c r="S62" s="2238" t="str">
        <f t="shared" si="24"/>
        <v>0.00%</v>
      </c>
      <c r="T62" s="340">
        <f t="shared" si="32"/>
        <v>0</v>
      </c>
      <c r="U62" s="953" t="str">
        <f>TEXT('MYP Assumptions'!H78,"0.00%")&amp;", CPI"</f>
        <v>3.23%, CPI</v>
      </c>
      <c r="V62" s="952"/>
      <c r="W62" s="2241" t="str">
        <f t="shared" si="25"/>
        <v>0.00%</v>
      </c>
      <c r="X62" s="340">
        <f t="shared" si="27"/>
        <v>0</v>
      </c>
      <c r="Y62" s="953" t="str">
        <f>TEXT('MYP Assumptions'!I78,"0.00%")&amp;", CPI"</f>
        <v>2.73%, CPI</v>
      </c>
      <c r="AA62" s="456" t="str">
        <f t="shared" si="26"/>
        <v>0.00%</v>
      </c>
      <c r="AB62" s="340">
        <f t="shared" si="28"/>
        <v>0</v>
      </c>
      <c r="AC62" s="953" t="str">
        <f>TEXT('MYP Assumptions'!J78,"0.00%")&amp;", CPI"</f>
        <v>2.73%, CPI</v>
      </c>
    </row>
    <row r="63" spans="1:29" s="457" customFormat="1" hidden="1" x14ac:dyDescent="0.25">
      <c r="A63" s="897"/>
      <c r="B63" s="2385"/>
      <c r="C63" s="1656"/>
      <c r="D63" s="340">
        <v>0</v>
      </c>
      <c r="E63" s="2386"/>
      <c r="F63" s="340"/>
      <c r="G63" s="456" t="str">
        <f t="shared" si="21"/>
        <v>0.00%</v>
      </c>
      <c r="H63" s="340">
        <f t="shared" si="29"/>
        <v>0</v>
      </c>
      <c r="I63" s="899" t="str">
        <f>TEXT('MYP Assumptions'!E78,"0.00%")&amp;", CPI"</f>
        <v>3.37%, CPI</v>
      </c>
      <c r="J63" s="455"/>
      <c r="K63" s="456" t="str">
        <f t="shared" si="22"/>
        <v>0.00%</v>
      </c>
      <c r="L63" s="340">
        <f t="shared" si="30"/>
        <v>0</v>
      </c>
      <c r="M63" s="899" t="str">
        <f>TEXT('MYP Assumptions'!F78,"0.00%")&amp;", CPI"</f>
        <v>3.58%, CPI</v>
      </c>
      <c r="O63" s="456" t="str">
        <f t="shared" si="23"/>
        <v>0.00%</v>
      </c>
      <c r="P63" s="340">
        <f t="shared" si="31"/>
        <v>0</v>
      </c>
      <c r="Q63" s="899" t="str">
        <f>TEXT('MYP Assumptions'!G78,"0.00%")&amp;", CPI"</f>
        <v>3.36%, CPI</v>
      </c>
      <c r="R63" s="592"/>
      <c r="S63" s="2238" t="str">
        <f t="shared" si="24"/>
        <v>0.00%</v>
      </c>
      <c r="T63" s="340">
        <f t="shared" si="32"/>
        <v>0</v>
      </c>
      <c r="U63" s="953" t="str">
        <f>TEXT('MYP Assumptions'!H78,"0.00%")&amp;", CPI"</f>
        <v>3.23%, CPI</v>
      </c>
      <c r="V63" s="952"/>
      <c r="W63" s="2241" t="str">
        <f t="shared" si="25"/>
        <v>0.00%</v>
      </c>
      <c r="X63" s="340">
        <f t="shared" si="27"/>
        <v>0</v>
      </c>
      <c r="Y63" s="953" t="str">
        <f>TEXT('MYP Assumptions'!I78,"0.00%")&amp;", CPI"</f>
        <v>2.73%, CPI</v>
      </c>
      <c r="AA63" s="456" t="str">
        <f t="shared" si="26"/>
        <v>0.00%</v>
      </c>
      <c r="AB63" s="340">
        <f t="shared" si="28"/>
        <v>0</v>
      </c>
      <c r="AC63" s="953" t="str">
        <f>TEXT('MYP Assumptions'!J78,"0.00%")&amp;", CPI"</f>
        <v>2.73%, CPI</v>
      </c>
    </row>
    <row r="64" spans="1:29" s="457" customFormat="1" hidden="1" x14ac:dyDescent="0.25">
      <c r="A64" s="897"/>
      <c r="B64" s="2385"/>
      <c r="C64" s="1656"/>
      <c r="D64" s="340">
        <v>0</v>
      </c>
      <c r="E64" s="2386"/>
      <c r="F64" s="340"/>
      <c r="G64" s="456" t="str">
        <f t="shared" si="21"/>
        <v>0.00%</v>
      </c>
      <c r="H64" s="340">
        <f t="shared" si="29"/>
        <v>0</v>
      </c>
      <c r="I64" s="899" t="str">
        <f>TEXT('MYP Assumptions'!E78,"0.00%")&amp;", CPI"</f>
        <v>3.37%, CPI</v>
      </c>
      <c r="J64" s="455"/>
      <c r="K64" s="456" t="str">
        <f t="shared" si="22"/>
        <v>0.00%</v>
      </c>
      <c r="L64" s="340">
        <f t="shared" si="30"/>
        <v>0</v>
      </c>
      <c r="M64" s="899" t="str">
        <f>TEXT('MYP Assumptions'!F78,"0.00%")&amp;", CPI"</f>
        <v>3.58%, CPI</v>
      </c>
      <c r="O64" s="456" t="str">
        <f t="shared" si="23"/>
        <v>0.00%</v>
      </c>
      <c r="P64" s="340">
        <f t="shared" si="31"/>
        <v>0</v>
      </c>
      <c r="Q64" s="899" t="str">
        <f>TEXT('MYP Assumptions'!G78,"0.00%")&amp;", CPI"</f>
        <v>3.36%, CPI</v>
      </c>
      <c r="R64" s="592"/>
      <c r="S64" s="2238" t="str">
        <f t="shared" si="24"/>
        <v>0.00%</v>
      </c>
      <c r="T64" s="340">
        <f t="shared" si="32"/>
        <v>0</v>
      </c>
      <c r="U64" s="953" t="str">
        <f>TEXT('MYP Assumptions'!H78,"0.00%")&amp;", CPI"</f>
        <v>3.23%, CPI</v>
      </c>
      <c r="V64" s="952"/>
      <c r="W64" s="2241" t="str">
        <f t="shared" si="25"/>
        <v>0.00%</v>
      </c>
      <c r="X64" s="340">
        <f t="shared" si="27"/>
        <v>0</v>
      </c>
      <c r="Y64" s="953" t="str">
        <f>TEXT('MYP Assumptions'!I78,"0.00%")&amp;", CPI"</f>
        <v>2.73%, CPI</v>
      </c>
      <c r="AA64" s="456" t="str">
        <f t="shared" si="26"/>
        <v>0.00%</v>
      </c>
      <c r="AB64" s="340">
        <f t="shared" si="28"/>
        <v>0</v>
      </c>
      <c r="AC64" s="953" t="str">
        <f>TEXT('MYP Assumptions'!J78,"0.00%")&amp;", CPI"</f>
        <v>2.73%, CPI</v>
      </c>
    </row>
    <row r="65" spans="1:29" s="457" customFormat="1" hidden="1" x14ac:dyDescent="0.25">
      <c r="A65" s="897"/>
      <c r="B65" s="2385"/>
      <c r="C65" s="2348"/>
      <c r="D65" s="340">
        <v>0</v>
      </c>
      <c r="E65" s="2386"/>
      <c r="F65" s="340"/>
      <c r="G65" s="456" t="str">
        <f t="shared" si="21"/>
        <v>0.00%</v>
      </c>
      <c r="H65" s="340">
        <f t="shared" si="29"/>
        <v>0</v>
      </c>
      <c r="I65" s="899" t="str">
        <f>TEXT('MYP Assumptions'!E78,"0.00%")&amp;", CPI"</f>
        <v>3.37%, CPI</v>
      </c>
      <c r="J65" s="455"/>
      <c r="K65" s="456" t="str">
        <f t="shared" si="22"/>
        <v>0.00%</v>
      </c>
      <c r="L65" s="340">
        <f t="shared" si="30"/>
        <v>0</v>
      </c>
      <c r="M65" s="899" t="str">
        <f>TEXT('MYP Assumptions'!F78,"0.00%")&amp;", CPI"</f>
        <v>3.58%, CPI</v>
      </c>
      <c r="O65" s="456" t="str">
        <f t="shared" si="23"/>
        <v>0.00%</v>
      </c>
      <c r="P65" s="340">
        <f t="shared" si="31"/>
        <v>0</v>
      </c>
      <c r="Q65" s="899" t="str">
        <f>TEXT('MYP Assumptions'!G78,"0.00%")&amp;", CPI"</f>
        <v>3.36%, CPI</v>
      </c>
      <c r="R65" s="592"/>
      <c r="S65" s="2238" t="str">
        <f t="shared" si="24"/>
        <v>0.00%</v>
      </c>
      <c r="T65" s="340">
        <f t="shared" si="32"/>
        <v>0</v>
      </c>
      <c r="U65" s="953" t="str">
        <f>TEXT('MYP Assumptions'!H78,"0.00%")&amp;", CPI"</f>
        <v>3.23%, CPI</v>
      </c>
      <c r="V65" s="952"/>
      <c r="W65" s="2241" t="str">
        <f t="shared" si="25"/>
        <v>0.00%</v>
      </c>
      <c r="X65" s="340">
        <f t="shared" si="27"/>
        <v>0</v>
      </c>
      <c r="Y65" s="953" t="str">
        <f>TEXT('MYP Assumptions'!I78,"0.00%")&amp;", CPI"</f>
        <v>2.73%, CPI</v>
      </c>
      <c r="AA65" s="456" t="str">
        <f t="shared" si="26"/>
        <v>0.00%</v>
      </c>
      <c r="AB65" s="340">
        <f t="shared" si="28"/>
        <v>0</v>
      </c>
      <c r="AC65" s="953" t="str">
        <f>TEXT('MYP Assumptions'!J78,"0.00%")&amp;", CPI"</f>
        <v>2.73%, CPI</v>
      </c>
    </row>
    <row r="66" spans="1:29" s="457" customFormat="1" x14ac:dyDescent="0.25">
      <c r="A66" s="898"/>
      <c r="B66" s="2215"/>
      <c r="C66" s="1656"/>
      <c r="D66" s="458">
        <f>SUM(D59:D65)</f>
        <v>1933812.68</v>
      </c>
      <c r="E66" s="2386"/>
      <c r="F66" s="340"/>
      <c r="G66" s="456">
        <f t="shared" si="21"/>
        <v>-0.84486604979754298</v>
      </c>
      <c r="H66" s="458">
        <f>SUM(H59:H65)</f>
        <v>300000</v>
      </c>
      <c r="I66" s="2316">
        <f>+H66-D66</f>
        <v>-1633812.68</v>
      </c>
      <c r="J66" s="459"/>
      <c r="K66" s="456">
        <f t="shared" si="22"/>
        <v>9.4876666666666658</v>
      </c>
      <c r="L66" s="458">
        <f>SUM(L59:L65)</f>
        <v>3146300</v>
      </c>
      <c r="M66" s="2316">
        <f>+L66-H66</f>
        <v>2846300</v>
      </c>
      <c r="O66" s="456">
        <f t="shared" si="23"/>
        <v>-0.68216635413024818</v>
      </c>
      <c r="P66" s="458">
        <f>SUM(P59:P65)</f>
        <v>1000000</v>
      </c>
      <c r="Q66" s="2316">
        <f>+P66-L66</f>
        <v>-2146300</v>
      </c>
      <c r="R66" s="592"/>
      <c r="S66" s="2238">
        <f t="shared" si="24"/>
        <v>-1</v>
      </c>
      <c r="T66" s="458">
        <f>SUM(T59:T65)</f>
        <v>0</v>
      </c>
      <c r="U66" s="2344"/>
      <c r="V66" s="952"/>
      <c r="W66" s="2241" t="str">
        <f t="shared" si="25"/>
        <v>0.00%</v>
      </c>
      <c r="X66" s="458">
        <f>SUM(X59:X65)</f>
        <v>0</v>
      </c>
      <c r="Y66" s="2344"/>
      <c r="AA66" s="456" t="str">
        <f t="shared" si="26"/>
        <v>0.00%</v>
      </c>
      <c r="AB66" s="458">
        <f>SUM(AB59:AB65)</f>
        <v>0</v>
      </c>
      <c r="AC66" s="2344"/>
    </row>
    <row r="67" spans="1:29" s="457" customFormat="1" x14ac:dyDescent="0.25">
      <c r="A67" s="897"/>
      <c r="B67" s="2345"/>
      <c r="C67" s="1656"/>
      <c r="D67" s="340"/>
      <c r="E67" s="2386"/>
      <c r="F67" s="340"/>
      <c r="G67" s="2338"/>
      <c r="H67" s="340"/>
      <c r="I67" s="897"/>
      <c r="J67" s="455"/>
      <c r="K67" s="1668"/>
      <c r="L67" s="340"/>
      <c r="M67" s="901"/>
      <c r="O67" s="1668"/>
      <c r="P67" s="340"/>
      <c r="Q67" s="901"/>
      <c r="R67" s="592"/>
      <c r="S67" s="2341"/>
      <c r="T67" s="340"/>
      <c r="U67" s="2344"/>
      <c r="V67" s="952"/>
      <c r="W67" s="2343"/>
      <c r="X67" s="340"/>
      <c r="Y67" s="2344"/>
      <c r="AA67" s="1668"/>
      <c r="AB67" s="340"/>
      <c r="AC67" s="2344"/>
    </row>
    <row r="68" spans="1:29" s="461" customFormat="1" x14ac:dyDescent="0.25">
      <c r="A68" s="900"/>
      <c r="B68" s="2337" t="s">
        <v>16</v>
      </c>
      <c r="C68" s="900"/>
      <c r="D68" s="460"/>
      <c r="E68" s="868"/>
      <c r="F68" s="460"/>
      <c r="G68" s="2389"/>
      <c r="H68" s="460"/>
      <c r="I68" s="900"/>
      <c r="K68" s="1669"/>
      <c r="L68" s="460"/>
      <c r="M68" s="902"/>
      <c r="O68" s="1669"/>
      <c r="P68" s="460"/>
      <c r="Q68" s="902"/>
      <c r="S68" s="1669"/>
      <c r="U68" s="2392"/>
      <c r="V68" s="2381"/>
      <c r="W68" s="2382"/>
      <c r="Y68" s="2392"/>
      <c r="AA68" s="1669"/>
      <c r="AC68" s="2392"/>
    </row>
    <row r="69" spans="1:29" s="457" customFormat="1" x14ac:dyDescent="0.25">
      <c r="A69" s="897"/>
      <c r="B69" s="2385">
        <v>5813</v>
      </c>
      <c r="C69" s="1656" t="s">
        <v>6</v>
      </c>
      <c r="D69" s="340">
        <v>31138.51</v>
      </c>
      <c r="E69" s="2386"/>
      <c r="F69" s="340"/>
      <c r="G69" s="456">
        <f t="shared" ref="G69:G74" si="33">IF(D69=0,"0.00%",(H69-D69)/D69)</f>
        <v>-3.6562764242733463E-2</v>
      </c>
      <c r="H69" s="340">
        <v>30000</v>
      </c>
      <c r="I69" s="899" t="s">
        <v>173</v>
      </c>
      <c r="J69" s="455"/>
      <c r="K69" s="456">
        <f t="shared" ref="K69:K82" si="34">IF(H69=0,"0.00%",(L69-H69)/H69)</f>
        <v>0</v>
      </c>
      <c r="L69" s="340">
        <f>+H69</f>
        <v>30000</v>
      </c>
      <c r="M69" s="899" t="s">
        <v>173</v>
      </c>
      <c r="O69" s="456">
        <f t="shared" ref="O69:O82" si="35">IF(L69=0,"0.00%",(P69-L69)/L69)</f>
        <v>0</v>
      </c>
      <c r="P69" s="340">
        <f>+L69</f>
        <v>30000</v>
      </c>
      <c r="Q69" s="899" t="s">
        <v>173</v>
      </c>
      <c r="R69" s="592"/>
      <c r="S69" s="2238">
        <f t="shared" ref="S69:S82" si="36">IF(P69=0,"0.00%",(T69-P69)/P69)</f>
        <v>0</v>
      </c>
      <c r="T69" s="340">
        <f>+P69</f>
        <v>30000</v>
      </c>
      <c r="U69" s="953" t="s">
        <v>173</v>
      </c>
      <c r="V69" s="952"/>
      <c r="W69" s="2241">
        <f t="shared" ref="W69:W82" si="37">IF(T69=0,"0.00%",(X69-T69)/T69)</f>
        <v>2.7300000000000001E-2</v>
      </c>
      <c r="X69" s="340">
        <f>ROUND(T69*(LEFT(Y69,5)+1),0)</f>
        <v>30819</v>
      </c>
      <c r="Y69" s="953" t="str">
        <f>TEXT('MYP Assumptions'!I78,"0.00%")&amp;", CPI"</f>
        <v>2.73%, CPI</v>
      </c>
      <c r="AA69" s="456">
        <f t="shared" ref="AA69:AA82" si="38">IF(X69=0,"0.00%",(AB69-X69)/X69)</f>
        <v>2.7288361075959635E-2</v>
      </c>
      <c r="AB69" s="340">
        <f>ROUND(X69*(LEFT(AC69,5)+1),0)</f>
        <v>31660</v>
      </c>
      <c r="AC69" s="953" t="str">
        <f>TEXT('MYP Assumptions'!J78,"0.00%")&amp;", CPI"</f>
        <v>2.73%, CPI</v>
      </c>
    </row>
    <row r="70" spans="1:29" s="457" customFormat="1" x14ac:dyDescent="0.25">
      <c r="A70" s="897"/>
      <c r="B70" s="2385">
        <v>5814</v>
      </c>
      <c r="C70" s="1656" t="s">
        <v>4</v>
      </c>
      <c r="D70" s="340">
        <v>2562.0700000000002</v>
      </c>
      <c r="E70" s="2386"/>
      <c r="F70" s="340"/>
      <c r="G70" s="456">
        <f t="shared" si="33"/>
        <v>6.2503873820777729</v>
      </c>
      <c r="H70" s="340">
        <v>18576</v>
      </c>
      <c r="I70" s="899" t="s">
        <v>173</v>
      </c>
      <c r="J70" s="455"/>
      <c r="K70" s="456">
        <f t="shared" si="34"/>
        <v>13.583064168819982</v>
      </c>
      <c r="L70" s="340">
        <v>270895</v>
      </c>
      <c r="M70" s="899" t="s">
        <v>173</v>
      </c>
      <c r="O70" s="456">
        <f t="shared" si="35"/>
        <v>-3.303863120397202E-3</v>
      </c>
      <c r="P70" s="340">
        <v>270000</v>
      </c>
      <c r="Q70" s="899" t="s">
        <v>173</v>
      </c>
      <c r="R70" s="592"/>
      <c r="S70" s="2238">
        <f t="shared" si="36"/>
        <v>0</v>
      </c>
      <c r="T70" s="340">
        <f>+P70</f>
        <v>270000</v>
      </c>
      <c r="U70" s="953" t="s">
        <v>173</v>
      </c>
      <c r="V70" s="952"/>
      <c r="W70" s="2241">
        <f t="shared" si="37"/>
        <v>2.7300000000000001E-2</v>
      </c>
      <c r="X70" s="340">
        <f t="shared" ref="X70:X81" si="39">ROUND(T70*(LEFT(Y70,5)+1),0)</f>
        <v>277371</v>
      </c>
      <c r="Y70" s="953" t="str">
        <f>TEXT('MYP Assumptions'!I78,"0.00%")&amp;", CPI"</f>
        <v>2.73%, CPI</v>
      </c>
      <c r="AA70" s="456">
        <f t="shared" si="38"/>
        <v>2.7299176914673848E-2</v>
      </c>
      <c r="AB70" s="340">
        <f t="shared" ref="AB70:AB81" si="40">ROUND(X70*(LEFT(AC70,5)+1),0)</f>
        <v>284943</v>
      </c>
      <c r="AC70" s="953" t="str">
        <f>TEXT('MYP Assumptions'!J78,"0.00%")&amp;", CPI"</f>
        <v>2.73%, CPI</v>
      </c>
    </row>
    <row r="71" spans="1:29" s="457" customFormat="1" hidden="1" x14ac:dyDescent="0.25">
      <c r="A71" s="897"/>
      <c r="B71" s="2385"/>
      <c r="C71" s="1656"/>
      <c r="D71" s="340">
        <v>0</v>
      </c>
      <c r="E71" s="2386"/>
      <c r="F71" s="340"/>
      <c r="G71" s="456" t="str">
        <f t="shared" si="33"/>
        <v>0.00%</v>
      </c>
      <c r="H71" s="340">
        <f t="shared" ref="H71:H76" si="41">ROUND(D71*(LEFT(I71,5)+1),0)</f>
        <v>0</v>
      </c>
      <c r="I71" s="899" t="str">
        <f>TEXT('MYP Assumptions'!E78,"0.00%")&amp;", CPI"</f>
        <v>3.37%, CPI</v>
      </c>
      <c r="J71" s="455"/>
      <c r="K71" s="456" t="str">
        <f t="shared" si="34"/>
        <v>0.00%</v>
      </c>
      <c r="L71" s="340">
        <f t="shared" ref="L71:L81" si="42">ROUND(H71*(LEFT(M71,5)+1),0)</f>
        <v>0</v>
      </c>
      <c r="M71" s="899" t="str">
        <f>TEXT('MYP Assumptions'!F78,"0.00%")&amp;", CPI"</f>
        <v>3.58%, CPI</v>
      </c>
      <c r="O71" s="456" t="str">
        <f t="shared" si="35"/>
        <v>0.00%</v>
      </c>
      <c r="P71" s="340">
        <f t="shared" ref="P71:P81" si="43">ROUND(L71*(LEFT(Q71,5)+1),0)</f>
        <v>0</v>
      </c>
      <c r="Q71" s="899" t="str">
        <f>TEXT('MYP Assumptions'!G78,"0.00%")&amp;", CPI"</f>
        <v>3.36%, CPI</v>
      </c>
      <c r="R71" s="592"/>
      <c r="S71" s="2238" t="str">
        <f t="shared" si="36"/>
        <v>0.00%</v>
      </c>
      <c r="T71" s="340">
        <f t="shared" ref="T71:T81" si="44">ROUND(P71*(LEFT(U71,5)+1),0)</f>
        <v>0</v>
      </c>
      <c r="U71" s="953" t="str">
        <f>TEXT('MYP Assumptions'!H78,"0.00%")&amp;", CPI"</f>
        <v>3.23%, CPI</v>
      </c>
      <c r="V71" s="952"/>
      <c r="W71" s="2241" t="str">
        <f t="shared" si="37"/>
        <v>0.00%</v>
      </c>
      <c r="X71" s="340">
        <f t="shared" si="39"/>
        <v>0</v>
      </c>
      <c r="Y71" s="953" t="str">
        <f>TEXT('MYP Assumptions'!I78,"0.00%")&amp;", CPI"</f>
        <v>2.73%, CPI</v>
      </c>
      <c r="AA71" s="456" t="str">
        <f t="shared" si="38"/>
        <v>0.00%</v>
      </c>
      <c r="AB71" s="340">
        <f t="shared" si="40"/>
        <v>0</v>
      </c>
      <c r="AC71" s="953" t="str">
        <f>TEXT('MYP Assumptions'!J78,"0.00%")&amp;", CPI"</f>
        <v>2.73%, CPI</v>
      </c>
    </row>
    <row r="72" spans="1:29" s="457" customFormat="1" hidden="1" x14ac:dyDescent="0.25">
      <c r="A72" s="897"/>
      <c r="B72" s="2385"/>
      <c r="C72" s="1656"/>
      <c r="D72" s="340">
        <v>0</v>
      </c>
      <c r="E72" s="2386"/>
      <c r="F72" s="340"/>
      <c r="G72" s="456" t="str">
        <f t="shared" si="33"/>
        <v>0.00%</v>
      </c>
      <c r="H72" s="340">
        <f t="shared" si="41"/>
        <v>0</v>
      </c>
      <c r="I72" s="899" t="str">
        <f>TEXT('MYP Assumptions'!E78,"0.00%")&amp;", CPI"</f>
        <v>3.37%, CPI</v>
      </c>
      <c r="J72" s="455"/>
      <c r="K72" s="456" t="str">
        <f t="shared" si="34"/>
        <v>0.00%</v>
      </c>
      <c r="L72" s="340">
        <f t="shared" si="42"/>
        <v>0</v>
      </c>
      <c r="M72" s="899" t="str">
        <f>TEXT('MYP Assumptions'!F78,"0.00%")&amp;", CPI"</f>
        <v>3.58%, CPI</v>
      </c>
      <c r="O72" s="456" t="str">
        <f t="shared" si="35"/>
        <v>0.00%</v>
      </c>
      <c r="P72" s="340">
        <f t="shared" si="43"/>
        <v>0</v>
      </c>
      <c r="Q72" s="899" t="str">
        <f>TEXT('MYP Assumptions'!G78,"0.00%")&amp;", CPI"</f>
        <v>3.36%, CPI</v>
      </c>
      <c r="R72" s="592"/>
      <c r="S72" s="2238" t="str">
        <f t="shared" si="36"/>
        <v>0.00%</v>
      </c>
      <c r="T72" s="340">
        <f t="shared" si="44"/>
        <v>0</v>
      </c>
      <c r="U72" s="953" t="str">
        <f>TEXT('MYP Assumptions'!H78,"0.00%")&amp;", CPI"</f>
        <v>3.23%, CPI</v>
      </c>
      <c r="V72" s="952"/>
      <c r="W72" s="2241" t="str">
        <f t="shared" si="37"/>
        <v>0.00%</v>
      </c>
      <c r="X72" s="340">
        <f t="shared" si="39"/>
        <v>0</v>
      </c>
      <c r="Y72" s="953" t="str">
        <f>TEXT('MYP Assumptions'!I78,"0.00%")&amp;", CPI"</f>
        <v>2.73%, CPI</v>
      </c>
      <c r="AA72" s="456" t="str">
        <f t="shared" si="38"/>
        <v>0.00%</v>
      </c>
      <c r="AB72" s="340">
        <f t="shared" si="40"/>
        <v>0</v>
      </c>
      <c r="AC72" s="953" t="str">
        <f>TEXT('MYP Assumptions'!J78,"0.00%")&amp;", CPI"</f>
        <v>2.73%, CPI</v>
      </c>
    </row>
    <row r="73" spans="1:29" s="457" customFormat="1" hidden="1" x14ac:dyDescent="0.25">
      <c r="A73" s="897"/>
      <c r="B73" s="2385"/>
      <c r="C73" s="1656"/>
      <c r="D73" s="340">
        <v>0</v>
      </c>
      <c r="E73" s="2386"/>
      <c r="F73" s="340"/>
      <c r="G73" s="456" t="str">
        <f t="shared" si="33"/>
        <v>0.00%</v>
      </c>
      <c r="H73" s="340">
        <f t="shared" si="41"/>
        <v>0</v>
      </c>
      <c r="I73" s="899" t="str">
        <f>TEXT('MYP Assumptions'!E78,"0.00%")&amp;", CPI"</f>
        <v>3.37%, CPI</v>
      </c>
      <c r="J73" s="455"/>
      <c r="K73" s="456" t="str">
        <f t="shared" si="34"/>
        <v>0.00%</v>
      </c>
      <c r="L73" s="340">
        <f t="shared" si="42"/>
        <v>0</v>
      </c>
      <c r="M73" s="899" t="str">
        <f>TEXT('MYP Assumptions'!F78,"0.00%")&amp;", CPI"</f>
        <v>3.58%, CPI</v>
      </c>
      <c r="O73" s="456" t="str">
        <f t="shared" si="35"/>
        <v>0.00%</v>
      </c>
      <c r="P73" s="340">
        <f t="shared" si="43"/>
        <v>0</v>
      </c>
      <c r="Q73" s="899" t="str">
        <f>TEXT('MYP Assumptions'!G78,"0.00%")&amp;", CPI"</f>
        <v>3.36%, CPI</v>
      </c>
      <c r="R73" s="592"/>
      <c r="S73" s="2238" t="str">
        <f t="shared" si="36"/>
        <v>0.00%</v>
      </c>
      <c r="T73" s="340">
        <f t="shared" si="44"/>
        <v>0</v>
      </c>
      <c r="U73" s="953" t="str">
        <f>TEXT('MYP Assumptions'!H78,"0.00%")&amp;", CPI"</f>
        <v>3.23%, CPI</v>
      </c>
      <c r="V73" s="952"/>
      <c r="W73" s="2241" t="str">
        <f t="shared" si="37"/>
        <v>0.00%</v>
      </c>
      <c r="X73" s="340">
        <f t="shared" si="39"/>
        <v>0</v>
      </c>
      <c r="Y73" s="953" t="str">
        <f>TEXT('MYP Assumptions'!I78,"0.00%")&amp;", CPI"</f>
        <v>2.73%, CPI</v>
      </c>
      <c r="AA73" s="456" t="str">
        <f t="shared" si="38"/>
        <v>0.00%</v>
      </c>
      <c r="AB73" s="340">
        <f t="shared" si="40"/>
        <v>0</v>
      </c>
      <c r="AC73" s="953" t="str">
        <f>TEXT('MYP Assumptions'!J78,"0.00%")&amp;", CPI"</f>
        <v>2.73%, CPI</v>
      </c>
    </row>
    <row r="74" spans="1:29" s="457" customFormat="1" hidden="1" x14ac:dyDescent="0.25">
      <c r="A74" s="897"/>
      <c r="B74" s="2385"/>
      <c r="C74" s="1656"/>
      <c r="D74" s="340">
        <v>0</v>
      </c>
      <c r="E74" s="2386"/>
      <c r="F74" s="340"/>
      <c r="G74" s="456" t="str">
        <f t="shared" si="33"/>
        <v>0.00%</v>
      </c>
      <c r="H74" s="340">
        <f t="shared" si="41"/>
        <v>0</v>
      </c>
      <c r="I74" s="899" t="str">
        <f>TEXT('MYP Assumptions'!E78,"0.00%")&amp;", CPI"</f>
        <v>3.37%, CPI</v>
      </c>
      <c r="J74" s="455"/>
      <c r="K74" s="456" t="str">
        <f t="shared" si="34"/>
        <v>0.00%</v>
      </c>
      <c r="L74" s="340">
        <f t="shared" si="42"/>
        <v>0</v>
      </c>
      <c r="M74" s="899" t="str">
        <f>TEXT('MYP Assumptions'!F78,"0.00%")&amp;", CPI"</f>
        <v>3.58%, CPI</v>
      </c>
      <c r="O74" s="456" t="str">
        <f t="shared" si="35"/>
        <v>0.00%</v>
      </c>
      <c r="P74" s="340">
        <f t="shared" si="43"/>
        <v>0</v>
      </c>
      <c r="Q74" s="899" t="str">
        <f>TEXT('MYP Assumptions'!G78,"0.00%")&amp;", CPI"</f>
        <v>3.36%, CPI</v>
      </c>
      <c r="R74" s="592"/>
      <c r="S74" s="2238" t="str">
        <f t="shared" si="36"/>
        <v>0.00%</v>
      </c>
      <c r="T74" s="340">
        <f t="shared" si="44"/>
        <v>0</v>
      </c>
      <c r="U74" s="953" t="str">
        <f>TEXT('MYP Assumptions'!H78,"0.00%")&amp;", CPI"</f>
        <v>3.23%, CPI</v>
      </c>
      <c r="V74" s="952"/>
      <c r="W74" s="2241" t="str">
        <f t="shared" si="37"/>
        <v>0.00%</v>
      </c>
      <c r="X74" s="340">
        <f t="shared" si="39"/>
        <v>0</v>
      </c>
      <c r="Y74" s="953" t="str">
        <f>TEXT('MYP Assumptions'!I78,"0.00%")&amp;", CPI"</f>
        <v>2.73%, CPI</v>
      </c>
      <c r="AA74" s="456" t="str">
        <f t="shared" si="38"/>
        <v>0.00%</v>
      </c>
      <c r="AB74" s="340">
        <f t="shared" si="40"/>
        <v>0</v>
      </c>
      <c r="AC74" s="953" t="str">
        <f>TEXT('MYP Assumptions'!J78,"0.00%")&amp;", CPI"</f>
        <v>2.73%, CPI</v>
      </c>
    </row>
    <row r="75" spans="1:29" s="457" customFormat="1" hidden="1" x14ac:dyDescent="0.25">
      <c r="A75" s="897"/>
      <c r="B75" s="2385"/>
      <c r="C75" s="1656"/>
      <c r="D75" s="340">
        <v>0</v>
      </c>
      <c r="E75" s="2386"/>
      <c r="F75" s="340"/>
      <c r="G75" s="456" t="str">
        <f>IF(D75=0,"0.00%",(H75-D75)/D75)</f>
        <v>0.00%</v>
      </c>
      <c r="H75" s="340">
        <f t="shared" si="41"/>
        <v>0</v>
      </c>
      <c r="I75" s="899" t="str">
        <f>TEXT('MYP Assumptions'!E78,"0.00%")&amp;", CPI"</f>
        <v>3.37%, CPI</v>
      </c>
      <c r="J75" s="455"/>
      <c r="K75" s="456" t="str">
        <f t="shared" si="34"/>
        <v>0.00%</v>
      </c>
      <c r="L75" s="340">
        <f t="shared" si="42"/>
        <v>0</v>
      </c>
      <c r="M75" s="899" t="str">
        <f>TEXT('MYP Assumptions'!F78,"0.00%")&amp;", CPI"</f>
        <v>3.58%, CPI</v>
      </c>
      <c r="O75" s="456" t="str">
        <f t="shared" si="35"/>
        <v>0.00%</v>
      </c>
      <c r="P75" s="340">
        <f t="shared" si="43"/>
        <v>0</v>
      </c>
      <c r="Q75" s="899" t="str">
        <f>TEXT('MYP Assumptions'!G78,"0.00%")&amp;", CPI"</f>
        <v>3.36%, CPI</v>
      </c>
      <c r="R75" s="592"/>
      <c r="S75" s="2238" t="str">
        <f t="shared" si="36"/>
        <v>0.00%</v>
      </c>
      <c r="T75" s="340">
        <f t="shared" si="44"/>
        <v>0</v>
      </c>
      <c r="U75" s="953" t="str">
        <f>TEXT('MYP Assumptions'!H78,"0.00%")&amp;", CPI"</f>
        <v>3.23%, CPI</v>
      </c>
      <c r="V75" s="952"/>
      <c r="W75" s="2241" t="str">
        <f t="shared" si="37"/>
        <v>0.00%</v>
      </c>
      <c r="X75" s="340">
        <f t="shared" si="39"/>
        <v>0</v>
      </c>
      <c r="Y75" s="953" t="str">
        <f>TEXT('MYP Assumptions'!I78,"0.00%")&amp;", CPI"</f>
        <v>2.73%, CPI</v>
      </c>
      <c r="AA75" s="456" t="str">
        <f t="shared" si="38"/>
        <v>0.00%</v>
      </c>
      <c r="AB75" s="340">
        <f t="shared" si="40"/>
        <v>0</v>
      </c>
      <c r="AC75" s="953" t="str">
        <f>TEXT('MYP Assumptions'!J78,"0.00%")&amp;", CPI"</f>
        <v>2.73%, CPI</v>
      </c>
    </row>
    <row r="76" spans="1:29" s="457" customFormat="1" hidden="1" x14ac:dyDescent="0.25">
      <c r="A76" s="897"/>
      <c r="B76" s="2385"/>
      <c r="C76" s="1656"/>
      <c r="D76" s="340">
        <v>0</v>
      </c>
      <c r="E76" s="2386"/>
      <c r="F76" s="340"/>
      <c r="G76" s="456" t="str">
        <f t="shared" ref="G76:G82" si="45">IF(D76=0,"0.00%",(H76-D76)/D76)</f>
        <v>0.00%</v>
      </c>
      <c r="H76" s="340">
        <f t="shared" si="41"/>
        <v>0</v>
      </c>
      <c r="I76" s="899" t="str">
        <f>TEXT('MYP Assumptions'!E78,"0.00%")&amp;", CPI"</f>
        <v>3.37%, CPI</v>
      </c>
      <c r="J76" s="455"/>
      <c r="K76" s="456" t="str">
        <f t="shared" si="34"/>
        <v>0.00%</v>
      </c>
      <c r="L76" s="340">
        <f t="shared" si="42"/>
        <v>0</v>
      </c>
      <c r="M76" s="899" t="str">
        <f>TEXT('MYP Assumptions'!F78,"0.00%")&amp;", CPI"</f>
        <v>3.58%, CPI</v>
      </c>
      <c r="O76" s="456" t="str">
        <f t="shared" si="35"/>
        <v>0.00%</v>
      </c>
      <c r="P76" s="340">
        <f t="shared" si="43"/>
        <v>0</v>
      </c>
      <c r="Q76" s="899" t="str">
        <f>TEXT('MYP Assumptions'!G78,"0.00%")&amp;", CPI"</f>
        <v>3.36%, CPI</v>
      </c>
      <c r="R76" s="592"/>
      <c r="S76" s="2238" t="str">
        <f t="shared" si="36"/>
        <v>0.00%</v>
      </c>
      <c r="T76" s="340">
        <f t="shared" si="44"/>
        <v>0</v>
      </c>
      <c r="U76" s="953" t="str">
        <f>TEXT('MYP Assumptions'!H78,"0.00%")&amp;", CPI"</f>
        <v>3.23%, CPI</v>
      </c>
      <c r="V76" s="952"/>
      <c r="W76" s="2241" t="str">
        <f t="shared" si="37"/>
        <v>0.00%</v>
      </c>
      <c r="X76" s="340">
        <f t="shared" si="39"/>
        <v>0</v>
      </c>
      <c r="Y76" s="953" t="str">
        <f>TEXT('MYP Assumptions'!I78,"0.00%")&amp;", CPI"</f>
        <v>2.73%, CPI</v>
      </c>
      <c r="AA76" s="456" t="str">
        <f t="shared" si="38"/>
        <v>0.00%</v>
      </c>
      <c r="AB76" s="340">
        <f t="shared" si="40"/>
        <v>0</v>
      </c>
      <c r="AC76" s="953" t="str">
        <f>TEXT('MYP Assumptions'!J78,"0.00%")&amp;", CPI"</f>
        <v>2.73%, CPI</v>
      </c>
    </row>
    <row r="77" spans="1:29" s="457" customFormat="1" hidden="1" x14ac:dyDescent="0.25">
      <c r="A77" s="897"/>
      <c r="B77" s="2385"/>
      <c r="C77" s="1656"/>
      <c r="D77" s="340">
        <v>0</v>
      </c>
      <c r="E77" s="2386"/>
      <c r="F77" s="340"/>
      <c r="G77" s="456" t="str">
        <f t="shared" si="45"/>
        <v>0.00%</v>
      </c>
      <c r="H77" s="340">
        <f>ROUND(D77*(LEFT(I77,5)+1),0)</f>
        <v>0</v>
      </c>
      <c r="I77" s="899" t="str">
        <f>TEXT('MYP Assumptions'!E78,"0.00%")&amp;", CPI"</f>
        <v>3.37%, CPI</v>
      </c>
      <c r="J77" s="455"/>
      <c r="K77" s="456" t="str">
        <f t="shared" si="34"/>
        <v>0.00%</v>
      </c>
      <c r="L77" s="340">
        <f t="shared" si="42"/>
        <v>0</v>
      </c>
      <c r="M77" s="899" t="str">
        <f>TEXT('MYP Assumptions'!F78,"0.00%")&amp;", CPI"</f>
        <v>3.58%, CPI</v>
      </c>
      <c r="O77" s="456" t="str">
        <f t="shared" si="35"/>
        <v>0.00%</v>
      </c>
      <c r="P77" s="340">
        <f t="shared" si="43"/>
        <v>0</v>
      </c>
      <c r="Q77" s="899" t="str">
        <f>TEXT('MYP Assumptions'!G78,"0.00%")&amp;", CPI"</f>
        <v>3.36%, CPI</v>
      </c>
      <c r="R77" s="592"/>
      <c r="S77" s="2238" t="str">
        <f t="shared" si="36"/>
        <v>0.00%</v>
      </c>
      <c r="T77" s="340">
        <f t="shared" si="44"/>
        <v>0</v>
      </c>
      <c r="U77" s="953" t="str">
        <f>TEXT('MYP Assumptions'!H78,"0.00%")&amp;", CPI"</f>
        <v>3.23%, CPI</v>
      </c>
      <c r="V77" s="952"/>
      <c r="W77" s="2241" t="str">
        <f t="shared" si="37"/>
        <v>0.00%</v>
      </c>
      <c r="X77" s="340">
        <f t="shared" si="39"/>
        <v>0</v>
      </c>
      <c r="Y77" s="953" t="str">
        <f>TEXT('MYP Assumptions'!I78,"0.00%")&amp;", CPI"</f>
        <v>2.73%, CPI</v>
      </c>
      <c r="AA77" s="456" t="str">
        <f t="shared" si="38"/>
        <v>0.00%</v>
      </c>
      <c r="AB77" s="340">
        <f t="shared" si="40"/>
        <v>0</v>
      </c>
      <c r="AC77" s="953" t="str">
        <f>TEXT('MYP Assumptions'!J78,"0.00%")&amp;", CPI"</f>
        <v>2.73%, CPI</v>
      </c>
    </row>
    <row r="78" spans="1:29" s="457" customFormat="1" hidden="1" x14ac:dyDescent="0.25">
      <c r="A78" s="897"/>
      <c r="B78" s="2385"/>
      <c r="C78" s="1656"/>
      <c r="D78" s="340">
        <v>0</v>
      </c>
      <c r="E78" s="2386"/>
      <c r="F78" s="340"/>
      <c r="G78" s="456" t="str">
        <f t="shared" si="45"/>
        <v>0.00%</v>
      </c>
      <c r="H78" s="340">
        <f>ROUND(D78*(LEFT(I78,5)+1),0)</f>
        <v>0</v>
      </c>
      <c r="I78" s="899" t="str">
        <f>TEXT('MYP Assumptions'!E78,"0.00%")&amp;", CPI"</f>
        <v>3.37%, CPI</v>
      </c>
      <c r="J78" s="455"/>
      <c r="K78" s="456" t="str">
        <f t="shared" si="34"/>
        <v>0.00%</v>
      </c>
      <c r="L78" s="340">
        <f t="shared" si="42"/>
        <v>0</v>
      </c>
      <c r="M78" s="899" t="str">
        <f>TEXT('MYP Assumptions'!F78,"0.00%")&amp;", CPI"</f>
        <v>3.58%, CPI</v>
      </c>
      <c r="O78" s="456" t="str">
        <f t="shared" si="35"/>
        <v>0.00%</v>
      </c>
      <c r="P78" s="340">
        <f t="shared" si="43"/>
        <v>0</v>
      </c>
      <c r="Q78" s="899" t="str">
        <f>TEXT('MYP Assumptions'!G78,"0.00%")&amp;", CPI"</f>
        <v>3.36%, CPI</v>
      </c>
      <c r="R78" s="592"/>
      <c r="S78" s="2238" t="str">
        <f t="shared" si="36"/>
        <v>0.00%</v>
      </c>
      <c r="T78" s="340">
        <f t="shared" si="44"/>
        <v>0</v>
      </c>
      <c r="U78" s="953" t="str">
        <f>TEXT('MYP Assumptions'!H78,"0.00%")&amp;", CPI"</f>
        <v>3.23%, CPI</v>
      </c>
      <c r="V78" s="952"/>
      <c r="W78" s="2241" t="str">
        <f t="shared" si="37"/>
        <v>0.00%</v>
      </c>
      <c r="X78" s="340">
        <f t="shared" si="39"/>
        <v>0</v>
      </c>
      <c r="Y78" s="953" t="str">
        <f>TEXT('MYP Assumptions'!I78,"0.00%")&amp;", CPI"</f>
        <v>2.73%, CPI</v>
      </c>
      <c r="AA78" s="456" t="str">
        <f t="shared" si="38"/>
        <v>0.00%</v>
      </c>
      <c r="AB78" s="340">
        <f t="shared" si="40"/>
        <v>0</v>
      </c>
      <c r="AC78" s="953" t="str">
        <f>TEXT('MYP Assumptions'!J78,"0.00%")&amp;", CPI"</f>
        <v>2.73%, CPI</v>
      </c>
    </row>
    <row r="79" spans="1:29" s="457" customFormat="1" hidden="1" x14ac:dyDescent="0.25">
      <c r="A79" s="897"/>
      <c r="B79" s="2385"/>
      <c r="C79" s="1656"/>
      <c r="D79" s="340">
        <v>0</v>
      </c>
      <c r="E79" s="2386"/>
      <c r="F79" s="340"/>
      <c r="G79" s="456" t="str">
        <f t="shared" si="45"/>
        <v>0.00%</v>
      </c>
      <c r="H79" s="340">
        <f>ROUND(D79*(LEFT(I79,5)+1),0)</f>
        <v>0</v>
      </c>
      <c r="I79" s="899" t="str">
        <f>TEXT('MYP Assumptions'!E78,"0.00%")&amp;", CPI"</f>
        <v>3.37%, CPI</v>
      </c>
      <c r="J79" s="455"/>
      <c r="K79" s="456" t="str">
        <f t="shared" si="34"/>
        <v>0.00%</v>
      </c>
      <c r="L79" s="340">
        <f t="shared" si="42"/>
        <v>0</v>
      </c>
      <c r="M79" s="899" t="str">
        <f>TEXT('MYP Assumptions'!F78,"0.00%")&amp;", CPI"</f>
        <v>3.58%, CPI</v>
      </c>
      <c r="O79" s="456" t="str">
        <f t="shared" si="35"/>
        <v>0.00%</v>
      </c>
      <c r="P79" s="340">
        <f t="shared" si="43"/>
        <v>0</v>
      </c>
      <c r="Q79" s="899" t="str">
        <f>TEXT('MYP Assumptions'!G78,"0.00%")&amp;", CPI"</f>
        <v>3.36%, CPI</v>
      </c>
      <c r="R79" s="592"/>
      <c r="S79" s="2238" t="str">
        <f t="shared" si="36"/>
        <v>0.00%</v>
      </c>
      <c r="T79" s="340">
        <f t="shared" si="44"/>
        <v>0</v>
      </c>
      <c r="U79" s="953" t="str">
        <f>TEXT('MYP Assumptions'!H78,"0.00%")&amp;", CPI"</f>
        <v>3.23%, CPI</v>
      </c>
      <c r="V79" s="952"/>
      <c r="W79" s="2241" t="str">
        <f t="shared" si="37"/>
        <v>0.00%</v>
      </c>
      <c r="X79" s="340">
        <f t="shared" si="39"/>
        <v>0</v>
      </c>
      <c r="Y79" s="953" t="str">
        <f>TEXT('MYP Assumptions'!I78,"0.00%")&amp;", CPI"</f>
        <v>2.73%, CPI</v>
      </c>
      <c r="AA79" s="456" t="str">
        <f t="shared" si="38"/>
        <v>0.00%</v>
      </c>
      <c r="AB79" s="340">
        <f t="shared" si="40"/>
        <v>0</v>
      </c>
      <c r="AC79" s="953" t="str">
        <f>TEXT('MYP Assumptions'!J78,"0.00%")&amp;", CPI"</f>
        <v>2.73%, CPI</v>
      </c>
    </row>
    <row r="80" spans="1:29" s="457" customFormat="1" hidden="1" x14ac:dyDescent="0.25">
      <c r="A80" s="897"/>
      <c r="B80" s="2385"/>
      <c r="C80" s="1656"/>
      <c r="D80" s="340">
        <v>0</v>
      </c>
      <c r="E80" s="2386"/>
      <c r="F80" s="340"/>
      <c r="G80" s="456" t="str">
        <f t="shared" si="45"/>
        <v>0.00%</v>
      </c>
      <c r="H80" s="340">
        <f>ROUND(D80*(LEFT(I80,5)+1),0)</f>
        <v>0</v>
      </c>
      <c r="I80" s="899" t="str">
        <f>TEXT('MYP Assumptions'!E78,"0.00%")&amp;", CPI"</f>
        <v>3.37%, CPI</v>
      </c>
      <c r="J80" s="455"/>
      <c r="K80" s="456" t="str">
        <f t="shared" si="34"/>
        <v>0.00%</v>
      </c>
      <c r="L80" s="340">
        <f t="shared" si="42"/>
        <v>0</v>
      </c>
      <c r="M80" s="899" t="str">
        <f>TEXT('MYP Assumptions'!F78,"0.00%")&amp;", CPI"</f>
        <v>3.58%, CPI</v>
      </c>
      <c r="O80" s="456" t="str">
        <f t="shared" si="35"/>
        <v>0.00%</v>
      </c>
      <c r="P80" s="340">
        <f t="shared" si="43"/>
        <v>0</v>
      </c>
      <c r="Q80" s="899" t="str">
        <f>TEXT('MYP Assumptions'!G78,"0.00%")&amp;", CPI"</f>
        <v>3.36%, CPI</v>
      </c>
      <c r="R80" s="592"/>
      <c r="S80" s="2238" t="str">
        <f t="shared" si="36"/>
        <v>0.00%</v>
      </c>
      <c r="T80" s="340">
        <f t="shared" si="44"/>
        <v>0</v>
      </c>
      <c r="U80" s="953" t="str">
        <f>TEXT('MYP Assumptions'!H78,"0.00%")&amp;", CPI"</f>
        <v>3.23%, CPI</v>
      </c>
      <c r="V80" s="952"/>
      <c r="W80" s="2241" t="str">
        <f t="shared" si="37"/>
        <v>0.00%</v>
      </c>
      <c r="X80" s="340">
        <f t="shared" si="39"/>
        <v>0</v>
      </c>
      <c r="Y80" s="953" t="str">
        <f>TEXT('MYP Assumptions'!I78,"0.00%")&amp;", CPI"</f>
        <v>2.73%, CPI</v>
      </c>
      <c r="AA80" s="456" t="str">
        <f t="shared" si="38"/>
        <v>0.00%</v>
      </c>
      <c r="AB80" s="340">
        <f t="shared" si="40"/>
        <v>0</v>
      </c>
      <c r="AC80" s="953" t="str">
        <f>TEXT('MYP Assumptions'!J78,"0.00%")&amp;", CPI"</f>
        <v>2.73%, CPI</v>
      </c>
    </row>
    <row r="81" spans="1:29" s="457" customFormat="1" hidden="1" x14ac:dyDescent="0.25">
      <c r="A81" s="897"/>
      <c r="B81" s="2385"/>
      <c r="C81" s="1656"/>
      <c r="D81" s="340">
        <f>'18-19 Budget RS 3010-ALL'!AF80</f>
        <v>0</v>
      </c>
      <c r="E81" s="2386"/>
      <c r="F81" s="340"/>
      <c r="G81" s="456" t="str">
        <f t="shared" si="45"/>
        <v>0.00%</v>
      </c>
      <c r="H81" s="340">
        <f>ROUND(D81*(LEFT(I81,5)+1),0)</f>
        <v>0</v>
      </c>
      <c r="I81" s="899" t="str">
        <f>TEXT('MYP Assumptions'!E78,"0.00%")&amp;", CPI"</f>
        <v>3.37%, CPI</v>
      </c>
      <c r="J81" s="455"/>
      <c r="K81" s="456" t="str">
        <f t="shared" si="34"/>
        <v>0.00%</v>
      </c>
      <c r="L81" s="340">
        <f t="shared" si="42"/>
        <v>0</v>
      </c>
      <c r="M81" s="899" t="str">
        <f>TEXT('MYP Assumptions'!F78,"0.00%")&amp;", CPI"</f>
        <v>3.58%, CPI</v>
      </c>
      <c r="O81" s="456" t="str">
        <f t="shared" si="35"/>
        <v>0.00%</v>
      </c>
      <c r="P81" s="340">
        <f t="shared" si="43"/>
        <v>0</v>
      </c>
      <c r="Q81" s="899" t="str">
        <f>TEXT('MYP Assumptions'!G78,"0.00%")&amp;", CPI"</f>
        <v>3.36%, CPI</v>
      </c>
      <c r="R81" s="592"/>
      <c r="S81" s="2238" t="str">
        <f t="shared" si="36"/>
        <v>0.00%</v>
      </c>
      <c r="T81" s="340">
        <f t="shared" si="44"/>
        <v>0</v>
      </c>
      <c r="U81" s="953" t="str">
        <f>TEXT('MYP Assumptions'!H78,"0.00%")&amp;", CPI"</f>
        <v>3.23%, CPI</v>
      </c>
      <c r="V81" s="952"/>
      <c r="W81" s="2241" t="str">
        <f t="shared" si="37"/>
        <v>0.00%</v>
      </c>
      <c r="X81" s="340">
        <f t="shared" si="39"/>
        <v>0</v>
      </c>
      <c r="Y81" s="953" t="str">
        <f>TEXT('MYP Assumptions'!I78,"0.00%")&amp;", CPI"</f>
        <v>2.73%, CPI</v>
      </c>
      <c r="AA81" s="456" t="str">
        <f t="shared" si="38"/>
        <v>0.00%</v>
      </c>
      <c r="AB81" s="340">
        <f t="shared" si="40"/>
        <v>0</v>
      </c>
      <c r="AC81" s="953" t="str">
        <f>TEXT('MYP Assumptions'!J78,"0.00%")&amp;", CPI"</f>
        <v>2.73%, CPI</v>
      </c>
    </row>
    <row r="82" spans="1:29" s="457" customFormat="1" x14ac:dyDescent="0.25">
      <c r="A82" s="898"/>
      <c r="B82" s="2345"/>
      <c r="C82" s="1656"/>
      <c r="D82" s="458">
        <f>SUM(D69:D81)</f>
        <v>33700.58</v>
      </c>
      <c r="E82" s="2386"/>
      <c r="F82" s="340"/>
      <c r="G82" s="456">
        <f t="shared" si="45"/>
        <v>0.44139952487464601</v>
      </c>
      <c r="H82" s="458">
        <f>SUM(H69:H81)</f>
        <v>48576</v>
      </c>
      <c r="I82" s="2316">
        <f>+H82-D82</f>
        <v>14875.419999999998</v>
      </c>
      <c r="J82" s="459"/>
      <c r="K82" s="456">
        <f t="shared" si="34"/>
        <v>5.1943140645586299</v>
      </c>
      <c r="L82" s="458">
        <f>SUM(L69:L81)</f>
        <v>300895</v>
      </c>
      <c r="M82" s="2316">
        <f>+L82-H82</f>
        <v>252319</v>
      </c>
      <c r="O82" s="456">
        <f t="shared" si="35"/>
        <v>-2.974459529071603E-3</v>
      </c>
      <c r="P82" s="458">
        <f>SUM(P69:P81)</f>
        <v>300000</v>
      </c>
      <c r="Q82" s="2316">
        <f>+P82-L82</f>
        <v>-895</v>
      </c>
      <c r="R82" s="592"/>
      <c r="S82" s="2238">
        <f t="shared" si="36"/>
        <v>0</v>
      </c>
      <c r="T82" s="458">
        <f>SUM(T69:T81)</f>
        <v>300000</v>
      </c>
      <c r="U82" s="2344"/>
      <c r="V82" s="952"/>
      <c r="W82" s="2241">
        <f t="shared" si="37"/>
        <v>2.7300000000000001E-2</v>
      </c>
      <c r="X82" s="458">
        <f>SUM(X69:X81)</f>
        <v>308190</v>
      </c>
      <c r="Y82" s="2344"/>
      <c r="AA82" s="456">
        <f t="shared" si="38"/>
        <v>2.7298095330802429E-2</v>
      </c>
      <c r="AB82" s="458">
        <f>SUM(AB69:AB81)</f>
        <v>316603</v>
      </c>
      <c r="AC82" s="2344"/>
    </row>
    <row r="83" spans="1:29" s="457" customFormat="1" x14ac:dyDescent="0.25">
      <c r="A83" s="897"/>
      <c r="B83" s="2337"/>
      <c r="C83" s="1656"/>
      <c r="D83" s="340"/>
      <c r="E83" s="2386"/>
      <c r="F83" s="340"/>
      <c r="G83" s="456"/>
      <c r="H83" s="340"/>
      <c r="I83" s="897"/>
      <c r="J83" s="455"/>
      <c r="K83" s="1668"/>
      <c r="L83" s="340"/>
      <c r="M83" s="901"/>
      <c r="O83" s="1668"/>
      <c r="P83" s="340"/>
      <c r="Q83" s="901"/>
      <c r="R83" s="592"/>
      <c r="S83" s="2341"/>
      <c r="T83" s="340"/>
      <c r="U83" s="2344"/>
      <c r="V83" s="952"/>
      <c r="W83" s="2343"/>
      <c r="X83" s="340"/>
      <c r="Y83" s="2344"/>
      <c r="AA83" s="1668"/>
      <c r="AB83" s="340"/>
      <c r="AC83" s="2344"/>
    </row>
    <row r="84" spans="1:29" s="457" customFormat="1" x14ac:dyDescent="0.25">
      <c r="A84" s="897"/>
      <c r="B84" s="2345"/>
      <c r="C84" s="1656"/>
      <c r="D84" s="340"/>
      <c r="E84" s="2386"/>
      <c r="F84" s="340"/>
      <c r="G84" s="2338"/>
      <c r="H84" s="340"/>
      <c r="I84" s="897"/>
      <c r="J84" s="455"/>
      <c r="K84" s="1668"/>
      <c r="L84" s="340"/>
      <c r="M84" s="901"/>
      <c r="O84" s="1668"/>
      <c r="P84" s="340"/>
      <c r="Q84" s="901"/>
      <c r="R84" s="592"/>
      <c r="S84" s="2341"/>
      <c r="T84" s="340"/>
      <c r="U84" s="2344"/>
      <c r="V84" s="952"/>
      <c r="W84" s="2343"/>
      <c r="X84" s="340"/>
      <c r="Y84" s="2344"/>
      <c r="AA84" s="1668"/>
      <c r="AB84" s="340"/>
      <c r="AC84" s="2344"/>
    </row>
    <row r="85" spans="1:29" s="457" customFormat="1" x14ac:dyDescent="0.25">
      <c r="A85" s="898"/>
      <c r="B85" s="2337" t="s">
        <v>0</v>
      </c>
      <c r="C85" s="1656"/>
      <c r="D85" s="458">
        <f>SUM(D82,D66,D55,D13)</f>
        <v>1967513.26</v>
      </c>
      <c r="E85" s="2386"/>
      <c r="F85" s="340"/>
      <c r="G85" s="456">
        <f>IF(D85=0,"0.00%",(H85-D85)/D85)</f>
        <v>-0.82283423086053309</v>
      </c>
      <c r="H85" s="458">
        <f>SUM(H82,H66,H55,H13)</f>
        <v>348576</v>
      </c>
      <c r="I85" s="898"/>
      <c r="J85" s="459"/>
      <c r="K85" s="456">
        <f>IF(H85=0,"0.00%",(L85-H85)/H85)</f>
        <v>8.9808764803084546</v>
      </c>
      <c r="L85" s="458">
        <f>SUM(L82,L66,L55,L13)</f>
        <v>3479094</v>
      </c>
      <c r="M85" s="901"/>
      <c r="O85" s="456">
        <f>IF(L85=0,"0.00%",(P85-L85)/L85)</f>
        <v>-0.61702816882786149</v>
      </c>
      <c r="P85" s="458">
        <f>SUM(P82,P66,P55,P13)</f>
        <v>1332395</v>
      </c>
      <c r="Q85" s="901"/>
      <c r="R85" s="592"/>
      <c r="S85" s="2238">
        <f>IF(P85=0,"0.00%",(T85-P85)/P85)</f>
        <v>-0.7503322963535588</v>
      </c>
      <c r="T85" s="458">
        <f>SUM(T82,T66,T55,T13)</f>
        <v>332656</v>
      </c>
      <c r="U85" s="2344"/>
      <c r="V85" s="952"/>
      <c r="W85" s="2241">
        <f>IF(T85=0,"0.00%",(X85-T85)/T85)</f>
        <v>2.6589028906738494E-2</v>
      </c>
      <c r="X85" s="458">
        <f>SUM(X82,X66,X55,X13)</f>
        <v>341501</v>
      </c>
      <c r="Y85" s="2344"/>
      <c r="AA85" s="456" t="e">
        <f>IF(X85=0,"0.00%",(AB85-X85)/X85)</f>
        <v>#VALUE!</v>
      </c>
      <c r="AB85" s="458" t="e">
        <f>SUM(AB82,AB66,AB55,AB13)</f>
        <v>#VALUE!</v>
      </c>
      <c r="AC85" s="2344"/>
    </row>
    <row r="86" spans="1:29" s="457" customFormat="1" x14ac:dyDescent="0.25">
      <c r="A86" s="897"/>
      <c r="B86" s="2345"/>
      <c r="C86" s="1656"/>
      <c r="D86" s="340"/>
      <c r="E86" s="2386"/>
      <c r="F86" s="340"/>
      <c r="G86" s="2338"/>
      <c r="H86" s="340"/>
      <c r="I86" s="897"/>
      <c r="J86" s="455"/>
      <c r="K86" s="1668"/>
      <c r="L86" s="340"/>
      <c r="M86" s="901"/>
      <c r="O86" s="1668"/>
      <c r="P86" s="340"/>
      <c r="Q86" s="901"/>
      <c r="R86" s="592"/>
      <c r="S86" s="2341"/>
      <c r="T86" s="340"/>
      <c r="U86" s="2344"/>
      <c r="V86" s="952"/>
      <c r="W86" s="2343"/>
      <c r="X86" s="340"/>
      <c r="Y86" s="2344"/>
      <c r="AA86" s="1668"/>
      <c r="AB86" s="340"/>
      <c r="AC86" s="2344"/>
    </row>
    <row r="87" spans="1:29" s="457" customFormat="1" x14ac:dyDescent="0.25">
      <c r="A87" s="897"/>
      <c r="B87" s="2337" t="s">
        <v>138</v>
      </c>
      <c r="C87" s="1656"/>
      <c r="D87" s="833">
        <f>D11-D85</f>
        <v>-710513.26</v>
      </c>
      <c r="E87" s="1656"/>
      <c r="G87" s="456">
        <f>IF(D87=0,"0.00%",(H87-D87)/D87)</f>
        <v>-2.2729164266406512</v>
      </c>
      <c r="H87" s="833">
        <f>H11-H85</f>
        <v>904424</v>
      </c>
      <c r="I87" s="897"/>
      <c r="J87" s="455"/>
      <c r="K87" s="456">
        <f>IF(H87=0,"0.00%",(L87-H87)/H87)</f>
        <v>-1.9168509460164702</v>
      </c>
      <c r="L87" s="833">
        <f>L11-L85</f>
        <v>-829222</v>
      </c>
      <c r="M87" s="901"/>
      <c r="O87" s="456">
        <f>IF(L87=0,"0.00%",(P87-L87)/L87)</f>
        <v>6.41239619788187E-2</v>
      </c>
      <c r="P87" s="833">
        <f>P11-P85</f>
        <v>-882395</v>
      </c>
      <c r="Q87" s="901"/>
      <c r="R87" s="592"/>
      <c r="S87" s="2238">
        <f>IF(P87=0,"0.00%",(T87-P87)/P87)</f>
        <v>-1.1329835277851756</v>
      </c>
      <c r="T87" s="833">
        <f>T11-T85</f>
        <v>117344</v>
      </c>
      <c r="U87" s="2344"/>
      <c r="V87" s="952"/>
      <c r="W87" s="2241">
        <f>IF(T87=0,"0.00%",(X87-T87)/T87)</f>
        <v>-3.910255317698391</v>
      </c>
      <c r="X87" s="833">
        <f>X11-X85</f>
        <v>-341501</v>
      </c>
      <c r="Y87" s="2344"/>
      <c r="AA87" s="456" t="e">
        <f>IF(X87=0,"0.00%",(AB87-X87)/X87)</f>
        <v>#VALUE!</v>
      </c>
      <c r="AB87" s="833" t="e">
        <f>AB11-AB85</f>
        <v>#VALUE!</v>
      </c>
      <c r="AC87" s="2344"/>
    </row>
    <row r="88" spans="1:29" s="457" customFormat="1" x14ac:dyDescent="0.25">
      <c r="A88" s="1656"/>
      <c r="B88" s="2337"/>
      <c r="C88" s="2432"/>
      <c r="D88" s="833"/>
      <c r="E88" s="1656"/>
      <c r="G88" s="2338"/>
      <c r="H88" s="833"/>
      <c r="I88" s="897"/>
      <c r="J88" s="455"/>
      <c r="K88" s="1668"/>
      <c r="L88" s="833"/>
      <c r="M88" s="901"/>
      <c r="O88" s="1668"/>
      <c r="P88" s="833"/>
      <c r="Q88" s="901"/>
      <c r="R88" s="592"/>
      <c r="S88" s="2341"/>
      <c r="T88" s="2356"/>
      <c r="U88" s="2344"/>
      <c r="V88" s="952"/>
      <c r="W88" s="2343"/>
      <c r="X88" s="2356"/>
      <c r="Y88" s="2344"/>
      <c r="AA88" s="1668"/>
      <c r="AB88" s="2356"/>
      <c r="AC88" s="2344"/>
    </row>
    <row r="89" spans="1:29" s="457" customFormat="1" x14ac:dyDescent="0.25">
      <c r="A89" s="1656"/>
      <c r="B89" s="2337" t="s">
        <v>136</v>
      </c>
      <c r="C89" s="2443"/>
      <c r="D89" s="833">
        <f>D7+D87</f>
        <v>816257.51</v>
      </c>
      <c r="E89" s="1656"/>
      <c r="G89" s="456">
        <f>IF(D89=0,"0.00%",(H89-D89)/D89)</f>
        <v>1.1080130827831525</v>
      </c>
      <c r="H89" s="833">
        <f>H7+H87</f>
        <v>1720681.51</v>
      </c>
      <c r="I89" s="2316">
        <f>+H89-D89</f>
        <v>904424</v>
      </c>
      <c r="J89" s="455"/>
      <c r="K89" s="456">
        <f>IF(H89=0,"0.00%",(L89-H89)/H89)</f>
        <v>-0.48191486639500181</v>
      </c>
      <c r="L89" s="833">
        <f>L7+L87</f>
        <v>891459.51</v>
      </c>
      <c r="M89" s="2316">
        <f>+L89-H89</f>
        <v>-829222</v>
      </c>
      <c r="O89" s="456">
        <f>IF(L89=0,"0.00%",(P89-L89)/L89)</f>
        <v>-0.98983183207053338</v>
      </c>
      <c r="P89" s="833">
        <f>P7+P87</f>
        <v>9064.5100000000093</v>
      </c>
      <c r="Q89" s="2316">
        <f>+P89-L89</f>
        <v>-882395</v>
      </c>
      <c r="R89" s="592"/>
      <c r="S89" s="2238">
        <f>IF(P89=0,"0.00%",(T89-P89)/P89)</f>
        <v>12.945432240683708</v>
      </c>
      <c r="T89" s="2367">
        <f>T7+T87</f>
        <v>126408.51000000001</v>
      </c>
      <c r="U89" s="2344"/>
      <c r="V89" s="952"/>
      <c r="W89" s="2241">
        <f>IF(T89=0,"0.00%",(X89-T89)/T89)</f>
        <v>-2.7015665321899607</v>
      </c>
      <c r="X89" s="2367">
        <f>X7+X87</f>
        <v>-215092.49</v>
      </c>
      <c r="Y89" s="2344"/>
      <c r="AA89" s="456" t="e">
        <f>IF(X89=0,"0.00%",(AB89-X89)/X89)</f>
        <v>#VALUE!</v>
      </c>
      <c r="AB89" s="2367" t="e">
        <f>AB7+AB87</f>
        <v>#VALUE!</v>
      </c>
      <c r="AC89" s="2344"/>
    </row>
    <row r="90" spans="1:29" s="457" customFormat="1" x14ac:dyDescent="0.25">
      <c r="A90" s="1656"/>
      <c r="B90" s="2345"/>
      <c r="C90" s="900"/>
      <c r="D90" s="340"/>
      <c r="E90" s="1656"/>
      <c r="G90" s="2355"/>
      <c r="H90" s="459"/>
      <c r="I90" s="898"/>
      <c r="J90" s="459"/>
      <c r="K90" s="1668"/>
      <c r="L90" s="459"/>
      <c r="M90" s="901"/>
      <c r="O90" s="1668"/>
      <c r="P90" s="459"/>
      <c r="Q90" s="901"/>
      <c r="R90" s="592"/>
      <c r="S90" s="2341"/>
      <c r="T90" s="459"/>
      <c r="U90" s="2344"/>
      <c r="V90" s="952"/>
      <c r="W90" s="2343"/>
      <c r="X90" s="459"/>
      <c r="Y90" s="2344"/>
      <c r="AA90" s="1668"/>
      <c r="AB90" s="459"/>
      <c r="AC90" s="2344"/>
    </row>
    <row r="91" spans="1:29" s="457" customFormat="1" x14ac:dyDescent="0.25">
      <c r="A91" s="1656"/>
      <c r="B91" s="2345"/>
      <c r="C91" s="2339"/>
      <c r="D91" s="340"/>
      <c r="E91" s="1656"/>
      <c r="G91" s="2355"/>
      <c r="H91" s="455"/>
      <c r="I91" s="897"/>
      <c r="J91" s="455"/>
      <c r="K91" s="1668"/>
      <c r="L91" s="340"/>
      <c r="M91" s="901"/>
      <c r="O91" s="1668"/>
      <c r="P91" s="340"/>
      <c r="Q91" s="901"/>
      <c r="R91" s="592"/>
      <c r="S91" s="2341"/>
      <c r="T91" s="340"/>
      <c r="U91" s="2344"/>
      <c r="V91" s="952"/>
      <c r="W91" s="2343"/>
      <c r="X91" s="340"/>
      <c r="Y91" s="2344"/>
      <c r="AA91" s="1668"/>
      <c r="AB91" s="340"/>
      <c r="AC91" s="2344"/>
    </row>
    <row r="92" spans="1:29" s="457" customFormat="1" x14ac:dyDescent="0.25">
      <c r="A92" s="1656"/>
      <c r="B92" s="2345"/>
      <c r="C92" s="2339"/>
      <c r="D92" s="340"/>
      <c r="E92" s="1656"/>
      <c r="G92" s="2355"/>
      <c r="H92" s="455"/>
      <c r="I92" s="897"/>
      <c r="J92" s="455"/>
      <c r="K92" s="1668"/>
      <c r="L92" s="340"/>
      <c r="M92" s="901"/>
      <c r="O92" s="1668"/>
      <c r="P92" s="340"/>
      <c r="Q92" s="901"/>
      <c r="R92" s="592"/>
      <c r="S92" s="2341"/>
      <c r="T92" s="340"/>
      <c r="U92" s="2344"/>
      <c r="V92" s="952"/>
      <c r="W92" s="2343"/>
      <c r="X92" s="340"/>
      <c r="Y92" s="2344"/>
      <c r="AA92" s="1668"/>
      <c r="AB92" s="340"/>
      <c r="AC92" s="2344"/>
    </row>
    <row r="93" spans="1:29" s="457" customFormat="1" x14ac:dyDescent="0.25">
      <c r="A93" s="1656"/>
      <c r="B93" s="2345"/>
      <c r="C93" s="2339"/>
      <c r="D93" s="340"/>
      <c r="E93" s="1656"/>
      <c r="G93" s="2355"/>
      <c r="H93" s="455"/>
      <c r="I93" s="897"/>
      <c r="J93" s="455"/>
      <c r="K93" s="1668"/>
      <c r="L93" s="340"/>
      <c r="M93" s="901"/>
      <c r="O93" s="1668"/>
      <c r="P93" s="340"/>
      <c r="Q93" s="901"/>
      <c r="R93" s="592"/>
      <c r="S93" s="2341"/>
      <c r="T93" s="340"/>
      <c r="U93" s="2344"/>
      <c r="V93" s="952"/>
      <c r="W93" s="2343"/>
      <c r="X93" s="340"/>
      <c r="Y93" s="2344"/>
      <c r="AA93" s="1668"/>
      <c r="AB93" s="340"/>
      <c r="AC93" s="2344"/>
    </row>
    <row r="94" spans="1:29" s="457" customFormat="1" x14ac:dyDescent="0.25">
      <c r="A94" s="1656"/>
      <c r="B94" s="2345"/>
      <c r="C94" s="2339"/>
      <c r="D94" s="340"/>
      <c r="E94" s="1656"/>
      <c r="G94" s="2355"/>
      <c r="H94" s="455"/>
      <c r="I94" s="897"/>
      <c r="J94" s="455"/>
      <c r="K94" s="1668"/>
      <c r="L94" s="340"/>
      <c r="M94" s="901"/>
      <c r="O94" s="1668"/>
      <c r="P94" s="340"/>
      <c r="Q94" s="901"/>
      <c r="R94" s="592"/>
      <c r="S94" s="2341"/>
      <c r="T94" s="340"/>
      <c r="U94" s="2344"/>
      <c r="V94" s="952"/>
      <c r="W94" s="2343"/>
      <c r="X94" s="340"/>
      <c r="Y94" s="2344"/>
      <c r="AA94" s="1668"/>
      <c r="AB94" s="340"/>
      <c r="AC94" s="2344"/>
    </row>
    <row r="95" spans="1:29" s="2402" customFormat="1" ht="11.25" x14ac:dyDescent="0.2">
      <c r="A95" s="2363"/>
      <c r="B95" s="2395"/>
      <c r="C95" s="2444" t="s">
        <v>221</v>
      </c>
      <c r="D95" s="2397">
        <f>+D82+D66+D53+D41+D30</f>
        <v>1967513.26</v>
      </c>
      <c r="E95" s="2363"/>
      <c r="G95" s="2399" t="s">
        <v>221</v>
      </c>
      <c r="H95" s="2397">
        <f>+H82+H66+H53+H41+H30</f>
        <v>348576</v>
      </c>
      <c r="I95" s="2400"/>
      <c r="J95" s="607"/>
      <c r="K95" s="2399" t="s">
        <v>221</v>
      </c>
      <c r="L95" s="2397">
        <f>+L82+L66+L53+L41+L30</f>
        <v>3479094</v>
      </c>
      <c r="M95" s="2404"/>
      <c r="O95" s="2399" t="s">
        <v>221</v>
      </c>
      <c r="P95" s="2397">
        <f>+P82+P66+P53+P41+P30</f>
        <v>1332395</v>
      </c>
      <c r="Q95" s="2404"/>
      <c r="R95" s="608"/>
      <c r="S95" s="2405" t="s">
        <v>221</v>
      </c>
      <c r="T95" s="2397">
        <f>+T82+T66+T53+T41+T30</f>
        <v>332656</v>
      </c>
      <c r="U95" s="2409"/>
      <c r="V95" s="2407"/>
      <c r="W95" s="2408" t="s">
        <v>221</v>
      </c>
      <c r="X95" s="2397">
        <f>+X82+X66+X53+X41+X30</f>
        <v>341501</v>
      </c>
      <c r="Y95" s="2409"/>
      <c r="AA95" s="2399" t="s">
        <v>221</v>
      </c>
      <c r="AB95" s="2397" t="e">
        <f>+AB82+AB66+AB53+AB41+AB30</f>
        <v>#VALUE!</v>
      </c>
      <c r="AC95" s="2409"/>
    </row>
    <row r="96" spans="1:29" s="2402" customFormat="1" ht="11.25" x14ac:dyDescent="0.2">
      <c r="A96" s="2413"/>
      <c r="B96" s="2395"/>
      <c r="C96" s="2445" t="s">
        <v>222</v>
      </c>
      <c r="D96" s="2412">
        <f>+D13</f>
        <v>0</v>
      </c>
      <c r="E96" s="2419"/>
      <c r="F96" s="2410"/>
      <c r="G96" s="2415" t="s">
        <v>222</v>
      </c>
      <c r="H96" s="2412">
        <f>+H13</f>
        <v>0</v>
      </c>
      <c r="I96" s="2398"/>
      <c r="J96" s="608"/>
      <c r="K96" s="2415" t="s">
        <v>222</v>
      </c>
      <c r="L96" s="2412">
        <f>+L13</f>
        <v>0</v>
      </c>
      <c r="M96" s="2404"/>
      <c r="O96" s="2415" t="s">
        <v>222</v>
      </c>
      <c r="P96" s="2412">
        <f>+P13</f>
        <v>0</v>
      </c>
      <c r="Q96" s="2363"/>
      <c r="R96" s="608"/>
      <c r="S96" s="2416" t="s">
        <v>222</v>
      </c>
      <c r="T96" s="2412">
        <f>+T13</f>
        <v>0</v>
      </c>
      <c r="V96" s="2407"/>
      <c r="W96" s="2417" t="s">
        <v>222</v>
      </c>
      <c r="X96" s="2412">
        <f>+X13</f>
        <v>0</v>
      </c>
      <c r="AA96" s="2415" t="s">
        <v>222</v>
      </c>
      <c r="AB96" s="2412">
        <f>+AB13</f>
        <v>0</v>
      </c>
    </row>
    <row r="97" spans="1:28" s="2402" customFormat="1" ht="11.25" x14ac:dyDescent="0.2">
      <c r="A97" s="2413"/>
      <c r="B97" s="2395"/>
      <c r="C97" s="2445"/>
      <c r="D97" s="2418">
        <f>+D95+D96</f>
        <v>1967513.26</v>
      </c>
      <c r="E97" s="2419"/>
      <c r="F97" s="2410"/>
      <c r="G97" s="2415"/>
      <c r="H97" s="2418">
        <f>+H95+H96</f>
        <v>348576</v>
      </c>
      <c r="I97" s="2398"/>
      <c r="J97" s="608"/>
      <c r="K97" s="2415"/>
      <c r="L97" s="2418">
        <f>+L95+L96</f>
        <v>3479094</v>
      </c>
      <c r="M97" s="2363"/>
      <c r="O97" s="2415"/>
      <c r="P97" s="2418">
        <f>+P95+P96</f>
        <v>1332395</v>
      </c>
      <c r="Q97" s="2363"/>
      <c r="R97" s="608"/>
      <c r="S97" s="2416"/>
      <c r="T97" s="2418">
        <f>+T95+T96</f>
        <v>332656</v>
      </c>
      <c r="V97" s="2407"/>
      <c r="W97" s="2417"/>
      <c r="X97" s="2418">
        <f>+X95+X96</f>
        <v>341501</v>
      </c>
      <c r="AA97" s="2415"/>
      <c r="AB97" s="2418" t="e">
        <f>+AB95+AB96</f>
        <v>#VALUE!</v>
      </c>
    </row>
    <row r="98" spans="1:28" s="457" customFormat="1" ht="15" customHeight="1" x14ac:dyDescent="0.25">
      <c r="A98" s="897"/>
      <c r="B98" s="2422"/>
      <c r="C98" s="2446"/>
      <c r="D98" s="459">
        <f>+D85-D97</f>
        <v>0</v>
      </c>
      <c r="E98" s="2386"/>
      <c r="F98" s="340"/>
      <c r="G98" s="2447"/>
      <c r="H98" s="459">
        <f>+H85-H97</f>
        <v>0</v>
      </c>
      <c r="I98" s="2339"/>
      <c r="J98" s="592"/>
      <c r="K98" s="2447"/>
      <c r="L98" s="459">
        <f>+L85-L97</f>
        <v>0</v>
      </c>
      <c r="M98" s="1656"/>
      <c r="O98" s="2447"/>
      <c r="P98" s="459">
        <f>+P85-P97</f>
        <v>0</v>
      </c>
      <c r="Q98" s="1656"/>
      <c r="R98" s="592"/>
      <c r="S98" s="2447"/>
      <c r="T98" s="459">
        <f>+T85-T97</f>
        <v>0</v>
      </c>
      <c r="V98" s="952"/>
      <c r="W98" s="2448"/>
      <c r="X98" s="459">
        <f>+X85-X97</f>
        <v>0</v>
      </c>
      <c r="AA98" s="2447"/>
      <c r="AB98" s="459" t="e">
        <f>+AB85-AB97</f>
        <v>#VALUE!</v>
      </c>
    </row>
    <row r="99" spans="1:28" s="457" customFormat="1" x14ac:dyDescent="0.25">
      <c r="A99" s="897"/>
      <c r="B99" s="2422"/>
      <c r="C99" s="2446"/>
      <c r="D99" s="455"/>
      <c r="E99" s="2386"/>
      <c r="F99" s="340"/>
      <c r="G99" s="2338"/>
      <c r="H99" s="2424"/>
      <c r="I99" s="2339"/>
      <c r="J99" s="592"/>
      <c r="K99" s="1668"/>
      <c r="L99" s="2370"/>
      <c r="M99" s="1656"/>
      <c r="O99" s="1668"/>
      <c r="P99" s="340"/>
      <c r="Q99" s="1656"/>
      <c r="R99" s="592"/>
      <c r="S99" s="2341"/>
      <c r="V99" s="952"/>
      <c r="W99" s="2343"/>
      <c r="AA99" s="1668"/>
    </row>
    <row r="100" spans="1:28" s="457" customFormat="1" x14ac:dyDescent="0.25">
      <c r="A100" s="897"/>
      <c r="B100" s="2394"/>
      <c r="C100" s="2339"/>
      <c r="D100" s="342"/>
      <c r="E100" s="2386"/>
      <c r="F100" s="340"/>
      <c r="G100" s="2338"/>
      <c r="H100" s="2424"/>
      <c r="I100" s="2339"/>
      <c r="J100" s="592"/>
      <c r="K100" s="1668"/>
      <c r="L100" s="2370"/>
      <c r="M100" s="1656"/>
      <c r="O100" s="1668"/>
      <c r="P100" s="340"/>
      <c r="Q100" s="1656"/>
      <c r="R100" s="592"/>
      <c r="S100" s="2341"/>
      <c r="V100" s="952"/>
      <c r="W100" s="2343"/>
      <c r="AA100" s="1668"/>
    </row>
    <row r="101" spans="1:28" s="457" customFormat="1" x14ac:dyDescent="0.25">
      <c r="A101" s="1656"/>
      <c r="B101" s="2394"/>
      <c r="C101" s="2339"/>
      <c r="D101" s="455"/>
      <c r="E101" s="1656"/>
      <c r="G101" s="2338"/>
      <c r="H101" s="2424"/>
      <c r="I101" s="2339"/>
      <c r="J101" s="592"/>
      <c r="K101" s="1668"/>
      <c r="L101" s="2370"/>
      <c r="M101" s="1656"/>
      <c r="O101" s="1668"/>
      <c r="P101" s="340"/>
      <c r="Q101" s="1656"/>
      <c r="R101" s="592"/>
      <c r="S101" s="2341"/>
      <c r="V101" s="952"/>
      <c r="W101" s="2343"/>
      <c r="AA101" s="1668"/>
    </row>
    <row r="102" spans="1:28" s="457" customFormat="1" x14ac:dyDescent="0.25">
      <c r="A102" s="1656"/>
      <c r="B102" s="2394"/>
      <c r="C102" s="2339"/>
      <c r="D102" s="455"/>
      <c r="E102" s="1656"/>
      <c r="G102" s="2338"/>
      <c r="H102" s="2424"/>
      <c r="I102" s="2339"/>
      <c r="J102" s="592"/>
      <c r="K102" s="1668"/>
      <c r="L102" s="2370"/>
      <c r="M102" s="1656"/>
      <c r="O102" s="1668"/>
      <c r="P102" s="340"/>
      <c r="Q102" s="1656"/>
      <c r="R102" s="592"/>
      <c r="S102" s="2341"/>
      <c r="V102" s="952"/>
      <c r="W102" s="2343"/>
      <c r="AA102" s="1668"/>
    </row>
    <row r="103" spans="1:28" s="457" customFormat="1" ht="15" customHeight="1" x14ac:dyDescent="0.25">
      <c r="A103" s="1656"/>
      <c r="B103" s="2394"/>
      <c r="C103" s="2339"/>
      <c r="D103" s="455"/>
      <c r="E103" s="1656"/>
      <c r="G103" s="2338"/>
      <c r="H103" s="2424"/>
      <c r="I103" s="2339"/>
      <c r="J103" s="592"/>
      <c r="K103" s="1668"/>
      <c r="L103" s="2370"/>
      <c r="M103" s="1656"/>
      <c r="O103" s="1668"/>
      <c r="P103" s="340"/>
      <c r="Q103" s="1656"/>
      <c r="R103" s="592"/>
      <c r="S103" s="2341"/>
      <c r="V103" s="952"/>
      <c r="W103" s="2343"/>
      <c r="AA103" s="1668"/>
    </row>
    <row r="104" spans="1:28" s="457" customFormat="1" x14ac:dyDescent="0.25">
      <c r="A104" s="1656"/>
      <c r="B104" s="2394"/>
      <c r="C104" s="2339"/>
      <c r="D104" s="455"/>
      <c r="E104" s="1656"/>
      <c r="G104" s="2338"/>
      <c r="H104" s="2424"/>
      <c r="I104" s="2339"/>
      <c r="J104" s="592"/>
      <c r="K104" s="1668"/>
      <c r="L104" s="2370"/>
      <c r="M104" s="1656"/>
      <c r="O104" s="1668"/>
      <c r="P104" s="340"/>
      <c r="Q104" s="1656"/>
      <c r="R104" s="592"/>
      <c r="S104" s="2341"/>
      <c r="V104" s="952"/>
      <c r="W104" s="2343"/>
      <c r="AA104" s="1668"/>
    </row>
    <row r="105" spans="1:28" s="457" customFormat="1" x14ac:dyDescent="0.25">
      <c r="A105" s="1656"/>
      <c r="B105" s="2394"/>
      <c r="C105" s="2339"/>
      <c r="D105" s="455"/>
      <c r="E105" s="1656"/>
      <c r="G105" s="2338"/>
      <c r="H105" s="2424"/>
      <c r="I105" s="2339"/>
      <c r="J105" s="592"/>
      <c r="K105" s="1668"/>
      <c r="L105" s="2370"/>
      <c r="M105" s="1656"/>
      <c r="O105" s="1668"/>
      <c r="P105" s="340"/>
      <c r="Q105" s="1656"/>
      <c r="R105" s="592"/>
      <c r="S105" s="2341"/>
      <c r="V105" s="952"/>
      <c r="W105" s="2343"/>
      <c r="AA105" s="1668"/>
    </row>
    <row r="106" spans="1:28" s="457" customFormat="1" ht="15" customHeight="1" x14ac:dyDescent="0.25">
      <c r="A106" s="1656"/>
      <c r="B106" s="2565"/>
      <c r="C106" s="2565"/>
      <c r="D106" s="455"/>
      <c r="E106" s="1656"/>
      <c r="G106" s="2338"/>
      <c r="H106" s="2424"/>
      <c r="I106" s="2339"/>
      <c r="J106" s="592"/>
      <c r="K106" s="1668"/>
      <c r="L106" s="2370"/>
      <c r="M106" s="1656"/>
      <c r="O106" s="1668"/>
      <c r="P106" s="340"/>
      <c r="Q106" s="1656"/>
      <c r="R106" s="592"/>
      <c r="S106" s="2341"/>
      <c r="V106" s="952"/>
      <c r="W106" s="2343"/>
      <c r="AA106" s="1668"/>
    </row>
    <row r="107" spans="1:28" s="457" customFormat="1" x14ac:dyDescent="0.25">
      <c r="A107" s="1656"/>
      <c r="B107" s="2565"/>
      <c r="C107" s="2565"/>
      <c r="D107" s="455"/>
      <c r="E107" s="1656"/>
      <c r="G107" s="2338"/>
      <c r="H107" s="2424"/>
      <c r="I107" s="2339"/>
      <c r="J107" s="592"/>
      <c r="K107" s="1668"/>
      <c r="L107" s="2370"/>
      <c r="M107" s="1656"/>
      <c r="O107" s="1668"/>
      <c r="P107" s="340"/>
      <c r="Q107" s="1656"/>
      <c r="R107" s="592"/>
      <c r="S107" s="2341"/>
      <c r="V107" s="952"/>
      <c r="W107" s="2343"/>
      <c r="AA107" s="1668"/>
    </row>
    <row r="108" spans="1:28" s="457" customFormat="1" x14ac:dyDescent="0.25">
      <c r="A108" s="1656"/>
      <c r="B108" s="2394"/>
      <c r="C108" s="2339"/>
      <c r="D108" s="460"/>
      <c r="E108" s="1656"/>
      <c r="G108" s="2338"/>
      <c r="H108" s="2424"/>
      <c r="I108" s="2339"/>
      <c r="J108" s="592"/>
      <c r="K108" s="1668"/>
      <c r="L108" s="2370"/>
      <c r="M108" s="1656"/>
      <c r="O108" s="1668"/>
      <c r="P108" s="340"/>
      <c r="Q108" s="1656"/>
      <c r="R108" s="592"/>
      <c r="S108" s="2341"/>
      <c r="V108" s="952"/>
      <c r="W108" s="2343"/>
      <c r="AA108" s="1668"/>
    </row>
    <row r="109" spans="1:28" s="457" customFormat="1" x14ac:dyDescent="0.25">
      <c r="A109" s="1656"/>
      <c r="B109" s="2394"/>
      <c r="C109" s="2339"/>
      <c r="D109" s="455"/>
      <c r="E109" s="1656"/>
      <c r="G109" s="2338"/>
      <c r="H109" s="2424"/>
      <c r="I109" s="2339"/>
      <c r="J109" s="592"/>
      <c r="K109" s="1668"/>
      <c r="L109" s="2370"/>
      <c r="M109" s="1656"/>
      <c r="O109" s="1668"/>
      <c r="P109" s="340"/>
      <c r="Q109" s="1656"/>
      <c r="R109" s="592"/>
      <c r="S109" s="2341"/>
      <c r="V109" s="952"/>
      <c r="W109" s="2343"/>
      <c r="AA109" s="1668"/>
    </row>
    <row r="110" spans="1:28" s="457" customFormat="1" x14ac:dyDescent="0.25">
      <c r="A110" s="1656"/>
      <c r="B110" s="2394"/>
      <c r="C110" s="2339"/>
      <c r="D110" s="455"/>
      <c r="E110" s="1656"/>
      <c r="G110" s="2338"/>
      <c r="H110" s="2424"/>
      <c r="I110" s="2339"/>
      <c r="J110" s="592"/>
      <c r="K110" s="1668"/>
      <c r="L110" s="2370"/>
      <c r="M110" s="1656"/>
      <c r="O110" s="1668"/>
      <c r="P110" s="340"/>
      <c r="Q110" s="1656"/>
      <c r="R110" s="592"/>
      <c r="S110" s="2341"/>
      <c r="V110" s="952"/>
      <c r="W110" s="2343"/>
      <c r="AA110" s="1668"/>
    </row>
    <row r="111" spans="1:28" s="457" customFormat="1" ht="28.5" customHeight="1" x14ac:dyDescent="0.25">
      <c r="A111" s="1656"/>
      <c r="B111" s="2394"/>
      <c r="C111" s="2339"/>
      <c r="D111" s="342"/>
      <c r="E111" s="1656"/>
      <c r="G111" s="2338"/>
      <c r="H111" s="2424"/>
      <c r="I111" s="2339"/>
      <c r="J111" s="592"/>
      <c r="K111" s="1668"/>
      <c r="L111" s="2370"/>
      <c r="M111" s="1656"/>
      <c r="O111" s="1668"/>
      <c r="P111" s="340"/>
      <c r="Q111" s="1656"/>
      <c r="R111" s="592"/>
      <c r="S111" s="2341"/>
      <c r="V111" s="952"/>
      <c r="W111" s="2343"/>
      <c r="AA111" s="1668"/>
    </row>
    <row r="112" spans="1:28" s="457" customFormat="1" x14ac:dyDescent="0.25">
      <c r="A112" s="1656"/>
      <c r="B112" s="2394"/>
      <c r="C112" s="2339"/>
      <c r="D112" s="455"/>
      <c r="E112" s="1656"/>
      <c r="G112" s="2338"/>
      <c r="H112" s="2424"/>
      <c r="I112" s="2339"/>
      <c r="J112" s="592"/>
      <c r="K112" s="1668"/>
      <c r="L112" s="2370"/>
      <c r="M112" s="1656"/>
      <c r="O112" s="1668"/>
      <c r="P112" s="340"/>
      <c r="Q112" s="1656"/>
      <c r="R112" s="592"/>
      <c r="S112" s="2341"/>
      <c r="V112" s="952"/>
      <c r="W112" s="2343"/>
      <c r="AA112" s="1668"/>
    </row>
    <row r="113" spans="1:27" s="457" customFormat="1" x14ac:dyDescent="0.25">
      <c r="A113" s="1656"/>
      <c r="B113" s="2394"/>
      <c r="C113" s="2339"/>
      <c r="D113" s="455"/>
      <c r="E113" s="1656"/>
      <c r="G113" s="2338"/>
      <c r="H113" s="2424"/>
      <c r="I113" s="2339"/>
      <c r="J113" s="592"/>
      <c r="K113" s="1668"/>
      <c r="L113" s="2370"/>
      <c r="M113" s="1656"/>
      <c r="O113" s="1668"/>
      <c r="P113" s="340"/>
      <c r="Q113" s="1656"/>
      <c r="R113" s="592"/>
      <c r="S113" s="2341"/>
      <c r="V113" s="952"/>
      <c r="W113" s="2343"/>
      <c r="AA113" s="1668"/>
    </row>
    <row r="114" spans="1:27" s="457" customFormat="1" x14ac:dyDescent="0.25">
      <c r="A114" s="1656"/>
      <c r="B114" s="2394"/>
      <c r="C114" s="2339"/>
      <c r="D114" s="455"/>
      <c r="E114" s="1656"/>
      <c r="G114" s="2338"/>
      <c r="H114" s="2424"/>
      <c r="I114" s="2339"/>
      <c r="J114" s="592"/>
      <c r="K114" s="1668"/>
      <c r="L114" s="2370"/>
      <c r="M114" s="1656"/>
      <c r="O114" s="1668"/>
      <c r="P114" s="340"/>
      <c r="Q114" s="1656"/>
      <c r="R114" s="592"/>
      <c r="S114" s="2341"/>
      <c r="V114" s="952"/>
      <c r="W114" s="2343"/>
      <c r="AA114" s="1668"/>
    </row>
    <row r="115" spans="1:27" s="457" customFormat="1" x14ac:dyDescent="0.25">
      <c r="A115" s="1656"/>
      <c r="B115" s="2394"/>
      <c r="C115" s="2339"/>
      <c r="D115" s="455"/>
      <c r="E115" s="1656"/>
      <c r="G115" s="2338"/>
      <c r="H115" s="2424"/>
      <c r="I115" s="2339"/>
      <c r="J115" s="592"/>
      <c r="K115" s="1668"/>
      <c r="L115" s="2370"/>
      <c r="M115" s="1656"/>
      <c r="O115" s="1668"/>
      <c r="P115" s="340"/>
      <c r="Q115" s="1656"/>
      <c r="R115" s="592"/>
      <c r="S115" s="2341"/>
      <c r="V115" s="952"/>
      <c r="W115" s="2343"/>
      <c r="AA115" s="1668"/>
    </row>
    <row r="116" spans="1:27" s="457" customFormat="1" x14ac:dyDescent="0.25">
      <c r="A116" s="1656"/>
      <c r="B116" s="2394"/>
      <c r="C116" s="2339"/>
      <c r="D116" s="455"/>
      <c r="E116" s="1656"/>
      <c r="G116" s="2338"/>
      <c r="H116" s="2424"/>
      <c r="I116" s="2339"/>
      <c r="J116" s="592"/>
      <c r="K116" s="1668"/>
      <c r="L116" s="2370"/>
      <c r="M116" s="1656"/>
      <c r="O116" s="1668"/>
      <c r="P116" s="340"/>
      <c r="Q116" s="1656"/>
      <c r="R116" s="592"/>
      <c r="S116" s="2341"/>
      <c r="V116" s="952"/>
      <c r="W116" s="2343"/>
      <c r="AA116" s="1668"/>
    </row>
    <row r="117" spans="1:27" s="457" customFormat="1" x14ac:dyDescent="0.25">
      <c r="A117" s="1656"/>
      <c r="B117" s="2394"/>
      <c r="C117" s="2339"/>
      <c r="D117" s="455"/>
      <c r="E117" s="1656"/>
      <c r="G117" s="2338"/>
      <c r="H117" s="2424"/>
      <c r="I117" s="2339"/>
      <c r="J117" s="592"/>
      <c r="K117" s="1668"/>
      <c r="L117" s="2370"/>
      <c r="M117" s="1656"/>
      <c r="O117" s="1668"/>
      <c r="P117" s="340"/>
      <c r="Q117" s="1656"/>
      <c r="R117" s="592"/>
      <c r="S117" s="2341"/>
      <c r="V117" s="952"/>
      <c r="W117" s="2343"/>
      <c r="AA117" s="1668"/>
    </row>
    <row r="118" spans="1:27" s="457" customFormat="1" x14ac:dyDescent="0.25">
      <c r="A118" s="1656"/>
      <c r="B118" s="2394"/>
      <c r="C118" s="2339"/>
      <c r="D118" s="455"/>
      <c r="E118" s="1656"/>
      <c r="G118" s="2338"/>
      <c r="H118" s="2424"/>
      <c r="I118" s="2339"/>
      <c r="J118" s="592"/>
      <c r="K118" s="1668"/>
      <c r="L118" s="2370"/>
      <c r="M118" s="1656"/>
      <c r="O118" s="1668"/>
      <c r="P118" s="340"/>
      <c r="Q118" s="1656"/>
      <c r="R118" s="592"/>
      <c r="S118" s="2341"/>
      <c r="V118" s="952"/>
      <c r="W118" s="2343"/>
      <c r="AA118" s="1668"/>
    </row>
    <row r="119" spans="1:27" s="457" customFormat="1" x14ac:dyDescent="0.25">
      <c r="A119" s="1656"/>
      <c r="B119" s="2394"/>
      <c r="C119" s="2339"/>
      <c r="D119" s="455"/>
      <c r="E119" s="1656"/>
      <c r="G119" s="2338"/>
      <c r="H119" s="2424"/>
      <c r="I119" s="2339"/>
      <c r="J119" s="592"/>
      <c r="K119" s="1668"/>
      <c r="L119" s="2370"/>
      <c r="M119" s="1656"/>
      <c r="O119" s="1668"/>
      <c r="P119" s="340"/>
      <c r="Q119" s="1656"/>
      <c r="R119" s="592"/>
      <c r="S119" s="2341"/>
      <c r="V119" s="952"/>
      <c r="W119" s="2343"/>
      <c r="AA119" s="1668"/>
    </row>
    <row r="120" spans="1:27" s="457" customFormat="1" x14ac:dyDescent="0.25">
      <c r="A120" s="1656"/>
      <c r="B120" s="2394"/>
      <c r="C120" s="2339"/>
      <c r="D120" s="455"/>
      <c r="E120" s="1656"/>
      <c r="G120" s="2338"/>
      <c r="H120" s="2424"/>
      <c r="I120" s="2339"/>
      <c r="J120" s="592"/>
      <c r="K120" s="1668"/>
      <c r="L120" s="2370"/>
      <c r="M120" s="1656"/>
      <c r="O120" s="1668"/>
      <c r="P120" s="340"/>
      <c r="Q120" s="1656"/>
      <c r="R120" s="592"/>
      <c r="S120" s="2341"/>
      <c r="V120" s="952"/>
      <c r="W120" s="2343"/>
      <c r="AA120" s="1668"/>
    </row>
    <row r="121" spans="1:27" s="457" customFormat="1" x14ac:dyDescent="0.25">
      <c r="A121" s="1656"/>
      <c r="B121" s="2394"/>
      <c r="C121" s="2339"/>
      <c r="D121" s="455"/>
      <c r="E121" s="1656"/>
      <c r="G121" s="2338"/>
      <c r="H121" s="2424"/>
      <c r="I121" s="2339"/>
      <c r="J121" s="592"/>
      <c r="K121" s="1668"/>
      <c r="L121" s="2370"/>
      <c r="M121" s="1656"/>
      <c r="O121" s="1668"/>
      <c r="P121" s="340"/>
      <c r="Q121" s="1656"/>
      <c r="R121" s="592"/>
      <c r="S121" s="2341"/>
      <c r="V121" s="952"/>
      <c r="W121" s="2343"/>
      <c r="AA121" s="1668"/>
    </row>
    <row r="122" spans="1:27" s="457" customFormat="1" x14ac:dyDescent="0.25">
      <c r="A122" s="1656"/>
      <c r="B122" s="2394"/>
      <c r="C122" s="2339"/>
      <c r="D122" s="455"/>
      <c r="E122" s="1656"/>
      <c r="G122" s="2338"/>
      <c r="H122" s="2424"/>
      <c r="I122" s="2339"/>
      <c r="J122" s="592"/>
      <c r="K122" s="1668"/>
      <c r="L122" s="2370"/>
      <c r="M122" s="1656"/>
      <c r="O122" s="1668"/>
      <c r="P122" s="340"/>
      <c r="Q122" s="1656"/>
      <c r="R122" s="592"/>
      <c r="S122" s="2341"/>
      <c r="V122" s="952"/>
      <c r="W122" s="2343"/>
      <c r="AA122" s="1668"/>
    </row>
    <row r="123" spans="1:27" s="457" customFormat="1" x14ac:dyDescent="0.25">
      <c r="A123" s="1656"/>
      <c r="B123" s="2394"/>
      <c r="C123" s="2339"/>
      <c r="D123" s="455"/>
      <c r="E123" s="1656"/>
      <c r="G123" s="2338"/>
      <c r="H123" s="2424"/>
      <c r="I123" s="2339"/>
      <c r="J123" s="592"/>
      <c r="K123" s="1668"/>
      <c r="L123" s="2370"/>
      <c r="M123" s="1656"/>
      <c r="O123" s="1668"/>
      <c r="P123" s="340"/>
      <c r="Q123" s="1656"/>
      <c r="R123" s="592"/>
      <c r="S123" s="2341"/>
      <c r="V123" s="952"/>
      <c r="W123" s="2343"/>
      <c r="AA123" s="1668"/>
    </row>
    <row r="124" spans="1:27" s="457" customFormat="1" x14ac:dyDescent="0.25">
      <c r="A124" s="1656"/>
      <c r="B124" s="2394"/>
      <c r="C124" s="2339"/>
      <c r="D124" s="455"/>
      <c r="E124" s="1656"/>
      <c r="G124" s="2338"/>
      <c r="H124" s="2424"/>
      <c r="I124" s="2339"/>
      <c r="J124" s="592"/>
      <c r="K124" s="1668"/>
      <c r="L124" s="2370"/>
      <c r="M124" s="1656"/>
      <c r="O124" s="1668"/>
      <c r="P124" s="340"/>
      <c r="Q124" s="1656"/>
      <c r="R124" s="592"/>
      <c r="S124" s="2341"/>
      <c r="V124" s="952"/>
      <c r="W124" s="2343"/>
      <c r="AA124" s="1668"/>
    </row>
    <row r="125" spans="1:27" s="457" customFormat="1" x14ac:dyDescent="0.25">
      <c r="A125" s="1656"/>
      <c r="B125" s="2394"/>
      <c r="C125" s="2339"/>
      <c r="D125" s="455"/>
      <c r="E125" s="1656"/>
      <c r="G125" s="2338"/>
      <c r="H125" s="2424"/>
      <c r="I125" s="2339"/>
      <c r="J125" s="592"/>
      <c r="K125" s="1668"/>
      <c r="L125" s="2370"/>
      <c r="M125" s="1656"/>
      <c r="O125" s="1668"/>
      <c r="P125" s="340"/>
      <c r="Q125" s="1656"/>
      <c r="R125" s="592"/>
      <c r="S125" s="2341"/>
      <c r="V125" s="952"/>
      <c r="W125" s="2343"/>
      <c r="AA125" s="1668"/>
    </row>
    <row r="126" spans="1:27" s="457" customFormat="1" x14ac:dyDescent="0.25">
      <c r="A126" s="1656"/>
      <c r="B126" s="2394"/>
      <c r="C126" s="2339"/>
      <c r="D126" s="455"/>
      <c r="E126" s="1656"/>
      <c r="G126" s="2338"/>
      <c r="H126" s="2424"/>
      <c r="I126" s="2339"/>
      <c r="J126" s="592"/>
      <c r="K126" s="1668"/>
      <c r="L126" s="2370"/>
      <c r="M126" s="1656"/>
      <c r="O126" s="1668"/>
      <c r="P126" s="340"/>
      <c r="Q126" s="1656"/>
      <c r="R126" s="592"/>
      <c r="S126" s="2341"/>
      <c r="V126" s="952"/>
      <c r="W126" s="2343"/>
      <c r="AA126" s="1668"/>
    </row>
    <row r="127" spans="1:27" s="457" customFormat="1" x14ac:dyDescent="0.25">
      <c r="A127" s="1656"/>
      <c r="B127" s="2345"/>
      <c r="C127" s="1656"/>
      <c r="D127" s="340"/>
      <c r="E127" s="1656"/>
      <c r="G127" s="2338"/>
      <c r="H127" s="2424"/>
      <c r="I127" s="2339"/>
      <c r="J127" s="592"/>
      <c r="K127" s="1668"/>
      <c r="L127" s="2370"/>
      <c r="M127" s="1656"/>
      <c r="O127" s="1668"/>
      <c r="P127" s="340"/>
      <c r="Q127" s="1656"/>
      <c r="R127" s="592"/>
      <c r="S127" s="2341"/>
      <c r="V127" s="952"/>
      <c r="W127" s="2343"/>
      <c r="AA127" s="1668"/>
    </row>
    <row r="128" spans="1:27" s="457" customFormat="1" x14ac:dyDescent="0.25">
      <c r="A128" s="1656"/>
      <c r="B128" s="2345"/>
      <c r="C128" s="1656"/>
      <c r="D128" s="340"/>
      <c r="E128" s="1656"/>
      <c r="G128" s="2338"/>
      <c r="H128" s="2424"/>
      <c r="I128" s="2339"/>
      <c r="J128" s="592"/>
      <c r="K128" s="1668"/>
      <c r="L128" s="2370"/>
      <c r="M128" s="1656"/>
      <c r="O128" s="1668"/>
      <c r="P128" s="340"/>
      <c r="Q128" s="1656"/>
      <c r="R128" s="592"/>
      <c r="S128" s="2341"/>
      <c r="V128" s="952"/>
      <c r="W128" s="2343"/>
      <c r="AA128" s="1668"/>
    </row>
    <row r="129" spans="1:27" s="457" customFormat="1" x14ac:dyDescent="0.25">
      <c r="A129" s="1656"/>
      <c r="B129" s="2345"/>
      <c r="C129" s="1656"/>
      <c r="D129" s="340"/>
      <c r="E129" s="1656"/>
      <c r="G129" s="2338"/>
      <c r="H129" s="2424"/>
      <c r="I129" s="2339"/>
      <c r="J129" s="592"/>
      <c r="K129" s="1668"/>
      <c r="L129" s="2370"/>
      <c r="M129" s="1656"/>
      <c r="O129" s="1668"/>
      <c r="P129" s="340"/>
      <c r="Q129" s="1656"/>
      <c r="R129" s="592"/>
      <c r="S129" s="2341"/>
      <c r="V129" s="952"/>
      <c r="W129" s="2343"/>
      <c r="AA129" s="1668"/>
    </row>
    <row r="130" spans="1:27" s="457" customFormat="1" x14ac:dyDescent="0.25">
      <c r="A130" s="1656"/>
      <c r="B130" s="2345"/>
      <c r="C130" s="1656"/>
      <c r="D130" s="340"/>
      <c r="E130" s="1656"/>
      <c r="G130" s="2338"/>
      <c r="H130" s="2424"/>
      <c r="I130" s="2339"/>
      <c r="J130" s="592"/>
      <c r="K130" s="1668"/>
      <c r="L130" s="2370"/>
      <c r="M130" s="1656"/>
      <c r="O130" s="1668"/>
      <c r="P130" s="340"/>
      <c r="Q130" s="1656"/>
      <c r="R130" s="592"/>
      <c r="S130" s="2341"/>
      <c r="V130" s="952"/>
      <c r="W130" s="2343"/>
      <c r="AA130" s="1668"/>
    </row>
    <row r="131" spans="1:27" s="457" customFormat="1" x14ac:dyDescent="0.25">
      <c r="A131" s="1656"/>
      <c r="B131" s="2345"/>
      <c r="C131" s="1656"/>
      <c r="D131" s="340"/>
      <c r="E131" s="1656"/>
      <c r="G131" s="2338"/>
      <c r="H131" s="2424"/>
      <c r="I131" s="2339"/>
      <c r="J131" s="592"/>
      <c r="K131" s="1668"/>
      <c r="L131" s="2370"/>
      <c r="M131" s="1656"/>
      <c r="O131" s="1668"/>
      <c r="P131" s="340"/>
      <c r="Q131" s="1656"/>
      <c r="R131" s="592"/>
      <c r="S131" s="2341"/>
      <c r="V131" s="952"/>
      <c r="W131" s="2343"/>
      <c r="AA131" s="1668"/>
    </row>
  </sheetData>
  <sheetProtection password="E247" sheet="1" objects="1" scenarios="1"/>
  <mergeCells count="1">
    <mergeCell ref="B106:C107"/>
  </mergeCells>
  <pageMargins left="0.25" right="0.25" top="0.5" bottom="0.5" header="0.25" footer="0.25"/>
  <pageSetup paperSize="5" scale="92" orientation="portrait" r:id="rId1"/>
  <headerFooter>
    <oddHeader>&amp;L&amp;F</oddHeader>
    <oddFooter>&amp;R&amp;A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fitToPage="1"/>
  </sheetPr>
  <dimension ref="A1:AC131"/>
  <sheetViews>
    <sheetView zoomScaleNormal="100" workbookViewId="0">
      <pane xSplit="3" ySplit="6" topLeftCell="H7" activePane="bottomRight" state="frozen"/>
      <selection activeCell="H7" sqref="H7"/>
      <selection pane="topRight" activeCell="H7" sqref="H7"/>
      <selection pane="bottomLeft" activeCell="H7" sqref="H7"/>
      <selection pane="bottomRight" activeCell="H7" sqref="H7"/>
    </sheetView>
  </sheetViews>
  <sheetFormatPr defaultRowHeight="15" x14ac:dyDescent="0.25"/>
  <cols>
    <col min="1" max="1" width="1.7109375" style="143" customWidth="1"/>
    <col min="2" max="2" width="8.5703125" style="2172" customWidth="1"/>
    <col min="3" max="3" width="24.85546875" style="844" customWidth="1"/>
    <col min="4" max="4" width="16" style="2" hidden="1" customWidth="1"/>
    <col min="5" max="5" width="17.7109375" style="844" hidden="1" customWidth="1"/>
    <col min="6" max="6" width="6" style="39" hidden="1" customWidth="1"/>
    <col min="7" max="7" width="10.7109375" style="52" hidden="1" customWidth="1"/>
    <col min="8" max="8" width="13.85546875" style="121" bestFit="1" customWidth="1"/>
    <col min="9" max="9" width="26" style="853" hidden="1" customWidth="1"/>
    <col min="10" max="10" width="5.7109375" style="59" hidden="1" customWidth="1"/>
    <col min="11" max="11" width="10.42578125" style="333" hidden="1" customWidth="1"/>
    <col min="12" max="12" width="14" style="122" bestFit="1" customWidth="1"/>
    <col min="13" max="13" width="26" style="844" hidden="1" customWidth="1"/>
    <col min="14" max="14" width="5.7109375" style="39" hidden="1" customWidth="1"/>
    <col min="15" max="15" width="9.42578125" style="333" hidden="1" customWidth="1"/>
    <col min="16" max="16" width="14" style="2" bestFit="1" customWidth="1"/>
    <col min="17" max="17" width="24.85546875" style="844" hidden="1" customWidth="1"/>
    <col min="18" max="18" width="5.28515625" style="51" hidden="1" customWidth="1"/>
    <col min="19" max="19" width="9.42578125" style="338" hidden="1" customWidth="1"/>
    <col min="20" max="20" width="14" style="39" customWidth="1"/>
    <col min="21" max="21" width="24.85546875" style="39" hidden="1" customWidth="1"/>
    <col min="22" max="22" width="5.7109375" style="109" customWidth="1"/>
    <col min="23" max="23" width="9.42578125" style="2244" hidden="1" customWidth="1"/>
    <col min="24" max="24" width="14" style="39" hidden="1" customWidth="1"/>
    <col min="25" max="25" width="24.85546875" style="39" hidden="1" customWidth="1"/>
    <col min="26" max="26" width="5.7109375" style="39" hidden="1" customWidth="1"/>
    <col min="27" max="27" width="9.42578125" style="333" hidden="1" customWidth="1"/>
    <col min="28" max="28" width="14" style="39" hidden="1" customWidth="1"/>
    <col min="29" max="29" width="24.85546875" style="39" hidden="1" customWidth="1"/>
    <col min="30" max="16384" width="9.140625" style="39"/>
  </cols>
  <sheetData>
    <row r="1" spans="1:29" x14ac:dyDescent="0.25">
      <c r="B1" s="2172" t="s">
        <v>61</v>
      </c>
      <c r="C1" s="873" t="s">
        <v>709</v>
      </c>
      <c r="D1" s="97">
        <v>0</v>
      </c>
      <c r="E1" s="842"/>
      <c r="F1" s="98"/>
      <c r="G1" s="325"/>
      <c r="H1" s="99">
        <v>0</v>
      </c>
      <c r="I1" s="842"/>
      <c r="L1" s="121">
        <v>0</v>
      </c>
      <c r="M1" s="842"/>
      <c r="P1" s="121">
        <v>0</v>
      </c>
      <c r="Q1" s="842"/>
      <c r="T1" s="86">
        <v>0</v>
      </c>
      <c r="U1" s="98"/>
      <c r="X1" s="86">
        <v>0</v>
      </c>
      <c r="Y1" s="98"/>
      <c r="AB1" s="86">
        <v>0</v>
      </c>
      <c r="AC1" s="98"/>
    </row>
    <row r="2" spans="1:29" ht="17.25" x14ac:dyDescent="0.4">
      <c r="B2" s="2173" t="s">
        <v>59</v>
      </c>
      <c r="C2" s="930" t="s">
        <v>855</v>
      </c>
      <c r="D2" s="99">
        <v>0</v>
      </c>
      <c r="E2" s="842"/>
      <c r="F2" s="98"/>
      <c r="G2" s="326"/>
      <c r="H2" s="99">
        <v>0</v>
      </c>
      <c r="I2" s="842"/>
      <c r="L2" s="87">
        <v>0</v>
      </c>
      <c r="M2" s="842"/>
      <c r="P2" s="87">
        <v>0</v>
      </c>
      <c r="Q2" s="842"/>
      <c r="T2" s="87">
        <v>0</v>
      </c>
      <c r="U2" s="98"/>
      <c r="X2" s="87">
        <v>0</v>
      </c>
      <c r="Y2" s="98"/>
      <c r="AB2" s="87">
        <v>0</v>
      </c>
      <c r="AC2" s="98"/>
    </row>
    <row r="3" spans="1:29" x14ac:dyDescent="0.25">
      <c r="D3" s="281">
        <f>+SUM(D1:D2)</f>
        <v>0</v>
      </c>
      <c r="E3" s="843"/>
      <c r="F3" s="100"/>
      <c r="G3" s="83"/>
      <c r="H3" s="281">
        <f>+SUM(H1:H2)</f>
        <v>0</v>
      </c>
      <c r="I3" s="852"/>
      <c r="L3" s="121">
        <f>SUM(L1:L2)</f>
        <v>0</v>
      </c>
      <c r="M3" s="853"/>
      <c r="P3" s="121">
        <f>SUM(P1:P2)</f>
        <v>0</v>
      </c>
      <c r="Q3" s="853"/>
      <c r="T3" s="86">
        <f>SUM(T1:T2)</f>
        <v>0</v>
      </c>
      <c r="U3" s="51"/>
      <c r="X3" s="86">
        <f>SUM(X1:X2)</f>
        <v>0</v>
      </c>
      <c r="Y3" s="51"/>
      <c r="AB3" s="86">
        <f>SUM(AB1:AB2)</f>
        <v>0</v>
      </c>
      <c r="AC3" s="51"/>
    </row>
    <row r="4" spans="1:29" x14ac:dyDescent="0.25">
      <c r="L4" s="121"/>
      <c r="M4" s="853"/>
      <c r="P4" s="121"/>
      <c r="Q4" s="853"/>
      <c r="T4" s="86"/>
      <c r="U4" s="51"/>
      <c r="X4" s="86"/>
      <c r="Y4" s="51"/>
      <c r="AB4" s="86"/>
      <c r="AC4" s="51"/>
    </row>
    <row r="5" spans="1:29" ht="15.75" x14ac:dyDescent="0.25">
      <c r="B5" s="2174" t="s">
        <v>56</v>
      </c>
      <c r="P5" s="122"/>
      <c r="T5" s="73"/>
      <c r="X5" s="73"/>
      <c r="AB5" s="73"/>
    </row>
    <row r="6" spans="1:29" s="89" customFormat="1" ht="15.75" x14ac:dyDescent="0.25">
      <c r="A6" s="144"/>
      <c r="B6" s="2175"/>
      <c r="C6" s="877"/>
      <c r="D6" s="243" t="s">
        <v>55</v>
      </c>
      <c r="E6" s="845"/>
      <c r="G6" s="327"/>
      <c r="H6" s="282" t="str">
        <f>LEFT(D6,4)+1&amp;"-"&amp;RIGHT(D6,4)+1</f>
        <v>2017-2018</v>
      </c>
      <c r="I6" s="854"/>
      <c r="J6" s="93"/>
      <c r="K6" s="334"/>
      <c r="L6" s="123" t="str">
        <f>LEFT(H6,4)+1&amp;"-"&amp;RIGHT(H6,4)+1</f>
        <v>2018-2019</v>
      </c>
      <c r="M6" s="888"/>
      <c r="N6" s="96"/>
      <c r="O6" s="337"/>
      <c r="P6" s="123" t="str">
        <f>LEFT(L6,4)+1&amp;"-"&amp;RIGHT(L6,4)+1</f>
        <v>2019-2020</v>
      </c>
      <c r="Q6" s="888"/>
      <c r="R6" s="2237"/>
      <c r="S6" s="2242"/>
      <c r="T6" s="95" t="str">
        <f>LEFT(P6,4)+1&amp;"-"&amp;RIGHT(P6,4)+1</f>
        <v>2020-2021</v>
      </c>
      <c r="U6" s="95"/>
      <c r="V6" s="110"/>
      <c r="W6" s="2245"/>
      <c r="X6" s="95" t="str">
        <f>LEFT(T6,4)+1&amp;"-"&amp;RIGHT(T6,4)+1</f>
        <v>2021-2022</v>
      </c>
      <c r="Y6" s="95"/>
      <c r="Z6" s="96"/>
      <c r="AA6" s="337"/>
      <c r="AB6" s="95" t="str">
        <f>LEFT(X6,4)+1&amp;"-"&amp;RIGHT(X6,4)+1</f>
        <v>2022-2023</v>
      </c>
      <c r="AC6" s="95"/>
    </row>
    <row r="7" spans="1:29" s="457" customFormat="1" x14ac:dyDescent="0.25">
      <c r="A7" s="1656"/>
      <c r="B7" s="2337" t="s">
        <v>54</v>
      </c>
      <c r="C7" s="1656"/>
      <c r="D7" s="340">
        <v>12360.74</v>
      </c>
      <c r="E7" s="1656"/>
      <c r="G7" s="2338"/>
      <c r="H7" s="340">
        <f>D94</f>
        <v>0</v>
      </c>
      <c r="I7" s="1656"/>
      <c r="J7" s="599"/>
      <c r="K7" s="1668"/>
      <c r="L7" s="340">
        <f>H94</f>
        <v>0</v>
      </c>
      <c r="M7" s="1656"/>
      <c r="O7" s="1668"/>
      <c r="P7" s="340">
        <f>L94</f>
        <v>0</v>
      </c>
      <c r="Q7" s="1656"/>
      <c r="R7" s="592"/>
      <c r="S7" s="2341"/>
      <c r="T7" s="340">
        <f>P94</f>
        <v>0</v>
      </c>
      <c r="V7" s="952"/>
      <c r="W7" s="2343"/>
      <c r="X7" s="340">
        <f>T94</f>
        <v>0</v>
      </c>
      <c r="AA7" s="1668"/>
      <c r="AB7" s="340">
        <f>X94</f>
        <v>-22026</v>
      </c>
    </row>
    <row r="8" spans="1:29" s="457" customFormat="1" x14ac:dyDescent="0.25">
      <c r="A8" s="1656"/>
      <c r="B8" s="2345"/>
      <c r="C8" s="1656"/>
      <c r="D8" s="340"/>
      <c r="E8" s="1656"/>
      <c r="G8" s="2338"/>
      <c r="H8" s="340"/>
      <c r="I8" s="1656"/>
      <c r="J8" s="592"/>
      <c r="K8" s="1668"/>
      <c r="L8" s="340"/>
      <c r="M8" s="1656"/>
      <c r="O8" s="1668"/>
      <c r="P8" s="340"/>
      <c r="Q8" s="1656"/>
      <c r="R8" s="592"/>
      <c r="S8" s="2341"/>
      <c r="V8" s="952"/>
      <c r="W8" s="2343"/>
      <c r="AA8" s="1668"/>
    </row>
    <row r="9" spans="1:29" s="457" customFormat="1" x14ac:dyDescent="0.25">
      <c r="A9" s="1656"/>
      <c r="B9" s="2345" t="s">
        <v>52</v>
      </c>
      <c r="C9" s="1656" t="s">
        <v>398</v>
      </c>
      <c r="D9" s="340">
        <v>15570.08</v>
      </c>
      <c r="E9" s="1656" t="s">
        <v>462</v>
      </c>
      <c r="G9" s="456">
        <f>IF(D9=0,"0.00%",(H9-D9)/D9)</f>
        <v>0.13223567252062932</v>
      </c>
      <c r="H9" s="833">
        <v>17629</v>
      </c>
      <c r="I9" s="1656"/>
      <c r="J9" s="342"/>
      <c r="K9" s="456">
        <f>IF(H9=0,"0.00%",(L9-H9)/H9)</f>
        <v>0.21816325372965001</v>
      </c>
      <c r="L9" s="833">
        <v>21475</v>
      </c>
      <c r="M9" s="1656" t="s">
        <v>173</v>
      </c>
      <c r="O9" s="456">
        <f>IF(L9=0,"0.00%",(P9-L9)/L9)</f>
        <v>0</v>
      </c>
      <c r="P9" s="833">
        <f>+L9</f>
        <v>21475</v>
      </c>
      <c r="Q9" s="1656" t="s">
        <v>173</v>
      </c>
      <c r="R9" s="592"/>
      <c r="S9" s="2238">
        <f>IF(P9=0,"0.00%",(T9-P9)/P9)</f>
        <v>0</v>
      </c>
      <c r="T9" s="833">
        <f>P9</f>
        <v>21475</v>
      </c>
      <c r="V9" s="952"/>
      <c r="W9" s="2241">
        <f>IF(T9=0,"0.00%",(X9-T9)/T9)</f>
        <v>-1</v>
      </c>
      <c r="X9" s="833">
        <f>X3</f>
        <v>0</v>
      </c>
      <c r="AA9" s="456" t="str">
        <f>IF(X9=0,"0.00%",(AB9-X9)/X9)</f>
        <v>0.00%</v>
      </c>
      <c r="AB9" s="833">
        <f>AB3</f>
        <v>0</v>
      </c>
    </row>
    <row r="10" spans="1:29" s="457" customFormat="1" x14ac:dyDescent="0.25">
      <c r="A10" s="1656"/>
      <c r="B10" s="2345"/>
      <c r="C10" s="1656"/>
      <c r="D10" s="340">
        <v>0</v>
      </c>
      <c r="E10" s="1656"/>
      <c r="G10" s="456" t="str">
        <f t="shared" ref="G10:G15" si="0">IF(D10=0,"0.00%",(H10-D10)/D10)</f>
        <v>0.00%</v>
      </c>
      <c r="H10" s="833">
        <v>0</v>
      </c>
      <c r="I10" s="1656"/>
      <c r="J10" s="342"/>
      <c r="K10" s="456" t="str">
        <f>IF(H10=0,"0.00%",(L10-H10)/H10)</f>
        <v>0.00%</v>
      </c>
      <c r="L10" s="833">
        <f>-H2</f>
        <v>0</v>
      </c>
      <c r="M10" s="1656"/>
      <c r="O10" s="456" t="str">
        <f>IF(L10=0,"0.00%",(P10-L10)/L10)</f>
        <v>0.00%</v>
      </c>
      <c r="P10" s="833">
        <f>-L2</f>
        <v>0</v>
      </c>
      <c r="Q10" s="1656"/>
      <c r="R10" s="592"/>
      <c r="S10" s="2238" t="str">
        <f>IF(P10=0,"0.00%",(T10-P10)/P10)</f>
        <v>0.00%</v>
      </c>
      <c r="T10" s="833">
        <f>-P2</f>
        <v>0</v>
      </c>
      <c r="V10" s="952"/>
      <c r="W10" s="2241" t="str">
        <f>IF(T10=0,"0.00%",(X10-T10)/T10)</f>
        <v>0.00%</v>
      </c>
      <c r="X10" s="833">
        <f>-T2</f>
        <v>0</v>
      </c>
      <c r="AA10" s="456" t="str">
        <f>IF(X10=0,"0.00%",(AB10-X10)/X10)</f>
        <v>0.00%</v>
      </c>
      <c r="AB10" s="833">
        <f>-X2</f>
        <v>0</v>
      </c>
    </row>
    <row r="11" spans="1:29" s="457" customFormat="1" x14ac:dyDescent="0.25">
      <c r="A11" s="1656"/>
      <c r="B11" s="2337" t="s">
        <v>137</v>
      </c>
      <c r="C11" s="1656"/>
      <c r="D11" s="458">
        <f>SUM(D9:D10)</f>
        <v>15570.08</v>
      </c>
      <c r="E11" s="1656"/>
      <c r="G11" s="456">
        <f t="shared" si="0"/>
        <v>0.13223567252062932</v>
      </c>
      <c r="H11" s="458">
        <f>SUM(H9:H10)</f>
        <v>17629</v>
      </c>
      <c r="I11" s="2316">
        <f>+H11-D11</f>
        <v>2058.92</v>
      </c>
      <c r="J11" s="601"/>
      <c r="K11" s="456">
        <f>IF(H11=0,"0.00%",(L11-H11)/H11)</f>
        <v>0.21816325372965001</v>
      </c>
      <c r="L11" s="458">
        <f>SUM(L9:L10)</f>
        <v>21475</v>
      </c>
      <c r="M11" s="2316">
        <f>+L11-H11</f>
        <v>3846</v>
      </c>
      <c r="O11" s="456">
        <f>IF(L11=0,"0.00%",(P11-L11)/L11)</f>
        <v>0</v>
      </c>
      <c r="P11" s="458">
        <f>SUM(P9:P10)</f>
        <v>21475</v>
      </c>
      <c r="Q11" s="2316">
        <f>+P11-L11</f>
        <v>0</v>
      </c>
      <c r="R11" s="592"/>
      <c r="S11" s="2238">
        <f>IF(P11=0,"0.00%",(T11-P11)/P11)</f>
        <v>0</v>
      </c>
      <c r="T11" s="2353">
        <f>SUM(T9:T10)</f>
        <v>21475</v>
      </c>
      <c r="V11" s="952"/>
      <c r="W11" s="2241">
        <f>IF(T11=0,"0.00%",(X11-T11)/T11)</f>
        <v>-1</v>
      </c>
      <c r="X11" s="2353">
        <f>SUM(X9:X10)</f>
        <v>0</v>
      </c>
      <c r="AA11" s="456" t="str">
        <f>IF(X11=0,"0.00%",(AB11-X11)/X11)</f>
        <v>0.00%</v>
      </c>
      <c r="AB11" s="2353">
        <f>SUM(AB9:AB10)</f>
        <v>0</v>
      </c>
    </row>
    <row r="12" spans="1:29" s="457" customFormat="1" x14ac:dyDescent="0.25">
      <c r="A12" s="1656"/>
      <c r="B12" s="2345"/>
      <c r="C12" s="1656"/>
      <c r="D12" s="340"/>
      <c r="E12" s="1656"/>
      <c r="G12" s="2338"/>
      <c r="H12" s="833"/>
      <c r="I12" s="1656"/>
      <c r="J12" s="602"/>
      <c r="K12" s="2338"/>
      <c r="L12" s="833"/>
      <c r="M12" s="1656"/>
      <c r="O12" s="2338"/>
      <c r="P12" s="833"/>
      <c r="Q12" s="1656"/>
      <c r="R12" s="592"/>
      <c r="S12" s="2355"/>
      <c r="T12" s="2356"/>
      <c r="V12" s="952"/>
      <c r="W12" s="2357"/>
      <c r="X12" s="2356"/>
      <c r="AA12" s="2338"/>
      <c r="AB12" s="2356"/>
    </row>
    <row r="13" spans="1:29" s="457" customFormat="1" x14ac:dyDescent="0.25">
      <c r="A13" s="1656"/>
      <c r="B13" s="2449"/>
      <c r="C13" s="2384" t="s">
        <v>64</v>
      </c>
      <c r="D13" s="2359">
        <f>ROUND(D11-(D11/(1+B13)),0)</f>
        <v>0</v>
      </c>
      <c r="E13" s="1656"/>
      <c r="G13" s="456" t="str">
        <f t="shared" si="0"/>
        <v>0.00%</v>
      </c>
      <c r="H13" s="2359">
        <f>ROUND(H11-(H11/(1+B13)),0)</f>
        <v>0</v>
      </c>
      <c r="I13" s="1656"/>
      <c r="J13" s="603"/>
      <c r="K13" s="456" t="str">
        <f>IF(H13=0,"0.00%",(L13-H13)/H13)</f>
        <v>0.00%</v>
      </c>
      <c r="L13" s="2359">
        <f>ROUND(L11-(L11/(1+B13)),0)</f>
        <v>0</v>
      </c>
      <c r="M13" s="1656"/>
      <c r="O13" s="456" t="str">
        <f>IF(L13=0,"0.00%",(P13-L13)/L13)</f>
        <v>0.00%</v>
      </c>
      <c r="P13" s="2359">
        <f>ROUND(P11-(P11/(1+B13)),0)</f>
        <v>0</v>
      </c>
      <c r="Q13" s="1656"/>
      <c r="R13" s="592"/>
      <c r="S13" s="2238" t="str">
        <f>IF(P13=0,"0.00%",(T13-P13)/P13)</f>
        <v>0.00%</v>
      </c>
      <c r="T13" s="2362">
        <f>ROUND(T11-(T11/(1+B13)),0)</f>
        <v>0</v>
      </c>
      <c r="V13" s="952"/>
      <c r="W13" s="2241" t="str">
        <f>IF(T13=0,"0.00%",(X13-T13)/T13)</f>
        <v>0.00%</v>
      </c>
      <c r="X13" s="2362">
        <f>ROUND(X11-(X11/(1+B13)),0)</f>
        <v>0</v>
      </c>
      <c r="AA13" s="456" t="str">
        <f>IF(X13=0,"0.00%",(AB13-X13)/X13)</f>
        <v>0.00%</v>
      </c>
      <c r="AB13" s="2362">
        <f>ROUND(AB11-(AB11/(1+G13)),0)</f>
        <v>0</v>
      </c>
    </row>
    <row r="14" spans="1:29" s="457" customFormat="1" x14ac:dyDescent="0.25">
      <c r="A14" s="1656"/>
      <c r="B14" s="2345"/>
      <c r="C14" s="1656"/>
      <c r="D14" s="340"/>
      <c r="E14" s="1656"/>
      <c r="G14" s="2338"/>
      <c r="H14" s="833"/>
      <c r="I14" s="1656"/>
      <c r="J14" s="602"/>
      <c r="K14" s="2338"/>
      <c r="L14" s="833"/>
      <c r="M14" s="1656"/>
      <c r="O14" s="2338"/>
      <c r="P14" s="833"/>
      <c r="Q14" s="1656"/>
      <c r="R14" s="592"/>
      <c r="S14" s="2355"/>
      <c r="T14" s="2356"/>
      <c r="V14" s="952"/>
      <c r="W14" s="2357"/>
      <c r="X14" s="2356"/>
      <c r="AA14" s="2338"/>
      <c r="AB14" s="2356"/>
    </row>
    <row r="15" spans="1:29" s="457" customFormat="1" x14ac:dyDescent="0.25">
      <c r="A15" s="1656"/>
      <c r="B15" s="2337" t="s">
        <v>50</v>
      </c>
      <c r="C15" s="1656"/>
      <c r="D15" s="1866">
        <f>D11-D13+D7</f>
        <v>27930.82</v>
      </c>
      <c r="E15" s="1656"/>
      <c r="G15" s="456">
        <f t="shared" si="0"/>
        <v>-0.36883342486901566</v>
      </c>
      <c r="H15" s="1866">
        <f>H11-H13+H7</f>
        <v>17629</v>
      </c>
      <c r="I15" s="2316">
        <f>+H15-D15</f>
        <v>-10301.82</v>
      </c>
      <c r="J15" s="601"/>
      <c r="K15" s="456">
        <f>IF(H15=0,"0.00%",(L15-H15)/H15)</f>
        <v>0.21816325372965001</v>
      </c>
      <c r="L15" s="1866">
        <f>L11-L13+L7</f>
        <v>21475</v>
      </c>
      <c r="M15" s="2316">
        <f>+L15-H15</f>
        <v>3846</v>
      </c>
      <c r="O15" s="456">
        <f>IF(L15=0,"0.00%",(P15-L15)/L15)</f>
        <v>0</v>
      </c>
      <c r="P15" s="1866">
        <f>P11-P13+P7</f>
        <v>21475</v>
      </c>
      <c r="Q15" s="2316">
        <f>+P15-L15</f>
        <v>0</v>
      </c>
      <c r="R15" s="592"/>
      <c r="S15" s="2238">
        <f>IF(P15=0,"0.00%",(T15-P15)/P15)</f>
        <v>0</v>
      </c>
      <c r="T15" s="2366">
        <f>T11-T13</f>
        <v>21475</v>
      </c>
      <c r="V15" s="952"/>
      <c r="W15" s="2241">
        <f>IF(T15=0,"0.00%",(X15-T15)/T15)</f>
        <v>-1</v>
      </c>
      <c r="X15" s="2366">
        <f>X11-X13</f>
        <v>0</v>
      </c>
      <c r="AA15" s="456" t="str">
        <f>IF(X15=0,"0.00%",(AB15-X15)/X15)</f>
        <v>0.00%</v>
      </c>
      <c r="AB15" s="2366">
        <f>AB11-AB13</f>
        <v>0</v>
      </c>
    </row>
    <row r="16" spans="1:29" s="457" customFormat="1" x14ac:dyDescent="0.25">
      <c r="A16" s="1656"/>
      <c r="B16" s="2345"/>
      <c r="C16" s="1656"/>
      <c r="D16" s="340"/>
      <c r="E16" s="1656"/>
      <c r="G16" s="2338"/>
      <c r="H16" s="833"/>
      <c r="I16" s="1656"/>
      <c r="J16" s="601"/>
      <c r="K16" s="1668"/>
      <c r="L16" s="833"/>
      <c r="M16" s="1656"/>
      <c r="O16" s="1668"/>
      <c r="P16" s="833"/>
      <c r="Q16" s="1656"/>
      <c r="R16" s="592"/>
      <c r="S16" s="2341"/>
      <c r="T16" s="2367"/>
      <c r="V16" s="952"/>
      <c r="W16" s="2343"/>
      <c r="X16" s="2367"/>
      <c r="AA16" s="1668"/>
      <c r="AB16" s="2367"/>
    </row>
    <row r="17" spans="1:29" s="457" customFormat="1" x14ac:dyDescent="0.25">
      <c r="A17" s="1656"/>
      <c r="B17" s="2345"/>
      <c r="C17" s="2432"/>
      <c r="D17" s="340"/>
      <c r="E17" s="1656"/>
      <c r="G17" s="2338"/>
      <c r="H17" s="833"/>
      <c r="I17" s="1656"/>
      <c r="J17" s="602"/>
      <c r="K17" s="1668"/>
      <c r="L17" s="833"/>
      <c r="M17" s="1656"/>
      <c r="O17" s="1668"/>
      <c r="P17" s="833"/>
      <c r="Q17" s="1656"/>
      <c r="R17" s="592"/>
      <c r="S17" s="2341"/>
      <c r="T17" s="2356"/>
      <c r="V17" s="952"/>
      <c r="W17" s="2343"/>
      <c r="X17" s="2356"/>
      <c r="AA17" s="1668"/>
      <c r="AB17" s="2356"/>
    </row>
    <row r="18" spans="1:29" s="457" customFormat="1" x14ac:dyDescent="0.25">
      <c r="A18" s="1867"/>
      <c r="B18" s="2345"/>
      <c r="C18" s="1656"/>
      <c r="D18" s="459" t="s">
        <v>807</v>
      </c>
      <c r="E18" s="1867"/>
      <c r="F18" s="2433"/>
      <c r="G18" s="2338"/>
      <c r="H18" s="459" t="s">
        <v>176</v>
      </c>
      <c r="I18" s="1867"/>
      <c r="J18" s="604"/>
      <c r="K18" s="1668"/>
      <c r="L18" s="2370"/>
      <c r="M18" s="1867"/>
      <c r="O18" s="1668"/>
      <c r="P18" s="340"/>
      <c r="Q18" s="1867"/>
      <c r="R18" s="592"/>
      <c r="S18" s="2341"/>
      <c r="U18" s="2433"/>
      <c r="V18" s="952"/>
      <c r="W18" s="2343"/>
      <c r="Y18" s="2433"/>
      <c r="AA18" s="1668"/>
      <c r="AC18" s="2433"/>
    </row>
    <row r="19" spans="1:29" s="457" customFormat="1" ht="17.25" x14ac:dyDescent="0.4">
      <c r="A19" s="2434"/>
      <c r="B19" s="2345"/>
      <c r="C19" s="1656"/>
      <c r="D19" s="2435" t="s">
        <v>808</v>
      </c>
      <c r="E19" s="2434"/>
      <c r="F19" s="2436"/>
      <c r="G19" s="2338"/>
      <c r="H19" s="2435" t="s">
        <v>48</v>
      </c>
      <c r="I19" s="2371"/>
      <c r="J19" s="459"/>
      <c r="K19" s="1668"/>
      <c r="L19" s="2372" t="s">
        <v>48</v>
      </c>
      <c r="M19" s="2371"/>
      <c r="O19" s="1668"/>
      <c r="P19" s="2372" t="s">
        <v>48</v>
      </c>
      <c r="Q19" s="2374">
        <v>0.02</v>
      </c>
      <c r="R19" s="592"/>
      <c r="S19" s="2341"/>
      <c r="T19" s="2372" t="s">
        <v>48</v>
      </c>
      <c r="U19" s="2374">
        <v>0.02</v>
      </c>
      <c r="V19" s="952"/>
      <c r="W19" s="2343"/>
      <c r="X19" s="2372" t="s">
        <v>48</v>
      </c>
      <c r="Y19" s="2374">
        <v>0.02</v>
      </c>
      <c r="AA19" s="1668"/>
      <c r="AB19" s="2372" t="s">
        <v>48</v>
      </c>
      <c r="AC19" s="2374">
        <v>0.02</v>
      </c>
    </row>
    <row r="20" spans="1:29" s="2378" customFormat="1" x14ac:dyDescent="0.25">
      <c r="A20" s="900"/>
      <c r="B20" s="2337" t="s">
        <v>46</v>
      </c>
      <c r="C20" s="2384"/>
      <c r="D20" s="1866"/>
      <c r="E20" s="2375"/>
      <c r="F20" s="1866"/>
      <c r="G20" s="2376"/>
      <c r="H20" s="1866"/>
      <c r="I20" s="868"/>
      <c r="J20" s="460"/>
      <c r="K20" s="606"/>
      <c r="L20" s="1866"/>
      <c r="M20" s="2379"/>
      <c r="O20" s="606"/>
      <c r="P20" s="1866"/>
      <c r="Q20" s="2379"/>
      <c r="R20" s="461"/>
      <c r="S20" s="1669"/>
      <c r="T20" s="1866"/>
      <c r="U20" s="2383"/>
      <c r="V20" s="2381"/>
      <c r="W20" s="2382"/>
      <c r="X20" s="1866"/>
      <c r="Y20" s="2383"/>
      <c r="AA20" s="606"/>
      <c r="AB20" s="1866"/>
      <c r="AC20" s="2383"/>
    </row>
    <row r="21" spans="1:29" s="457" customFormat="1" x14ac:dyDescent="0.25">
      <c r="A21" s="2439"/>
      <c r="B21" s="2385">
        <v>1181</v>
      </c>
      <c r="C21" s="1656" t="s">
        <v>432</v>
      </c>
      <c r="D21" s="340">
        <v>2660</v>
      </c>
      <c r="E21" s="2386"/>
      <c r="F21" s="340"/>
      <c r="G21" s="456">
        <f t="shared" ref="G21:G32" si="1">IF(D21=0,"0.00%",(H21-D21)/D21)</f>
        <v>-0.24812030075187969</v>
      </c>
      <c r="H21" s="340">
        <v>2000</v>
      </c>
      <c r="I21" s="899"/>
      <c r="J21" s="455"/>
      <c r="K21" s="456">
        <f t="shared" ref="K21:K27" si="2">IF(H21=0,"0.00%",(L21-H21)/H21)</f>
        <v>1.1000000000000001</v>
      </c>
      <c r="L21" s="340">
        <v>4200</v>
      </c>
      <c r="M21" s="897"/>
      <c r="O21" s="456">
        <f t="shared" ref="O21:O27" si="3">IF(L21=0,"0.00%",(P21-L21)/L21)</f>
        <v>0</v>
      </c>
      <c r="P21" s="340">
        <f>+L21</f>
        <v>4200</v>
      </c>
      <c r="Q21" s="897" t="s">
        <v>173</v>
      </c>
      <c r="R21" s="592"/>
      <c r="S21" s="2238">
        <f t="shared" ref="S21:S27" si="4">IF(P21=0,"0.00%",(T21-P21)/P21)</f>
        <v>0</v>
      </c>
      <c r="T21" s="340">
        <f>P21</f>
        <v>4200</v>
      </c>
      <c r="U21" s="455" t="s">
        <v>173</v>
      </c>
      <c r="V21" s="952"/>
      <c r="W21" s="2241">
        <f t="shared" ref="W21:W27" si="5">IF(T21=0,"0.00%",(X21-T21)/T21)</f>
        <v>0.02</v>
      </c>
      <c r="X21" s="340">
        <f>ROUND(T21*(1+Y19),0)</f>
        <v>4284</v>
      </c>
      <c r="Y21" s="455" t="str">
        <f>TEXT(Y19,"0.0%")&amp;" = Est. S &amp; C"</f>
        <v>2.0% = Est. S &amp; C</v>
      </c>
      <c r="AA21" s="456">
        <f t="shared" ref="AA21:AA27" si="6">IF(X21=0,"0.00%",(AB21-X21)/X21)</f>
        <v>2.0074696545284782E-2</v>
      </c>
      <c r="AB21" s="340">
        <f>ROUND(X21*(1+AC19),0)</f>
        <v>4370</v>
      </c>
      <c r="AC21" s="455" t="str">
        <f>TEXT(AC19,"0.0%")&amp;" = Est. S &amp; C"</f>
        <v>2.0% = Est. S &amp; C</v>
      </c>
    </row>
    <row r="22" spans="1:29" s="457" customFormat="1" hidden="1" x14ac:dyDescent="0.25">
      <c r="A22" s="897"/>
      <c r="B22" s="2385"/>
      <c r="C22" s="1656"/>
      <c r="D22" s="340"/>
      <c r="E22" s="2386"/>
      <c r="F22" s="340"/>
      <c r="G22" s="456" t="str">
        <f t="shared" si="1"/>
        <v>0.00%</v>
      </c>
      <c r="H22" s="340">
        <f t="shared" ref="H22:H30" si="7">ROUND(D22*(1+$I$19),0)</f>
        <v>0</v>
      </c>
      <c r="I22" s="897" t="str">
        <f t="shared" ref="I22:I30" si="8">TEXT($I$19,"0.0%")&amp;" = Est. S &amp; C"</f>
        <v>0.0% = Est. S &amp; C</v>
      </c>
      <c r="J22" s="455"/>
      <c r="K22" s="456" t="str">
        <f t="shared" si="2"/>
        <v>0.00%</v>
      </c>
      <c r="L22" s="340">
        <f>ROUND(H22*(1+M19),0)</f>
        <v>0</v>
      </c>
      <c r="M22" s="897"/>
      <c r="O22" s="456" t="str">
        <f t="shared" si="3"/>
        <v>0.00%</v>
      </c>
      <c r="P22" s="340">
        <f>ROUND(L22*(1+Q19),0)</f>
        <v>0</v>
      </c>
      <c r="Q22" s="897" t="str">
        <f>TEXT(Q19,"0.0%")&amp;" = Est. S &amp; C"</f>
        <v>2.0% = Est. S &amp; C</v>
      </c>
      <c r="R22" s="592"/>
      <c r="S22" s="2238" t="str">
        <f t="shared" si="4"/>
        <v>0.00%</v>
      </c>
      <c r="T22" s="340">
        <f>ROUND(P22*(1+U19),0)</f>
        <v>0</v>
      </c>
      <c r="U22" s="455" t="str">
        <f>TEXT(U19,"0.0%")&amp;" = Est. S &amp; C"</f>
        <v>2.0% = Est. S &amp; C</v>
      </c>
      <c r="V22" s="952"/>
      <c r="W22" s="2241" t="str">
        <f t="shared" si="5"/>
        <v>0.00%</v>
      </c>
      <c r="X22" s="340">
        <f>ROUND(T22*(1+Y19),0)</f>
        <v>0</v>
      </c>
      <c r="Y22" s="455" t="str">
        <f>TEXT(Y19,"0.0%")&amp;" = Est. S &amp; C"</f>
        <v>2.0% = Est. S &amp; C</v>
      </c>
      <c r="AA22" s="456" t="str">
        <f t="shared" si="6"/>
        <v>0.00%</v>
      </c>
      <c r="AB22" s="340">
        <f>ROUND(X22*(1+AC19),0)</f>
        <v>0</v>
      </c>
      <c r="AC22" s="455" t="str">
        <f>TEXT(AC19,"0.0%")&amp;" = Est. S &amp; C"</f>
        <v>2.0% = Est. S &amp; C</v>
      </c>
    </row>
    <row r="23" spans="1:29" s="457" customFormat="1" hidden="1" x14ac:dyDescent="0.25">
      <c r="A23" s="897"/>
      <c r="B23" s="2385"/>
      <c r="C23" s="1656"/>
      <c r="D23" s="340"/>
      <c r="E23" s="2386"/>
      <c r="F23" s="340"/>
      <c r="G23" s="456" t="str">
        <f t="shared" si="1"/>
        <v>0.00%</v>
      </c>
      <c r="H23" s="340">
        <f t="shared" si="7"/>
        <v>0</v>
      </c>
      <c r="I23" s="897" t="str">
        <f t="shared" si="8"/>
        <v>0.0% = Est. S &amp; C</v>
      </c>
      <c r="J23" s="455"/>
      <c r="K23" s="456" t="str">
        <f t="shared" si="2"/>
        <v>0.00%</v>
      </c>
      <c r="L23" s="340">
        <f>ROUND(H23*(1+M19),0)</f>
        <v>0</v>
      </c>
      <c r="M23" s="897"/>
      <c r="O23" s="456" t="str">
        <f t="shared" si="3"/>
        <v>0.00%</v>
      </c>
      <c r="P23" s="340">
        <f>ROUND(L23*(1+Q19),0)</f>
        <v>0</v>
      </c>
      <c r="Q23" s="897" t="str">
        <f>TEXT(Q19,"0.0%")&amp;" = Est. S &amp; C"</f>
        <v>2.0% = Est. S &amp; C</v>
      </c>
      <c r="R23" s="592"/>
      <c r="S23" s="2238" t="str">
        <f t="shared" si="4"/>
        <v>0.00%</v>
      </c>
      <c r="T23" s="340">
        <f>ROUND(P23*(1+U19),0)</f>
        <v>0</v>
      </c>
      <c r="U23" s="455" t="str">
        <f>TEXT(U19,"0.0%")&amp;" = Est. S &amp; C"</f>
        <v>2.0% = Est. S &amp; C</v>
      </c>
      <c r="V23" s="952"/>
      <c r="W23" s="2241" t="str">
        <f t="shared" si="5"/>
        <v>0.00%</v>
      </c>
      <c r="X23" s="340">
        <f>ROUND(T23*(1+Y19),0)</f>
        <v>0</v>
      </c>
      <c r="Y23" s="455" t="str">
        <f>TEXT(Y19,"0.0%")&amp;" = Est. S &amp; C"</f>
        <v>2.0% = Est. S &amp; C</v>
      </c>
      <c r="AA23" s="456" t="str">
        <f t="shared" si="6"/>
        <v>0.00%</v>
      </c>
      <c r="AB23" s="340">
        <f>ROUND(X23*(1+AC19),0)</f>
        <v>0</v>
      </c>
      <c r="AC23" s="455" t="str">
        <f>TEXT(AC19,"0.0%")&amp;" = Est. S &amp; C"</f>
        <v>2.0% = Est. S &amp; C</v>
      </c>
    </row>
    <row r="24" spans="1:29" s="457" customFormat="1" hidden="1" x14ac:dyDescent="0.25">
      <c r="A24" s="897"/>
      <c r="B24" s="2385"/>
      <c r="C24" s="1656"/>
      <c r="D24" s="340"/>
      <c r="E24" s="2386"/>
      <c r="F24" s="340"/>
      <c r="G24" s="456" t="str">
        <f t="shared" si="1"/>
        <v>0.00%</v>
      </c>
      <c r="H24" s="340">
        <f t="shared" si="7"/>
        <v>0</v>
      </c>
      <c r="I24" s="897" t="str">
        <f t="shared" si="8"/>
        <v>0.0% = Est. S &amp; C</v>
      </c>
      <c r="J24" s="455"/>
      <c r="K24" s="456" t="str">
        <f t="shared" si="2"/>
        <v>0.00%</v>
      </c>
      <c r="L24" s="340">
        <f>ROUND(H24*(1+M19),0)</f>
        <v>0</v>
      </c>
      <c r="M24" s="897"/>
      <c r="O24" s="456" t="str">
        <f t="shared" si="3"/>
        <v>0.00%</v>
      </c>
      <c r="P24" s="340">
        <f>ROUND(L24*(1+Q19),0)</f>
        <v>0</v>
      </c>
      <c r="Q24" s="897" t="str">
        <f>TEXT(Q19,"0.0%")&amp;" = Est. S &amp; C"</f>
        <v>2.0% = Est. S &amp; C</v>
      </c>
      <c r="R24" s="592"/>
      <c r="S24" s="2238" t="str">
        <f t="shared" si="4"/>
        <v>0.00%</v>
      </c>
      <c r="T24" s="340">
        <f>ROUND(P24*(1+U19),0)</f>
        <v>0</v>
      </c>
      <c r="U24" s="455" t="str">
        <f>TEXT(U19,"0.0%")&amp;" = Est. S &amp; C"</f>
        <v>2.0% = Est. S &amp; C</v>
      </c>
      <c r="V24" s="952"/>
      <c r="W24" s="2241" t="str">
        <f t="shared" si="5"/>
        <v>0.00%</v>
      </c>
      <c r="X24" s="340">
        <f>ROUND(T24*(1+Y19),0)</f>
        <v>0</v>
      </c>
      <c r="Y24" s="455" t="str">
        <f>TEXT(Y19,"0.0%")&amp;" = Est. S &amp; C"</f>
        <v>2.0% = Est. S &amp; C</v>
      </c>
      <c r="AA24" s="456" t="str">
        <f t="shared" si="6"/>
        <v>0.00%</v>
      </c>
      <c r="AB24" s="340">
        <f>ROUND(X24*(1+AC19),0)</f>
        <v>0</v>
      </c>
      <c r="AC24" s="455" t="str">
        <f>TEXT(AC19,"0.0%")&amp;" = Est. S &amp; C"</f>
        <v>2.0% = Est. S &amp; C</v>
      </c>
    </row>
    <row r="25" spans="1:29" s="457" customFormat="1" hidden="1" x14ac:dyDescent="0.25">
      <c r="A25" s="897"/>
      <c r="B25" s="2385"/>
      <c r="C25" s="1656"/>
      <c r="D25" s="340"/>
      <c r="E25" s="2386"/>
      <c r="F25" s="340"/>
      <c r="G25" s="456" t="str">
        <f t="shared" si="1"/>
        <v>0.00%</v>
      </c>
      <c r="H25" s="340">
        <f t="shared" si="7"/>
        <v>0</v>
      </c>
      <c r="I25" s="897" t="str">
        <f t="shared" si="8"/>
        <v>0.0% = Est. S &amp; C</v>
      </c>
      <c r="J25" s="455"/>
      <c r="K25" s="456" t="str">
        <f t="shared" si="2"/>
        <v>0.00%</v>
      </c>
      <c r="L25" s="340">
        <f>ROUND(H25*(1+M19),0)</f>
        <v>0</v>
      </c>
      <c r="M25" s="897"/>
      <c r="O25" s="456" t="str">
        <f t="shared" si="3"/>
        <v>0.00%</v>
      </c>
      <c r="P25" s="340">
        <f>ROUND(L25*(1+Q19),0)</f>
        <v>0</v>
      </c>
      <c r="Q25" s="897" t="str">
        <f>TEXT(Q19,"0.0%")&amp;" = Est. S &amp; C"</f>
        <v>2.0% = Est. S &amp; C</v>
      </c>
      <c r="R25" s="592"/>
      <c r="S25" s="2238" t="str">
        <f t="shared" si="4"/>
        <v>0.00%</v>
      </c>
      <c r="T25" s="340">
        <f>ROUND(P25*(1+U19),0)</f>
        <v>0</v>
      </c>
      <c r="U25" s="455" t="str">
        <f>TEXT(U19,"0.0%")&amp;" = Est. S &amp; C"</f>
        <v>2.0% = Est. S &amp; C</v>
      </c>
      <c r="V25" s="952"/>
      <c r="W25" s="2241" t="str">
        <f t="shared" si="5"/>
        <v>0.00%</v>
      </c>
      <c r="X25" s="340">
        <f>ROUND(T25*(1+Y19),0)</f>
        <v>0</v>
      </c>
      <c r="Y25" s="455" t="str">
        <f>TEXT(Y19,"0.0%")&amp;" = Est. S &amp; C"</f>
        <v>2.0% = Est. S &amp; C</v>
      </c>
      <c r="AA25" s="456" t="str">
        <f t="shared" si="6"/>
        <v>0.00%</v>
      </c>
      <c r="AB25" s="340">
        <f>ROUND(X25*(1+AC19),0)</f>
        <v>0</v>
      </c>
      <c r="AC25" s="455" t="str">
        <f>TEXT(AC19,"0.0%")&amp;" = Est. S &amp; C"</f>
        <v>2.0% = Est. S &amp; C</v>
      </c>
    </row>
    <row r="26" spans="1:29" s="457" customFormat="1" hidden="1" x14ac:dyDescent="0.25">
      <c r="A26" s="897"/>
      <c r="B26" s="2385"/>
      <c r="C26" s="1656"/>
      <c r="D26" s="340"/>
      <c r="E26" s="2386"/>
      <c r="F26" s="340"/>
      <c r="G26" s="456" t="str">
        <f t="shared" si="1"/>
        <v>0.00%</v>
      </c>
      <c r="H26" s="340">
        <f t="shared" si="7"/>
        <v>0</v>
      </c>
      <c r="I26" s="897" t="str">
        <f t="shared" si="8"/>
        <v>0.0% = Est. S &amp; C</v>
      </c>
      <c r="J26" s="455"/>
      <c r="K26" s="456" t="str">
        <f t="shared" si="2"/>
        <v>0.00%</v>
      </c>
      <c r="L26" s="340">
        <f>ROUND(H26*(1+M19),0)</f>
        <v>0</v>
      </c>
      <c r="M26" s="2341"/>
      <c r="O26" s="456" t="str">
        <f t="shared" si="3"/>
        <v>0.00%</v>
      </c>
      <c r="P26" s="340">
        <f>ROUND(L26*(1+Q19),0)</f>
        <v>0</v>
      </c>
      <c r="Q26" s="897" t="str">
        <f>TEXT(Q19,"0.0%")&amp;" = Est. S &amp; C"</f>
        <v>2.0% = Est. S &amp; C</v>
      </c>
      <c r="R26" s="592"/>
      <c r="S26" s="2238" t="str">
        <f t="shared" si="4"/>
        <v>0.00%</v>
      </c>
      <c r="T26" s="340">
        <f>ROUND(P26*(1+U19),0)</f>
        <v>0</v>
      </c>
      <c r="U26" s="455" t="str">
        <f>TEXT(U19,"0.0%")&amp;" = Est. S &amp; C"</f>
        <v>2.0% = Est. S &amp; C</v>
      </c>
      <c r="V26" s="952"/>
      <c r="W26" s="2241" t="str">
        <f t="shared" si="5"/>
        <v>0.00%</v>
      </c>
      <c r="X26" s="340">
        <f>ROUND(T26*(1+Y19),0)</f>
        <v>0</v>
      </c>
      <c r="Y26" s="455" t="str">
        <f>TEXT(Y19,"0.0%")&amp;" = Est. S &amp; C"</f>
        <v>2.0% = Est. S &amp; C</v>
      </c>
      <c r="AA26" s="456" t="str">
        <f t="shared" si="6"/>
        <v>0.00%</v>
      </c>
      <c r="AB26" s="340">
        <f>ROUND(X26*(1+AC19),0)</f>
        <v>0</v>
      </c>
      <c r="AC26" s="455" t="str">
        <f>TEXT(AC19,"0.0%")&amp;" = Est. S &amp; C"</f>
        <v>2.0% = Est. S &amp; C</v>
      </c>
    </row>
    <row r="27" spans="1:29" s="457" customFormat="1" hidden="1" x14ac:dyDescent="0.25">
      <c r="A27" s="897"/>
      <c r="B27" s="2385"/>
      <c r="C27" s="1656"/>
      <c r="D27" s="340"/>
      <c r="E27" s="2386"/>
      <c r="F27" s="340"/>
      <c r="G27" s="456" t="str">
        <f t="shared" si="1"/>
        <v>0.00%</v>
      </c>
      <c r="H27" s="340">
        <f t="shared" si="7"/>
        <v>0</v>
      </c>
      <c r="I27" s="897" t="str">
        <f t="shared" si="8"/>
        <v>0.0% = Est. S &amp; C</v>
      </c>
      <c r="J27" s="455"/>
      <c r="K27" s="456" t="str">
        <f t="shared" si="2"/>
        <v>0.00%</v>
      </c>
      <c r="L27" s="340">
        <f>ROUND(H27*(1+$M$19),0)</f>
        <v>0</v>
      </c>
      <c r="M27" s="897"/>
      <c r="O27" s="456" t="str">
        <f t="shared" si="3"/>
        <v>0.00%</v>
      </c>
      <c r="P27" s="340">
        <f>ROUND(L27*(1+$Q$19),0)</f>
        <v>0</v>
      </c>
      <c r="Q27" s="897" t="str">
        <f>TEXT($Q$19,"0.0%")&amp;" = Est. S &amp; C"</f>
        <v>2.0% = Est. S &amp; C</v>
      </c>
      <c r="R27" s="592"/>
      <c r="S27" s="2238" t="str">
        <f t="shared" si="4"/>
        <v>0.00%</v>
      </c>
      <c r="T27" s="340">
        <f>ROUND(P27*(1+U19),0)</f>
        <v>0</v>
      </c>
      <c r="U27" s="455" t="str">
        <f>TEXT(U19,"0.0%")&amp;" = Est. S &amp; C"</f>
        <v>2.0% = Est. S &amp; C</v>
      </c>
      <c r="V27" s="952"/>
      <c r="W27" s="2241" t="str">
        <f t="shared" si="5"/>
        <v>0.00%</v>
      </c>
      <c r="X27" s="340">
        <f>ROUND(T27*(1+Y19),0)</f>
        <v>0</v>
      </c>
      <c r="Y27" s="455" t="str">
        <f>TEXT(Y19,"0.0%")&amp;" = Est. S &amp; C"</f>
        <v>2.0% = Est. S &amp; C</v>
      </c>
      <c r="AA27" s="456" t="str">
        <f t="shared" si="6"/>
        <v>0.00%</v>
      </c>
      <c r="AB27" s="340">
        <f>ROUND(X27*(1+AC19),0)</f>
        <v>0</v>
      </c>
      <c r="AC27" s="455" t="str">
        <f>TEXT(AC19,"0.0%")&amp;" = Est. S &amp; C"</f>
        <v>2.0% = Est. S &amp; C</v>
      </c>
    </row>
    <row r="28" spans="1:29" s="457" customFormat="1" hidden="1" x14ac:dyDescent="0.25">
      <c r="A28" s="897"/>
      <c r="B28" s="2385"/>
      <c r="C28" s="1656"/>
      <c r="D28" s="340"/>
      <c r="E28" s="2386"/>
      <c r="F28" s="340"/>
      <c r="G28" s="456" t="str">
        <f>IF(D28=0,"0.00%",(H28-D28)/D28)</f>
        <v>0.00%</v>
      </c>
      <c r="H28" s="340">
        <f t="shared" si="7"/>
        <v>0</v>
      </c>
      <c r="I28" s="897" t="str">
        <f t="shared" si="8"/>
        <v>0.0% = Est. S &amp; C</v>
      </c>
      <c r="J28" s="455"/>
      <c r="K28" s="456" t="str">
        <f>IF(H28=0,"0.00%",(L28-H28)/H28)</f>
        <v>0.00%</v>
      </c>
      <c r="L28" s="340">
        <f t="shared" ref="L28:L30" si="9">ROUND(H28*(1+$M$19),0)</f>
        <v>0</v>
      </c>
      <c r="M28" s="897"/>
      <c r="O28" s="456" t="str">
        <f>IF(L28=0,"0.00%",(P28-L28)/L28)</f>
        <v>0.00%</v>
      </c>
      <c r="P28" s="340">
        <f t="shared" ref="P28:P30" si="10">ROUND(L28*(1+$Q$19),0)</f>
        <v>0</v>
      </c>
      <c r="Q28" s="897" t="str">
        <f t="shared" ref="Q28:Q30" si="11">TEXT($Q$19,"0.0%")&amp;" = Est. S &amp; C"</f>
        <v>2.0% = Est. S &amp; C</v>
      </c>
      <c r="R28" s="592"/>
      <c r="S28" s="2238" t="str">
        <f>IF(P28=0,"0.00%",(T28-P28)/P28)</f>
        <v>0.00%</v>
      </c>
      <c r="T28" s="340">
        <f>ROUND(P28*(1+U20),0)</f>
        <v>0</v>
      </c>
      <c r="U28" s="455" t="str">
        <f>TEXT(U20,"0.0%")&amp;" = Est. S &amp; C"</f>
        <v>0.0% = Est. S &amp; C</v>
      </c>
      <c r="V28" s="952"/>
      <c r="W28" s="2241" t="str">
        <f>IF(T28=0,"0.00%",(X28-T28)/T28)</f>
        <v>0.00%</v>
      </c>
      <c r="X28" s="340">
        <f>ROUND(T28*(1+Y20),0)</f>
        <v>0</v>
      </c>
      <c r="Y28" s="455" t="str">
        <f>TEXT(Y20,"0.0%")&amp;" = Est. S &amp; C"</f>
        <v>0.0% = Est. S &amp; C</v>
      </c>
      <c r="AA28" s="456" t="str">
        <f>IF(X28=0,"0.00%",(AB28-X28)/X28)</f>
        <v>0.00%</v>
      </c>
      <c r="AB28" s="340">
        <f>ROUND(X28*(1+AC20),0)</f>
        <v>0</v>
      </c>
      <c r="AC28" s="455" t="str">
        <f>TEXT(AC20,"0.0%")&amp;" = Est. S &amp; C"</f>
        <v>0.0% = Est. S &amp; C</v>
      </c>
    </row>
    <row r="29" spans="1:29" s="457" customFormat="1" hidden="1" x14ac:dyDescent="0.25">
      <c r="A29" s="897"/>
      <c r="B29" s="2385"/>
      <c r="C29" s="1656"/>
      <c r="D29" s="340"/>
      <c r="E29" s="2386"/>
      <c r="F29" s="340"/>
      <c r="G29" s="456" t="str">
        <f>IF(D29=0,"0.00%",(H29-D29)/D29)</f>
        <v>0.00%</v>
      </c>
      <c r="H29" s="340">
        <f t="shared" si="7"/>
        <v>0</v>
      </c>
      <c r="I29" s="897" t="str">
        <f t="shared" si="8"/>
        <v>0.0% = Est. S &amp; C</v>
      </c>
      <c r="J29" s="455"/>
      <c r="K29" s="456" t="str">
        <f t="shared" ref="K29:K31" si="12">IF(H29=0,"0.00%",(L29-H29)/H29)</f>
        <v>0.00%</v>
      </c>
      <c r="L29" s="340">
        <f t="shared" si="9"/>
        <v>0</v>
      </c>
      <c r="M29" s="897"/>
      <c r="O29" s="456" t="str">
        <f t="shared" ref="O29:O32" si="13">IF(L29=0,"0.00%",(P29-L29)/L29)</f>
        <v>0.00%</v>
      </c>
      <c r="P29" s="340">
        <f t="shared" si="10"/>
        <v>0</v>
      </c>
      <c r="Q29" s="897" t="str">
        <f t="shared" si="11"/>
        <v>2.0% = Est. S &amp; C</v>
      </c>
      <c r="R29" s="592"/>
      <c r="S29" s="2341"/>
      <c r="T29" s="340"/>
      <c r="U29" s="2344"/>
      <c r="V29" s="952"/>
      <c r="W29" s="2343"/>
      <c r="X29" s="340"/>
      <c r="Y29" s="2344"/>
      <c r="AA29" s="1668"/>
      <c r="AB29" s="340"/>
      <c r="AC29" s="2344"/>
    </row>
    <row r="30" spans="1:29" s="457" customFormat="1" hidden="1" x14ac:dyDescent="0.25">
      <c r="A30" s="897"/>
      <c r="B30" s="2385"/>
      <c r="C30" s="1656"/>
      <c r="D30" s="340"/>
      <c r="E30" s="2386"/>
      <c r="F30" s="340"/>
      <c r="G30" s="456" t="str">
        <f>IF(D30=0,"0.00%",(H30-D30)/D30)</f>
        <v>0.00%</v>
      </c>
      <c r="H30" s="340">
        <f t="shared" si="7"/>
        <v>0</v>
      </c>
      <c r="I30" s="897" t="str">
        <f t="shared" si="8"/>
        <v>0.0% = Est. S &amp; C</v>
      </c>
      <c r="J30" s="455"/>
      <c r="K30" s="456" t="str">
        <f t="shared" si="12"/>
        <v>0.00%</v>
      </c>
      <c r="L30" s="340">
        <f t="shared" si="9"/>
        <v>0</v>
      </c>
      <c r="M30" s="897"/>
      <c r="O30" s="456" t="str">
        <f t="shared" si="13"/>
        <v>0.00%</v>
      </c>
      <c r="P30" s="340">
        <f t="shared" si="10"/>
        <v>0</v>
      </c>
      <c r="Q30" s="897" t="str">
        <f t="shared" si="11"/>
        <v>2.0% = Est. S &amp; C</v>
      </c>
      <c r="R30" s="592"/>
      <c r="S30" s="2341"/>
      <c r="T30" s="340"/>
      <c r="U30" s="2344"/>
      <c r="V30" s="952"/>
      <c r="W30" s="2343"/>
      <c r="X30" s="340"/>
      <c r="Y30" s="2344"/>
      <c r="AA30" s="1668"/>
      <c r="AB30" s="340"/>
      <c r="AC30" s="2344"/>
    </row>
    <row r="31" spans="1:29" s="457" customFormat="1" hidden="1" x14ac:dyDescent="0.25">
      <c r="A31" s="897"/>
      <c r="B31" s="2385"/>
      <c r="C31" s="1656"/>
      <c r="D31" s="340"/>
      <c r="E31" s="2386"/>
      <c r="F31" s="340"/>
      <c r="G31" s="456" t="str">
        <f>IF(D31=0,"0.00%",(H31-D31)/D31)</f>
        <v>0.00%</v>
      </c>
      <c r="H31" s="340">
        <v>0</v>
      </c>
      <c r="I31" s="899"/>
      <c r="J31" s="455"/>
      <c r="K31" s="456" t="str">
        <f t="shared" si="12"/>
        <v>0.00%</v>
      </c>
      <c r="L31" s="340">
        <v>0</v>
      </c>
      <c r="M31" s="899"/>
      <c r="O31" s="456" t="str">
        <f t="shared" si="13"/>
        <v>0.00%</v>
      </c>
      <c r="P31" s="340">
        <v>0</v>
      </c>
      <c r="Q31" s="899"/>
      <c r="R31" s="592"/>
      <c r="S31" s="2341"/>
      <c r="T31" s="340"/>
      <c r="U31" s="2344"/>
      <c r="V31" s="952"/>
      <c r="W31" s="2343"/>
      <c r="X31" s="340"/>
      <c r="Y31" s="2344"/>
      <c r="AA31" s="1668"/>
      <c r="AB31" s="340"/>
      <c r="AC31" s="2344"/>
    </row>
    <row r="32" spans="1:29" s="457" customFormat="1" x14ac:dyDescent="0.25">
      <c r="A32" s="898"/>
      <c r="B32" s="2385"/>
      <c r="C32" s="1656"/>
      <c r="D32" s="458">
        <f>SUM(D21:D31)</f>
        <v>2660</v>
      </c>
      <c r="E32" s="2386"/>
      <c r="F32" s="340"/>
      <c r="G32" s="456">
        <f t="shared" si="1"/>
        <v>-0.24812030075187969</v>
      </c>
      <c r="H32" s="458">
        <f>SUM(H21:H31)</f>
        <v>2000</v>
      </c>
      <c r="I32" s="2316">
        <f>+H32-D32</f>
        <v>-660</v>
      </c>
      <c r="J32" s="459"/>
      <c r="K32" s="456">
        <f>IF(H32=0,"0.00%",(L32-H32)/H32)</f>
        <v>1.1000000000000001</v>
      </c>
      <c r="L32" s="458">
        <f>SUM(L21:L31)</f>
        <v>4200</v>
      </c>
      <c r="M32" s="2316"/>
      <c r="O32" s="456">
        <f t="shared" si="13"/>
        <v>0</v>
      </c>
      <c r="P32" s="458">
        <f>SUM(P21:P31)</f>
        <v>4200</v>
      </c>
      <c r="Q32" s="2316">
        <f>+P32-L32</f>
        <v>0</v>
      </c>
      <c r="R32" s="592"/>
      <c r="S32" s="2238">
        <f>IF(P32=0,"0.00%",(T32-P32)/P32)</f>
        <v>0</v>
      </c>
      <c r="T32" s="458">
        <f>SUM(T21:T29)</f>
        <v>4200</v>
      </c>
      <c r="U32" s="2344"/>
      <c r="V32" s="952"/>
      <c r="W32" s="2241">
        <f>IF(T32=0,"0.00%",(X32-T32)/T32)</f>
        <v>0.02</v>
      </c>
      <c r="X32" s="458">
        <f>SUM(X21:X29)</f>
        <v>4284</v>
      </c>
      <c r="Y32" s="2344"/>
      <c r="AA32" s="456">
        <f>IF(X32=0,"0.00%",(AB32-X32)/X32)</f>
        <v>2.0074696545284782E-2</v>
      </c>
      <c r="AB32" s="458">
        <f>SUM(AB21:AB29)</f>
        <v>4370</v>
      </c>
      <c r="AC32" s="2344"/>
    </row>
    <row r="33" spans="1:29" s="457" customFormat="1" x14ac:dyDescent="0.25">
      <c r="A33" s="897"/>
      <c r="B33" s="2345"/>
      <c r="C33" s="1656"/>
      <c r="D33" s="340"/>
      <c r="E33" s="2386"/>
      <c r="F33" s="340"/>
      <c r="G33" s="2338"/>
      <c r="H33" s="340"/>
      <c r="I33" s="897"/>
      <c r="J33" s="455"/>
      <c r="K33" s="1668"/>
      <c r="L33" s="340"/>
      <c r="M33" s="901"/>
      <c r="O33" s="1668"/>
      <c r="P33" s="340"/>
      <c r="Q33" s="901"/>
      <c r="R33" s="592"/>
      <c r="S33" s="2341"/>
      <c r="T33" s="340"/>
      <c r="U33" s="2344"/>
      <c r="V33" s="952"/>
      <c r="W33" s="2343"/>
      <c r="X33" s="340"/>
      <c r="Y33" s="2344"/>
      <c r="AA33" s="1668"/>
      <c r="AB33" s="340"/>
      <c r="AC33" s="2344"/>
    </row>
    <row r="34" spans="1:29" s="461" customFormat="1" x14ac:dyDescent="0.25">
      <c r="A34" s="900"/>
      <c r="B34" s="2440" t="s">
        <v>35</v>
      </c>
      <c r="C34" s="900"/>
      <c r="D34" s="460"/>
      <c r="E34" s="868"/>
      <c r="F34" s="460"/>
      <c r="G34" s="2389"/>
      <c r="H34" s="460"/>
      <c r="I34" s="868"/>
      <c r="J34" s="460"/>
      <c r="K34" s="1669"/>
      <c r="L34" s="460"/>
      <c r="M34" s="902"/>
      <c r="O34" s="1669"/>
      <c r="P34" s="460"/>
      <c r="Q34" s="902"/>
      <c r="S34" s="1669"/>
      <c r="T34" s="460"/>
      <c r="U34" s="2392"/>
      <c r="V34" s="2381"/>
      <c r="W34" s="2382"/>
      <c r="X34" s="460"/>
      <c r="Y34" s="2392"/>
      <c r="AA34" s="1669"/>
      <c r="AB34" s="460"/>
      <c r="AC34" s="2392"/>
    </row>
    <row r="35" spans="1:29" s="457" customFormat="1" x14ac:dyDescent="0.25">
      <c r="A35" s="897"/>
      <c r="B35" s="2385">
        <v>2910</v>
      </c>
      <c r="C35" s="1656" t="s">
        <v>117</v>
      </c>
      <c r="D35" s="340">
        <v>172.02</v>
      </c>
      <c r="E35" s="2386"/>
      <c r="F35" s="340"/>
      <c r="G35" s="456">
        <f t="shared" ref="G35:G41" si="14">IF(D35=0,"0.00%",(H35-D35)/D35)</f>
        <v>0.77304964539007082</v>
      </c>
      <c r="H35" s="340">
        <v>305</v>
      </c>
      <c r="I35" s="897"/>
      <c r="J35" s="455"/>
      <c r="K35" s="456">
        <f t="shared" ref="K35:K41" si="15">IF(H35=0,"0.00%",(L35-H35)/H35)</f>
        <v>0.13114754098360656</v>
      </c>
      <c r="L35" s="340">
        <v>345</v>
      </c>
      <c r="M35" s="897"/>
      <c r="O35" s="456">
        <f t="shared" ref="O35:O41" si="16">IF(L35=0,"0.00%",(P35-L35)/L35)</f>
        <v>0</v>
      </c>
      <c r="P35" s="340">
        <f>+L35</f>
        <v>345</v>
      </c>
      <c r="Q35" s="897" t="s">
        <v>173</v>
      </c>
      <c r="R35" s="592"/>
      <c r="S35" s="2238">
        <f t="shared" ref="S35:S41" si="17">IF(P35=0,"0.00%",(T35-P35)/P35)</f>
        <v>0</v>
      </c>
      <c r="T35" s="340">
        <f>+P35</f>
        <v>345</v>
      </c>
      <c r="U35" s="897" t="s">
        <v>173</v>
      </c>
      <c r="V35" s="952"/>
      <c r="W35" s="2241">
        <f t="shared" ref="W35:W41" si="18">IF(T35=0,"0.00%",(X35-T35)/T35)</f>
        <v>2.0289855072463767E-2</v>
      </c>
      <c r="X35" s="340">
        <f>ROUND(T35*(1+Y19),0)</f>
        <v>352</v>
      </c>
      <c r="Y35" s="455" t="str">
        <f>TEXT(Y19,"0.0%")&amp;" = Est. S &amp; C"</f>
        <v>2.0% = Est. S &amp; C</v>
      </c>
      <c r="AA35" s="456">
        <f t="shared" ref="AA35:AA41" si="19">IF(X35=0,"0.00%",(AB35-X35)/X35)</f>
        <v>1.9886363636363636E-2</v>
      </c>
      <c r="AB35" s="340">
        <f>ROUND(X35*(1+AC19),0)</f>
        <v>359</v>
      </c>
      <c r="AC35" s="455" t="str">
        <f>TEXT(AC19,"0.0%")&amp;" = Est. S &amp; C"</f>
        <v>2.0% = Est. S &amp; C</v>
      </c>
    </row>
    <row r="36" spans="1:29" s="457" customFormat="1" hidden="1" x14ac:dyDescent="0.25">
      <c r="A36" s="897"/>
      <c r="B36" s="2385"/>
      <c r="C36" s="1656"/>
      <c r="D36" s="340"/>
      <c r="E36" s="2386"/>
      <c r="F36" s="340"/>
      <c r="G36" s="456" t="str">
        <f t="shared" si="14"/>
        <v>0.00%</v>
      </c>
      <c r="H36" s="340">
        <f t="shared" ref="H36:H41" si="20">ROUND(D36*(1+$I$19),0)</f>
        <v>0</v>
      </c>
      <c r="I36" s="897" t="str">
        <f t="shared" ref="I36:I41" si="21">TEXT($I$19,"0.0%")&amp;" = Est. S &amp; C"</f>
        <v>0.0% = Est. S &amp; C</v>
      </c>
      <c r="J36" s="455"/>
      <c r="K36" s="456" t="str">
        <f t="shared" si="15"/>
        <v>0.00%</v>
      </c>
      <c r="L36" s="340">
        <f>ROUND(H36*(1+M19),0)</f>
        <v>0</v>
      </c>
      <c r="M36" s="897"/>
      <c r="O36" s="456" t="str">
        <f t="shared" si="16"/>
        <v>0.00%</v>
      </c>
      <c r="P36" s="340">
        <f>ROUND(L36*(1+Q19),0)</f>
        <v>0</v>
      </c>
      <c r="Q36" s="897" t="str">
        <f>TEXT(Q19,"0.0%")&amp;" = Est. S &amp; C"</f>
        <v>2.0% = Est. S &amp; C</v>
      </c>
      <c r="R36" s="592"/>
      <c r="S36" s="2238" t="str">
        <f t="shared" si="17"/>
        <v>0.00%</v>
      </c>
      <c r="T36" s="340">
        <f>ROUND(P36*(1+U19),0)</f>
        <v>0</v>
      </c>
      <c r="U36" s="455" t="str">
        <f>TEXT(U19,"0.0%")&amp;" = Est. S &amp; C"</f>
        <v>2.0% = Est. S &amp; C</v>
      </c>
      <c r="V36" s="952"/>
      <c r="W36" s="2241" t="str">
        <f t="shared" si="18"/>
        <v>0.00%</v>
      </c>
      <c r="X36" s="340">
        <f>ROUND(T36*(1+Y19),0)</f>
        <v>0</v>
      </c>
      <c r="Y36" s="455" t="str">
        <f>TEXT(Y19,"0.0%")&amp;" = Est. S &amp; C"</f>
        <v>2.0% = Est. S &amp; C</v>
      </c>
      <c r="AA36" s="456" t="str">
        <f t="shared" si="19"/>
        <v>0.00%</v>
      </c>
      <c r="AB36" s="340">
        <f>ROUND(X36*(1+AC19),0)</f>
        <v>0</v>
      </c>
      <c r="AC36" s="455" t="str">
        <f>TEXT(AC19,"0.0%")&amp;" = Est. S &amp; C"</f>
        <v>2.0% = Est. S &amp; C</v>
      </c>
    </row>
    <row r="37" spans="1:29" s="457" customFormat="1" hidden="1" x14ac:dyDescent="0.25">
      <c r="A37" s="897"/>
      <c r="B37" s="2385"/>
      <c r="C37" s="1656"/>
      <c r="D37" s="340"/>
      <c r="E37" s="2386"/>
      <c r="F37" s="340"/>
      <c r="G37" s="456" t="str">
        <f t="shared" si="14"/>
        <v>0.00%</v>
      </c>
      <c r="H37" s="340">
        <f t="shared" si="20"/>
        <v>0</v>
      </c>
      <c r="I37" s="897" t="str">
        <f t="shared" si="21"/>
        <v>0.0% = Est. S &amp; C</v>
      </c>
      <c r="J37" s="455"/>
      <c r="K37" s="456" t="str">
        <f t="shared" si="15"/>
        <v>0.00%</v>
      </c>
      <c r="L37" s="340">
        <f>ROUND(H37*(1+M19),0)</f>
        <v>0</v>
      </c>
      <c r="M37" s="897"/>
      <c r="O37" s="456" t="str">
        <f t="shared" si="16"/>
        <v>0.00%</v>
      </c>
      <c r="P37" s="340">
        <f>ROUND(L37*(1+Q19),0)</f>
        <v>0</v>
      </c>
      <c r="Q37" s="897" t="str">
        <f>TEXT(Q19,"0.0%")&amp;" = Est. S &amp; C"</f>
        <v>2.0% = Est. S &amp; C</v>
      </c>
      <c r="R37" s="592"/>
      <c r="S37" s="2238" t="str">
        <f t="shared" si="17"/>
        <v>0.00%</v>
      </c>
      <c r="T37" s="340">
        <f>ROUND(P37*(1+U19),0)</f>
        <v>0</v>
      </c>
      <c r="U37" s="455" t="str">
        <f>TEXT(U19,"0.0%")&amp;" = Est. S &amp; C"</f>
        <v>2.0% = Est. S &amp; C</v>
      </c>
      <c r="V37" s="952"/>
      <c r="W37" s="2241" t="str">
        <f t="shared" si="18"/>
        <v>0.00%</v>
      </c>
      <c r="X37" s="340">
        <f>ROUND(T37*(1+Y19),0)</f>
        <v>0</v>
      </c>
      <c r="Y37" s="455" t="str">
        <f>TEXT(Y19,"0.0%")&amp;" = Est. S &amp; C"</f>
        <v>2.0% = Est. S &amp; C</v>
      </c>
      <c r="AA37" s="456" t="str">
        <f t="shared" si="19"/>
        <v>0.00%</v>
      </c>
      <c r="AB37" s="340">
        <f>ROUND(X37*(1+AC19),0)</f>
        <v>0</v>
      </c>
      <c r="AC37" s="455" t="str">
        <f>TEXT(AC19,"0.0%")&amp;" = Est. S &amp; C"</f>
        <v>2.0% = Est. S &amp; C</v>
      </c>
    </row>
    <row r="38" spans="1:29" s="457" customFormat="1" hidden="1" x14ac:dyDescent="0.25">
      <c r="A38" s="897"/>
      <c r="B38" s="2385"/>
      <c r="C38" s="1656"/>
      <c r="D38" s="340"/>
      <c r="E38" s="2386"/>
      <c r="F38" s="340"/>
      <c r="G38" s="456" t="str">
        <f t="shared" si="14"/>
        <v>0.00%</v>
      </c>
      <c r="H38" s="340">
        <f t="shared" si="20"/>
        <v>0</v>
      </c>
      <c r="I38" s="897" t="str">
        <f t="shared" si="21"/>
        <v>0.0% = Est. S &amp; C</v>
      </c>
      <c r="J38" s="455"/>
      <c r="K38" s="456" t="str">
        <f t="shared" si="15"/>
        <v>0.00%</v>
      </c>
      <c r="L38" s="340">
        <f>ROUND(H38*(1+M19),0)</f>
        <v>0</v>
      </c>
      <c r="M38" s="897"/>
      <c r="O38" s="456" t="str">
        <f t="shared" si="16"/>
        <v>0.00%</v>
      </c>
      <c r="P38" s="340">
        <f>ROUND(L38*(1+Q19),0)</f>
        <v>0</v>
      </c>
      <c r="Q38" s="897" t="str">
        <f>TEXT(Q19,"0.0%")&amp;" = Est. S &amp; C"</f>
        <v>2.0% = Est. S &amp; C</v>
      </c>
      <c r="R38" s="592"/>
      <c r="S38" s="2238" t="str">
        <f t="shared" si="17"/>
        <v>0.00%</v>
      </c>
      <c r="T38" s="340">
        <f>ROUND(P38*(1+U19),0)</f>
        <v>0</v>
      </c>
      <c r="U38" s="455" t="str">
        <f>TEXT(U19,"0.0%")&amp;" = Est. S &amp; C"</f>
        <v>2.0% = Est. S &amp; C</v>
      </c>
      <c r="V38" s="952"/>
      <c r="W38" s="2241" t="str">
        <f t="shared" si="18"/>
        <v>0.00%</v>
      </c>
      <c r="X38" s="340">
        <f>ROUND(T38*(1+Y19),0)</f>
        <v>0</v>
      </c>
      <c r="Y38" s="455" t="str">
        <f>TEXT(Y19,"0.0%")&amp;" = Est. S &amp; C"</f>
        <v>2.0% = Est. S &amp; C</v>
      </c>
      <c r="AA38" s="456" t="str">
        <f t="shared" si="19"/>
        <v>0.00%</v>
      </c>
      <c r="AB38" s="340">
        <f>ROUND(X38*(1+AC19),0)</f>
        <v>0</v>
      </c>
      <c r="AC38" s="455" t="str">
        <f>TEXT(AC19,"0.0%")&amp;" = Est. S &amp; C"</f>
        <v>2.0% = Est. S &amp; C</v>
      </c>
    </row>
    <row r="39" spans="1:29" s="457" customFormat="1" hidden="1" x14ac:dyDescent="0.25">
      <c r="A39" s="897"/>
      <c r="B39" s="2385"/>
      <c r="C39" s="1656"/>
      <c r="D39" s="340">
        <v>0</v>
      </c>
      <c r="E39" s="2386"/>
      <c r="F39" s="340"/>
      <c r="G39" s="456" t="str">
        <f t="shared" si="14"/>
        <v>0.00%</v>
      </c>
      <c r="H39" s="340">
        <f t="shared" si="20"/>
        <v>0</v>
      </c>
      <c r="I39" s="897" t="str">
        <f t="shared" si="21"/>
        <v>0.0% = Est. S &amp; C</v>
      </c>
      <c r="J39" s="455"/>
      <c r="K39" s="456" t="str">
        <f t="shared" si="15"/>
        <v>0.00%</v>
      </c>
      <c r="L39" s="340">
        <f>ROUND(H39*(1+M19),0)</f>
        <v>0</v>
      </c>
      <c r="M39" s="897"/>
      <c r="O39" s="456" t="str">
        <f t="shared" si="16"/>
        <v>0.00%</v>
      </c>
      <c r="P39" s="340">
        <f>ROUND(L39*(1+Q19),0)</f>
        <v>0</v>
      </c>
      <c r="Q39" s="897" t="str">
        <f>TEXT(Q19,"0.0%")&amp;" = Est. S &amp; C"</f>
        <v>2.0% = Est. S &amp; C</v>
      </c>
      <c r="R39" s="592"/>
      <c r="S39" s="2238" t="str">
        <f t="shared" si="17"/>
        <v>0.00%</v>
      </c>
      <c r="T39" s="340">
        <f>ROUND(P39*(1+U19),0)</f>
        <v>0</v>
      </c>
      <c r="U39" s="455" t="str">
        <f>TEXT(U19,"0.0%")&amp;" = Est. S &amp; C"</f>
        <v>2.0% = Est. S &amp; C</v>
      </c>
      <c r="V39" s="952"/>
      <c r="W39" s="2241" t="str">
        <f t="shared" si="18"/>
        <v>0.00%</v>
      </c>
      <c r="X39" s="340">
        <f>ROUND(T39*(1+Y19),0)</f>
        <v>0</v>
      </c>
      <c r="Y39" s="455" t="str">
        <f>TEXT(Y19,"0.0%")&amp;" = Est. S &amp; C"</f>
        <v>2.0% = Est. S &amp; C</v>
      </c>
      <c r="AA39" s="456" t="str">
        <f t="shared" si="19"/>
        <v>0.00%</v>
      </c>
      <c r="AB39" s="340">
        <f>ROUND(X39*(1+AC19),0)</f>
        <v>0</v>
      </c>
      <c r="AC39" s="455" t="str">
        <f>TEXT(AC19,"0.0%")&amp;" = Est. S &amp; C"</f>
        <v>2.0% = Est. S &amp; C</v>
      </c>
    </row>
    <row r="40" spans="1:29" s="457" customFormat="1" hidden="1" x14ac:dyDescent="0.25">
      <c r="A40" s="897"/>
      <c r="B40" s="2385"/>
      <c r="C40" s="1656"/>
      <c r="D40" s="340">
        <v>0</v>
      </c>
      <c r="E40" s="2386"/>
      <c r="F40" s="340"/>
      <c r="G40" s="456" t="str">
        <f t="shared" si="14"/>
        <v>0.00%</v>
      </c>
      <c r="H40" s="340">
        <f t="shared" si="20"/>
        <v>0</v>
      </c>
      <c r="I40" s="897" t="str">
        <f t="shared" si="21"/>
        <v>0.0% = Est. S &amp; C</v>
      </c>
      <c r="J40" s="455"/>
      <c r="K40" s="456" t="str">
        <f t="shared" si="15"/>
        <v>0.00%</v>
      </c>
      <c r="L40" s="340">
        <f>ROUND(H40*(1+M19),0)</f>
        <v>0</v>
      </c>
      <c r="M40" s="897"/>
      <c r="O40" s="456" t="str">
        <f t="shared" si="16"/>
        <v>0.00%</v>
      </c>
      <c r="P40" s="340">
        <f>ROUND(L40*(1+Q19),0)</f>
        <v>0</v>
      </c>
      <c r="Q40" s="897" t="str">
        <f>TEXT(Q19,"0.0%")&amp;" = Est. S &amp; C"</f>
        <v>2.0% = Est. S &amp; C</v>
      </c>
      <c r="R40" s="592"/>
      <c r="S40" s="2238" t="str">
        <f t="shared" si="17"/>
        <v>0.00%</v>
      </c>
      <c r="T40" s="340">
        <f>ROUND(P40*(1+U19),0)</f>
        <v>0</v>
      </c>
      <c r="U40" s="455" t="str">
        <f>TEXT(U19,"0.0%")&amp;" = Est. S &amp; C"</f>
        <v>2.0% = Est. S &amp; C</v>
      </c>
      <c r="V40" s="952"/>
      <c r="W40" s="2241" t="str">
        <f t="shared" si="18"/>
        <v>0.00%</v>
      </c>
      <c r="X40" s="340">
        <f>ROUND(T40*(1+Y19),0)</f>
        <v>0</v>
      </c>
      <c r="Y40" s="455" t="str">
        <f>TEXT(Y19,"0.0%")&amp;" = Est. S &amp; C"</f>
        <v>2.0% = Est. S &amp; C</v>
      </c>
      <c r="AA40" s="456" t="str">
        <f t="shared" si="19"/>
        <v>0.00%</v>
      </c>
      <c r="AB40" s="340">
        <f>ROUND(X40*(1+AC19),0)</f>
        <v>0</v>
      </c>
      <c r="AC40" s="455" t="str">
        <f>TEXT(AC19,"0.0%")&amp;" = Est. S &amp; C"</f>
        <v>2.0% = Est. S &amp; C</v>
      </c>
    </row>
    <row r="41" spans="1:29" s="457" customFormat="1" hidden="1" x14ac:dyDescent="0.25">
      <c r="A41" s="897"/>
      <c r="B41" s="2385"/>
      <c r="C41" s="1656"/>
      <c r="D41" s="340">
        <v>0</v>
      </c>
      <c r="E41" s="2386"/>
      <c r="F41" s="340"/>
      <c r="G41" s="456" t="str">
        <f t="shared" si="14"/>
        <v>0.00%</v>
      </c>
      <c r="H41" s="340">
        <f t="shared" si="20"/>
        <v>0</v>
      </c>
      <c r="I41" s="897" t="str">
        <f t="shared" si="21"/>
        <v>0.0% = Est. S &amp; C</v>
      </c>
      <c r="J41" s="455"/>
      <c r="K41" s="456" t="str">
        <f t="shared" si="15"/>
        <v>0.00%</v>
      </c>
      <c r="L41" s="340">
        <f>ROUND(H41*(1+M19),0)</f>
        <v>0</v>
      </c>
      <c r="M41" s="897"/>
      <c r="O41" s="456" t="str">
        <f t="shared" si="16"/>
        <v>0.00%</v>
      </c>
      <c r="P41" s="340">
        <f>ROUND(L41*(1+Q19),0)</f>
        <v>0</v>
      </c>
      <c r="Q41" s="897" t="str">
        <f>TEXT(Q19,"0.0%")&amp;" = Est. S &amp; C"</f>
        <v>2.0% = Est. S &amp; C</v>
      </c>
      <c r="R41" s="592"/>
      <c r="S41" s="2238" t="str">
        <f t="shared" si="17"/>
        <v>0.00%</v>
      </c>
      <c r="T41" s="340">
        <f>ROUND(P41*(1+U19),0)</f>
        <v>0</v>
      </c>
      <c r="U41" s="455" t="str">
        <f>TEXT(U19,"0.0%")&amp;" = Est. S &amp; C"</f>
        <v>2.0% = Est. S &amp; C</v>
      </c>
      <c r="V41" s="952"/>
      <c r="W41" s="2241" t="str">
        <f t="shared" si="18"/>
        <v>0.00%</v>
      </c>
      <c r="X41" s="340">
        <f>ROUND(T41*(1+Y19),0)</f>
        <v>0</v>
      </c>
      <c r="Y41" s="455" t="str">
        <f>TEXT(Y19,"0.0%")&amp;" = Est. S &amp; C"</f>
        <v>2.0% = Est. S &amp; C</v>
      </c>
      <c r="AA41" s="456" t="str">
        <f t="shared" si="19"/>
        <v>0.00%</v>
      </c>
      <c r="AB41" s="340">
        <f>ROUND(X41*(1+AC19),0)</f>
        <v>0</v>
      </c>
      <c r="AC41" s="455" t="str">
        <f>TEXT(AC19,"0.0%")&amp;" = Est. S &amp; C"</f>
        <v>2.0% = Est. S &amp; C</v>
      </c>
    </row>
    <row r="42" spans="1:29" s="457" customFormat="1" ht="6" hidden="1" customHeight="1" x14ac:dyDescent="0.25">
      <c r="A42" s="897"/>
      <c r="B42" s="2385"/>
      <c r="C42" s="1656"/>
      <c r="D42" s="340"/>
      <c r="E42" s="2386"/>
      <c r="F42" s="340"/>
      <c r="G42" s="2338"/>
      <c r="H42" s="340"/>
      <c r="I42" s="897"/>
      <c r="J42" s="455"/>
      <c r="K42" s="1668"/>
      <c r="L42" s="340"/>
      <c r="M42" s="901"/>
      <c r="O42" s="1668"/>
      <c r="P42" s="340"/>
      <c r="Q42" s="901"/>
      <c r="R42" s="592"/>
      <c r="S42" s="2341"/>
      <c r="T42" s="340"/>
      <c r="U42" s="2344"/>
      <c r="V42" s="952"/>
      <c r="W42" s="2343"/>
      <c r="X42" s="340"/>
      <c r="Y42" s="2344"/>
      <c r="AA42" s="1668"/>
      <c r="AB42" s="340"/>
      <c r="AC42" s="2344"/>
    </row>
    <row r="43" spans="1:29" s="457" customFormat="1" x14ac:dyDescent="0.25">
      <c r="A43" s="898"/>
      <c r="B43" s="2385"/>
      <c r="C43" s="1656"/>
      <c r="D43" s="458">
        <f>SUM(D35:D42)</f>
        <v>172.02</v>
      </c>
      <c r="E43" s="2386"/>
      <c r="F43" s="340"/>
      <c r="G43" s="456">
        <f>IF(D43=0,"0.00%",(H43-D43)/D43)</f>
        <v>0.77304964539007082</v>
      </c>
      <c r="H43" s="458">
        <f>SUM(H35:H42)</f>
        <v>305</v>
      </c>
      <c r="I43" s="898"/>
      <c r="J43" s="459"/>
      <c r="K43" s="456">
        <f>IF(H43=0,"0.00%",(L43-H43)/H43)</f>
        <v>0.13114754098360656</v>
      </c>
      <c r="L43" s="458">
        <f>SUM(L35:L42)</f>
        <v>345</v>
      </c>
      <c r="M43" s="901"/>
      <c r="O43" s="456">
        <f>IF(L43=0,"0.00%",(P43-L43)/L43)</f>
        <v>0</v>
      </c>
      <c r="P43" s="458">
        <f>SUM(P35:P42)</f>
        <v>345</v>
      </c>
      <c r="Q43" s="901"/>
      <c r="R43" s="592"/>
      <c r="S43" s="2238">
        <f>IF(P43=0,"0.00%",(T43-P43)/P43)</f>
        <v>0</v>
      </c>
      <c r="T43" s="458">
        <f>SUM(T35:T42)</f>
        <v>345</v>
      </c>
      <c r="U43" s="2344"/>
      <c r="V43" s="952"/>
      <c r="W43" s="2241">
        <f>IF(T43=0,"0.00%",(X43-T43)/T43)</f>
        <v>2.0289855072463767E-2</v>
      </c>
      <c r="X43" s="458">
        <f>SUM(X35:X42)</f>
        <v>352</v>
      </c>
      <c r="Y43" s="2344"/>
      <c r="AA43" s="456">
        <f>IF(X43=0,"0.00%",(AB43-X43)/X43)</f>
        <v>1.9886363636363636E-2</v>
      </c>
      <c r="AB43" s="458">
        <f>SUM(AB35:AB42)</f>
        <v>359</v>
      </c>
      <c r="AC43" s="2344"/>
    </row>
    <row r="44" spans="1:29" s="457" customFormat="1" x14ac:dyDescent="0.25">
      <c r="A44" s="897"/>
      <c r="B44" s="2345" t="s">
        <v>28</v>
      </c>
      <c r="C44" s="1656"/>
      <c r="D44" s="340"/>
      <c r="E44" s="2386"/>
      <c r="F44" s="340"/>
      <c r="G44" s="2338"/>
      <c r="H44" s="340"/>
      <c r="I44" s="897"/>
      <c r="J44" s="455"/>
      <c r="K44" s="1668"/>
      <c r="L44" s="340"/>
      <c r="M44" s="901"/>
      <c r="O44" s="1668"/>
      <c r="P44" s="340"/>
      <c r="Q44" s="901"/>
      <c r="R44" s="592"/>
      <c r="S44" s="2341"/>
      <c r="T44" s="340"/>
      <c r="U44" s="2344"/>
      <c r="V44" s="952"/>
      <c r="W44" s="2343"/>
      <c r="X44" s="340"/>
      <c r="Y44" s="2344"/>
      <c r="AA44" s="1668"/>
      <c r="AB44" s="340"/>
      <c r="AC44" s="2344"/>
    </row>
    <row r="45" spans="1:29" s="457" customFormat="1" x14ac:dyDescent="0.25">
      <c r="A45" s="868"/>
      <c r="B45" s="2337" t="s">
        <v>27</v>
      </c>
      <c r="C45" s="1656"/>
      <c r="D45" s="340"/>
      <c r="E45" s="2386"/>
      <c r="F45" s="340"/>
      <c r="G45" s="2338"/>
      <c r="H45" s="340"/>
      <c r="I45" s="897"/>
      <c r="J45" s="455"/>
      <c r="K45" s="1668"/>
      <c r="L45" s="340"/>
      <c r="M45" s="901"/>
      <c r="O45" s="1668"/>
      <c r="P45" s="340"/>
      <c r="Q45" s="901"/>
      <c r="R45" s="592"/>
      <c r="S45" s="2341"/>
      <c r="T45" s="340"/>
      <c r="U45" s="2344"/>
      <c r="V45" s="952"/>
      <c r="W45" s="2343"/>
      <c r="X45" s="340"/>
      <c r="Y45" s="2344"/>
      <c r="AA45" s="1668"/>
      <c r="AB45" s="340"/>
      <c r="AC45" s="2344"/>
    </row>
    <row r="46" spans="1:29" s="457" customFormat="1" x14ac:dyDescent="0.25">
      <c r="A46" s="897"/>
      <c r="B46" s="2385" t="s">
        <v>83</v>
      </c>
      <c r="C46" s="1656" t="s">
        <v>76</v>
      </c>
      <c r="D46" s="340">
        <v>309.22000000000003</v>
      </c>
      <c r="E46" s="899" t="str">
        <f>TEXT('MYP Assumptions'!$D$57,"0.00%")&amp;", STRS rate"</f>
        <v>12.58%, STRS rate</v>
      </c>
      <c r="F46" s="340"/>
      <c r="G46" s="456">
        <f t="shared" ref="G46:G55" si="22">IF(D46=0,"0.00%",(H46-D46)/D46)</f>
        <v>2.9195394864497763</v>
      </c>
      <c r="H46" s="340">
        <v>1212</v>
      </c>
      <c r="I46" s="899" t="str">
        <f>TEXT('MYP Assumptions'!E57,"0.00%")&amp;", projected STRS rate"</f>
        <v>14.43%, projected STRS rate</v>
      </c>
      <c r="J46" s="455"/>
      <c r="K46" s="456">
        <f t="shared" ref="K46:K55" si="23">IF(H46=0,"0.00%",(L46-H46)/H46)</f>
        <v>-0.43564356435643564</v>
      </c>
      <c r="L46" s="340">
        <v>684</v>
      </c>
      <c r="M46" s="899" t="str">
        <f>TEXT('MYP Assumptions'!F57,"0.00%")&amp;", projected STRS rate"</f>
        <v>16.28%, projected STRS rate</v>
      </c>
      <c r="O46" s="456">
        <f t="shared" ref="O46:O55" si="24">IF(L46=0,"0.00%",(P46-L46)/L46)</f>
        <v>0.11257309941520467</v>
      </c>
      <c r="P46" s="340">
        <f>ROUND(P32*LEFT(Q46,6),0)</f>
        <v>761</v>
      </c>
      <c r="Q46" s="899" t="str">
        <f>TEXT('MYP Assumptions'!G57,"0.00%")&amp;", projected STRS rate"</f>
        <v>18.13%, projected STRS rate</v>
      </c>
      <c r="R46" s="592"/>
      <c r="S46" s="2238">
        <f t="shared" ref="S46:S55" si="25">IF(P46=0,"0.00%",(T46-P46)/P46)</f>
        <v>5.387647831800263E-2</v>
      </c>
      <c r="T46" s="340">
        <f>ROUND(T32*LEFT(U46,6),0)</f>
        <v>802</v>
      </c>
      <c r="U46" s="953" t="str">
        <f>TEXT('MYP Assumptions'!H57,"0.00%")&amp;", projected STRS rate"</f>
        <v>19.10%, projected STRS rate</v>
      </c>
      <c r="V46" s="952"/>
      <c r="W46" s="2241">
        <f t="shared" ref="W46:W55" si="26">IF(T46=0,"0.00%",(X46-T46)/T46)</f>
        <v>1.9950124688279301E-2</v>
      </c>
      <c r="X46" s="340">
        <f>ROUND(X32*LEFT(Y46,6),0)</f>
        <v>818</v>
      </c>
      <c r="Y46" s="953" t="str">
        <f>TEXT('MYP Assumptions'!I57,"0.00%")&amp;", projected STRS rate"</f>
        <v>19.10%, projected STRS rate</v>
      </c>
      <c r="AA46" s="456" t="e">
        <f t="shared" ref="AA46:AA55" si="27">IF(X46=0,"0.00%",(AB46-X46)/X46)</f>
        <v>#VALUE!</v>
      </c>
      <c r="AB46" s="340" t="e">
        <f>ROUND(AB32*LEFT(AC46,6),0)</f>
        <v>#VALUE!</v>
      </c>
      <c r="AC46" s="953" t="str">
        <f>TEXT('MYP Assumptions'!J57,"0.00%")&amp;", projected STRS rate"</f>
        <v>0.00%, projected STRS rate</v>
      </c>
    </row>
    <row r="47" spans="1:29" s="457" customFormat="1" x14ac:dyDescent="0.25">
      <c r="A47" s="897"/>
      <c r="B47" s="2385" t="s">
        <v>84</v>
      </c>
      <c r="C47" s="1656" t="s">
        <v>77</v>
      </c>
      <c r="D47" s="340">
        <v>19.190000000000001</v>
      </c>
      <c r="E47" s="899" t="str">
        <f>TEXT('MYP Assumptions'!$D$58,"0.00%")&amp;", PERS rate"</f>
        <v>13.89%, PERS rate</v>
      </c>
      <c r="F47" s="340"/>
      <c r="G47" s="456">
        <f t="shared" si="22"/>
        <v>1.8139656070870245</v>
      </c>
      <c r="H47" s="340">
        <v>54</v>
      </c>
      <c r="I47" s="899" t="str">
        <f>TEXT('MYP Assumptions'!E58,"0.00%")&amp;", projected PERS rate"</f>
        <v>15.53%, projected PERS rate</v>
      </c>
      <c r="J47" s="455"/>
      <c r="K47" s="456">
        <f t="shared" si="23"/>
        <v>0.14814814814814814</v>
      </c>
      <c r="L47" s="340">
        <v>62</v>
      </c>
      <c r="M47" s="899" t="str">
        <f>TEXT('MYP Assumptions'!F58,"0.00%")&amp;", projected PERS rate"</f>
        <v>18.06%, projected PERS rate</v>
      </c>
      <c r="O47" s="456">
        <f t="shared" si="24"/>
        <v>0.16129032258064516</v>
      </c>
      <c r="P47" s="340">
        <f>ROUND(P43*LEFT(Q47,6),0)</f>
        <v>72</v>
      </c>
      <c r="Q47" s="899" t="str">
        <f>TEXT('MYP Assumptions'!G58,"0.00%")&amp;", projected PERS rate"</f>
        <v>20.80%, projected PERS rate</v>
      </c>
      <c r="R47" s="592"/>
      <c r="S47" s="2238">
        <f t="shared" si="25"/>
        <v>0.125</v>
      </c>
      <c r="T47" s="340">
        <f>ROUND(T43*LEFT(U47,6),0)</f>
        <v>81</v>
      </c>
      <c r="U47" s="953" t="str">
        <f>TEXT('MYP Assumptions'!H58,"0.00%")&amp;", projected PERS rate"</f>
        <v>23.50%, projected PERS rate</v>
      </c>
      <c r="V47" s="952"/>
      <c r="W47" s="2241">
        <f t="shared" si="26"/>
        <v>7.407407407407407E-2</v>
      </c>
      <c r="X47" s="340">
        <f>ROUND(X43*LEFT(Y47,6),0)</f>
        <v>87</v>
      </c>
      <c r="Y47" s="953" t="str">
        <f>TEXT('MYP Assumptions'!I58,"0.00%")&amp;", projected PERS rate"</f>
        <v>24.60%, projected PERS rate</v>
      </c>
      <c r="AA47" s="456" t="e">
        <f t="shared" si="27"/>
        <v>#VALUE!</v>
      </c>
      <c r="AB47" s="340" t="e">
        <f>ROUND(AB43*LEFT(AC47,6),0)</f>
        <v>#VALUE!</v>
      </c>
      <c r="AC47" s="953" t="str">
        <f>TEXT('MYP Assumptions'!J58,"0.00%")&amp;", projected PERS rate"</f>
        <v>0.00%, projected PERS rate</v>
      </c>
    </row>
    <row r="48" spans="1:29" s="457" customFormat="1" x14ac:dyDescent="0.25">
      <c r="A48" s="897"/>
      <c r="B48" s="2385" t="s">
        <v>85</v>
      </c>
      <c r="C48" s="1656" t="s">
        <v>78</v>
      </c>
      <c r="D48" s="340">
        <f>17.36+10.67</f>
        <v>28.03</v>
      </c>
      <c r="E48" s="899" t="str">
        <f>TEXT('MYP Assumptions'!$D$60,"0.00%")&amp;", SS rate"</f>
        <v>6.20%, SS rate</v>
      </c>
      <c r="F48" s="340"/>
      <c r="G48" s="456">
        <f t="shared" si="22"/>
        <v>-0.25080271138066362</v>
      </c>
      <c r="H48" s="340">
        <v>21</v>
      </c>
      <c r="I48" s="899" t="str">
        <f>TEXT('MYP Assumptions'!E60,"0.00%")&amp;", no rate change"</f>
        <v>6.20%, no rate change</v>
      </c>
      <c r="J48" s="455"/>
      <c r="K48" s="456">
        <f t="shared" si="23"/>
        <v>0</v>
      </c>
      <c r="L48" s="340">
        <v>21</v>
      </c>
      <c r="M48" s="899" t="str">
        <f>TEXT('MYP Assumptions'!F60,"0.00%")&amp;", no rate change"</f>
        <v>6.20%, no rate change</v>
      </c>
      <c r="O48" s="456">
        <f t="shared" si="24"/>
        <v>0</v>
      </c>
      <c r="P48" s="340">
        <f>ROUND(P43*LEFT(Q48,5),0)</f>
        <v>21</v>
      </c>
      <c r="Q48" s="899" t="str">
        <f>TEXT('MYP Assumptions'!G60,"0.00%")&amp;", no rate change"</f>
        <v>6.20%, no rate change</v>
      </c>
      <c r="R48" s="592"/>
      <c r="S48" s="2238">
        <f t="shared" si="25"/>
        <v>0</v>
      </c>
      <c r="T48" s="340">
        <f>ROUND(T43*LEFT(U48,5),0)</f>
        <v>21</v>
      </c>
      <c r="U48" s="953" t="str">
        <f>TEXT('MYP Assumptions'!H60,"0.00%")&amp;", no rate change"</f>
        <v>6.20%, no rate change</v>
      </c>
      <c r="V48" s="952"/>
      <c r="W48" s="2241">
        <f t="shared" si="26"/>
        <v>4.7619047619047616E-2</v>
      </c>
      <c r="X48" s="340">
        <f>ROUND(X43*LEFT(Y48,5),0)</f>
        <v>22</v>
      </c>
      <c r="Y48" s="953" t="str">
        <f>TEXT('MYP Assumptions'!I60,"0.00%")&amp;", no rate change"</f>
        <v>6.20%, no rate change</v>
      </c>
      <c r="AA48" s="456">
        <f t="shared" si="27"/>
        <v>-1</v>
      </c>
      <c r="AB48" s="340">
        <f>ROUND(AB43*LEFT(AC48,5),0)</f>
        <v>0</v>
      </c>
      <c r="AC48" s="953" t="str">
        <f>TEXT('MYP Assumptions'!J60,"0.00%")&amp;", no rate change"</f>
        <v>0.00%, no rate change</v>
      </c>
    </row>
    <row r="49" spans="1:29" s="457" customFormat="1" x14ac:dyDescent="0.25">
      <c r="A49" s="897"/>
      <c r="B49" s="2385" t="s">
        <v>86</v>
      </c>
      <c r="C49" s="1656" t="s">
        <v>79</v>
      </c>
      <c r="D49" s="340">
        <f>44.66+2.49</f>
        <v>47.15</v>
      </c>
      <c r="E49" s="899" t="str">
        <f>TEXT('MYP Assumptions'!$D$61,"0.00%")&amp;", Medicare rate"</f>
        <v>1.45%, Medicare rate</v>
      </c>
      <c r="F49" s="340"/>
      <c r="G49" s="456">
        <f t="shared" si="22"/>
        <v>1.6935312831389182</v>
      </c>
      <c r="H49" s="340">
        <f>122+5</f>
        <v>127</v>
      </c>
      <c r="I49" s="899" t="str">
        <f>TEXT('MYP Assumptions'!E61,"0.00%")&amp;", no rate change"</f>
        <v>1.45%, no rate change</v>
      </c>
      <c r="J49" s="455"/>
      <c r="K49" s="456">
        <f t="shared" si="23"/>
        <v>-0.48031496062992124</v>
      </c>
      <c r="L49" s="340">
        <f>61+5</f>
        <v>66</v>
      </c>
      <c r="M49" s="899" t="str">
        <f>TEXT('MYP Assumptions'!F61,"0.00%")&amp;", no rate change"</f>
        <v>1.45%, no rate change</v>
      </c>
      <c r="O49" s="456">
        <f t="shared" si="24"/>
        <v>0</v>
      </c>
      <c r="P49" s="340">
        <f>ROUND((P43+P32)*LEFT(Q49,5),0)</f>
        <v>66</v>
      </c>
      <c r="Q49" s="899" t="str">
        <f>TEXT('MYP Assumptions'!G61,"0.00%")&amp;", no rate change"</f>
        <v>1.45%, no rate change</v>
      </c>
      <c r="R49" s="592"/>
      <c r="S49" s="2238">
        <f t="shared" si="25"/>
        <v>0</v>
      </c>
      <c r="T49" s="340">
        <f>ROUND((T43+T32)*LEFT(U49,5),0)</f>
        <v>66</v>
      </c>
      <c r="U49" s="953" t="str">
        <f>TEXT('MYP Assumptions'!H61,"0.00%")&amp;", no rate change"</f>
        <v>1.45%, no rate change</v>
      </c>
      <c r="V49" s="952"/>
      <c r="W49" s="2241">
        <f t="shared" si="26"/>
        <v>1.5151515151515152E-2</v>
      </c>
      <c r="X49" s="340">
        <f>ROUND((X43+X32)*LEFT(Y49,5),0)</f>
        <v>67</v>
      </c>
      <c r="Y49" s="953" t="str">
        <f>TEXT('MYP Assumptions'!I61,"0.00%")&amp;", no rate change"</f>
        <v>1.45%, no rate change</v>
      </c>
      <c r="AA49" s="456">
        <f t="shared" si="27"/>
        <v>-1</v>
      </c>
      <c r="AB49" s="340">
        <f>ROUND((AB43+AB32)*LEFT(AC49,5),0)</f>
        <v>0</v>
      </c>
      <c r="AC49" s="953" t="str">
        <f>TEXT('MYP Assumptions'!J61,"0.00%")&amp;", no rate change"</f>
        <v>0.00%, no rate change</v>
      </c>
    </row>
    <row r="50" spans="1:29" s="457" customFormat="1" x14ac:dyDescent="0.25">
      <c r="A50" s="897"/>
      <c r="B50" s="2385" t="s">
        <v>87</v>
      </c>
      <c r="C50" s="1656" t="s">
        <v>80</v>
      </c>
      <c r="D50" s="340">
        <v>0</v>
      </c>
      <c r="E50" s="899"/>
      <c r="F50" s="340"/>
      <c r="G50" s="456" t="str">
        <f t="shared" si="22"/>
        <v>0.00%</v>
      </c>
      <c r="H50" s="340"/>
      <c r="I50" s="899"/>
      <c r="J50" s="455"/>
      <c r="K50" s="456" t="str">
        <f t="shared" si="23"/>
        <v>0.00%</v>
      </c>
      <c r="L50" s="340">
        <v>0</v>
      </c>
      <c r="M50" s="899" t="str">
        <f>TEXT('MYP Assumptions'!$I$68,"0.00%")&amp;", projected increase"</f>
        <v>5.00%, projected increase</v>
      </c>
      <c r="O50" s="456" t="str">
        <f t="shared" si="24"/>
        <v>0.00%</v>
      </c>
      <c r="P50" s="340">
        <f>ROUND((L50)*(LEFT(Q50,5)+1),0)</f>
        <v>0</v>
      </c>
      <c r="Q50" s="899" t="str">
        <f>TEXT('MYP Assumptions'!$I$68,"0.00%")&amp;", projected increase"</f>
        <v>5.00%, projected increase</v>
      </c>
      <c r="R50" s="592"/>
      <c r="S50" s="2238" t="str">
        <f t="shared" si="25"/>
        <v>0.00%</v>
      </c>
      <c r="T50" s="340">
        <f>ROUND((P50)*(LEFT(U50,5)+1),0)</f>
        <v>0</v>
      </c>
      <c r="U50" s="953" t="str">
        <f>TEXT('MYP Assumptions'!$I$68,"0.00%")&amp;", projected increase"</f>
        <v>5.00%, projected increase</v>
      </c>
      <c r="V50" s="952"/>
      <c r="W50" s="2241" t="str">
        <f t="shared" si="26"/>
        <v>0.00%</v>
      </c>
      <c r="X50" s="340">
        <f>ROUND((T50)*(LEFT(Y50,5)+1),0)</f>
        <v>0</v>
      </c>
      <c r="Y50" s="953" t="str">
        <f>TEXT('MYP Assumptions'!$I$68,"0.00%")&amp;", projected increase"</f>
        <v>5.00%, projected increase</v>
      </c>
      <c r="AA50" s="456" t="str">
        <f t="shared" si="27"/>
        <v>0.00%</v>
      </c>
      <c r="AB50" s="340">
        <f>ROUND((X50)*(LEFT(AC50,5)+1),0)</f>
        <v>0</v>
      </c>
      <c r="AC50" s="953" t="str">
        <f>TEXT('MYP Assumptions'!$I$68,"0.00%")&amp;", projected increase"</f>
        <v>5.00%, projected increase</v>
      </c>
    </row>
    <row r="51" spans="1:29" s="457" customFormat="1" x14ac:dyDescent="0.25">
      <c r="A51" s="897"/>
      <c r="B51" s="2385" t="s">
        <v>88</v>
      </c>
      <c r="C51" s="1656" t="s">
        <v>81</v>
      </c>
      <c r="D51" s="340">
        <f>1.55+0.09</f>
        <v>1.6400000000000001</v>
      </c>
      <c r="E51" s="899" t="str">
        <f>TEXT('MYP Assumptions'!$D$62,"0.00%")&amp;", SUI rate"</f>
        <v>0.05%, SUI rate</v>
      </c>
      <c r="F51" s="340"/>
      <c r="G51" s="456">
        <f t="shared" si="22"/>
        <v>1.4390243902439022</v>
      </c>
      <c r="H51" s="340">
        <v>4</v>
      </c>
      <c r="I51" s="899" t="str">
        <f>TEXT('MYP Assumptions'!E62,"0.00%")&amp;", no rate change"</f>
        <v>0.05%, no rate change</v>
      </c>
      <c r="J51" s="455"/>
      <c r="K51" s="456">
        <f t="shared" si="23"/>
        <v>-0.5</v>
      </c>
      <c r="L51" s="340">
        <v>2</v>
      </c>
      <c r="M51" s="899" t="str">
        <f>TEXT('MYP Assumptions'!F62,"0.00%")&amp;", no rate change"</f>
        <v>0.05%, no rate change</v>
      </c>
      <c r="O51" s="456">
        <f t="shared" si="24"/>
        <v>0</v>
      </c>
      <c r="P51" s="340">
        <f>ROUND((P43+P32)*LEFT(Q51,5),0)</f>
        <v>2</v>
      </c>
      <c r="Q51" s="899" t="str">
        <f>TEXT('MYP Assumptions'!G62,"0.00%")&amp;", no rate change"</f>
        <v>0.05%, no rate change</v>
      </c>
      <c r="R51" s="592"/>
      <c r="S51" s="2238">
        <f t="shared" si="25"/>
        <v>0</v>
      </c>
      <c r="T51" s="340">
        <f>ROUND((T43+T32)*LEFT(U51,5),0)</f>
        <v>2</v>
      </c>
      <c r="U51" s="953" t="str">
        <f>TEXT('MYP Assumptions'!H62,"0.00%")&amp;", no rate change"</f>
        <v>0.05%, no rate change</v>
      </c>
      <c r="V51" s="952"/>
      <c r="W51" s="2241">
        <f t="shared" si="26"/>
        <v>0</v>
      </c>
      <c r="X51" s="340">
        <f>ROUND((X43+X32)*LEFT(Y51,5),0)</f>
        <v>2</v>
      </c>
      <c r="Y51" s="953" t="str">
        <f>TEXT('MYP Assumptions'!I62,"0.00%")&amp;", no rate change"</f>
        <v>0.05%, no rate change</v>
      </c>
      <c r="AA51" s="456">
        <f t="shared" si="27"/>
        <v>-1</v>
      </c>
      <c r="AB51" s="340">
        <f>ROUND((AB43+AB32)*LEFT(AC51,5),0)</f>
        <v>0</v>
      </c>
      <c r="AC51" s="953" t="str">
        <f>TEXT('MYP Assumptions'!J62,"0.00%")&amp;", no rate change"</f>
        <v>0.00%, no rate change</v>
      </c>
    </row>
    <row r="52" spans="1:29" s="457" customFormat="1" x14ac:dyDescent="0.25">
      <c r="A52" s="897"/>
      <c r="B52" s="2385" t="s">
        <v>89</v>
      </c>
      <c r="C52" s="1656" t="s">
        <v>82</v>
      </c>
      <c r="D52" s="340">
        <f>33.88+1.89</f>
        <v>35.770000000000003</v>
      </c>
      <c r="E52" s="899" t="str">
        <f>TEXT('MYP Assumptions'!$D$63,"0.00%")&amp;", W/C rate"</f>
        <v>1.10%, W/C rate</v>
      </c>
      <c r="F52" s="340"/>
      <c r="G52" s="456">
        <f t="shared" si="22"/>
        <v>1.6838132513279283</v>
      </c>
      <c r="H52" s="340">
        <f>92+4</f>
        <v>96</v>
      </c>
      <c r="I52" s="899" t="str">
        <f>TEXT('MYP Assumptions'!E63,"0.00%")&amp;", no rate change"</f>
        <v>0.80%, no rate change</v>
      </c>
      <c r="J52" s="455"/>
      <c r="K52" s="456">
        <f t="shared" si="23"/>
        <v>-0.61458333333333337</v>
      </c>
      <c r="L52" s="340">
        <f>34+3</f>
        <v>37</v>
      </c>
      <c r="M52" s="899" t="str">
        <f>TEXT('MYP Assumptions'!F63,"0.00%")&amp;", no rate change"</f>
        <v>0.80%, no rate change</v>
      </c>
      <c r="O52" s="456">
        <f t="shared" si="24"/>
        <v>-2.7027027027027029E-2</v>
      </c>
      <c r="P52" s="340">
        <f>ROUND((P43+P32)*LEFT(Q52,5),0)</f>
        <v>36</v>
      </c>
      <c r="Q52" s="899" t="str">
        <f>TEXT('MYP Assumptions'!G63,"0.00%")&amp;", no rate change"</f>
        <v>0.80%, no rate change</v>
      </c>
      <c r="R52" s="592"/>
      <c r="S52" s="2238">
        <f t="shared" si="25"/>
        <v>0</v>
      </c>
      <c r="T52" s="340">
        <f>ROUND((T43+T32)*LEFT(U52,5),0)</f>
        <v>36</v>
      </c>
      <c r="U52" s="953" t="str">
        <f>TEXT('MYP Assumptions'!H63,"0.00%")&amp;", no rate change"</f>
        <v>0.80%, no rate change</v>
      </c>
      <c r="V52" s="952"/>
      <c r="W52" s="2241">
        <f t="shared" si="26"/>
        <v>2.7777777777777776E-2</v>
      </c>
      <c r="X52" s="340">
        <f>ROUND((X43+X32)*LEFT(Y52,5),0)</f>
        <v>37</v>
      </c>
      <c r="Y52" s="953" t="str">
        <f>TEXT('MYP Assumptions'!I63,"0.00%")&amp;", no rate change"</f>
        <v>0.80%, no rate change</v>
      </c>
      <c r="AA52" s="456">
        <f t="shared" si="27"/>
        <v>-1</v>
      </c>
      <c r="AB52" s="340">
        <f>ROUND((AB43+AB32)*LEFT(AC52,5),0)</f>
        <v>0</v>
      </c>
      <c r="AC52" s="953" t="str">
        <f>TEXT('MYP Assumptions'!J63,"0.00%")&amp;", no rate change"</f>
        <v>0.00%, no rate change</v>
      </c>
    </row>
    <row r="53" spans="1:29" s="457" customFormat="1" x14ac:dyDescent="0.25">
      <c r="A53" s="897"/>
      <c r="B53" s="2441" t="s">
        <v>469</v>
      </c>
      <c r="C53" s="2386" t="s">
        <v>470</v>
      </c>
      <c r="D53" s="340">
        <v>0</v>
      </c>
      <c r="E53" s="2386"/>
      <c r="F53" s="340"/>
      <c r="G53" s="456" t="str">
        <f t="shared" si="22"/>
        <v>0.00%</v>
      </c>
      <c r="H53" s="340">
        <f>D53</f>
        <v>0</v>
      </c>
      <c r="I53" s="899" t="s">
        <v>165</v>
      </c>
      <c r="J53" s="455"/>
      <c r="K53" s="456" t="str">
        <f t="shared" si="23"/>
        <v>0.00%</v>
      </c>
      <c r="L53" s="340">
        <v>0</v>
      </c>
      <c r="M53" s="899" t="s">
        <v>165</v>
      </c>
      <c r="O53" s="456" t="str">
        <f t="shared" si="24"/>
        <v>0.00%</v>
      </c>
      <c r="P53" s="340">
        <f>L53</f>
        <v>0</v>
      </c>
      <c r="Q53" s="899" t="s">
        <v>165</v>
      </c>
      <c r="R53" s="592"/>
      <c r="S53" s="2238" t="str">
        <f t="shared" si="25"/>
        <v>0.00%</v>
      </c>
      <c r="T53" s="340">
        <f>P53</f>
        <v>0</v>
      </c>
      <c r="U53" s="953" t="s">
        <v>165</v>
      </c>
      <c r="V53" s="952"/>
      <c r="W53" s="2241" t="str">
        <f t="shared" si="26"/>
        <v>0.00%</v>
      </c>
      <c r="X53" s="340">
        <f>T53</f>
        <v>0</v>
      </c>
      <c r="Y53" s="953" t="s">
        <v>165</v>
      </c>
      <c r="AA53" s="456" t="str">
        <f t="shared" si="27"/>
        <v>0.00%</v>
      </c>
      <c r="AB53" s="340">
        <f>X53</f>
        <v>0</v>
      </c>
      <c r="AC53" s="953" t="s">
        <v>165</v>
      </c>
    </row>
    <row r="54" spans="1:29" s="457" customFormat="1" x14ac:dyDescent="0.25">
      <c r="A54" s="897"/>
      <c r="B54" s="2441" t="s">
        <v>91</v>
      </c>
      <c r="C54" s="2386" t="s">
        <v>93</v>
      </c>
      <c r="D54" s="340">
        <v>0</v>
      </c>
      <c r="E54" s="2386"/>
      <c r="F54" s="340"/>
      <c r="G54" s="456" t="str">
        <f t="shared" ref="G54" si="28">IF(D54=0,"0.00%",(H54-D54)/D54)</f>
        <v>0.00%</v>
      </c>
      <c r="H54" s="340">
        <f>D54</f>
        <v>0</v>
      </c>
      <c r="I54" s="899" t="s">
        <v>165</v>
      </c>
      <c r="J54" s="455"/>
      <c r="K54" s="456" t="str">
        <f t="shared" ref="K54" si="29">IF(H54=0,"0.00%",(L54-H54)/H54)</f>
        <v>0.00%</v>
      </c>
      <c r="L54" s="340">
        <v>0</v>
      </c>
      <c r="M54" s="899" t="s">
        <v>165</v>
      </c>
      <c r="O54" s="456" t="str">
        <f t="shared" ref="O54" si="30">IF(L54=0,"0.00%",(P54-L54)/L54)</f>
        <v>0.00%</v>
      </c>
      <c r="P54" s="340">
        <f>L54</f>
        <v>0</v>
      </c>
      <c r="Q54" s="899" t="s">
        <v>165</v>
      </c>
      <c r="R54" s="592"/>
      <c r="S54" s="2238" t="str">
        <f t="shared" ref="S54" si="31">IF(P54=0,"0.00%",(T54-P54)/P54)</f>
        <v>0.00%</v>
      </c>
      <c r="T54" s="340">
        <f>P54</f>
        <v>0</v>
      </c>
      <c r="U54" s="953" t="s">
        <v>165</v>
      </c>
      <c r="V54" s="952"/>
      <c r="W54" s="2241"/>
      <c r="X54" s="340"/>
      <c r="Y54" s="953"/>
      <c r="AA54" s="456"/>
      <c r="AB54" s="340"/>
      <c r="AC54" s="953"/>
    </row>
    <row r="55" spans="1:29" s="457" customFormat="1" x14ac:dyDescent="0.25">
      <c r="A55" s="898"/>
      <c r="B55" s="2385"/>
      <c r="C55" s="1656"/>
      <c r="D55" s="458">
        <f>SUM(D46:D54)</f>
        <v>441</v>
      </c>
      <c r="E55" s="2386"/>
      <c r="F55" s="340"/>
      <c r="G55" s="456">
        <f t="shared" si="22"/>
        <v>2.4331065759637189</v>
      </c>
      <c r="H55" s="458">
        <f>SUM(H46:H54)</f>
        <v>1514</v>
      </c>
      <c r="I55" s="2316">
        <f>+H55-D55</f>
        <v>1073</v>
      </c>
      <c r="J55" s="459"/>
      <c r="K55" s="456">
        <f t="shared" si="23"/>
        <v>-0.42404227212681639</v>
      </c>
      <c r="L55" s="458">
        <f>SUM(L46:L54)</f>
        <v>872</v>
      </c>
      <c r="M55" s="2316">
        <f>+L55-H55</f>
        <v>-642</v>
      </c>
      <c r="O55" s="456">
        <f t="shared" si="24"/>
        <v>9.862385321100918E-2</v>
      </c>
      <c r="P55" s="458">
        <f>SUM(P46:P54)</f>
        <v>958</v>
      </c>
      <c r="Q55" s="2316">
        <f>+P55-L55</f>
        <v>86</v>
      </c>
      <c r="R55" s="592"/>
      <c r="S55" s="2238">
        <f t="shared" si="25"/>
        <v>5.2192066805845511E-2</v>
      </c>
      <c r="T55" s="458">
        <f>SUM(T46:T54)</f>
        <v>1008</v>
      </c>
      <c r="U55" s="2344"/>
      <c r="V55" s="952"/>
      <c r="W55" s="2241">
        <f t="shared" si="26"/>
        <v>2.48015873015873E-2</v>
      </c>
      <c r="X55" s="458">
        <f>SUM(X46:X54)</f>
        <v>1033</v>
      </c>
      <c r="Y55" s="2344"/>
      <c r="AA55" s="456" t="e">
        <f t="shared" si="27"/>
        <v>#VALUE!</v>
      </c>
      <c r="AB55" s="458" t="e">
        <f>SUM(AB46:AB54)</f>
        <v>#VALUE!</v>
      </c>
      <c r="AC55" s="2344"/>
    </row>
    <row r="56" spans="1:29" s="457" customFormat="1" x14ac:dyDescent="0.25">
      <c r="A56" s="868"/>
      <c r="B56" s="2385"/>
      <c r="C56" s="1656"/>
      <c r="D56" s="340"/>
      <c r="E56" s="2386"/>
      <c r="F56" s="340"/>
      <c r="G56" s="2338"/>
      <c r="H56" s="340"/>
      <c r="I56" s="897"/>
      <c r="J56" s="455"/>
      <c r="K56" s="1668"/>
      <c r="L56" s="340"/>
      <c r="M56" s="901"/>
      <c r="O56" s="1668"/>
      <c r="P56" s="340"/>
      <c r="Q56" s="901"/>
      <c r="R56" s="592"/>
      <c r="S56" s="2341"/>
      <c r="T56" s="340"/>
      <c r="U56" s="2344"/>
      <c r="V56" s="952"/>
      <c r="W56" s="2343"/>
      <c r="X56" s="340"/>
      <c r="Y56" s="2344"/>
      <c r="AA56" s="1668"/>
      <c r="AB56" s="340"/>
      <c r="AC56" s="2344"/>
    </row>
    <row r="57" spans="1:29" s="457" customFormat="1" x14ac:dyDescent="0.25">
      <c r="A57" s="898"/>
      <c r="B57" s="2337" t="s">
        <v>26</v>
      </c>
      <c r="C57" s="1656"/>
      <c r="D57" s="458">
        <f>SUM(D55,D43,D32)</f>
        <v>3273.02</v>
      </c>
      <c r="E57" s="2386"/>
      <c r="F57" s="340"/>
      <c r="G57" s="456">
        <f>IF(D57=0,"0.00%",(H57-D57)/D57)</f>
        <v>0.16681230178856224</v>
      </c>
      <c r="H57" s="458">
        <f>SUM(H55,H43,H32)</f>
        <v>3819</v>
      </c>
      <c r="I57" s="2316">
        <f>+H57-D57</f>
        <v>545.98</v>
      </c>
      <c r="J57" s="459"/>
      <c r="K57" s="456">
        <f>IF(H57=0,"0.00%",(L57-H57)/H57)</f>
        <v>0.41843414506415294</v>
      </c>
      <c r="L57" s="458">
        <f>SUM(L55,L43,L32)</f>
        <v>5417</v>
      </c>
      <c r="M57" s="2316">
        <f>+L57-H57</f>
        <v>1598</v>
      </c>
      <c r="O57" s="456">
        <f>IF(L57=0,"0.00%",(P57-L57)/L57)</f>
        <v>1.5875946095624885E-2</v>
      </c>
      <c r="P57" s="458">
        <f>SUM(P55,P43,P32)</f>
        <v>5503</v>
      </c>
      <c r="Q57" s="2316">
        <f>+P57-L57</f>
        <v>86</v>
      </c>
      <c r="R57" s="592"/>
      <c r="S57" s="2238">
        <f>IF(P57=0,"0.00%",(T57-P57)/P57)</f>
        <v>9.0859531164819186E-3</v>
      </c>
      <c r="T57" s="458">
        <f>SUM(T55,T43,T32)</f>
        <v>5553</v>
      </c>
      <c r="U57" s="2344"/>
      <c r="V57" s="952"/>
      <c r="W57" s="2241">
        <f>IF(T57=0,"0.00%",(X57-T57)/T57)</f>
        <v>2.0889609220241311E-2</v>
      </c>
      <c r="X57" s="458">
        <f>SUM(X55,X43,X32)</f>
        <v>5669</v>
      </c>
      <c r="Y57" s="2344"/>
      <c r="AA57" s="456" t="e">
        <f>IF(X57=0,"0.00%",(AB57-X57)/X57)</f>
        <v>#VALUE!</v>
      </c>
      <c r="AB57" s="458" t="e">
        <f>SUM(AB55,AB43,AB32)</f>
        <v>#VALUE!</v>
      </c>
      <c r="AC57" s="2344"/>
    </row>
    <row r="58" spans="1:29" s="457" customFormat="1" x14ac:dyDescent="0.25">
      <c r="A58" s="2339"/>
      <c r="B58" s="2345"/>
      <c r="C58" s="1656"/>
      <c r="D58" s="340"/>
      <c r="E58" s="2386"/>
      <c r="F58" s="340"/>
      <c r="G58" s="2338"/>
      <c r="H58" s="340"/>
      <c r="I58" s="897"/>
      <c r="J58" s="455"/>
      <c r="K58" s="1668"/>
      <c r="L58" s="340"/>
      <c r="M58" s="901"/>
      <c r="O58" s="1668"/>
      <c r="P58" s="340"/>
      <c r="Q58" s="901"/>
      <c r="R58" s="592"/>
      <c r="S58" s="2341"/>
      <c r="T58" s="340"/>
      <c r="U58" s="2344"/>
      <c r="V58" s="952"/>
      <c r="W58" s="2343"/>
      <c r="X58" s="340"/>
      <c r="Y58" s="2344"/>
      <c r="AA58" s="1668"/>
      <c r="AB58" s="340"/>
      <c r="AC58" s="2344"/>
    </row>
    <row r="59" spans="1:29" s="457" customFormat="1" x14ac:dyDescent="0.25">
      <c r="A59" s="897"/>
      <c r="B59" s="2345"/>
      <c r="C59" s="1656"/>
      <c r="D59" s="340"/>
      <c r="E59" s="2386"/>
      <c r="F59" s="340"/>
      <c r="G59" s="2338"/>
      <c r="H59" s="340"/>
      <c r="I59" s="897"/>
      <c r="J59" s="455"/>
      <c r="K59" s="1668"/>
      <c r="L59" s="340"/>
      <c r="M59" s="901"/>
      <c r="O59" s="1668"/>
      <c r="P59" s="340"/>
      <c r="Q59" s="901"/>
      <c r="R59" s="592"/>
      <c r="S59" s="2341"/>
      <c r="T59" s="340"/>
      <c r="U59" s="2344"/>
      <c r="V59" s="952"/>
      <c r="W59" s="2343"/>
      <c r="X59" s="340"/>
      <c r="Y59" s="2344"/>
      <c r="AA59" s="1668"/>
      <c r="AB59" s="340"/>
      <c r="AC59" s="2344"/>
    </row>
    <row r="60" spans="1:29" s="457" customFormat="1" x14ac:dyDescent="0.25">
      <c r="A60" s="2339"/>
      <c r="B60" s="2440" t="s">
        <v>25</v>
      </c>
      <c r="C60" s="900"/>
      <c r="D60" s="340"/>
      <c r="E60" s="2386"/>
      <c r="F60" s="340"/>
      <c r="G60" s="2338"/>
      <c r="H60" s="340"/>
      <c r="I60" s="897"/>
      <c r="J60" s="455"/>
      <c r="K60" s="1668"/>
      <c r="L60" s="340"/>
      <c r="M60" s="901"/>
      <c r="O60" s="1668"/>
      <c r="P60" s="340"/>
      <c r="Q60" s="901"/>
      <c r="R60" s="592"/>
      <c r="S60" s="2341"/>
      <c r="T60" s="340"/>
      <c r="U60" s="2344"/>
      <c r="V60" s="952"/>
      <c r="W60" s="2343"/>
      <c r="X60" s="340"/>
      <c r="Y60" s="2344"/>
      <c r="AA60" s="1668"/>
      <c r="AB60" s="340"/>
      <c r="AC60" s="2344"/>
    </row>
    <row r="61" spans="1:29" s="457" customFormat="1" x14ac:dyDescent="0.25">
      <c r="A61" s="897"/>
      <c r="B61" s="2385">
        <v>4310</v>
      </c>
      <c r="C61" s="1656" t="s">
        <v>274</v>
      </c>
      <c r="D61" s="340">
        <v>23780.36</v>
      </c>
      <c r="E61" s="2386"/>
      <c r="F61" s="340"/>
      <c r="G61" s="456">
        <f t="shared" ref="G61:G71" si="32">IF(D61=0,"0.00%",(H61-D61)/D61)</f>
        <v>-0.43844416148451915</v>
      </c>
      <c r="H61" s="340">
        <v>13354</v>
      </c>
      <c r="I61" s="899"/>
      <c r="J61" s="455"/>
      <c r="K61" s="456">
        <f t="shared" ref="K61:K71" si="33">IF(H61=0,"0.00%",(L61-H61)/H61)</f>
        <v>5.2718286655683691E-2</v>
      </c>
      <c r="L61" s="340">
        <v>14058</v>
      </c>
      <c r="M61" s="899"/>
      <c r="O61" s="456">
        <f t="shared" ref="O61:O71" si="34">IF(L61=0,"0.00%",(P61-L61)/L61)</f>
        <v>-6.1175131597666806E-3</v>
      </c>
      <c r="P61" s="340">
        <v>13972</v>
      </c>
      <c r="Q61" s="899"/>
      <c r="R61" s="592"/>
      <c r="S61" s="2238">
        <f t="shared" ref="S61:S71" si="35">IF(P61=0,"0.00%",(T61-P61)/P61)</f>
        <v>-3.5785857429144001E-3</v>
      </c>
      <c r="T61" s="340">
        <v>13922</v>
      </c>
      <c r="U61" s="953"/>
      <c r="V61" s="952"/>
      <c r="W61" s="2241">
        <f t="shared" ref="W61:W71" si="36">IF(T61=0,"0.00%",(X61-T61)/T61)</f>
        <v>2.7294928889527368E-2</v>
      </c>
      <c r="X61" s="340">
        <f>ROUND(T61*(LEFT(Y61,5)+1),0)</f>
        <v>14302</v>
      </c>
      <c r="Y61" s="953" t="str">
        <f>TEXT('MYP Assumptions'!I78,"0.00%")&amp;", CPI"</f>
        <v>2.73%, CPI</v>
      </c>
      <c r="AA61" s="456">
        <f t="shared" ref="AA61:AA71" si="37">IF(X61=0,"0.00%",(AB61-X61)/X61)</f>
        <v>2.7268913438679904E-2</v>
      </c>
      <c r="AB61" s="340">
        <f>ROUND(X61*(LEFT(AC61,5)+1),0)</f>
        <v>14692</v>
      </c>
      <c r="AC61" s="953" t="str">
        <f>TEXT('MYP Assumptions'!J78,"0.00%")&amp;", CPI"</f>
        <v>2.73%, CPI</v>
      </c>
    </row>
    <row r="62" spans="1:29" s="457" customFormat="1" hidden="1" x14ac:dyDescent="0.25">
      <c r="A62" s="897"/>
      <c r="B62" s="2385"/>
      <c r="C62" s="1656"/>
      <c r="D62" s="340">
        <v>0</v>
      </c>
      <c r="E62" s="2386"/>
      <c r="F62" s="340"/>
      <c r="G62" s="456" t="str">
        <f t="shared" si="32"/>
        <v>0.00%</v>
      </c>
      <c r="H62" s="340">
        <f t="shared" ref="H62:H70" si="38">ROUND(D62*(LEFT(I62,5)+1),0)</f>
        <v>0</v>
      </c>
      <c r="I62" s="899" t="str">
        <f>TEXT('MYP Assumptions'!E78,"0.00%")&amp;", CPI"</f>
        <v>3.37%, CPI</v>
      </c>
      <c r="J62" s="455"/>
      <c r="K62" s="456" t="str">
        <f t="shared" si="33"/>
        <v>0.00%</v>
      </c>
      <c r="L62" s="340">
        <f t="shared" ref="L62:L65" si="39">ROUND(H62*(LEFT(M62,5)+1),0)</f>
        <v>0</v>
      </c>
      <c r="M62" s="899" t="str">
        <f>TEXT('MYP Assumptions'!F78,"0.00%")&amp;", CPI"</f>
        <v>3.58%, CPI</v>
      </c>
      <c r="O62" s="456" t="str">
        <f t="shared" si="34"/>
        <v>0.00%</v>
      </c>
      <c r="P62" s="340">
        <f t="shared" ref="P62:P65" si="40">ROUND(L62*(LEFT(Q62,5)+1),0)</f>
        <v>0</v>
      </c>
      <c r="Q62" s="899" t="str">
        <f>TEXT('MYP Assumptions'!G78,"0.00%")&amp;", CPI"</f>
        <v>3.36%, CPI</v>
      </c>
      <c r="R62" s="592"/>
      <c r="S62" s="2238" t="str">
        <f t="shared" si="35"/>
        <v>0.00%</v>
      </c>
      <c r="T62" s="340">
        <f t="shared" ref="T62:T70" si="41">ROUND(P62*(LEFT(U62,5)+1),0)</f>
        <v>0</v>
      </c>
      <c r="U62" s="953" t="str">
        <f>TEXT('MYP Assumptions'!H78,"0.00%")&amp;", CPI"</f>
        <v>3.23%, CPI</v>
      </c>
      <c r="V62" s="952"/>
      <c r="W62" s="2241" t="str">
        <f t="shared" si="36"/>
        <v>0.00%</v>
      </c>
      <c r="X62" s="340">
        <f t="shared" ref="X62:X70" si="42">ROUND(T62*(LEFT(Y62,5)+1),0)</f>
        <v>0</v>
      </c>
      <c r="Y62" s="953" t="str">
        <f>TEXT('MYP Assumptions'!I78,"0.00%")&amp;", CPI"</f>
        <v>2.73%, CPI</v>
      </c>
      <c r="AA62" s="456" t="str">
        <f t="shared" si="37"/>
        <v>0.00%</v>
      </c>
      <c r="AB62" s="340">
        <f t="shared" ref="AB62:AB70" si="43">ROUND(X62*(LEFT(AC62,5)+1),0)</f>
        <v>0</v>
      </c>
      <c r="AC62" s="953" t="str">
        <f>TEXT('MYP Assumptions'!J78,"0.00%")&amp;", CPI"</f>
        <v>2.73%, CPI</v>
      </c>
    </row>
    <row r="63" spans="1:29" s="457" customFormat="1" hidden="1" x14ac:dyDescent="0.25">
      <c r="A63" s="897"/>
      <c r="B63" s="2385"/>
      <c r="C63" s="1656"/>
      <c r="D63" s="340">
        <v>0</v>
      </c>
      <c r="E63" s="2386"/>
      <c r="F63" s="340"/>
      <c r="G63" s="456" t="str">
        <f t="shared" si="32"/>
        <v>0.00%</v>
      </c>
      <c r="H63" s="340">
        <f t="shared" si="38"/>
        <v>0</v>
      </c>
      <c r="I63" s="899" t="str">
        <f>TEXT('MYP Assumptions'!E78,"0.00%")&amp;", CPI"</f>
        <v>3.37%, CPI</v>
      </c>
      <c r="J63" s="455"/>
      <c r="K63" s="456" t="str">
        <f t="shared" si="33"/>
        <v>0.00%</v>
      </c>
      <c r="L63" s="340">
        <f t="shared" si="39"/>
        <v>0</v>
      </c>
      <c r="M63" s="899" t="str">
        <f>TEXT('MYP Assumptions'!F78,"0.00%")&amp;", CPI"</f>
        <v>3.58%, CPI</v>
      </c>
      <c r="O63" s="456" t="str">
        <f t="shared" si="34"/>
        <v>0.00%</v>
      </c>
      <c r="P63" s="340">
        <f t="shared" si="40"/>
        <v>0</v>
      </c>
      <c r="Q63" s="899" t="str">
        <f>TEXT('MYP Assumptions'!G78,"0.00%")&amp;", CPI"</f>
        <v>3.36%, CPI</v>
      </c>
      <c r="R63" s="592"/>
      <c r="S63" s="2238" t="str">
        <f t="shared" si="35"/>
        <v>0.00%</v>
      </c>
      <c r="T63" s="340">
        <f t="shared" si="41"/>
        <v>0</v>
      </c>
      <c r="U63" s="953" t="str">
        <f>TEXT('MYP Assumptions'!H78,"0.00%")&amp;", CPI"</f>
        <v>3.23%, CPI</v>
      </c>
      <c r="V63" s="952"/>
      <c r="W63" s="2241" t="str">
        <f t="shared" si="36"/>
        <v>0.00%</v>
      </c>
      <c r="X63" s="340">
        <f t="shared" si="42"/>
        <v>0</v>
      </c>
      <c r="Y63" s="953" t="str">
        <f>TEXT('MYP Assumptions'!I78,"0.00%")&amp;", CPI"</f>
        <v>2.73%, CPI</v>
      </c>
      <c r="AA63" s="456" t="str">
        <f t="shared" si="37"/>
        <v>0.00%</v>
      </c>
      <c r="AB63" s="340">
        <f t="shared" si="43"/>
        <v>0</v>
      </c>
      <c r="AC63" s="953" t="str">
        <f>TEXT('MYP Assumptions'!J78,"0.00%")&amp;", CPI"</f>
        <v>2.73%, CPI</v>
      </c>
    </row>
    <row r="64" spans="1:29" s="457" customFormat="1" hidden="1" x14ac:dyDescent="0.25">
      <c r="A64" s="897"/>
      <c r="B64" s="2385"/>
      <c r="C64" s="1656"/>
      <c r="D64" s="340">
        <v>0</v>
      </c>
      <c r="E64" s="2386"/>
      <c r="F64" s="340"/>
      <c r="G64" s="456" t="str">
        <f t="shared" si="32"/>
        <v>0.00%</v>
      </c>
      <c r="H64" s="340">
        <f t="shared" si="38"/>
        <v>0</v>
      </c>
      <c r="I64" s="899" t="str">
        <f>TEXT('MYP Assumptions'!E78,"0.00%")&amp;", CPI"</f>
        <v>3.37%, CPI</v>
      </c>
      <c r="J64" s="455"/>
      <c r="K64" s="456" t="str">
        <f t="shared" si="33"/>
        <v>0.00%</v>
      </c>
      <c r="L64" s="340">
        <f t="shared" si="39"/>
        <v>0</v>
      </c>
      <c r="M64" s="899" t="str">
        <f>TEXT('MYP Assumptions'!F78,"0.00%")&amp;", CPI"</f>
        <v>3.58%, CPI</v>
      </c>
      <c r="O64" s="456" t="str">
        <f t="shared" si="34"/>
        <v>0.00%</v>
      </c>
      <c r="P64" s="340">
        <f t="shared" si="40"/>
        <v>0</v>
      </c>
      <c r="Q64" s="899" t="str">
        <f>TEXT('MYP Assumptions'!G78,"0.00%")&amp;", CPI"</f>
        <v>3.36%, CPI</v>
      </c>
      <c r="R64" s="592"/>
      <c r="S64" s="2238" t="str">
        <f t="shared" si="35"/>
        <v>0.00%</v>
      </c>
      <c r="T64" s="340">
        <f t="shared" si="41"/>
        <v>0</v>
      </c>
      <c r="U64" s="953" t="str">
        <f>TEXT('MYP Assumptions'!H78,"0.00%")&amp;", CPI"</f>
        <v>3.23%, CPI</v>
      </c>
      <c r="V64" s="952"/>
      <c r="W64" s="2241" t="str">
        <f t="shared" si="36"/>
        <v>0.00%</v>
      </c>
      <c r="X64" s="340">
        <f t="shared" si="42"/>
        <v>0</v>
      </c>
      <c r="Y64" s="953" t="str">
        <f>TEXT('MYP Assumptions'!I78,"0.00%")&amp;", CPI"</f>
        <v>2.73%, CPI</v>
      </c>
      <c r="AA64" s="456" t="str">
        <f t="shared" si="37"/>
        <v>0.00%</v>
      </c>
      <c r="AB64" s="340">
        <f t="shared" si="43"/>
        <v>0</v>
      </c>
      <c r="AC64" s="953" t="str">
        <f>TEXT('MYP Assumptions'!J78,"0.00%")&amp;", CPI"</f>
        <v>2.73%, CPI</v>
      </c>
    </row>
    <row r="65" spans="1:29" s="457" customFormat="1" hidden="1" x14ac:dyDescent="0.25">
      <c r="A65" s="897"/>
      <c r="B65" s="2385"/>
      <c r="C65" s="1656"/>
      <c r="D65" s="340">
        <v>0</v>
      </c>
      <c r="E65" s="2386"/>
      <c r="F65" s="340"/>
      <c r="G65" s="456" t="str">
        <f t="shared" si="32"/>
        <v>0.00%</v>
      </c>
      <c r="H65" s="340">
        <f t="shared" si="38"/>
        <v>0</v>
      </c>
      <c r="I65" s="899" t="str">
        <f>TEXT('MYP Assumptions'!E78,"0.00%")&amp;", CPI"</f>
        <v>3.37%, CPI</v>
      </c>
      <c r="J65" s="455"/>
      <c r="K65" s="456" t="str">
        <f t="shared" si="33"/>
        <v>0.00%</v>
      </c>
      <c r="L65" s="340">
        <f t="shared" si="39"/>
        <v>0</v>
      </c>
      <c r="M65" s="899" t="str">
        <f>TEXT('MYP Assumptions'!F78,"0.00%")&amp;", CPI"</f>
        <v>3.58%, CPI</v>
      </c>
      <c r="O65" s="456" t="str">
        <f t="shared" si="34"/>
        <v>0.00%</v>
      </c>
      <c r="P65" s="340">
        <f t="shared" si="40"/>
        <v>0</v>
      </c>
      <c r="Q65" s="899" t="str">
        <f>TEXT('MYP Assumptions'!G78,"0.00%")&amp;", CPI"</f>
        <v>3.36%, CPI</v>
      </c>
      <c r="R65" s="592"/>
      <c r="S65" s="2238" t="str">
        <f t="shared" si="35"/>
        <v>0.00%</v>
      </c>
      <c r="T65" s="340">
        <f t="shared" si="41"/>
        <v>0</v>
      </c>
      <c r="U65" s="953" t="str">
        <f>TEXT('MYP Assumptions'!H78,"0.00%")&amp;", CPI"</f>
        <v>3.23%, CPI</v>
      </c>
      <c r="V65" s="952"/>
      <c r="W65" s="2241" t="str">
        <f t="shared" si="36"/>
        <v>0.00%</v>
      </c>
      <c r="X65" s="340">
        <f t="shared" si="42"/>
        <v>0</v>
      </c>
      <c r="Y65" s="953" t="str">
        <f>TEXT('MYP Assumptions'!I78,"0.00%")&amp;", CPI"</f>
        <v>2.73%, CPI</v>
      </c>
      <c r="AA65" s="456" t="str">
        <f t="shared" si="37"/>
        <v>0.00%</v>
      </c>
      <c r="AB65" s="340">
        <f t="shared" si="43"/>
        <v>0</v>
      </c>
      <c r="AC65" s="953" t="str">
        <f>TEXT('MYP Assumptions'!J78,"0.00%")&amp;", CPI"</f>
        <v>2.73%, CPI</v>
      </c>
    </row>
    <row r="66" spans="1:29" s="457" customFormat="1" hidden="1" x14ac:dyDescent="0.25">
      <c r="A66" s="897"/>
      <c r="B66" s="2385"/>
      <c r="C66" s="1656"/>
      <c r="D66" s="340">
        <v>0</v>
      </c>
      <c r="E66" s="2386"/>
      <c r="F66" s="340"/>
      <c r="G66" s="456" t="str">
        <f t="shared" si="32"/>
        <v>0.00%</v>
      </c>
      <c r="H66" s="340">
        <f t="shared" si="38"/>
        <v>0</v>
      </c>
      <c r="I66" s="899" t="str">
        <f>TEXT('MYP Assumptions'!$E$78,"0.00%")&amp;", CPI"</f>
        <v>3.37%, CPI</v>
      </c>
      <c r="J66" s="455"/>
      <c r="K66" s="456" t="str">
        <f t="shared" si="33"/>
        <v>0.00%</v>
      </c>
      <c r="L66" s="340">
        <f>ROUND(H66*(LEFT(M66,5)+1),0)</f>
        <v>0</v>
      </c>
      <c r="M66" s="899" t="str">
        <f>TEXT('MYP Assumptions'!$F$78,"0.00%")&amp;", CPI"</f>
        <v>3.58%, CPI</v>
      </c>
      <c r="O66" s="456" t="str">
        <f t="shared" si="34"/>
        <v>0.00%</v>
      </c>
      <c r="P66" s="340">
        <f>ROUND(L66*(LEFT(Q66,5)+1),0)</f>
        <v>0</v>
      </c>
      <c r="Q66" s="899" t="str">
        <f>TEXT('MYP Assumptions'!$G$78,"0.00%")&amp;", CPI"</f>
        <v>3.36%, CPI</v>
      </c>
      <c r="R66" s="592"/>
      <c r="S66" s="2238" t="str">
        <f t="shared" si="35"/>
        <v>0.00%</v>
      </c>
      <c r="T66" s="340">
        <f t="shared" si="41"/>
        <v>0</v>
      </c>
      <c r="U66" s="953" t="str">
        <f>TEXT('MYP Assumptions'!H78,"0.00%")&amp;", CPI"</f>
        <v>3.23%, CPI</v>
      </c>
      <c r="V66" s="952"/>
      <c r="W66" s="2241" t="str">
        <f t="shared" si="36"/>
        <v>0.00%</v>
      </c>
      <c r="X66" s="340">
        <f t="shared" si="42"/>
        <v>0</v>
      </c>
      <c r="Y66" s="953" t="str">
        <f>TEXT('MYP Assumptions'!I78,"0.00%")&amp;", CPI"</f>
        <v>2.73%, CPI</v>
      </c>
      <c r="AA66" s="456" t="str">
        <f t="shared" si="37"/>
        <v>0.00%</v>
      </c>
      <c r="AB66" s="340">
        <f t="shared" si="43"/>
        <v>0</v>
      </c>
      <c r="AC66" s="953" t="str">
        <f>TEXT('MYP Assumptions'!J78,"0.00%")&amp;", CPI"</f>
        <v>2.73%, CPI</v>
      </c>
    </row>
    <row r="67" spans="1:29" s="457" customFormat="1" hidden="1" x14ac:dyDescent="0.25">
      <c r="A67" s="897"/>
      <c r="B67" s="2385"/>
      <c r="C67" s="1656"/>
      <c r="D67" s="340">
        <v>0</v>
      </c>
      <c r="E67" s="2386"/>
      <c r="F67" s="340"/>
      <c r="G67" s="456" t="str">
        <f t="shared" si="32"/>
        <v>0.00%</v>
      </c>
      <c r="H67" s="340">
        <f t="shared" si="38"/>
        <v>0</v>
      </c>
      <c r="I67" s="899" t="str">
        <f>TEXT('MYP Assumptions'!$E$78,"0.00%")&amp;", CPI"</f>
        <v>3.37%, CPI</v>
      </c>
      <c r="J67" s="455"/>
      <c r="K67" s="456" t="str">
        <f t="shared" si="33"/>
        <v>0.00%</v>
      </c>
      <c r="L67" s="340">
        <f t="shared" ref="L67:L70" si="44">ROUND(H67*(LEFT(M67,5)+1),0)</f>
        <v>0</v>
      </c>
      <c r="M67" s="899" t="str">
        <f>TEXT('MYP Assumptions'!$F$78,"0.00%")&amp;", CPI"</f>
        <v>3.58%, CPI</v>
      </c>
      <c r="O67" s="456" t="str">
        <f t="shared" si="34"/>
        <v>0.00%</v>
      </c>
      <c r="P67" s="340">
        <f t="shared" ref="P67:P70" si="45">ROUND(L67*(LEFT(Q67,5)+1),0)</f>
        <v>0</v>
      </c>
      <c r="Q67" s="899" t="str">
        <f>TEXT('MYP Assumptions'!$G$78,"0.00%")&amp;", CPI"</f>
        <v>3.36%, CPI</v>
      </c>
      <c r="R67" s="592"/>
      <c r="S67" s="2238"/>
      <c r="T67" s="340"/>
      <c r="U67" s="953"/>
      <c r="V67" s="952"/>
      <c r="W67" s="2241"/>
      <c r="X67" s="340"/>
      <c r="Y67" s="953"/>
      <c r="AA67" s="456"/>
      <c r="AB67" s="340"/>
      <c r="AC67" s="953"/>
    </row>
    <row r="68" spans="1:29" s="457" customFormat="1" hidden="1" x14ac:dyDescent="0.25">
      <c r="A68" s="897"/>
      <c r="B68" s="2385"/>
      <c r="C68" s="1656"/>
      <c r="D68" s="340">
        <v>0</v>
      </c>
      <c r="E68" s="2386"/>
      <c r="F68" s="340"/>
      <c r="G68" s="456" t="str">
        <f t="shared" si="32"/>
        <v>0.00%</v>
      </c>
      <c r="H68" s="340">
        <f t="shared" si="38"/>
        <v>0</v>
      </c>
      <c r="I68" s="899" t="str">
        <f>TEXT('MYP Assumptions'!$E$78,"0.00%")&amp;", CPI"</f>
        <v>3.37%, CPI</v>
      </c>
      <c r="J68" s="455"/>
      <c r="K68" s="456" t="str">
        <f t="shared" si="33"/>
        <v>0.00%</v>
      </c>
      <c r="L68" s="340">
        <f t="shared" si="44"/>
        <v>0</v>
      </c>
      <c r="M68" s="899" t="str">
        <f>TEXT('MYP Assumptions'!$F$78,"0.00%")&amp;", CPI"</f>
        <v>3.58%, CPI</v>
      </c>
      <c r="O68" s="456" t="str">
        <f t="shared" si="34"/>
        <v>0.00%</v>
      </c>
      <c r="P68" s="340">
        <f t="shared" si="45"/>
        <v>0</v>
      </c>
      <c r="Q68" s="899" t="str">
        <f>TEXT('MYP Assumptions'!$G$78,"0.00%")&amp;", CPI"</f>
        <v>3.36%, CPI</v>
      </c>
      <c r="R68" s="592"/>
      <c r="S68" s="2238"/>
      <c r="T68" s="340"/>
      <c r="U68" s="953"/>
      <c r="V68" s="952"/>
      <c r="W68" s="2241"/>
      <c r="X68" s="340"/>
      <c r="Y68" s="953"/>
      <c r="AA68" s="456"/>
      <c r="AB68" s="340"/>
      <c r="AC68" s="953"/>
    </row>
    <row r="69" spans="1:29" s="457" customFormat="1" hidden="1" x14ac:dyDescent="0.25">
      <c r="A69" s="897"/>
      <c r="B69" s="2385"/>
      <c r="C69" s="1656"/>
      <c r="D69" s="340"/>
      <c r="E69" s="2386"/>
      <c r="F69" s="340"/>
      <c r="G69" s="456" t="str">
        <f t="shared" si="32"/>
        <v>0.00%</v>
      </c>
      <c r="H69" s="340">
        <f t="shared" si="38"/>
        <v>0</v>
      </c>
      <c r="I69" s="899" t="str">
        <f>TEXT('MYP Assumptions'!$E$78,"0.00%")&amp;", CPI"</f>
        <v>3.37%, CPI</v>
      </c>
      <c r="J69" s="455"/>
      <c r="K69" s="456" t="str">
        <f t="shared" si="33"/>
        <v>0.00%</v>
      </c>
      <c r="L69" s="340">
        <f t="shared" si="44"/>
        <v>0</v>
      </c>
      <c r="M69" s="899" t="str">
        <f>TEXT('MYP Assumptions'!$F$78,"0.00%")&amp;", CPI"</f>
        <v>3.58%, CPI</v>
      </c>
      <c r="O69" s="456" t="str">
        <f t="shared" si="34"/>
        <v>0.00%</v>
      </c>
      <c r="P69" s="340">
        <f t="shared" si="45"/>
        <v>0</v>
      </c>
      <c r="Q69" s="899" t="str">
        <f>TEXT('MYP Assumptions'!$G$78,"0.00%")&amp;", CPI"</f>
        <v>3.36%, CPI</v>
      </c>
      <c r="R69" s="592"/>
      <c r="S69" s="2238"/>
      <c r="T69" s="340"/>
      <c r="U69" s="953"/>
      <c r="V69" s="952"/>
      <c r="W69" s="2241"/>
      <c r="X69" s="340"/>
      <c r="Y69" s="953"/>
      <c r="AA69" s="456"/>
      <c r="AB69" s="340"/>
      <c r="AC69" s="953"/>
    </row>
    <row r="70" spans="1:29" s="457" customFormat="1" hidden="1" x14ac:dyDescent="0.25">
      <c r="A70" s="897"/>
      <c r="B70" s="2385"/>
      <c r="C70" s="1656"/>
      <c r="D70" s="340"/>
      <c r="E70" s="2386"/>
      <c r="F70" s="340"/>
      <c r="G70" s="456" t="str">
        <f t="shared" si="32"/>
        <v>0.00%</v>
      </c>
      <c r="H70" s="340">
        <f t="shared" si="38"/>
        <v>0</v>
      </c>
      <c r="I70" s="899" t="str">
        <f>TEXT('MYP Assumptions'!$E$78,"0.00%")&amp;", CPI"</f>
        <v>3.37%, CPI</v>
      </c>
      <c r="J70" s="455"/>
      <c r="K70" s="456" t="str">
        <f t="shared" si="33"/>
        <v>0.00%</v>
      </c>
      <c r="L70" s="340">
        <f t="shared" si="44"/>
        <v>0</v>
      </c>
      <c r="M70" s="899" t="str">
        <f>TEXT('MYP Assumptions'!$F$78,"0.00%")&amp;", CPI"</f>
        <v>3.58%, CPI</v>
      </c>
      <c r="O70" s="456" t="str">
        <f t="shared" si="34"/>
        <v>0.00%</v>
      </c>
      <c r="P70" s="340">
        <f t="shared" si="45"/>
        <v>0</v>
      </c>
      <c r="Q70" s="899" t="str">
        <f>TEXT('MYP Assumptions'!$G$78,"0.00%")&amp;", CPI"</f>
        <v>3.36%, CPI</v>
      </c>
      <c r="R70" s="592"/>
      <c r="S70" s="2238" t="str">
        <f t="shared" si="35"/>
        <v>0.00%</v>
      </c>
      <c r="T70" s="340">
        <f t="shared" si="41"/>
        <v>0</v>
      </c>
      <c r="U70" s="953" t="str">
        <f>TEXT('MYP Assumptions'!H78,"0.00%")&amp;", CPI"</f>
        <v>3.23%, CPI</v>
      </c>
      <c r="V70" s="952"/>
      <c r="W70" s="2241" t="str">
        <f t="shared" si="36"/>
        <v>0.00%</v>
      </c>
      <c r="X70" s="340">
        <f t="shared" si="42"/>
        <v>0</v>
      </c>
      <c r="Y70" s="953" t="str">
        <f>TEXT('MYP Assumptions'!I78,"0.00%")&amp;", CPI"</f>
        <v>2.73%, CPI</v>
      </c>
      <c r="AA70" s="456" t="str">
        <f t="shared" si="37"/>
        <v>0.00%</v>
      </c>
      <c r="AB70" s="340">
        <f t="shared" si="43"/>
        <v>0</v>
      </c>
      <c r="AC70" s="953" t="str">
        <f>TEXT('MYP Assumptions'!J78,"0.00%")&amp;", CPI"</f>
        <v>2.73%, CPI</v>
      </c>
    </row>
    <row r="71" spans="1:29" s="457" customFormat="1" x14ac:dyDescent="0.25">
      <c r="A71" s="898"/>
      <c r="B71" s="2215"/>
      <c r="C71" s="1656"/>
      <c r="D71" s="458">
        <f>SUM(D61:D70)</f>
        <v>23780.36</v>
      </c>
      <c r="E71" s="2386"/>
      <c r="F71" s="340"/>
      <c r="G71" s="456">
        <f t="shared" si="32"/>
        <v>-0.43844416148451915</v>
      </c>
      <c r="H71" s="458">
        <f>SUM(H61:H70)</f>
        <v>13354</v>
      </c>
      <c r="I71" s="2316">
        <f>+H71-D71</f>
        <v>-10426.36</v>
      </c>
      <c r="J71" s="459"/>
      <c r="K71" s="456">
        <f t="shared" si="33"/>
        <v>5.2718286655683691E-2</v>
      </c>
      <c r="L71" s="458">
        <f>SUM(L61:L70)</f>
        <v>14058</v>
      </c>
      <c r="M71" s="2316">
        <f>+L71-H71</f>
        <v>704</v>
      </c>
      <c r="O71" s="456">
        <f t="shared" si="34"/>
        <v>-6.1175131597666806E-3</v>
      </c>
      <c r="P71" s="458">
        <f>SUM(P61:P70)</f>
        <v>13972</v>
      </c>
      <c r="Q71" s="2316">
        <f>+P71-L71</f>
        <v>-86</v>
      </c>
      <c r="R71" s="592"/>
      <c r="S71" s="2238">
        <f t="shared" si="35"/>
        <v>-3.5785857429144001E-3</v>
      </c>
      <c r="T71" s="458">
        <f>SUM(T61:T70)</f>
        <v>13922</v>
      </c>
      <c r="U71" s="2344"/>
      <c r="V71" s="952"/>
      <c r="W71" s="2241">
        <f t="shared" si="36"/>
        <v>2.7294928889527368E-2</v>
      </c>
      <c r="X71" s="458">
        <f>SUM(X61:X70)</f>
        <v>14302</v>
      </c>
      <c r="Y71" s="2344"/>
      <c r="AA71" s="456">
        <f t="shared" si="37"/>
        <v>2.7268913438679904E-2</v>
      </c>
      <c r="AB71" s="458">
        <f>SUM(AB61:AB70)</f>
        <v>14692</v>
      </c>
      <c r="AC71" s="2344"/>
    </row>
    <row r="72" spans="1:29" s="457" customFormat="1" x14ac:dyDescent="0.25">
      <c r="A72" s="897"/>
      <c r="B72" s="2345"/>
      <c r="C72" s="1656"/>
      <c r="D72" s="340"/>
      <c r="E72" s="2386"/>
      <c r="F72" s="340"/>
      <c r="G72" s="2338"/>
      <c r="H72" s="340"/>
      <c r="I72" s="897"/>
      <c r="J72" s="455"/>
      <c r="K72" s="1668"/>
      <c r="L72" s="340"/>
      <c r="M72" s="901"/>
      <c r="O72" s="1668"/>
      <c r="P72" s="340"/>
      <c r="Q72" s="901"/>
      <c r="R72" s="592"/>
      <c r="S72" s="2341"/>
      <c r="T72" s="340"/>
      <c r="U72" s="2344"/>
      <c r="V72" s="952"/>
      <c r="W72" s="2343"/>
      <c r="X72" s="340"/>
      <c r="Y72" s="2344"/>
      <c r="AA72" s="1668"/>
      <c r="AB72" s="340"/>
      <c r="AC72" s="2344"/>
    </row>
    <row r="73" spans="1:29" s="461" customFormat="1" x14ac:dyDescent="0.25">
      <c r="A73" s="900"/>
      <c r="B73" s="2337" t="s">
        <v>16</v>
      </c>
      <c r="C73" s="900"/>
      <c r="D73" s="460"/>
      <c r="E73" s="868"/>
      <c r="F73" s="460"/>
      <c r="G73" s="2389"/>
      <c r="H73" s="460"/>
      <c r="I73" s="900"/>
      <c r="K73" s="1669"/>
      <c r="L73" s="460"/>
      <c r="M73" s="902"/>
      <c r="O73" s="1669"/>
      <c r="P73" s="460"/>
      <c r="Q73" s="902"/>
      <c r="S73" s="1669"/>
      <c r="U73" s="2392"/>
      <c r="V73" s="2381"/>
      <c r="W73" s="2382"/>
      <c r="Y73" s="2392"/>
      <c r="AA73" s="1669"/>
      <c r="AC73" s="2392"/>
    </row>
    <row r="74" spans="1:29" s="457" customFormat="1" x14ac:dyDescent="0.25">
      <c r="A74" s="897"/>
      <c r="B74" s="2385">
        <v>5213</v>
      </c>
      <c r="C74" s="1656" t="s">
        <v>252</v>
      </c>
      <c r="D74" s="340">
        <v>877.44</v>
      </c>
      <c r="E74" s="2386"/>
      <c r="F74" s="340"/>
      <c r="G74" s="456">
        <f t="shared" ref="G74:G79" si="46">IF(D74=0,"0.00%",(H74-D74)/D74)</f>
        <v>-0.4803063457330416</v>
      </c>
      <c r="H74" s="340">
        <v>456</v>
      </c>
      <c r="I74" s="899"/>
      <c r="J74" s="455"/>
      <c r="K74" s="456">
        <f t="shared" ref="K74:K87" si="47">IF(H74=0,"0.00%",(L74-H74)/H74)</f>
        <v>3.3859649122807016</v>
      </c>
      <c r="L74" s="340">
        <v>2000</v>
      </c>
      <c r="M74" s="899"/>
      <c r="O74" s="456">
        <f t="shared" ref="O74:O87" si="48">IF(L74=0,"0.00%",(P74-L74)/L74)</f>
        <v>0</v>
      </c>
      <c r="P74" s="340">
        <f>+L74</f>
        <v>2000</v>
      </c>
      <c r="Q74" s="899"/>
      <c r="R74" s="592"/>
      <c r="S74" s="2238">
        <f t="shared" ref="S74:S87" si="49">IF(P74=0,"0.00%",(T74-P74)/P74)</f>
        <v>0</v>
      </c>
      <c r="T74" s="340">
        <f>P74</f>
        <v>2000</v>
      </c>
      <c r="U74" s="953"/>
      <c r="V74" s="952"/>
      <c r="W74" s="2241">
        <f t="shared" ref="W74:W87" si="50">IF(T74=0,"0.00%",(X74-T74)/T74)</f>
        <v>2.75E-2</v>
      </c>
      <c r="X74" s="340">
        <f>ROUND(T74*(LEFT(Y74,5)+1),0)</f>
        <v>2055</v>
      </c>
      <c r="Y74" s="953" t="str">
        <f>TEXT('MYP Assumptions'!I78,"0.00%")&amp;", CPI"</f>
        <v>2.73%, CPI</v>
      </c>
      <c r="AA74" s="456">
        <f t="shared" ref="AA74:AA87" si="51">IF(X74=0,"0.00%",(AB74-X74)/X74)</f>
        <v>2.7250608272506083E-2</v>
      </c>
      <c r="AB74" s="340">
        <f>ROUND(X74*(LEFT(AC74,5)+1),0)</f>
        <v>2111</v>
      </c>
      <c r="AC74" s="953" t="str">
        <f>TEXT('MYP Assumptions'!J78,"0.00%")&amp;", CPI"</f>
        <v>2.73%, CPI</v>
      </c>
    </row>
    <row r="75" spans="1:29" s="457" customFormat="1" hidden="1" x14ac:dyDescent="0.25">
      <c r="A75" s="897"/>
      <c r="B75" s="2385"/>
      <c r="C75" s="1656"/>
      <c r="D75" s="340">
        <v>0</v>
      </c>
      <c r="E75" s="2386"/>
      <c r="F75" s="340"/>
      <c r="G75" s="456" t="str">
        <f t="shared" si="46"/>
        <v>0.00%</v>
      </c>
      <c r="H75" s="340">
        <f>ROUND(D75*(LEFT(I75,5)+1),0)</f>
        <v>0</v>
      </c>
      <c r="I75" s="899" t="str">
        <f>TEXT('MYP Assumptions'!E78,"0.00%")&amp;", CPI"</f>
        <v>3.37%, CPI</v>
      </c>
      <c r="J75" s="455"/>
      <c r="K75" s="456" t="str">
        <f t="shared" si="47"/>
        <v>0.00%</v>
      </c>
      <c r="L75" s="340">
        <f t="shared" ref="L75:L86" si="52">ROUND(H75*(LEFT(M75,5)+1),0)</f>
        <v>0</v>
      </c>
      <c r="M75" s="899" t="str">
        <f>TEXT('MYP Assumptions'!F78,"0.00%")&amp;", CPI"</f>
        <v>3.58%, CPI</v>
      </c>
      <c r="O75" s="456" t="str">
        <f t="shared" si="48"/>
        <v>0.00%</v>
      </c>
      <c r="P75" s="340">
        <f t="shared" ref="P75:P86" si="53">ROUND(L75*(LEFT(Q75,5)+1),0)</f>
        <v>0</v>
      </c>
      <c r="Q75" s="899" t="str">
        <f>TEXT('MYP Assumptions'!G78,"0.00%")&amp;", CPI"</f>
        <v>3.36%, CPI</v>
      </c>
      <c r="R75" s="592"/>
      <c r="S75" s="2238" t="str">
        <f t="shared" si="49"/>
        <v>0.00%</v>
      </c>
      <c r="T75" s="340">
        <f t="shared" ref="T75:T86" si="54">ROUND(P75*(LEFT(U75,5)+1),0)</f>
        <v>0</v>
      </c>
      <c r="U75" s="953" t="str">
        <f>TEXT('MYP Assumptions'!H78,"0.00%")&amp;", CPI"</f>
        <v>3.23%, CPI</v>
      </c>
      <c r="V75" s="952"/>
      <c r="W75" s="2241" t="str">
        <f t="shared" si="50"/>
        <v>0.00%</v>
      </c>
      <c r="X75" s="340">
        <f t="shared" ref="X75:X86" si="55">ROUND(T75*(LEFT(Y75,5)+1),0)</f>
        <v>0</v>
      </c>
      <c r="Y75" s="953" t="str">
        <f>TEXT('MYP Assumptions'!I78,"0.00%")&amp;", CPI"</f>
        <v>2.73%, CPI</v>
      </c>
      <c r="AA75" s="456" t="str">
        <f t="shared" si="51"/>
        <v>0.00%</v>
      </c>
      <c r="AB75" s="340">
        <f t="shared" ref="AB75:AB86" si="56">ROUND(X75*(LEFT(AC75,5)+1),0)</f>
        <v>0</v>
      </c>
      <c r="AC75" s="953" t="str">
        <f>TEXT('MYP Assumptions'!J78,"0.00%")&amp;", CPI"</f>
        <v>2.73%, CPI</v>
      </c>
    </row>
    <row r="76" spans="1:29" s="457" customFormat="1" hidden="1" x14ac:dyDescent="0.25">
      <c r="A76" s="897"/>
      <c r="B76" s="2385"/>
      <c r="C76" s="1656"/>
      <c r="D76" s="340">
        <v>0</v>
      </c>
      <c r="E76" s="2386"/>
      <c r="F76" s="340"/>
      <c r="G76" s="456" t="str">
        <f t="shared" si="46"/>
        <v>0.00%</v>
      </c>
      <c r="H76" s="340">
        <f t="shared" ref="H76:H81" si="57">ROUND(D76*(LEFT(I76,5)+1),0)</f>
        <v>0</v>
      </c>
      <c r="I76" s="899" t="str">
        <f>TEXT('MYP Assumptions'!E78,"0.00%")&amp;", CPI"</f>
        <v>3.37%, CPI</v>
      </c>
      <c r="J76" s="455"/>
      <c r="K76" s="456" t="str">
        <f t="shared" si="47"/>
        <v>0.00%</v>
      </c>
      <c r="L76" s="340">
        <f t="shared" si="52"/>
        <v>0</v>
      </c>
      <c r="M76" s="899" t="str">
        <f>TEXT('MYP Assumptions'!F78,"0.00%")&amp;", CPI"</f>
        <v>3.58%, CPI</v>
      </c>
      <c r="O76" s="456" t="str">
        <f t="shared" si="48"/>
        <v>0.00%</v>
      </c>
      <c r="P76" s="340">
        <f t="shared" si="53"/>
        <v>0</v>
      </c>
      <c r="Q76" s="899" t="str">
        <f>TEXT('MYP Assumptions'!G78,"0.00%")&amp;", CPI"</f>
        <v>3.36%, CPI</v>
      </c>
      <c r="R76" s="592"/>
      <c r="S76" s="2238" t="str">
        <f t="shared" si="49"/>
        <v>0.00%</v>
      </c>
      <c r="T76" s="340">
        <f t="shared" si="54"/>
        <v>0</v>
      </c>
      <c r="U76" s="953" t="str">
        <f>TEXT('MYP Assumptions'!H78,"0.00%")&amp;", CPI"</f>
        <v>3.23%, CPI</v>
      </c>
      <c r="V76" s="952"/>
      <c r="W76" s="2241" t="str">
        <f t="shared" si="50"/>
        <v>0.00%</v>
      </c>
      <c r="X76" s="340">
        <f t="shared" si="55"/>
        <v>0</v>
      </c>
      <c r="Y76" s="953" t="str">
        <f>TEXT('MYP Assumptions'!I78,"0.00%")&amp;", CPI"</f>
        <v>2.73%, CPI</v>
      </c>
      <c r="AA76" s="456" t="str">
        <f t="shared" si="51"/>
        <v>0.00%</v>
      </c>
      <c r="AB76" s="340">
        <f t="shared" si="56"/>
        <v>0</v>
      </c>
      <c r="AC76" s="953" t="str">
        <f>TEXT('MYP Assumptions'!J78,"0.00%")&amp;", CPI"</f>
        <v>2.73%, CPI</v>
      </c>
    </row>
    <row r="77" spans="1:29" s="457" customFormat="1" hidden="1" x14ac:dyDescent="0.25">
      <c r="A77" s="897"/>
      <c r="B77" s="2385"/>
      <c r="C77" s="1656"/>
      <c r="D77" s="340">
        <v>0</v>
      </c>
      <c r="E77" s="2386"/>
      <c r="F77" s="340"/>
      <c r="G77" s="456" t="str">
        <f t="shared" si="46"/>
        <v>0.00%</v>
      </c>
      <c r="H77" s="340">
        <f t="shared" si="57"/>
        <v>0</v>
      </c>
      <c r="I77" s="899" t="str">
        <f>TEXT('MYP Assumptions'!E78,"0.00%")&amp;", CPI"</f>
        <v>3.37%, CPI</v>
      </c>
      <c r="J77" s="455"/>
      <c r="K77" s="456" t="str">
        <f t="shared" si="47"/>
        <v>0.00%</v>
      </c>
      <c r="L77" s="340">
        <f t="shared" si="52"/>
        <v>0</v>
      </c>
      <c r="M77" s="899" t="str">
        <f>TEXT('MYP Assumptions'!F78,"0.00%")&amp;", CPI"</f>
        <v>3.58%, CPI</v>
      </c>
      <c r="O77" s="456" t="str">
        <f t="shared" si="48"/>
        <v>0.00%</v>
      </c>
      <c r="P77" s="340">
        <f t="shared" si="53"/>
        <v>0</v>
      </c>
      <c r="Q77" s="899" t="str">
        <f>TEXT('MYP Assumptions'!G78,"0.00%")&amp;", CPI"</f>
        <v>3.36%, CPI</v>
      </c>
      <c r="R77" s="592"/>
      <c r="S77" s="2238" t="str">
        <f t="shared" si="49"/>
        <v>0.00%</v>
      </c>
      <c r="T77" s="340">
        <f t="shared" si="54"/>
        <v>0</v>
      </c>
      <c r="U77" s="953" t="str">
        <f>TEXT('MYP Assumptions'!H78,"0.00%")&amp;", CPI"</f>
        <v>3.23%, CPI</v>
      </c>
      <c r="V77" s="952"/>
      <c r="W77" s="2241" t="str">
        <f t="shared" si="50"/>
        <v>0.00%</v>
      </c>
      <c r="X77" s="340">
        <f t="shared" si="55"/>
        <v>0</v>
      </c>
      <c r="Y77" s="953" t="str">
        <f>TEXT('MYP Assumptions'!I78,"0.00%")&amp;", CPI"</f>
        <v>2.73%, CPI</v>
      </c>
      <c r="AA77" s="456" t="str">
        <f t="shared" si="51"/>
        <v>0.00%</v>
      </c>
      <c r="AB77" s="340">
        <f t="shared" si="56"/>
        <v>0</v>
      </c>
      <c r="AC77" s="953" t="str">
        <f>TEXT('MYP Assumptions'!J78,"0.00%")&amp;", CPI"</f>
        <v>2.73%, CPI</v>
      </c>
    </row>
    <row r="78" spans="1:29" s="457" customFormat="1" hidden="1" x14ac:dyDescent="0.25">
      <c r="A78" s="897"/>
      <c r="B78" s="2385"/>
      <c r="C78" s="1656"/>
      <c r="D78" s="340">
        <v>0</v>
      </c>
      <c r="E78" s="2386"/>
      <c r="F78" s="340"/>
      <c r="G78" s="456" t="str">
        <f t="shared" si="46"/>
        <v>0.00%</v>
      </c>
      <c r="H78" s="340">
        <f t="shared" si="57"/>
        <v>0</v>
      </c>
      <c r="I78" s="899" t="str">
        <f>TEXT('MYP Assumptions'!E78,"0.00%")&amp;", CPI"</f>
        <v>3.37%, CPI</v>
      </c>
      <c r="J78" s="455"/>
      <c r="K78" s="456" t="str">
        <f t="shared" si="47"/>
        <v>0.00%</v>
      </c>
      <c r="L78" s="340">
        <f t="shared" si="52"/>
        <v>0</v>
      </c>
      <c r="M78" s="899" t="str">
        <f>TEXT('MYP Assumptions'!F78,"0.00%")&amp;", CPI"</f>
        <v>3.58%, CPI</v>
      </c>
      <c r="O78" s="456" t="str">
        <f t="shared" si="48"/>
        <v>0.00%</v>
      </c>
      <c r="P78" s="340">
        <f t="shared" si="53"/>
        <v>0</v>
      </c>
      <c r="Q78" s="899" t="str">
        <f>TEXT('MYP Assumptions'!G78,"0.00%")&amp;", CPI"</f>
        <v>3.36%, CPI</v>
      </c>
      <c r="R78" s="592"/>
      <c r="S78" s="2238" t="str">
        <f t="shared" si="49"/>
        <v>0.00%</v>
      </c>
      <c r="T78" s="340">
        <f t="shared" si="54"/>
        <v>0</v>
      </c>
      <c r="U78" s="953" t="str">
        <f>TEXT('MYP Assumptions'!H78,"0.00%")&amp;", CPI"</f>
        <v>3.23%, CPI</v>
      </c>
      <c r="V78" s="952"/>
      <c r="W78" s="2241" t="str">
        <f t="shared" si="50"/>
        <v>0.00%</v>
      </c>
      <c r="X78" s="340">
        <f t="shared" si="55"/>
        <v>0</v>
      </c>
      <c r="Y78" s="953" t="str">
        <f>TEXT('MYP Assumptions'!I78,"0.00%")&amp;", CPI"</f>
        <v>2.73%, CPI</v>
      </c>
      <c r="AA78" s="456" t="str">
        <f t="shared" si="51"/>
        <v>0.00%</v>
      </c>
      <c r="AB78" s="340">
        <f t="shared" si="56"/>
        <v>0</v>
      </c>
      <c r="AC78" s="953" t="str">
        <f>TEXT('MYP Assumptions'!J78,"0.00%")&amp;", CPI"</f>
        <v>2.73%, CPI</v>
      </c>
    </row>
    <row r="79" spans="1:29" s="457" customFormat="1" hidden="1" x14ac:dyDescent="0.25">
      <c r="A79" s="897"/>
      <c r="B79" s="2385"/>
      <c r="C79" s="1656"/>
      <c r="D79" s="340">
        <v>0</v>
      </c>
      <c r="E79" s="2386"/>
      <c r="F79" s="340"/>
      <c r="G79" s="456" t="str">
        <f t="shared" si="46"/>
        <v>0.00%</v>
      </c>
      <c r="H79" s="340">
        <f t="shared" si="57"/>
        <v>0</v>
      </c>
      <c r="I79" s="899" t="str">
        <f>TEXT('MYP Assumptions'!E78,"0.00%")&amp;", CPI"</f>
        <v>3.37%, CPI</v>
      </c>
      <c r="J79" s="455"/>
      <c r="K79" s="456" t="str">
        <f t="shared" si="47"/>
        <v>0.00%</v>
      </c>
      <c r="L79" s="340">
        <f t="shared" si="52"/>
        <v>0</v>
      </c>
      <c r="M79" s="899" t="str">
        <f>TEXT('MYP Assumptions'!F78,"0.00%")&amp;", CPI"</f>
        <v>3.58%, CPI</v>
      </c>
      <c r="O79" s="456" t="str">
        <f t="shared" si="48"/>
        <v>0.00%</v>
      </c>
      <c r="P79" s="340">
        <f t="shared" si="53"/>
        <v>0</v>
      </c>
      <c r="Q79" s="899" t="str">
        <f>TEXT('MYP Assumptions'!G78,"0.00%")&amp;", CPI"</f>
        <v>3.36%, CPI</v>
      </c>
      <c r="R79" s="592"/>
      <c r="S79" s="2238" t="str">
        <f t="shared" si="49"/>
        <v>0.00%</v>
      </c>
      <c r="T79" s="340">
        <f t="shared" si="54"/>
        <v>0</v>
      </c>
      <c r="U79" s="953" t="str">
        <f>TEXT('MYP Assumptions'!H78,"0.00%")&amp;", CPI"</f>
        <v>3.23%, CPI</v>
      </c>
      <c r="V79" s="952"/>
      <c r="W79" s="2241" t="str">
        <f t="shared" si="50"/>
        <v>0.00%</v>
      </c>
      <c r="X79" s="340">
        <f t="shared" si="55"/>
        <v>0</v>
      </c>
      <c r="Y79" s="953" t="str">
        <f>TEXT('MYP Assumptions'!I78,"0.00%")&amp;", CPI"</f>
        <v>2.73%, CPI</v>
      </c>
      <c r="AA79" s="456" t="str">
        <f t="shared" si="51"/>
        <v>0.00%</v>
      </c>
      <c r="AB79" s="340">
        <f t="shared" si="56"/>
        <v>0</v>
      </c>
      <c r="AC79" s="953" t="str">
        <f>TEXT('MYP Assumptions'!J78,"0.00%")&amp;", CPI"</f>
        <v>2.73%, CPI</v>
      </c>
    </row>
    <row r="80" spans="1:29" s="457" customFormat="1" hidden="1" x14ac:dyDescent="0.25">
      <c r="A80" s="897"/>
      <c r="B80" s="2385"/>
      <c r="C80" s="1656"/>
      <c r="D80" s="340">
        <v>0</v>
      </c>
      <c r="E80" s="2386"/>
      <c r="F80" s="340"/>
      <c r="G80" s="456" t="str">
        <f>IF(D80=0,"0.00%",(H80-D80)/D80)</f>
        <v>0.00%</v>
      </c>
      <c r="H80" s="340">
        <f t="shared" si="57"/>
        <v>0</v>
      </c>
      <c r="I80" s="899" t="str">
        <f>TEXT('MYP Assumptions'!E78,"0.00%")&amp;", CPI"</f>
        <v>3.37%, CPI</v>
      </c>
      <c r="J80" s="455"/>
      <c r="K80" s="456" t="str">
        <f t="shared" si="47"/>
        <v>0.00%</v>
      </c>
      <c r="L80" s="340">
        <f t="shared" si="52"/>
        <v>0</v>
      </c>
      <c r="M80" s="899" t="str">
        <f>TEXT('MYP Assumptions'!F78,"0.00%")&amp;", CPI"</f>
        <v>3.58%, CPI</v>
      </c>
      <c r="O80" s="456" t="str">
        <f t="shared" si="48"/>
        <v>0.00%</v>
      </c>
      <c r="P80" s="340">
        <f t="shared" si="53"/>
        <v>0</v>
      </c>
      <c r="Q80" s="899" t="str">
        <f>TEXT('MYP Assumptions'!G78,"0.00%")&amp;", CPI"</f>
        <v>3.36%, CPI</v>
      </c>
      <c r="R80" s="592"/>
      <c r="S80" s="2238" t="str">
        <f t="shared" si="49"/>
        <v>0.00%</v>
      </c>
      <c r="T80" s="340">
        <f t="shared" si="54"/>
        <v>0</v>
      </c>
      <c r="U80" s="953" t="str">
        <f>TEXT('MYP Assumptions'!H78,"0.00%")&amp;", CPI"</f>
        <v>3.23%, CPI</v>
      </c>
      <c r="V80" s="952"/>
      <c r="W80" s="2241" t="str">
        <f t="shared" si="50"/>
        <v>0.00%</v>
      </c>
      <c r="X80" s="340">
        <f t="shared" si="55"/>
        <v>0</v>
      </c>
      <c r="Y80" s="953" t="str">
        <f>TEXT('MYP Assumptions'!I78,"0.00%")&amp;", CPI"</f>
        <v>2.73%, CPI</v>
      </c>
      <c r="AA80" s="456" t="str">
        <f t="shared" si="51"/>
        <v>0.00%</v>
      </c>
      <c r="AB80" s="340">
        <f t="shared" si="56"/>
        <v>0</v>
      </c>
      <c r="AC80" s="953" t="str">
        <f>TEXT('MYP Assumptions'!J78,"0.00%")&amp;", CPI"</f>
        <v>2.73%, CPI</v>
      </c>
    </row>
    <row r="81" spans="1:29" s="457" customFormat="1" hidden="1" x14ac:dyDescent="0.25">
      <c r="A81" s="897"/>
      <c r="B81" s="2385"/>
      <c r="C81" s="1656"/>
      <c r="D81" s="340">
        <v>0</v>
      </c>
      <c r="E81" s="2386"/>
      <c r="F81" s="340"/>
      <c r="G81" s="456" t="str">
        <f t="shared" ref="G81:G87" si="58">IF(D81=0,"0.00%",(H81-D81)/D81)</f>
        <v>0.00%</v>
      </c>
      <c r="H81" s="340">
        <f t="shared" si="57"/>
        <v>0</v>
      </c>
      <c r="I81" s="899" t="str">
        <f>TEXT('MYP Assumptions'!E78,"0.00%")&amp;", CPI"</f>
        <v>3.37%, CPI</v>
      </c>
      <c r="J81" s="455"/>
      <c r="K81" s="456" t="str">
        <f t="shared" si="47"/>
        <v>0.00%</v>
      </c>
      <c r="L81" s="340">
        <f t="shared" si="52"/>
        <v>0</v>
      </c>
      <c r="M81" s="899" t="str">
        <f>TEXT('MYP Assumptions'!F78,"0.00%")&amp;", CPI"</f>
        <v>3.58%, CPI</v>
      </c>
      <c r="O81" s="456" t="str">
        <f t="shared" si="48"/>
        <v>0.00%</v>
      </c>
      <c r="P81" s="340">
        <f t="shared" si="53"/>
        <v>0</v>
      </c>
      <c r="Q81" s="899" t="str">
        <f>TEXT('MYP Assumptions'!G78,"0.00%")&amp;", CPI"</f>
        <v>3.36%, CPI</v>
      </c>
      <c r="R81" s="592"/>
      <c r="S81" s="2238" t="str">
        <f t="shared" si="49"/>
        <v>0.00%</v>
      </c>
      <c r="T81" s="340">
        <f t="shared" si="54"/>
        <v>0</v>
      </c>
      <c r="U81" s="953" t="str">
        <f>TEXT('MYP Assumptions'!H78,"0.00%")&amp;", CPI"</f>
        <v>3.23%, CPI</v>
      </c>
      <c r="V81" s="952"/>
      <c r="W81" s="2241" t="str">
        <f t="shared" si="50"/>
        <v>0.00%</v>
      </c>
      <c r="X81" s="340">
        <f t="shared" si="55"/>
        <v>0</v>
      </c>
      <c r="Y81" s="953" t="str">
        <f>TEXT('MYP Assumptions'!I78,"0.00%")&amp;", CPI"</f>
        <v>2.73%, CPI</v>
      </c>
      <c r="AA81" s="456" t="str">
        <f t="shared" si="51"/>
        <v>0.00%</v>
      </c>
      <c r="AB81" s="340">
        <f t="shared" si="56"/>
        <v>0</v>
      </c>
      <c r="AC81" s="953" t="str">
        <f>TEXT('MYP Assumptions'!J78,"0.00%")&amp;", CPI"</f>
        <v>2.73%, CPI</v>
      </c>
    </row>
    <row r="82" spans="1:29" s="457" customFormat="1" hidden="1" x14ac:dyDescent="0.25">
      <c r="A82" s="897"/>
      <c r="B82" s="2385"/>
      <c r="C82" s="1656"/>
      <c r="D82" s="340">
        <v>0</v>
      </c>
      <c r="E82" s="2386"/>
      <c r="F82" s="340"/>
      <c r="G82" s="456" t="str">
        <f t="shared" si="58"/>
        <v>0.00%</v>
      </c>
      <c r="H82" s="340">
        <f>ROUND(D82*(LEFT(I82,5)+1),0)</f>
        <v>0</v>
      </c>
      <c r="I82" s="899" t="str">
        <f>TEXT('MYP Assumptions'!E78,"0.00%")&amp;", CPI"</f>
        <v>3.37%, CPI</v>
      </c>
      <c r="J82" s="455"/>
      <c r="K82" s="456" t="str">
        <f t="shared" si="47"/>
        <v>0.00%</v>
      </c>
      <c r="L82" s="340">
        <f t="shared" si="52"/>
        <v>0</v>
      </c>
      <c r="M82" s="899" t="str">
        <f>TEXT('MYP Assumptions'!F78,"0.00%")&amp;", CPI"</f>
        <v>3.58%, CPI</v>
      </c>
      <c r="O82" s="456" t="str">
        <f t="shared" si="48"/>
        <v>0.00%</v>
      </c>
      <c r="P82" s="340">
        <f t="shared" si="53"/>
        <v>0</v>
      </c>
      <c r="Q82" s="899" t="str">
        <f>TEXT('MYP Assumptions'!G78,"0.00%")&amp;", CPI"</f>
        <v>3.36%, CPI</v>
      </c>
      <c r="R82" s="592"/>
      <c r="S82" s="2238" t="str">
        <f t="shared" si="49"/>
        <v>0.00%</v>
      </c>
      <c r="T82" s="340">
        <f t="shared" si="54"/>
        <v>0</v>
      </c>
      <c r="U82" s="953" t="str">
        <f>TEXT('MYP Assumptions'!H78,"0.00%")&amp;", CPI"</f>
        <v>3.23%, CPI</v>
      </c>
      <c r="V82" s="952"/>
      <c r="W82" s="2241" t="str">
        <f t="shared" si="50"/>
        <v>0.00%</v>
      </c>
      <c r="X82" s="340">
        <f t="shared" si="55"/>
        <v>0</v>
      </c>
      <c r="Y82" s="953" t="str">
        <f>TEXT('MYP Assumptions'!I78,"0.00%")&amp;", CPI"</f>
        <v>2.73%, CPI</v>
      </c>
      <c r="AA82" s="456" t="str">
        <f t="shared" si="51"/>
        <v>0.00%</v>
      </c>
      <c r="AB82" s="340">
        <f t="shared" si="56"/>
        <v>0</v>
      </c>
      <c r="AC82" s="953" t="str">
        <f>TEXT('MYP Assumptions'!J78,"0.00%")&amp;", CPI"</f>
        <v>2.73%, CPI</v>
      </c>
    </row>
    <row r="83" spans="1:29" s="457" customFormat="1" hidden="1" x14ac:dyDescent="0.25">
      <c r="A83" s="897"/>
      <c r="B83" s="2385"/>
      <c r="C83" s="1656"/>
      <c r="D83" s="340">
        <v>0</v>
      </c>
      <c r="E83" s="2386"/>
      <c r="F83" s="340"/>
      <c r="G83" s="456" t="str">
        <f t="shared" si="58"/>
        <v>0.00%</v>
      </c>
      <c r="H83" s="340">
        <f>ROUND(D83*(LEFT(I83,5)+1),0)</f>
        <v>0</v>
      </c>
      <c r="I83" s="899" t="str">
        <f>TEXT('MYP Assumptions'!E78,"0.00%")&amp;", CPI"</f>
        <v>3.37%, CPI</v>
      </c>
      <c r="J83" s="455"/>
      <c r="K83" s="456" t="str">
        <f t="shared" si="47"/>
        <v>0.00%</v>
      </c>
      <c r="L83" s="340">
        <f t="shared" si="52"/>
        <v>0</v>
      </c>
      <c r="M83" s="899" t="str">
        <f>TEXT('MYP Assumptions'!F78,"0.00%")&amp;", CPI"</f>
        <v>3.58%, CPI</v>
      </c>
      <c r="O83" s="456" t="str">
        <f t="shared" si="48"/>
        <v>0.00%</v>
      </c>
      <c r="P83" s="340">
        <f t="shared" si="53"/>
        <v>0</v>
      </c>
      <c r="Q83" s="899" t="str">
        <f>TEXT('MYP Assumptions'!G78,"0.00%")&amp;", CPI"</f>
        <v>3.36%, CPI</v>
      </c>
      <c r="R83" s="592"/>
      <c r="S83" s="2238" t="str">
        <f t="shared" si="49"/>
        <v>0.00%</v>
      </c>
      <c r="T83" s="340">
        <f t="shared" si="54"/>
        <v>0</v>
      </c>
      <c r="U83" s="953" t="str">
        <f>TEXT('MYP Assumptions'!H78,"0.00%")&amp;", CPI"</f>
        <v>3.23%, CPI</v>
      </c>
      <c r="V83" s="952"/>
      <c r="W83" s="2241" t="str">
        <f t="shared" si="50"/>
        <v>0.00%</v>
      </c>
      <c r="X83" s="340">
        <f t="shared" si="55"/>
        <v>0</v>
      </c>
      <c r="Y83" s="953" t="str">
        <f>TEXT('MYP Assumptions'!I78,"0.00%")&amp;", CPI"</f>
        <v>2.73%, CPI</v>
      </c>
      <c r="AA83" s="456" t="str">
        <f t="shared" si="51"/>
        <v>0.00%</v>
      </c>
      <c r="AB83" s="340">
        <f t="shared" si="56"/>
        <v>0</v>
      </c>
      <c r="AC83" s="953" t="str">
        <f>TEXT('MYP Assumptions'!J78,"0.00%")&amp;", CPI"</f>
        <v>2.73%, CPI</v>
      </c>
    </row>
    <row r="84" spans="1:29" s="457" customFormat="1" hidden="1" x14ac:dyDescent="0.25">
      <c r="A84" s="897"/>
      <c r="B84" s="2385"/>
      <c r="C84" s="1656"/>
      <c r="D84" s="340">
        <v>0</v>
      </c>
      <c r="E84" s="2386"/>
      <c r="F84" s="340"/>
      <c r="G84" s="456" t="str">
        <f t="shared" si="58"/>
        <v>0.00%</v>
      </c>
      <c r="H84" s="340">
        <f>ROUND(D84*(LEFT(I84,5)+1),0)</f>
        <v>0</v>
      </c>
      <c r="I84" s="899" t="str">
        <f>TEXT('MYP Assumptions'!E78,"0.00%")&amp;", CPI"</f>
        <v>3.37%, CPI</v>
      </c>
      <c r="J84" s="455"/>
      <c r="K84" s="456" t="str">
        <f t="shared" si="47"/>
        <v>0.00%</v>
      </c>
      <c r="L84" s="340">
        <f t="shared" si="52"/>
        <v>0</v>
      </c>
      <c r="M84" s="899" t="str">
        <f>TEXT('MYP Assumptions'!F78,"0.00%")&amp;", CPI"</f>
        <v>3.58%, CPI</v>
      </c>
      <c r="O84" s="456" t="str">
        <f t="shared" si="48"/>
        <v>0.00%</v>
      </c>
      <c r="P84" s="340">
        <f t="shared" si="53"/>
        <v>0</v>
      </c>
      <c r="Q84" s="899" t="str">
        <f>TEXT('MYP Assumptions'!G78,"0.00%")&amp;", CPI"</f>
        <v>3.36%, CPI</v>
      </c>
      <c r="R84" s="592"/>
      <c r="S84" s="2238" t="str">
        <f t="shared" si="49"/>
        <v>0.00%</v>
      </c>
      <c r="T84" s="340">
        <f t="shared" si="54"/>
        <v>0</v>
      </c>
      <c r="U84" s="953" t="str">
        <f>TEXT('MYP Assumptions'!H78,"0.00%")&amp;", CPI"</f>
        <v>3.23%, CPI</v>
      </c>
      <c r="V84" s="952"/>
      <c r="W84" s="2241" t="str">
        <f t="shared" si="50"/>
        <v>0.00%</v>
      </c>
      <c r="X84" s="340">
        <f t="shared" si="55"/>
        <v>0</v>
      </c>
      <c r="Y84" s="953" t="str">
        <f>TEXT('MYP Assumptions'!I78,"0.00%")&amp;", CPI"</f>
        <v>2.73%, CPI</v>
      </c>
      <c r="AA84" s="456" t="str">
        <f t="shared" si="51"/>
        <v>0.00%</v>
      </c>
      <c r="AB84" s="340">
        <f t="shared" si="56"/>
        <v>0</v>
      </c>
      <c r="AC84" s="953" t="str">
        <f>TEXT('MYP Assumptions'!J78,"0.00%")&amp;", CPI"</f>
        <v>2.73%, CPI</v>
      </c>
    </row>
    <row r="85" spans="1:29" s="457" customFormat="1" hidden="1" x14ac:dyDescent="0.25">
      <c r="A85" s="897"/>
      <c r="B85" s="2385"/>
      <c r="C85" s="1656"/>
      <c r="D85" s="340">
        <v>0</v>
      </c>
      <c r="E85" s="2386"/>
      <c r="F85" s="340"/>
      <c r="G85" s="456" t="str">
        <f t="shared" si="58"/>
        <v>0.00%</v>
      </c>
      <c r="H85" s="340">
        <f>ROUND(D85*(LEFT(I85,5)+1),0)</f>
        <v>0</v>
      </c>
      <c r="I85" s="899" t="str">
        <f>TEXT('MYP Assumptions'!E78,"0.00%")&amp;", CPI"</f>
        <v>3.37%, CPI</v>
      </c>
      <c r="J85" s="455"/>
      <c r="K85" s="456" t="str">
        <f t="shared" si="47"/>
        <v>0.00%</v>
      </c>
      <c r="L85" s="340">
        <f t="shared" si="52"/>
        <v>0</v>
      </c>
      <c r="M85" s="899" t="str">
        <f>TEXT('MYP Assumptions'!F78,"0.00%")&amp;", CPI"</f>
        <v>3.58%, CPI</v>
      </c>
      <c r="O85" s="456" t="str">
        <f t="shared" si="48"/>
        <v>0.00%</v>
      </c>
      <c r="P85" s="340">
        <f t="shared" si="53"/>
        <v>0</v>
      </c>
      <c r="Q85" s="899" t="str">
        <f>TEXT('MYP Assumptions'!G78,"0.00%")&amp;", CPI"</f>
        <v>3.36%, CPI</v>
      </c>
      <c r="R85" s="592"/>
      <c r="S85" s="2238" t="str">
        <f t="shared" si="49"/>
        <v>0.00%</v>
      </c>
      <c r="T85" s="340">
        <f t="shared" si="54"/>
        <v>0</v>
      </c>
      <c r="U85" s="953" t="str">
        <f>TEXT('MYP Assumptions'!H78,"0.00%")&amp;", CPI"</f>
        <v>3.23%, CPI</v>
      </c>
      <c r="V85" s="952"/>
      <c r="W85" s="2241" t="str">
        <f t="shared" si="50"/>
        <v>0.00%</v>
      </c>
      <c r="X85" s="340">
        <f t="shared" si="55"/>
        <v>0</v>
      </c>
      <c r="Y85" s="953" t="str">
        <f>TEXT('MYP Assumptions'!I78,"0.00%")&amp;", CPI"</f>
        <v>2.73%, CPI</v>
      </c>
      <c r="AA85" s="456" t="str">
        <f t="shared" si="51"/>
        <v>0.00%</v>
      </c>
      <c r="AB85" s="340">
        <f t="shared" si="56"/>
        <v>0</v>
      </c>
      <c r="AC85" s="953" t="str">
        <f>TEXT('MYP Assumptions'!J78,"0.00%")&amp;", CPI"</f>
        <v>2.73%, CPI</v>
      </c>
    </row>
    <row r="86" spans="1:29" s="457" customFormat="1" hidden="1" x14ac:dyDescent="0.25">
      <c r="A86" s="897"/>
      <c r="B86" s="2385"/>
      <c r="C86" s="1656"/>
      <c r="D86" s="340">
        <f>'18-19 Budget RS 3010-ALL'!AF80</f>
        <v>0</v>
      </c>
      <c r="E86" s="2386"/>
      <c r="F86" s="340"/>
      <c r="G86" s="456" t="str">
        <f t="shared" si="58"/>
        <v>0.00%</v>
      </c>
      <c r="H86" s="340">
        <f>ROUND(D86*(LEFT(I86,5)+1),0)</f>
        <v>0</v>
      </c>
      <c r="I86" s="899" t="str">
        <f>TEXT('MYP Assumptions'!E78,"0.00%")&amp;", CPI"</f>
        <v>3.37%, CPI</v>
      </c>
      <c r="J86" s="455"/>
      <c r="K86" s="456" t="str">
        <f t="shared" si="47"/>
        <v>0.00%</v>
      </c>
      <c r="L86" s="340">
        <f t="shared" si="52"/>
        <v>0</v>
      </c>
      <c r="M86" s="899" t="str">
        <f>TEXT('MYP Assumptions'!F78,"0.00%")&amp;", CPI"</f>
        <v>3.58%, CPI</v>
      </c>
      <c r="O86" s="456" t="str">
        <f t="shared" si="48"/>
        <v>0.00%</v>
      </c>
      <c r="P86" s="340">
        <f t="shared" si="53"/>
        <v>0</v>
      </c>
      <c r="Q86" s="899" t="str">
        <f>TEXT('MYP Assumptions'!G78,"0.00%")&amp;", CPI"</f>
        <v>3.36%, CPI</v>
      </c>
      <c r="R86" s="592"/>
      <c r="S86" s="2238" t="str">
        <f t="shared" si="49"/>
        <v>0.00%</v>
      </c>
      <c r="T86" s="340">
        <f t="shared" si="54"/>
        <v>0</v>
      </c>
      <c r="U86" s="953" t="str">
        <f>TEXT('MYP Assumptions'!H78,"0.00%")&amp;", CPI"</f>
        <v>3.23%, CPI</v>
      </c>
      <c r="V86" s="952"/>
      <c r="W86" s="2241" t="str">
        <f t="shared" si="50"/>
        <v>0.00%</v>
      </c>
      <c r="X86" s="340">
        <f t="shared" si="55"/>
        <v>0</v>
      </c>
      <c r="Y86" s="953" t="str">
        <f>TEXT('MYP Assumptions'!I78,"0.00%")&amp;", CPI"</f>
        <v>2.73%, CPI</v>
      </c>
      <c r="AA86" s="456" t="str">
        <f t="shared" si="51"/>
        <v>0.00%</v>
      </c>
      <c r="AB86" s="340">
        <f t="shared" si="56"/>
        <v>0</v>
      </c>
      <c r="AC86" s="953" t="str">
        <f>TEXT('MYP Assumptions'!J78,"0.00%")&amp;", CPI"</f>
        <v>2.73%, CPI</v>
      </c>
    </row>
    <row r="87" spans="1:29" s="457" customFormat="1" x14ac:dyDescent="0.25">
      <c r="A87" s="898"/>
      <c r="B87" s="2345"/>
      <c r="C87" s="1656"/>
      <c r="D87" s="458">
        <f>SUM(D74:D86)</f>
        <v>877.44</v>
      </c>
      <c r="E87" s="2386"/>
      <c r="F87" s="340"/>
      <c r="G87" s="456">
        <f t="shared" si="58"/>
        <v>-0.4803063457330416</v>
      </c>
      <c r="H87" s="458">
        <f>SUM(H74:H86)</f>
        <v>456</v>
      </c>
      <c r="I87" s="2316">
        <f>+H87-D87</f>
        <v>-421.44000000000005</v>
      </c>
      <c r="J87" s="459"/>
      <c r="K87" s="456">
        <f t="shared" si="47"/>
        <v>3.3859649122807016</v>
      </c>
      <c r="L87" s="458">
        <f>SUM(L74:L86)</f>
        <v>2000</v>
      </c>
      <c r="M87" s="2316">
        <f>+L87-H87</f>
        <v>1544</v>
      </c>
      <c r="O87" s="456">
        <f t="shared" si="48"/>
        <v>0</v>
      </c>
      <c r="P87" s="458">
        <f>SUM(P74:P86)</f>
        <v>2000</v>
      </c>
      <c r="Q87" s="2316">
        <f>+P87-L87</f>
        <v>0</v>
      </c>
      <c r="R87" s="592"/>
      <c r="S87" s="2238">
        <f t="shared" si="49"/>
        <v>0</v>
      </c>
      <c r="T87" s="458">
        <f>SUM(T74:T86)</f>
        <v>2000</v>
      </c>
      <c r="U87" s="2344"/>
      <c r="V87" s="952"/>
      <c r="W87" s="2241">
        <f t="shared" si="50"/>
        <v>2.75E-2</v>
      </c>
      <c r="X87" s="458">
        <f>SUM(X74:X86)</f>
        <v>2055</v>
      </c>
      <c r="Y87" s="2344"/>
      <c r="AA87" s="456">
        <f t="shared" si="51"/>
        <v>2.7250608272506083E-2</v>
      </c>
      <c r="AB87" s="458">
        <f>SUM(AB74:AB86)</f>
        <v>2111</v>
      </c>
      <c r="AC87" s="2344"/>
    </row>
    <row r="88" spans="1:29" s="457" customFormat="1" x14ac:dyDescent="0.25">
      <c r="A88" s="897"/>
      <c r="B88" s="2337"/>
      <c r="C88" s="1656"/>
      <c r="D88" s="340"/>
      <c r="E88" s="2386"/>
      <c r="F88" s="340"/>
      <c r="G88" s="456"/>
      <c r="H88" s="340"/>
      <c r="I88" s="897"/>
      <c r="J88" s="455"/>
      <c r="K88" s="1668"/>
      <c r="L88" s="340"/>
      <c r="M88" s="901"/>
      <c r="O88" s="1668"/>
      <c r="P88" s="340"/>
      <c r="Q88" s="901"/>
      <c r="R88" s="592"/>
      <c r="S88" s="2341"/>
      <c r="T88" s="340"/>
      <c r="U88" s="2344"/>
      <c r="V88" s="952"/>
      <c r="W88" s="2343"/>
      <c r="X88" s="340"/>
      <c r="Y88" s="2344"/>
      <c r="AA88" s="1668"/>
      <c r="AB88" s="340"/>
      <c r="AC88" s="2344"/>
    </row>
    <row r="89" spans="1:29" s="457" customFormat="1" x14ac:dyDescent="0.25">
      <c r="A89" s="897"/>
      <c r="B89" s="2345"/>
      <c r="C89" s="1656"/>
      <c r="D89" s="340"/>
      <c r="E89" s="2386"/>
      <c r="F89" s="340"/>
      <c r="G89" s="2338"/>
      <c r="H89" s="340"/>
      <c r="I89" s="897"/>
      <c r="J89" s="455"/>
      <c r="K89" s="1668"/>
      <c r="L89" s="340"/>
      <c r="M89" s="901"/>
      <c r="O89" s="1668"/>
      <c r="P89" s="340"/>
      <c r="Q89" s="901"/>
      <c r="R89" s="592"/>
      <c r="S89" s="2341"/>
      <c r="T89" s="340"/>
      <c r="U89" s="2344"/>
      <c r="V89" s="952"/>
      <c r="W89" s="2343"/>
      <c r="X89" s="340"/>
      <c r="Y89" s="2344"/>
      <c r="AA89" s="1668"/>
      <c r="AB89" s="340"/>
      <c r="AC89" s="2344"/>
    </row>
    <row r="90" spans="1:29" s="457" customFormat="1" x14ac:dyDescent="0.25">
      <c r="A90" s="898"/>
      <c r="B90" s="2337" t="s">
        <v>0</v>
      </c>
      <c r="C90" s="1656"/>
      <c r="D90" s="458">
        <f>SUM(D87,D71,D57,D13)</f>
        <v>27930.82</v>
      </c>
      <c r="E90" s="2386"/>
      <c r="F90" s="340"/>
      <c r="G90" s="456">
        <f>IF(D90=0,"0.00%",(H90-D90)/D90)</f>
        <v>-0.36883342486901566</v>
      </c>
      <c r="H90" s="458">
        <f>SUM(H87,H71,H57,H13)</f>
        <v>17629</v>
      </c>
      <c r="I90" s="2316">
        <f>+H90-D90</f>
        <v>-10301.82</v>
      </c>
      <c r="J90" s="459"/>
      <c r="K90" s="456">
        <f>IF(H90=0,"0.00%",(L90-H90)/H90)</f>
        <v>0.21816325372965001</v>
      </c>
      <c r="L90" s="458">
        <f>SUM(L87,L71,L57,L13)</f>
        <v>21475</v>
      </c>
      <c r="M90" s="2316">
        <f>+L90-H90</f>
        <v>3846</v>
      </c>
      <c r="O90" s="456">
        <f>IF(L90=0,"0.00%",(P90-L90)/L90)</f>
        <v>0</v>
      </c>
      <c r="P90" s="458">
        <f>SUM(P87,P71,P57,P13)</f>
        <v>21475</v>
      </c>
      <c r="Q90" s="2316">
        <f>+P90-L90</f>
        <v>0</v>
      </c>
      <c r="R90" s="592"/>
      <c r="S90" s="2238">
        <f>IF(P90=0,"0.00%",(T90-P90)/P90)</f>
        <v>0</v>
      </c>
      <c r="T90" s="458">
        <f>SUM(T87,T71,T57,T13)</f>
        <v>21475</v>
      </c>
      <c r="U90" s="2344"/>
      <c r="V90" s="952"/>
      <c r="W90" s="2241">
        <f>IF(T90=0,"0.00%",(X90-T90)/T90)</f>
        <v>2.5657741559953436E-2</v>
      </c>
      <c r="X90" s="458">
        <f>SUM(X87,X71,X57,X13)</f>
        <v>22026</v>
      </c>
      <c r="Y90" s="2344"/>
      <c r="AA90" s="456" t="e">
        <f>IF(X90=0,"0.00%",(AB90-X90)/X90)</f>
        <v>#VALUE!</v>
      </c>
      <c r="AB90" s="458" t="e">
        <f>SUM(AB87,AB71,AB57,AB13)</f>
        <v>#VALUE!</v>
      </c>
      <c r="AC90" s="2344"/>
    </row>
    <row r="91" spans="1:29" s="457" customFormat="1" x14ac:dyDescent="0.25">
      <c r="A91" s="897"/>
      <c r="B91" s="2345"/>
      <c r="C91" s="1656"/>
      <c r="D91" s="340"/>
      <c r="E91" s="2386"/>
      <c r="F91" s="340"/>
      <c r="G91" s="2338"/>
      <c r="H91" s="340"/>
      <c r="I91" s="897"/>
      <c r="J91" s="455"/>
      <c r="K91" s="1668"/>
      <c r="L91" s="340"/>
      <c r="M91" s="901"/>
      <c r="O91" s="1668"/>
      <c r="P91" s="340"/>
      <c r="Q91" s="901"/>
      <c r="R91" s="592"/>
      <c r="S91" s="2341"/>
      <c r="T91" s="340"/>
      <c r="U91" s="2344"/>
      <c r="V91" s="952"/>
      <c r="W91" s="2343"/>
      <c r="X91" s="340"/>
      <c r="Y91" s="2344"/>
      <c r="AA91" s="1668"/>
      <c r="AB91" s="340"/>
      <c r="AC91" s="2344"/>
    </row>
    <row r="92" spans="1:29" s="457" customFormat="1" x14ac:dyDescent="0.25">
      <c r="A92" s="897"/>
      <c r="B92" s="2337" t="s">
        <v>138</v>
      </c>
      <c r="C92" s="1656"/>
      <c r="D92" s="833">
        <f>D11-D90</f>
        <v>-12360.74</v>
      </c>
      <c r="E92" s="1656"/>
      <c r="G92" s="456">
        <f>IF(D92=0,"0.00%",(H92-D92)/D92)</f>
        <v>-1</v>
      </c>
      <c r="H92" s="833">
        <f>H11-H90</f>
        <v>0</v>
      </c>
      <c r="I92" s="897"/>
      <c r="J92" s="455"/>
      <c r="K92" s="456" t="str">
        <f>IF(H92=0,"0.00%",(L92-H92)/H92)</f>
        <v>0.00%</v>
      </c>
      <c r="L92" s="833">
        <f>L11-L90</f>
        <v>0</v>
      </c>
      <c r="M92" s="901"/>
      <c r="O92" s="456" t="str">
        <f>IF(L92=0,"0.00%",(P92-L92)/L92)</f>
        <v>0.00%</v>
      </c>
      <c r="P92" s="833">
        <f>P11-P90</f>
        <v>0</v>
      </c>
      <c r="Q92" s="901"/>
      <c r="R92" s="592"/>
      <c r="S92" s="2238" t="str">
        <f>IF(P92=0,"0.00%",(T92-P92)/P92)</f>
        <v>0.00%</v>
      </c>
      <c r="T92" s="833">
        <f>T11-T90</f>
        <v>0</v>
      </c>
      <c r="U92" s="2344"/>
      <c r="V92" s="952"/>
      <c r="W92" s="2241" t="str">
        <f>IF(T92=0,"0.00%",(X92-T92)/T92)</f>
        <v>0.00%</v>
      </c>
      <c r="X92" s="833">
        <f>X11-X90</f>
        <v>-22026</v>
      </c>
      <c r="Y92" s="2344"/>
      <c r="AA92" s="456" t="e">
        <f>IF(X92=0,"0.00%",(AB92-X92)/X92)</f>
        <v>#VALUE!</v>
      </c>
      <c r="AB92" s="833" t="e">
        <f>AB11-AB90</f>
        <v>#VALUE!</v>
      </c>
      <c r="AC92" s="2344"/>
    </row>
    <row r="93" spans="1:29" s="457" customFormat="1" x14ac:dyDescent="0.25">
      <c r="A93" s="1656"/>
      <c r="B93" s="2337"/>
      <c r="C93" s="2432"/>
      <c r="D93" s="833"/>
      <c r="E93" s="1656"/>
      <c r="G93" s="2338"/>
      <c r="H93" s="833"/>
      <c r="I93" s="897"/>
      <c r="J93" s="455"/>
      <c r="K93" s="1668"/>
      <c r="L93" s="833"/>
      <c r="M93" s="901"/>
      <c r="O93" s="1668"/>
      <c r="P93" s="833"/>
      <c r="Q93" s="901"/>
      <c r="R93" s="592"/>
      <c r="S93" s="2341"/>
      <c r="T93" s="2356"/>
      <c r="U93" s="2344"/>
      <c r="V93" s="952"/>
      <c r="W93" s="2343"/>
      <c r="X93" s="2356"/>
      <c r="Y93" s="2344"/>
      <c r="AA93" s="1668"/>
      <c r="AB93" s="2356"/>
      <c r="AC93" s="2344"/>
    </row>
    <row r="94" spans="1:29" s="457" customFormat="1" x14ac:dyDescent="0.25">
      <c r="A94" s="1656"/>
      <c r="B94" s="2337" t="s">
        <v>136</v>
      </c>
      <c r="C94" s="2443"/>
      <c r="D94" s="833">
        <f>D7+D92</f>
        <v>0</v>
      </c>
      <c r="E94" s="1656"/>
      <c r="G94" s="456" t="str">
        <f>IF(D94=0,"0.00%",(H94-D94)/D94)</f>
        <v>0.00%</v>
      </c>
      <c r="H94" s="833">
        <f>H7+H92</f>
        <v>0</v>
      </c>
      <c r="I94" s="2316">
        <f>+H94-D94</f>
        <v>0</v>
      </c>
      <c r="J94" s="455"/>
      <c r="K94" s="456" t="str">
        <f>IF(H94=0,"0.00%",(L94-H94)/H94)</f>
        <v>0.00%</v>
      </c>
      <c r="L94" s="833">
        <f>L7+L92</f>
        <v>0</v>
      </c>
      <c r="M94" s="2316">
        <f>+L94-H94</f>
        <v>0</v>
      </c>
      <c r="O94" s="456" t="str">
        <f>IF(L94=0,"0.00%",(P94-L94)/L94)</f>
        <v>0.00%</v>
      </c>
      <c r="P94" s="833">
        <f>P7+P92</f>
        <v>0</v>
      </c>
      <c r="Q94" s="2316">
        <f>+P94-L94</f>
        <v>0</v>
      </c>
      <c r="R94" s="592"/>
      <c r="S94" s="2238" t="str">
        <f>IF(P94=0,"0.00%",(T94-P94)/P94)</f>
        <v>0.00%</v>
      </c>
      <c r="T94" s="2367">
        <f>T7+T92</f>
        <v>0</v>
      </c>
      <c r="U94" s="2344"/>
      <c r="V94" s="952"/>
      <c r="W94" s="2241" t="str">
        <f>IF(T94=0,"0.00%",(X94-T94)/T94)</f>
        <v>0.00%</v>
      </c>
      <c r="X94" s="2367">
        <f>X7+X92</f>
        <v>-22026</v>
      </c>
      <c r="Y94" s="2344"/>
      <c r="AA94" s="456" t="e">
        <f>IF(X94=0,"0.00%",(AB94-X94)/X94)</f>
        <v>#VALUE!</v>
      </c>
      <c r="AB94" s="2367" t="e">
        <f>AB7+AB92</f>
        <v>#VALUE!</v>
      </c>
      <c r="AC94" s="2344"/>
    </row>
    <row r="95" spans="1:29" s="457" customFormat="1" x14ac:dyDescent="0.25">
      <c r="A95" s="1656"/>
      <c r="B95" s="2345"/>
      <c r="C95" s="900"/>
      <c r="D95" s="340"/>
      <c r="E95" s="1656"/>
      <c r="G95" s="2355"/>
      <c r="H95" s="459"/>
      <c r="I95" s="2439"/>
      <c r="J95" s="459"/>
      <c r="K95" s="1668"/>
      <c r="L95" s="459"/>
      <c r="M95" s="901"/>
      <c r="O95" s="1668"/>
      <c r="P95" s="459"/>
      <c r="Q95" s="901"/>
      <c r="R95" s="592"/>
      <c r="S95" s="2341"/>
      <c r="T95" s="459"/>
      <c r="U95" s="2344"/>
      <c r="V95" s="952"/>
      <c r="W95" s="2343"/>
      <c r="X95" s="459"/>
      <c r="Y95" s="2344"/>
      <c r="AA95" s="1668"/>
      <c r="AB95" s="459"/>
      <c r="AC95" s="2344"/>
    </row>
    <row r="96" spans="1:29" s="457" customFormat="1" x14ac:dyDescent="0.25">
      <c r="A96" s="1656"/>
      <c r="B96" s="2345"/>
      <c r="C96" s="2339"/>
      <c r="D96" s="340"/>
      <c r="E96" s="1656"/>
      <c r="G96" s="2355"/>
      <c r="H96" s="455"/>
      <c r="I96" s="897"/>
      <c r="J96" s="455"/>
      <c r="K96" s="1668"/>
      <c r="L96" s="340"/>
      <c r="M96" s="901"/>
      <c r="O96" s="1668"/>
      <c r="P96" s="340"/>
      <c r="Q96" s="901"/>
      <c r="R96" s="592"/>
      <c r="S96" s="2341"/>
      <c r="T96" s="340"/>
      <c r="U96" s="2344"/>
      <c r="V96" s="952"/>
      <c r="W96" s="2343"/>
      <c r="X96" s="340"/>
      <c r="Y96" s="2344"/>
      <c r="AA96" s="1668"/>
      <c r="AB96" s="340"/>
      <c r="AC96" s="2344"/>
    </row>
    <row r="97" spans="1:29" s="457" customFormat="1" x14ac:dyDescent="0.25">
      <c r="A97" s="1656"/>
      <c r="B97" s="2345"/>
      <c r="C97" s="2339"/>
      <c r="D97" s="340"/>
      <c r="E97" s="1656"/>
      <c r="G97" s="2355"/>
      <c r="H97" s="455"/>
      <c r="I97" s="897"/>
      <c r="J97" s="455"/>
      <c r="K97" s="1668"/>
      <c r="L97" s="340"/>
      <c r="M97" s="901"/>
      <c r="O97" s="1668"/>
      <c r="P97" s="340"/>
      <c r="Q97" s="901"/>
      <c r="R97" s="592"/>
      <c r="S97" s="2341"/>
      <c r="T97" s="340"/>
      <c r="U97" s="2344"/>
      <c r="V97" s="952"/>
      <c r="W97" s="2343"/>
      <c r="X97" s="340"/>
      <c r="Y97" s="2344"/>
      <c r="AA97" s="1668"/>
      <c r="AB97" s="340"/>
      <c r="AC97" s="2344"/>
    </row>
    <row r="98" spans="1:29" s="457" customFormat="1" x14ac:dyDescent="0.25">
      <c r="A98" s="1656"/>
      <c r="B98" s="2345"/>
      <c r="C98" s="2339"/>
      <c r="D98" s="340"/>
      <c r="E98" s="1656"/>
      <c r="G98" s="2355"/>
      <c r="H98" s="455"/>
      <c r="I98" s="897"/>
      <c r="J98" s="455"/>
      <c r="K98" s="1668"/>
      <c r="L98" s="340"/>
      <c r="M98" s="901"/>
      <c r="O98" s="1668"/>
      <c r="P98" s="340"/>
      <c r="Q98" s="901"/>
      <c r="R98" s="592"/>
      <c r="S98" s="2341"/>
      <c r="T98" s="340"/>
      <c r="U98" s="2344"/>
      <c r="V98" s="952"/>
      <c r="W98" s="2343"/>
      <c r="X98" s="340"/>
      <c r="Y98" s="2344"/>
      <c r="AA98" s="1668"/>
      <c r="AB98" s="340"/>
      <c r="AC98" s="2344"/>
    </row>
    <row r="99" spans="1:29" s="457" customFormat="1" x14ac:dyDescent="0.25">
      <c r="A99" s="1656"/>
      <c r="B99" s="2345"/>
      <c r="C99" s="2339"/>
      <c r="D99" s="340"/>
      <c r="E99" s="1656"/>
      <c r="G99" s="2355"/>
      <c r="H99" s="455"/>
      <c r="I99" s="897"/>
      <c r="J99" s="455"/>
      <c r="K99" s="1668"/>
      <c r="L99" s="340"/>
      <c r="M99" s="901"/>
      <c r="O99" s="1668"/>
      <c r="P99" s="340"/>
      <c r="Q99" s="901"/>
      <c r="R99" s="592"/>
      <c r="S99" s="2341"/>
      <c r="T99" s="340"/>
      <c r="U99" s="2344"/>
      <c r="V99" s="952"/>
      <c r="W99" s="2343"/>
      <c r="X99" s="340"/>
      <c r="Y99" s="2344"/>
      <c r="AA99" s="1668"/>
      <c r="AB99" s="340"/>
      <c r="AC99" s="2344"/>
    </row>
    <row r="100" spans="1:29" s="2402" customFormat="1" ht="11.25" x14ac:dyDescent="0.2">
      <c r="A100" s="2363"/>
      <c r="B100" s="2395"/>
      <c r="C100" s="2444" t="s">
        <v>221</v>
      </c>
      <c r="D100" s="2397">
        <f>+D87+D71+D55+D43+D32</f>
        <v>27930.82</v>
      </c>
      <c r="E100" s="2363"/>
      <c r="G100" s="2399" t="s">
        <v>221</v>
      </c>
      <c r="H100" s="2397">
        <f>+H87+H71+H55+H43+H32</f>
        <v>17629</v>
      </c>
      <c r="I100" s="2400"/>
      <c r="J100" s="607"/>
      <c r="K100" s="2399" t="s">
        <v>221</v>
      </c>
      <c r="L100" s="2397">
        <f>+L87+L71+L55+L43+L32</f>
        <v>21475</v>
      </c>
      <c r="M100" s="2404"/>
      <c r="O100" s="2399" t="s">
        <v>221</v>
      </c>
      <c r="P100" s="2397">
        <f>+P87+P71+P55+P43+P32</f>
        <v>21475</v>
      </c>
      <c r="Q100" s="2404"/>
      <c r="R100" s="608"/>
      <c r="S100" s="2405" t="s">
        <v>221</v>
      </c>
      <c r="T100" s="2397">
        <f>+T87+T71+T55+T43+T32</f>
        <v>21475</v>
      </c>
      <c r="U100" s="2409"/>
      <c r="V100" s="2407"/>
      <c r="W100" s="2408" t="s">
        <v>221</v>
      </c>
      <c r="X100" s="2397">
        <f>+X87+X71+X55+X43+X32</f>
        <v>22026</v>
      </c>
      <c r="Y100" s="2409"/>
      <c r="AA100" s="2399" t="s">
        <v>221</v>
      </c>
      <c r="AB100" s="2397" t="e">
        <f>+AB87+AB71+AB55+AB43+AB32</f>
        <v>#VALUE!</v>
      </c>
      <c r="AC100" s="2409"/>
    </row>
    <row r="101" spans="1:29" s="2402" customFormat="1" ht="11.25" x14ac:dyDescent="0.2">
      <c r="A101" s="2413"/>
      <c r="B101" s="2395"/>
      <c r="C101" s="2445" t="s">
        <v>222</v>
      </c>
      <c r="D101" s="2412">
        <f>+D13</f>
        <v>0</v>
      </c>
      <c r="E101" s="2419"/>
      <c r="F101" s="2410"/>
      <c r="G101" s="2415" t="s">
        <v>222</v>
      </c>
      <c r="H101" s="2412">
        <f>+H13</f>
        <v>0</v>
      </c>
      <c r="I101" s="2398"/>
      <c r="J101" s="608"/>
      <c r="K101" s="2415" t="s">
        <v>222</v>
      </c>
      <c r="L101" s="2412">
        <f>+L13</f>
        <v>0</v>
      </c>
      <c r="M101" s="2404"/>
      <c r="O101" s="2415" t="s">
        <v>222</v>
      </c>
      <c r="P101" s="2412">
        <f>+P13</f>
        <v>0</v>
      </c>
      <c r="Q101" s="2363"/>
      <c r="R101" s="608"/>
      <c r="S101" s="2416" t="s">
        <v>222</v>
      </c>
      <c r="T101" s="2412">
        <f>+T13</f>
        <v>0</v>
      </c>
      <c r="V101" s="2407"/>
      <c r="W101" s="2417" t="s">
        <v>222</v>
      </c>
      <c r="X101" s="2412">
        <f>+X13</f>
        <v>0</v>
      </c>
      <c r="AA101" s="2415" t="s">
        <v>222</v>
      </c>
      <c r="AB101" s="2412">
        <f>+AB13</f>
        <v>0</v>
      </c>
    </row>
    <row r="102" spans="1:29" s="2402" customFormat="1" ht="11.25" x14ac:dyDescent="0.2">
      <c r="A102" s="2413"/>
      <c r="B102" s="2395"/>
      <c r="C102" s="2445"/>
      <c r="D102" s="2418">
        <f>+D100+D101</f>
        <v>27930.82</v>
      </c>
      <c r="E102" s="2419"/>
      <c r="F102" s="2410"/>
      <c r="G102" s="2415"/>
      <c r="H102" s="2418">
        <f>+H100+H101</f>
        <v>17629</v>
      </c>
      <c r="I102" s="2398"/>
      <c r="J102" s="608"/>
      <c r="K102" s="2415"/>
      <c r="L102" s="2418">
        <f>+L100+L101</f>
        <v>21475</v>
      </c>
      <c r="M102" s="2363"/>
      <c r="O102" s="2415"/>
      <c r="P102" s="2418">
        <f>+P100+P101</f>
        <v>21475</v>
      </c>
      <c r="Q102" s="2363"/>
      <c r="R102" s="608"/>
      <c r="S102" s="2416"/>
      <c r="T102" s="2418">
        <f>+T100+T101</f>
        <v>21475</v>
      </c>
      <c r="V102" s="2407"/>
      <c r="W102" s="2417"/>
      <c r="X102" s="2418">
        <f>+X100+X101</f>
        <v>22026</v>
      </c>
      <c r="AA102" s="2415"/>
      <c r="AB102" s="2418" t="e">
        <f>+AB100+AB101</f>
        <v>#VALUE!</v>
      </c>
    </row>
    <row r="103" spans="1:29" s="457" customFormat="1" ht="15" customHeight="1" x14ac:dyDescent="0.25">
      <c r="A103" s="897"/>
      <c r="B103" s="2422"/>
      <c r="C103" s="2446"/>
      <c r="D103" s="459">
        <f>+D90-D102</f>
        <v>0</v>
      </c>
      <c r="E103" s="2386"/>
      <c r="F103" s="340"/>
      <c r="G103" s="2447"/>
      <c r="H103" s="459">
        <f>+H90-H102</f>
        <v>0</v>
      </c>
      <c r="I103" s="2339"/>
      <c r="J103" s="592"/>
      <c r="K103" s="2447"/>
      <c r="L103" s="459">
        <f>+L90-L102</f>
        <v>0</v>
      </c>
      <c r="M103" s="1656"/>
      <c r="O103" s="2447"/>
      <c r="P103" s="459">
        <f>+P90-P102</f>
        <v>0</v>
      </c>
      <c r="Q103" s="1656"/>
      <c r="R103" s="592"/>
      <c r="S103" s="2447"/>
      <c r="T103" s="459">
        <f>+T90-T102</f>
        <v>0</v>
      </c>
      <c r="V103" s="952"/>
      <c r="W103" s="2448"/>
      <c r="X103" s="459">
        <f>+X90-X102</f>
        <v>0</v>
      </c>
      <c r="AA103" s="2447"/>
      <c r="AB103" s="459" t="e">
        <f>+AB90-AB102</f>
        <v>#VALUE!</v>
      </c>
    </row>
    <row r="104" spans="1:29" s="457" customFormat="1" x14ac:dyDescent="0.25">
      <c r="A104" s="897"/>
      <c r="B104" s="2422"/>
      <c r="C104" s="2446"/>
      <c r="D104" s="455"/>
      <c r="E104" s="2386"/>
      <c r="F104" s="340"/>
      <c r="G104" s="2338"/>
      <c r="H104" s="2424"/>
      <c r="I104" s="2339"/>
      <c r="J104" s="592"/>
      <c r="K104" s="1668"/>
      <c r="L104" s="2370"/>
      <c r="M104" s="1656"/>
      <c r="O104" s="1668"/>
      <c r="P104" s="340"/>
      <c r="Q104" s="1656"/>
      <c r="R104" s="592"/>
      <c r="S104" s="2341"/>
      <c r="V104" s="952"/>
      <c r="W104" s="2343"/>
      <c r="AA104" s="1668"/>
    </row>
    <row r="105" spans="1:29" s="457" customFormat="1" x14ac:dyDescent="0.25">
      <c r="A105" s="897"/>
      <c r="B105" s="2394"/>
      <c r="C105" s="2339"/>
      <c r="D105" s="342"/>
      <c r="E105" s="2386"/>
      <c r="F105" s="340"/>
      <c r="G105" s="2338"/>
      <c r="H105" s="2424"/>
      <c r="I105" s="2339"/>
      <c r="J105" s="592"/>
      <c r="K105" s="1668"/>
      <c r="L105" s="2370"/>
      <c r="M105" s="1656"/>
      <c r="O105" s="1668"/>
      <c r="P105" s="340"/>
      <c r="Q105" s="1656"/>
      <c r="R105" s="592"/>
      <c r="S105" s="2341"/>
      <c r="V105" s="952"/>
      <c r="W105" s="2343"/>
      <c r="AA105" s="1668"/>
    </row>
    <row r="106" spans="1:29" s="457" customFormat="1" x14ac:dyDescent="0.25">
      <c r="A106" s="1656"/>
      <c r="B106" s="2394"/>
      <c r="C106" s="2339"/>
      <c r="D106" s="455"/>
      <c r="E106" s="1656"/>
      <c r="G106" s="2338"/>
      <c r="H106" s="2424"/>
      <c r="I106" s="2339"/>
      <c r="J106" s="592"/>
      <c r="K106" s="1668"/>
      <c r="L106" s="2370"/>
      <c r="M106" s="1656"/>
      <c r="O106" s="1668"/>
      <c r="P106" s="340"/>
      <c r="Q106" s="1656"/>
      <c r="R106" s="592"/>
      <c r="S106" s="2341"/>
      <c r="V106" s="952"/>
      <c r="W106" s="2343"/>
      <c r="AA106" s="1668"/>
    </row>
    <row r="107" spans="1:29" s="457" customFormat="1" x14ac:dyDescent="0.25">
      <c r="A107" s="1656"/>
      <c r="B107" s="2394"/>
      <c r="C107" s="2339"/>
      <c r="D107" s="455"/>
      <c r="E107" s="1656"/>
      <c r="G107" s="2338"/>
      <c r="H107" s="2424"/>
      <c r="I107" s="2339"/>
      <c r="J107" s="592"/>
      <c r="K107" s="1668"/>
      <c r="L107" s="2370"/>
      <c r="M107" s="1656"/>
      <c r="O107" s="1668"/>
      <c r="P107" s="340"/>
      <c r="Q107" s="1656"/>
      <c r="R107" s="592"/>
      <c r="S107" s="2341"/>
      <c r="V107" s="952"/>
      <c r="W107" s="2343"/>
      <c r="AA107" s="1668"/>
    </row>
    <row r="108" spans="1:29" s="457" customFormat="1" ht="15" customHeight="1" x14ac:dyDescent="0.25">
      <c r="A108" s="1656"/>
      <c r="B108" s="2394"/>
      <c r="C108" s="2339"/>
      <c r="D108" s="455"/>
      <c r="E108" s="1656"/>
      <c r="G108" s="2338"/>
      <c r="H108" s="2424"/>
      <c r="I108" s="2339"/>
      <c r="J108" s="592"/>
      <c r="K108" s="1668"/>
      <c r="L108" s="2370"/>
      <c r="M108" s="1656"/>
      <c r="O108" s="1668"/>
      <c r="P108" s="340"/>
      <c r="Q108" s="1656"/>
      <c r="R108" s="592"/>
      <c r="S108" s="2341"/>
      <c r="V108" s="952"/>
      <c r="W108" s="2343"/>
      <c r="AA108" s="1668"/>
    </row>
    <row r="109" spans="1:29" s="457" customFormat="1" x14ac:dyDescent="0.25">
      <c r="A109" s="1656"/>
      <c r="B109" s="2394"/>
      <c r="C109" s="2339"/>
      <c r="D109" s="455"/>
      <c r="E109" s="1656"/>
      <c r="G109" s="2338"/>
      <c r="H109" s="2424"/>
      <c r="I109" s="2339"/>
      <c r="J109" s="592"/>
      <c r="K109" s="1668"/>
      <c r="L109" s="2370"/>
      <c r="M109" s="1656"/>
      <c r="O109" s="1668"/>
      <c r="P109" s="340"/>
      <c r="Q109" s="1656"/>
      <c r="R109" s="592"/>
      <c r="S109" s="2341"/>
      <c r="V109" s="952"/>
      <c r="W109" s="2343"/>
      <c r="AA109" s="1668"/>
    </row>
    <row r="110" spans="1:29" s="457" customFormat="1" x14ac:dyDescent="0.25">
      <c r="A110" s="1656"/>
      <c r="B110" s="2394"/>
      <c r="C110" s="2339"/>
      <c r="D110" s="455"/>
      <c r="E110" s="1656"/>
      <c r="G110" s="2338"/>
      <c r="H110" s="2424"/>
      <c r="I110" s="2339"/>
      <c r="J110" s="592"/>
      <c r="K110" s="1668"/>
      <c r="L110" s="2370"/>
      <c r="M110" s="1656"/>
      <c r="O110" s="1668"/>
      <c r="P110" s="340"/>
      <c r="Q110" s="1656"/>
      <c r="R110" s="592"/>
      <c r="S110" s="2341"/>
      <c r="V110" s="952"/>
      <c r="W110" s="2343"/>
      <c r="AA110" s="1668"/>
    </row>
    <row r="111" spans="1:29" s="457" customFormat="1" ht="15" customHeight="1" x14ac:dyDescent="0.25">
      <c r="A111" s="1656"/>
      <c r="B111" s="2565"/>
      <c r="C111" s="2565"/>
      <c r="D111" s="455"/>
      <c r="E111" s="1656"/>
      <c r="G111" s="2338"/>
      <c r="H111" s="2424"/>
      <c r="I111" s="2339"/>
      <c r="J111" s="592"/>
      <c r="K111" s="1668"/>
      <c r="L111" s="2370"/>
      <c r="M111" s="1656"/>
      <c r="O111" s="1668"/>
      <c r="P111" s="340"/>
      <c r="Q111" s="1656"/>
      <c r="R111" s="592"/>
      <c r="S111" s="2341"/>
      <c r="V111" s="952"/>
      <c r="W111" s="2343"/>
      <c r="AA111" s="1668"/>
    </row>
    <row r="112" spans="1:29" s="457" customFormat="1" x14ac:dyDescent="0.25">
      <c r="A112" s="1656"/>
      <c r="B112" s="2565"/>
      <c r="C112" s="2565"/>
      <c r="D112" s="455"/>
      <c r="E112" s="1656"/>
      <c r="G112" s="2338"/>
      <c r="H112" s="2424"/>
      <c r="I112" s="2339"/>
      <c r="J112" s="592"/>
      <c r="K112" s="1668"/>
      <c r="L112" s="2370"/>
      <c r="M112" s="1656"/>
      <c r="O112" s="1668"/>
      <c r="P112" s="340"/>
      <c r="Q112" s="1656"/>
      <c r="R112" s="592"/>
      <c r="S112" s="2341"/>
      <c r="V112" s="952"/>
      <c r="W112" s="2343"/>
      <c r="AA112" s="1668"/>
    </row>
    <row r="113" spans="1:27" s="457" customFormat="1" x14ac:dyDescent="0.25">
      <c r="A113" s="1656"/>
      <c r="B113" s="2394"/>
      <c r="C113" s="2339"/>
      <c r="D113" s="460"/>
      <c r="E113" s="1656"/>
      <c r="G113" s="2338"/>
      <c r="H113" s="2424"/>
      <c r="I113" s="2339"/>
      <c r="J113" s="592"/>
      <c r="K113" s="1668"/>
      <c r="L113" s="2370"/>
      <c r="M113" s="1656"/>
      <c r="O113" s="1668"/>
      <c r="P113" s="340"/>
      <c r="Q113" s="1656"/>
      <c r="R113" s="592"/>
      <c r="S113" s="2341"/>
      <c r="V113" s="952"/>
      <c r="W113" s="2343"/>
      <c r="AA113" s="1668"/>
    </row>
    <row r="114" spans="1:27" s="457" customFormat="1" x14ac:dyDescent="0.25">
      <c r="A114" s="1656"/>
      <c r="B114" s="2394"/>
      <c r="C114" s="2339"/>
      <c r="D114" s="455"/>
      <c r="E114" s="1656"/>
      <c r="G114" s="2338"/>
      <c r="H114" s="2424"/>
      <c r="I114" s="2339"/>
      <c r="J114" s="592"/>
      <c r="K114" s="1668"/>
      <c r="L114" s="2370"/>
      <c r="M114" s="1656"/>
      <c r="O114" s="1668"/>
      <c r="P114" s="340"/>
      <c r="Q114" s="1656"/>
      <c r="R114" s="592"/>
      <c r="S114" s="2341"/>
      <c r="V114" s="952"/>
      <c r="W114" s="2343"/>
      <c r="AA114" s="1668"/>
    </row>
    <row r="115" spans="1:27" s="457" customFormat="1" x14ac:dyDescent="0.25">
      <c r="A115" s="1656"/>
      <c r="B115" s="2394"/>
      <c r="C115" s="2339"/>
      <c r="D115" s="455"/>
      <c r="E115" s="1656"/>
      <c r="G115" s="2338"/>
      <c r="H115" s="2424"/>
      <c r="I115" s="2339"/>
      <c r="J115" s="592"/>
      <c r="K115" s="1668"/>
      <c r="L115" s="2370"/>
      <c r="M115" s="1656"/>
      <c r="O115" s="1668"/>
      <c r="P115" s="340"/>
      <c r="Q115" s="1656"/>
      <c r="R115" s="592"/>
      <c r="S115" s="2341"/>
      <c r="V115" s="952"/>
      <c r="W115" s="2343"/>
      <c r="AA115" s="1668"/>
    </row>
    <row r="116" spans="1:27" s="457" customFormat="1" ht="28.5" customHeight="1" x14ac:dyDescent="0.25">
      <c r="A116" s="1656"/>
      <c r="B116" s="2394"/>
      <c r="C116" s="2339"/>
      <c r="D116" s="342"/>
      <c r="E116" s="1656"/>
      <c r="G116" s="2338"/>
      <c r="H116" s="2424"/>
      <c r="I116" s="2339"/>
      <c r="J116" s="592"/>
      <c r="K116" s="1668"/>
      <c r="L116" s="2370"/>
      <c r="M116" s="1656"/>
      <c r="O116" s="1668"/>
      <c r="P116" s="340"/>
      <c r="Q116" s="1656"/>
      <c r="R116" s="592"/>
      <c r="S116" s="2341"/>
      <c r="V116" s="952"/>
      <c r="W116" s="2343"/>
      <c r="AA116" s="1668"/>
    </row>
    <row r="117" spans="1:27" s="457" customFormat="1" x14ac:dyDescent="0.25">
      <c r="A117" s="1656"/>
      <c r="B117" s="2394"/>
      <c r="C117" s="2339"/>
      <c r="D117" s="455"/>
      <c r="E117" s="1656"/>
      <c r="G117" s="2338"/>
      <c r="H117" s="2424"/>
      <c r="I117" s="2339"/>
      <c r="J117" s="592"/>
      <c r="K117" s="1668"/>
      <c r="L117" s="2370"/>
      <c r="M117" s="1656"/>
      <c r="O117" s="1668"/>
      <c r="P117" s="340"/>
      <c r="Q117" s="1656"/>
      <c r="R117" s="592"/>
      <c r="S117" s="2341"/>
      <c r="V117" s="952"/>
      <c r="W117" s="2343"/>
      <c r="AA117" s="1668"/>
    </row>
    <row r="118" spans="1:27" s="457" customFormat="1" x14ac:dyDescent="0.25">
      <c r="A118" s="1656"/>
      <c r="B118" s="2394"/>
      <c r="C118" s="2339"/>
      <c r="D118" s="455"/>
      <c r="E118" s="1656"/>
      <c r="G118" s="2338"/>
      <c r="H118" s="2424"/>
      <c r="I118" s="2339"/>
      <c r="J118" s="592"/>
      <c r="K118" s="1668"/>
      <c r="L118" s="2370"/>
      <c r="M118" s="1656"/>
      <c r="O118" s="1668"/>
      <c r="P118" s="340"/>
      <c r="Q118" s="1656"/>
      <c r="R118" s="592"/>
      <c r="S118" s="2341"/>
      <c r="V118" s="952"/>
      <c r="W118" s="2343"/>
      <c r="AA118" s="1668"/>
    </row>
    <row r="119" spans="1:27" s="457" customFormat="1" x14ac:dyDescent="0.25">
      <c r="A119" s="1656"/>
      <c r="B119" s="2394"/>
      <c r="C119" s="2339"/>
      <c r="D119" s="455"/>
      <c r="E119" s="1656"/>
      <c r="G119" s="2338"/>
      <c r="H119" s="2424"/>
      <c r="I119" s="2339"/>
      <c r="J119" s="592"/>
      <c r="K119" s="1668"/>
      <c r="L119" s="2370"/>
      <c r="M119" s="1656"/>
      <c r="O119" s="1668"/>
      <c r="P119" s="340"/>
      <c r="Q119" s="1656"/>
      <c r="R119" s="592"/>
      <c r="S119" s="2341"/>
      <c r="V119" s="952"/>
      <c r="W119" s="2343"/>
      <c r="AA119" s="1668"/>
    </row>
    <row r="120" spans="1:27" s="457" customFormat="1" x14ac:dyDescent="0.25">
      <c r="A120" s="1656"/>
      <c r="B120" s="2394"/>
      <c r="C120" s="2339"/>
      <c r="D120" s="455"/>
      <c r="E120" s="1656"/>
      <c r="G120" s="2338"/>
      <c r="H120" s="2424"/>
      <c r="I120" s="2339"/>
      <c r="J120" s="592"/>
      <c r="K120" s="1668"/>
      <c r="L120" s="2370"/>
      <c r="M120" s="1656"/>
      <c r="O120" s="1668"/>
      <c r="P120" s="340"/>
      <c r="Q120" s="1656"/>
      <c r="R120" s="592"/>
      <c r="S120" s="2341"/>
      <c r="V120" s="952"/>
      <c r="W120" s="2343"/>
      <c r="AA120" s="1668"/>
    </row>
    <row r="121" spans="1:27" s="457" customFormat="1" x14ac:dyDescent="0.25">
      <c r="A121" s="1656"/>
      <c r="B121" s="2394"/>
      <c r="C121" s="2339"/>
      <c r="D121" s="455"/>
      <c r="E121" s="1656"/>
      <c r="G121" s="2338"/>
      <c r="H121" s="2424"/>
      <c r="I121" s="2339"/>
      <c r="J121" s="592"/>
      <c r="K121" s="1668"/>
      <c r="L121" s="2370"/>
      <c r="M121" s="1656"/>
      <c r="O121" s="1668"/>
      <c r="P121" s="340"/>
      <c r="Q121" s="1656"/>
      <c r="R121" s="592"/>
      <c r="S121" s="2341"/>
      <c r="V121" s="952"/>
      <c r="W121" s="2343"/>
      <c r="AA121" s="1668"/>
    </row>
    <row r="122" spans="1:27" s="457" customFormat="1" x14ac:dyDescent="0.25">
      <c r="A122" s="1656"/>
      <c r="B122" s="2394"/>
      <c r="C122" s="2339"/>
      <c r="D122" s="455"/>
      <c r="E122" s="1656"/>
      <c r="G122" s="2338"/>
      <c r="H122" s="2424"/>
      <c r="I122" s="2339"/>
      <c r="J122" s="592"/>
      <c r="K122" s="1668"/>
      <c r="L122" s="2370"/>
      <c r="M122" s="1656"/>
      <c r="O122" s="1668"/>
      <c r="P122" s="340"/>
      <c r="Q122" s="1656"/>
      <c r="R122" s="592"/>
      <c r="S122" s="2341"/>
      <c r="V122" s="952"/>
      <c r="W122" s="2343"/>
      <c r="AA122" s="1668"/>
    </row>
    <row r="123" spans="1:27" s="457" customFormat="1" x14ac:dyDescent="0.25">
      <c r="A123" s="1656"/>
      <c r="B123" s="2394"/>
      <c r="C123" s="2339"/>
      <c r="D123" s="455"/>
      <c r="E123" s="1656"/>
      <c r="G123" s="2338"/>
      <c r="H123" s="2424"/>
      <c r="I123" s="2339"/>
      <c r="J123" s="592"/>
      <c r="K123" s="1668"/>
      <c r="L123" s="2370"/>
      <c r="M123" s="1656"/>
      <c r="O123" s="1668"/>
      <c r="P123" s="340"/>
      <c r="Q123" s="1656"/>
      <c r="R123" s="592"/>
      <c r="S123" s="2341"/>
      <c r="V123" s="952"/>
      <c r="W123" s="2343"/>
      <c r="AA123" s="1668"/>
    </row>
    <row r="124" spans="1:27" s="457" customFormat="1" x14ac:dyDescent="0.25">
      <c r="A124" s="1656"/>
      <c r="B124" s="2394"/>
      <c r="C124" s="2339"/>
      <c r="D124" s="455"/>
      <c r="E124" s="1656"/>
      <c r="G124" s="2338"/>
      <c r="H124" s="2424"/>
      <c r="I124" s="2339"/>
      <c r="J124" s="592"/>
      <c r="K124" s="1668"/>
      <c r="L124" s="2370"/>
      <c r="M124" s="1656"/>
      <c r="O124" s="1668"/>
      <c r="P124" s="340"/>
      <c r="Q124" s="1656"/>
      <c r="R124" s="592"/>
      <c r="S124" s="2341"/>
      <c r="V124" s="952"/>
      <c r="W124" s="2343"/>
      <c r="AA124" s="1668"/>
    </row>
    <row r="125" spans="1:27" s="457" customFormat="1" x14ac:dyDescent="0.25">
      <c r="A125" s="1656"/>
      <c r="B125" s="2394"/>
      <c r="C125" s="2339"/>
      <c r="D125" s="455"/>
      <c r="E125" s="1656"/>
      <c r="G125" s="2338"/>
      <c r="H125" s="2424"/>
      <c r="I125" s="2339"/>
      <c r="J125" s="592"/>
      <c r="K125" s="1668"/>
      <c r="L125" s="2370"/>
      <c r="M125" s="1656"/>
      <c r="O125" s="1668"/>
      <c r="P125" s="340"/>
      <c r="Q125" s="1656"/>
      <c r="R125" s="592"/>
      <c r="S125" s="2341"/>
      <c r="V125" s="952"/>
      <c r="W125" s="2343"/>
      <c r="AA125" s="1668"/>
    </row>
    <row r="126" spans="1:27" s="457" customFormat="1" x14ac:dyDescent="0.25">
      <c r="A126" s="1656"/>
      <c r="B126" s="2394"/>
      <c r="C126" s="2339"/>
      <c r="D126" s="455"/>
      <c r="E126" s="1656"/>
      <c r="G126" s="2338"/>
      <c r="H126" s="2424"/>
      <c r="I126" s="2339"/>
      <c r="J126" s="592"/>
      <c r="K126" s="1668"/>
      <c r="L126" s="2370"/>
      <c r="M126" s="1656"/>
      <c r="O126" s="1668"/>
      <c r="P126" s="340"/>
      <c r="Q126" s="1656"/>
      <c r="R126" s="592"/>
      <c r="S126" s="2341"/>
      <c r="V126" s="952"/>
      <c r="W126" s="2343"/>
      <c r="AA126" s="1668"/>
    </row>
    <row r="127" spans="1:27" s="457" customFormat="1" x14ac:dyDescent="0.25">
      <c r="A127" s="1656"/>
      <c r="B127" s="2394"/>
      <c r="C127" s="2339"/>
      <c r="D127" s="455"/>
      <c r="E127" s="1656"/>
      <c r="G127" s="2338"/>
      <c r="H127" s="2424"/>
      <c r="I127" s="2339"/>
      <c r="J127" s="592"/>
      <c r="K127" s="1668"/>
      <c r="L127" s="2370"/>
      <c r="M127" s="1656"/>
      <c r="O127" s="1668"/>
      <c r="P127" s="340"/>
      <c r="Q127" s="1656"/>
      <c r="R127" s="592"/>
      <c r="S127" s="2341"/>
      <c r="V127" s="952"/>
      <c r="W127" s="2343"/>
      <c r="AA127" s="1668"/>
    </row>
    <row r="128" spans="1:27" s="457" customFormat="1" x14ac:dyDescent="0.25">
      <c r="A128" s="1656"/>
      <c r="B128" s="2394"/>
      <c r="C128" s="2339"/>
      <c r="D128" s="455"/>
      <c r="E128" s="1656"/>
      <c r="G128" s="2338"/>
      <c r="H128" s="2424"/>
      <c r="I128" s="2339"/>
      <c r="J128" s="592"/>
      <c r="K128" s="1668"/>
      <c r="L128" s="2370"/>
      <c r="M128" s="1656"/>
      <c r="O128" s="1668"/>
      <c r="P128" s="340"/>
      <c r="Q128" s="1656"/>
      <c r="R128" s="592"/>
      <c r="S128" s="2341"/>
      <c r="V128" s="952"/>
      <c r="W128" s="2343"/>
      <c r="AA128" s="1668"/>
    </row>
    <row r="129" spans="1:27" s="457" customFormat="1" x14ac:dyDescent="0.25">
      <c r="A129" s="1656"/>
      <c r="B129" s="2394"/>
      <c r="C129" s="2339"/>
      <c r="D129" s="455"/>
      <c r="E129" s="1656"/>
      <c r="G129" s="2338"/>
      <c r="H129" s="2424"/>
      <c r="I129" s="2339"/>
      <c r="J129" s="592"/>
      <c r="K129" s="1668"/>
      <c r="L129" s="2370"/>
      <c r="M129" s="1656"/>
      <c r="O129" s="1668"/>
      <c r="P129" s="340"/>
      <c r="Q129" s="1656"/>
      <c r="R129" s="592"/>
      <c r="S129" s="2341"/>
      <c r="V129" s="952"/>
      <c r="W129" s="2343"/>
      <c r="AA129" s="1668"/>
    </row>
    <row r="130" spans="1:27" s="457" customFormat="1" x14ac:dyDescent="0.25">
      <c r="A130" s="1656"/>
      <c r="B130" s="2394"/>
      <c r="C130" s="2339"/>
      <c r="D130" s="455"/>
      <c r="E130" s="1656"/>
      <c r="G130" s="2338"/>
      <c r="H130" s="2424"/>
      <c r="I130" s="2339"/>
      <c r="J130" s="592"/>
      <c r="K130" s="1668"/>
      <c r="L130" s="2370"/>
      <c r="M130" s="1656"/>
      <c r="O130" s="1668"/>
      <c r="P130" s="340"/>
      <c r="Q130" s="1656"/>
      <c r="R130" s="592"/>
      <c r="S130" s="2341"/>
      <c r="V130" s="952"/>
      <c r="W130" s="2343"/>
      <c r="AA130" s="1668"/>
    </row>
    <row r="131" spans="1:27" s="457" customFormat="1" x14ac:dyDescent="0.25">
      <c r="A131" s="1656"/>
      <c r="B131" s="2394"/>
      <c r="C131" s="2339"/>
      <c r="D131" s="455"/>
      <c r="E131" s="1656"/>
      <c r="G131" s="2338"/>
      <c r="H131" s="2424"/>
      <c r="I131" s="2339"/>
      <c r="J131" s="592"/>
      <c r="K131" s="1668"/>
      <c r="L131" s="2370"/>
      <c r="M131" s="1656"/>
      <c r="O131" s="1668"/>
      <c r="P131" s="340"/>
      <c r="Q131" s="1656"/>
      <c r="R131" s="592"/>
      <c r="S131" s="2341"/>
      <c r="V131" s="952"/>
      <c r="W131" s="2343"/>
      <c r="AA131" s="1668"/>
    </row>
  </sheetData>
  <sheetProtection password="E247" sheet="1" objects="1" scenarios="1"/>
  <mergeCells count="1">
    <mergeCell ref="B111:C112"/>
  </mergeCells>
  <pageMargins left="0.25" right="0.25" top="0.5" bottom="0.5" header="0.25" footer="0.25"/>
  <pageSetup paperSize="5" scale="97" orientation="portrait" r:id="rId1"/>
  <headerFooter>
    <oddHeader>&amp;L&amp;F</oddHeader>
    <oddFooter>&amp;R&amp;A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fitToPage="1"/>
  </sheetPr>
  <dimension ref="A1:AC139"/>
  <sheetViews>
    <sheetView zoomScaleNormal="100" workbookViewId="0">
      <pane xSplit="3" ySplit="6" topLeftCell="H7" activePane="bottomRight" state="frozen"/>
      <selection activeCell="H7" sqref="H7"/>
      <selection pane="topRight" activeCell="H7" sqref="H7"/>
      <selection pane="bottomLeft" activeCell="H7" sqref="H7"/>
      <selection pane="bottomRight" activeCell="H7" sqref="H7"/>
    </sheetView>
  </sheetViews>
  <sheetFormatPr defaultRowHeight="15" x14ac:dyDescent="0.25"/>
  <cols>
    <col min="1" max="1" width="1.7109375" style="143" customWidth="1"/>
    <col min="2" max="2" width="8.5703125" style="2172" customWidth="1"/>
    <col min="3" max="3" width="24.85546875" style="844" customWidth="1"/>
    <col min="4" max="4" width="16" style="2" hidden="1" customWidth="1"/>
    <col min="5" max="5" width="17.7109375" style="844" hidden="1" customWidth="1"/>
    <col min="6" max="6" width="6" style="39" hidden="1" customWidth="1"/>
    <col min="7" max="7" width="10.7109375" style="52" hidden="1" customWidth="1"/>
    <col min="8" max="8" width="13.85546875" style="121" bestFit="1" customWidth="1"/>
    <col min="9" max="9" width="26" style="853" hidden="1" customWidth="1"/>
    <col min="10" max="10" width="5.7109375" style="59" hidden="1" customWidth="1"/>
    <col min="11" max="11" width="9.85546875" style="333" hidden="1" customWidth="1"/>
    <col min="12" max="12" width="14" style="122" bestFit="1" customWidth="1"/>
    <col min="13" max="13" width="26" style="844" hidden="1" customWidth="1"/>
    <col min="14" max="14" width="5.7109375" style="39" hidden="1" customWidth="1"/>
    <col min="15" max="15" width="9.42578125" style="333" hidden="1" customWidth="1"/>
    <col min="16" max="16" width="14.28515625" style="2" bestFit="1" customWidth="1"/>
    <col min="17" max="17" width="24.85546875" style="844" hidden="1" customWidth="1"/>
    <col min="18" max="18" width="4.7109375" style="36" hidden="1" customWidth="1"/>
    <col min="19" max="19" width="9.42578125" style="338" hidden="1" customWidth="1"/>
    <col min="20" max="20" width="14" style="39" customWidth="1"/>
    <col min="21" max="21" width="24.85546875" style="39" hidden="1" customWidth="1"/>
    <col min="22" max="22" width="5.7109375" style="109" customWidth="1"/>
    <col min="23" max="23" width="9.42578125" style="2244" hidden="1" customWidth="1"/>
    <col min="24" max="24" width="14" style="39" hidden="1" customWidth="1"/>
    <col min="25" max="25" width="24.85546875" style="39" hidden="1" customWidth="1"/>
    <col min="26" max="26" width="5.7109375" style="39" hidden="1" customWidth="1"/>
    <col min="27" max="27" width="9.42578125" style="333" hidden="1" customWidth="1"/>
    <col min="28" max="28" width="14" style="39" hidden="1" customWidth="1"/>
    <col min="29" max="29" width="24.85546875" style="39" hidden="1" customWidth="1"/>
    <col min="30" max="16384" width="9.140625" style="39"/>
  </cols>
  <sheetData>
    <row r="1" spans="1:29" x14ac:dyDescent="0.25">
      <c r="B1" s="2172" t="s">
        <v>61</v>
      </c>
      <c r="C1" s="873" t="s">
        <v>397</v>
      </c>
      <c r="D1" s="97">
        <v>0</v>
      </c>
      <c r="E1" s="842"/>
      <c r="F1" s="98"/>
      <c r="G1" s="325"/>
      <c r="H1" s="99">
        <v>0</v>
      </c>
      <c r="I1" s="842"/>
      <c r="L1" s="121">
        <v>0</v>
      </c>
      <c r="M1" s="842"/>
      <c r="P1" s="121">
        <v>0</v>
      </c>
      <c r="Q1" s="842"/>
      <c r="T1" s="86">
        <v>0</v>
      </c>
      <c r="U1" s="98"/>
      <c r="X1" s="86">
        <v>0</v>
      </c>
      <c r="Y1" s="98"/>
      <c r="AB1" s="86">
        <v>0</v>
      </c>
      <c r="AC1" s="98"/>
    </row>
    <row r="2" spans="1:29" ht="17.25" x14ac:dyDescent="0.4">
      <c r="B2" s="2173" t="s">
        <v>59</v>
      </c>
      <c r="C2" s="295" t="s">
        <v>1118</v>
      </c>
      <c r="D2" s="99">
        <v>0</v>
      </c>
      <c r="E2" s="842"/>
      <c r="F2" s="98"/>
      <c r="G2" s="326"/>
      <c r="H2" s="99">
        <v>0</v>
      </c>
      <c r="I2" s="842"/>
      <c r="L2" s="87">
        <v>0</v>
      </c>
      <c r="M2" s="842"/>
      <c r="P2" s="87">
        <v>0</v>
      </c>
      <c r="Q2" s="842"/>
      <c r="T2" s="87">
        <v>0</v>
      </c>
      <c r="U2" s="98"/>
      <c r="X2" s="87">
        <v>0</v>
      </c>
      <c r="Y2" s="98"/>
      <c r="AB2" s="87">
        <v>0</v>
      </c>
      <c r="AC2" s="98"/>
    </row>
    <row r="3" spans="1:29" x14ac:dyDescent="0.25">
      <c r="D3" s="281">
        <f>+SUM(D1:D2)</f>
        <v>0</v>
      </c>
      <c r="E3" s="843"/>
      <c r="F3" s="100"/>
      <c r="G3" s="83"/>
      <c r="H3" s="281">
        <f>+SUM(H1:H2)</f>
        <v>0</v>
      </c>
      <c r="I3" s="852"/>
      <c r="L3" s="121">
        <f>SUM(L1:L2)</f>
        <v>0</v>
      </c>
      <c r="M3" s="853"/>
      <c r="P3" s="121">
        <f>SUM(P1:P2)</f>
        <v>0</v>
      </c>
      <c r="Q3" s="853"/>
      <c r="T3" s="86">
        <f>SUM(T1:T2)</f>
        <v>0</v>
      </c>
      <c r="U3" s="51"/>
      <c r="X3" s="86">
        <f>SUM(X1:X2)</f>
        <v>0</v>
      </c>
      <c r="Y3" s="51"/>
      <c r="AB3" s="86">
        <f>SUM(AB1:AB2)</f>
        <v>0</v>
      </c>
      <c r="AC3" s="51"/>
    </row>
    <row r="4" spans="1:29" x14ac:dyDescent="0.25">
      <c r="L4" s="121"/>
      <c r="M4" s="853"/>
      <c r="P4" s="121"/>
      <c r="Q4" s="853"/>
      <c r="T4" s="86"/>
      <c r="U4" s="51"/>
      <c r="X4" s="86"/>
      <c r="Y4" s="51"/>
      <c r="AB4" s="86"/>
      <c r="AC4" s="51"/>
    </row>
    <row r="5" spans="1:29" ht="15.75" x14ac:dyDescent="0.25">
      <c r="B5" s="2174" t="s">
        <v>56</v>
      </c>
      <c r="P5" s="122"/>
      <c r="T5" s="73"/>
      <c r="X5" s="73"/>
      <c r="AB5" s="73"/>
    </row>
    <row r="6" spans="1:29" s="89" customFormat="1" ht="15.75" x14ac:dyDescent="0.25">
      <c r="A6" s="144"/>
      <c r="B6" s="2175"/>
      <c r="C6" s="877"/>
      <c r="D6" s="243" t="s">
        <v>55</v>
      </c>
      <c r="E6" s="845"/>
      <c r="G6" s="327"/>
      <c r="H6" s="282" t="str">
        <f>LEFT(D6,4)+1&amp;"-"&amp;RIGHT(D6,4)+1</f>
        <v>2017-2018</v>
      </c>
      <c r="I6" s="854"/>
      <c r="J6" s="93"/>
      <c r="K6" s="334"/>
      <c r="L6" s="123" t="str">
        <f>LEFT(H6,4)+1&amp;"-"&amp;RIGHT(H6,4)+1</f>
        <v>2018-2019</v>
      </c>
      <c r="M6" s="888"/>
      <c r="N6" s="96"/>
      <c r="O6" s="337"/>
      <c r="P6" s="123" t="str">
        <f>LEFT(L6,4)+1&amp;"-"&amp;RIGHT(L6,4)+1</f>
        <v>2019-2020</v>
      </c>
      <c r="Q6" s="888"/>
      <c r="R6" s="2236"/>
      <c r="S6" s="2242"/>
      <c r="T6" s="95" t="str">
        <f>LEFT(P6,4)+1&amp;"-"&amp;RIGHT(P6,4)+1</f>
        <v>2020-2021</v>
      </c>
      <c r="U6" s="95"/>
      <c r="V6" s="110"/>
      <c r="W6" s="2245"/>
      <c r="X6" s="95" t="str">
        <f>LEFT(T6,4)+1&amp;"-"&amp;RIGHT(T6,4)+1</f>
        <v>2021-2022</v>
      </c>
      <c r="Y6" s="95"/>
      <c r="Z6" s="96"/>
      <c r="AA6" s="337"/>
      <c r="AB6" s="95" t="str">
        <f>LEFT(X6,4)+1&amp;"-"&amp;RIGHT(X6,4)+1</f>
        <v>2022-2023</v>
      </c>
      <c r="AC6" s="95"/>
    </row>
    <row r="7" spans="1:29" s="457" customFormat="1" x14ac:dyDescent="0.25">
      <c r="A7" s="1656"/>
      <c r="B7" s="2337" t="s">
        <v>54</v>
      </c>
      <c r="C7" s="1656"/>
      <c r="D7" s="340">
        <v>323251.7</v>
      </c>
      <c r="E7" s="1656"/>
      <c r="G7" s="2338"/>
      <c r="H7" s="340">
        <f>D102</f>
        <v>568740.15000000014</v>
      </c>
      <c r="I7" s="1656"/>
      <c r="J7" s="599"/>
      <c r="K7" s="1668"/>
      <c r="L7" s="340">
        <f>H102</f>
        <v>1451503.9999999998</v>
      </c>
      <c r="M7" s="1656"/>
      <c r="O7" s="1668"/>
      <c r="P7" s="340">
        <f>L102</f>
        <v>3947087</v>
      </c>
      <c r="Q7" s="1656"/>
      <c r="R7" s="455"/>
      <c r="S7" s="2341"/>
      <c r="T7" s="340">
        <f>P102</f>
        <v>6504476</v>
      </c>
      <c r="V7" s="952"/>
      <c r="W7" s="2343"/>
      <c r="X7" s="340">
        <f>T102</f>
        <v>8802431</v>
      </c>
      <c r="AA7" s="1668"/>
      <c r="AB7" s="340">
        <f>X102</f>
        <v>3934464</v>
      </c>
    </row>
    <row r="8" spans="1:29" s="457" customFormat="1" x14ac:dyDescent="0.25">
      <c r="A8" s="1656"/>
      <c r="B8" s="2345"/>
      <c r="C8" s="1656"/>
      <c r="D8" s="340"/>
      <c r="E8" s="1656"/>
      <c r="G8" s="2338"/>
      <c r="H8" s="340"/>
      <c r="I8" s="1656"/>
      <c r="J8" s="592"/>
      <c r="K8" s="1668"/>
      <c r="L8" s="340"/>
      <c r="M8" s="1656"/>
      <c r="O8" s="1668"/>
      <c r="P8" s="340"/>
      <c r="Q8" s="1656"/>
      <c r="R8" s="455"/>
      <c r="S8" s="2341"/>
      <c r="V8" s="952"/>
      <c r="W8" s="2343"/>
      <c r="AA8" s="1668"/>
    </row>
    <row r="9" spans="1:29" s="457" customFormat="1" x14ac:dyDescent="0.25">
      <c r="A9" s="1656"/>
      <c r="B9" s="2345" t="s">
        <v>52</v>
      </c>
      <c r="C9" s="1656" t="s">
        <v>398</v>
      </c>
      <c r="D9" s="340">
        <v>4047579</v>
      </c>
      <c r="E9" s="1656" t="s">
        <v>462</v>
      </c>
      <c r="G9" s="456">
        <f>IF(D9=0,"0.00%",(H9-D9)/D9)</f>
        <v>0.2949170355909051</v>
      </c>
      <c r="H9" s="833">
        <v>5241279</v>
      </c>
      <c r="I9" s="1656" t="s">
        <v>462</v>
      </c>
      <c r="J9" s="342"/>
      <c r="K9" s="456">
        <f>IF(H9=0,"0.00%",(L9-H9)/H9)</f>
        <v>0.34244694854061386</v>
      </c>
      <c r="L9" s="833">
        <v>7036139</v>
      </c>
      <c r="M9" s="1656" t="s">
        <v>1107</v>
      </c>
      <c r="O9" s="456">
        <f>IF(L9=0,"0.00%",(P9-L9)/L9)</f>
        <v>3.5691733776151952E-2</v>
      </c>
      <c r="P9" s="833">
        <v>7287271</v>
      </c>
      <c r="Q9" s="1656" t="s">
        <v>1107</v>
      </c>
      <c r="R9" s="455"/>
      <c r="S9" s="2238">
        <f>IF(P9=0,"0.00%",(T9-P9)/P9)</f>
        <v>-1.7988489792680962E-2</v>
      </c>
      <c r="T9" s="833">
        <v>7156184</v>
      </c>
      <c r="U9" s="1656" t="s">
        <v>1107</v>
      </c>
      <c r="V9" s="952"/>
      <c r="W9" s="2241">
        <f>IF(T9=0,"0.00%",(X9-T9)/T9)</f>
        <v>-1</v>
      </c>
      <c r="X9" s="833">
        <f>X3</f>
        <v>0</v>
      </c>
      <c r="AA9" s="456" t="str">
        <f>IF(X9=0,"0.00%",(AB9-X9)/X9)</f>
        <v>0.00%</v>
      </c>
      <c r="AB9" s="833">
        <f>AB3</f>
        <v>0</v>
      </c>
    </row>
    <row r="10" spans="1:29" s="457" customFormat="1" x14ac:dyDescent="0.25">
      <c r="A10" s="1656"/>
      <c r="B10" s="2345"/>
      <c r="C10" s="1656"/>
      <c r="D10" s="340"/>
      <c r="E10" s="1656"/>
      <c r="G10" s="456" t="str">
        <f t="shared" ref="G10:G15" si="0">IF(D10=0,"0.00%",(H10-D10)/D10)</f>
        <v>0.00%</v>
      </c>
      <c r="H10" s="833">
        <v>0</v>
      </c>
      <c r="I10" s="1656"/>
      <c r="J10" s="342"/>
      <c r="K10" s="456" t="str">
        <f>IF(H10=0,"0.00%",(L10-H10)/H10)</f>
        <v>0.00%</v>
      </c>
      <c r="L10" s="833">
        <f>-H2</f>
        <v>0</v>
      </c>
      <c r="M10" s="1656"/>
      <c r="O10" s="456" t="str">
        <f>IF(L10=0,"0.00%",(P10-L10)/L10)</f>
        <v>0.00%</v>
      </c>
      <c r="P10" s="833">
        <f>-L2</f>
        <v>0</v>
      </c>
      <c r="Q10" s="1656"/>
      <c r="R10" s="455"/>
      <c r="S10" s="2238" t="str">
        <f>IF(P10=0,"0.00%",(T10-P10)/P10)</f>
        <v>0.00%</v>
      </c>
      <c r="T10" s="833">
        <f>-P2</f>
        <v>0</v>
      </c>
      <c r="V10" s="952"/>
      <c r="W10" s="2241" t="str">
        <f>IF(T10=0,"0.00%",(X10-T10)/T10)</f>
        <v>0.00%</v>
      </c>
      <c r="X10" s="833">
        <f>-T2</f>
        <v>0</v>
      </c>
      <c r="AA10" s="456" t="str">
        <f>IF(X10=0,"0.00%",(AB10-X10)/X10)</f>
        <v>0.00%</v>
      </c>
      <c r="AB10" s="833">
        <f>-X2</f>
        <v>0</v>
      </c>
    </row>
    <row r="11" spans="1:29" s="457" customFormat="1" x14ac:dyDescent="0.25">
      <c r="A11" s="1656"/>
      <c r="B11" s="2337" t="s">
        <v>137</v>
      </c>
      <c r="C11" s="1656"/>
      <c r="D11" s="458">
        <f>SUM(D9:D10)</f>
        <v>4047579</v>
      </c>
      <c r="E11" s="1656"/>
      <c r="G11" s="456">
        <f t="shared" si="0"/>
        <v>0.2949170355909051</v>
      </c>
      <c r="H11" s="458">
        <f>SUM(H9:H10)</f>
        <v>5241279</v>
      </c>
      <c r="I11" s="2316">
        <f>+H11-D11</f>
        <v>1193700</v>
      </c>
      <c r="J11" s="601"/>
      <c r="K11" s="456">
        <f>IF(H11=0,"0.00%",(L11-H11)/H11)</f>
        <v>0.34244694854061386</v>
      </c>
      <c r="L11" s="458">
        <f>SUM(L9:L10)</f>
        <v>7036139</v>
      </c>
      <c r="M11" s="2316">
        <f>+L11-H11</f>
        <v>1794860</v>
      </c>
      <c r="O11" s="456">
        <f>IF(L11=0,"0.00%",(P11-L11)/L11)</f>
        <v>3.5691733776151952E-2</v>
      </c>
      <c r="P11" s="458">
        <f>SUM(P9:P10)</f>
        <v>7287271</v>
      </c>
      <c r="Q11" s="2316">
        <f>+P11-L11</f>
        <v>251132</v>
      </c>
      <c r="R11" s="455"/>
      <c r="S11" s="2238">
        <f>IF(P11=0,"0.00%",(T11-P11)/P11)</f>
        <v>-1.7988489792680962E-2</v>
      </c>
      <c r="T11" s="2353">
        <f>SUM(T9:T10)</f>
        <v>7156184</v>
      </c>
      <c r="V11" s="952"/>
      <c r="W11" s="2241">
        <f>IF(T11=0,"0.00%",(X11-T11)/T11)</f>
        <v>-1</v>
      </c>
      <c r="X11" s="2353">
        <f>SUM(X9:X10)</f>
        <v>0</v>
      </c>
      <c r="AA11" s="456" t="str">
        <f>IF(X11=0,"0.00%",(AB11-X11)/X11)</f>
        <v>0.00%</v>
      </c>
      <c r="AB11" s="2353">
        <f>SUM(AB9:AB10)</f>
        <v>0</v>
      </c>
    </row>
    <row r="12" spans="1:29" s="457" customFormat="1" x14ac:dyDescent="0.25">
      <c r="A12" s="1656"/>
      <c r="B12" s="2345"/>
      <c r="C12" s="1656"/>
      <c r="D12" s="340"/>
      <c r="E12" s="1656"/>
      <c r="G12" s="2338"/>
      <c r="H12" s="833"/>
      <c r="I12" s="1656"/>
      <c r="J12" s="602"/>
      <c r="K12" s="2338"/>
      <c r="L12" s="833"/>
      <c r="M12" s="1656"/>
      <c r="O12" s="2338"/>
      <c r="P12" s="833"/>
      <c r="Q12" s="1656"/>
      <c r="R12" s="455"/>
      <c r="S12" s="2355"/>
      <c r="T12" s="2356"/>
      <c r="V12" s="952"/>
      <c r="W12" s="2357"/>
      <c r="X12" s="2356"/>
      <c r="AA12" s="2338"/>
      <c r="AB12" s="2356"/>
    </row>
    <row r="13" spans="1:29" s="457" customFormat="1" x14ac:dyDescent="0.25">
      <c r="A13" s="1656"/>
      <c r="B13" s="2345"/>
      <c r="C13" s="2384" t="s">
        <v>64</v>
      </c>
      <c r="D13" s="2359">
        <f>ROUND(D11-(D11/(1+E13)),0)</f>
        <v>0</v>
      </c>
      <c r="E13" s="2338">
        <v>0</v>
      </c>
      <c r="G13" s="456" t="str">
        <f t="shared" si="0"/>
        <v>0.00%</v>
      </c>
      <c r="H13" s="2359">
        <f>ROUND(H11-(H11/(1+E13)),0)</f>
        <v>0</v>
      </c>
      <c r="I13" s="1656"/>
      <c r="J13" s="603"/>
      <c r="K13" s="456" t="str">
        <f>IF(H13=0,"0.00%",(L13-H13)/H13)</f>
        <v>0.00%</v>
      </c>
      <c r="L13" s="2359">
        <f>ROUND(L11-(L11/(1+E13)),0)</f>
        <v>0</v>
      </c>
      <c r="M13" s="1656"/>
      <c r="O13" s="456" t="str">
        <f>IF(L13=0,"0.00%",(P13-L13)/L13)</f>
        <v>0.00%</v>
      </c>
      <c r="P13" s="2359">
        <f>ROUND(P11-(P11/(1+E13)),0)</f>
        <v>0</v>
      </c>
      <c r="Q13" s="1656"/>
      <c r="R13" s="455"/>
      <c r="S13" s="2238" t="str">
        <f>IF(P13=0,"0.00%",(T13-P13)/P13)</f>
        <v>0.00%</v>
      </c>
      <c r="T13" s="2362">
        <f>ROUND(T11-(T11/(1+E13)),0)</f>
        <v>0</v>
      </c>
      <c r="V13" s="952"/>
      <c r="W13" s="2241" t="str">
        <f>IF(T13=0,"0.00%",(X13-T13)/T13)</f>
        <v>0.00%</v>
      </c>
      <c r="X13" s="2362">
        <f>ROUND(X11-(X11/(1+E13)),0)</f>
        <v>0</v>
      </c>
      <c r="AA13" s="456" t="str">
        <f>IF(X13=0,"0.00%",(AB13-X13)/X13)</f>
        <v>0.00%</v>
      </c>
      <c r="AB13" s="2362">
        <f>ROUND(AB11-(AB11/(1+G13)),0)</f>
        <v>0</v>
      </c>
    </row>
    <row r="14" spans="1:29" s="457" customFormat="1" x14ac:dyDescent="0.25">
      <c r="A14" s="1656"/>
      <c r="B14" s="2345"/>
      <c r="C14" s="1656"/>
      <c r="D14" s="340"/>
      <c r="E14" s="1656"/>
      <c r="G14" s="2338"/>
      <c r="H14" s="833"/>
      <c r="I14" s="1656"/>
      <c r="J14" s="602"/>
      <c r="K14" s="2338"/>
      <c r="L14" s="833"/>
      <c r="M14" s="1656"/>
      <c r="O14" s="2338"/>
      <c r="P14" s="833"/>
      <c r="Q14" s="1656"/>
      <c r="R14" s="455"/>
      <c r="S14" s="2355"/>
      <c r="T14" s="2356"/>
      <c r="V14" s="952"/>
      <c r="W14" s="2357"/>
      <c r="X14" s="2356"/>
      <c r="AA14" s="2338"/>
      <c r="AB14" s="2356"/>
    </row>
    <row r="15" spans="1:29" s="457" customFormat="1" x14ac:dyDescent="0.25">
      <c r="A15" s="1656"/>
      <c r="B15" s="2337" t="s">
        <v>50</v>
      </c>
      <c r="C15" s="1656"/>
      <c r="D15" s="1866">
        <f>D11-D13+D7</f>
        <v>4370830.7</v>
      </c>
      <c r="E15" s="1656"/>
      <c r="G15" s="456">
        <f t="shared" si="0"/>
        <v>0.32927114976107408</v>
      </c>
      <c r="H15" s="1866">
        <f>H11-H13+H7</f>
        <v>5810019.1500000004</v>
      </c>
      <c r="I15" s="2316">
        <f>+H15-D15</f>
        <v>1439188.4500000002</v>
      </c>
      <c r="J15" s="601"/>
      <c r="K15" s="456">
        <f>IF(H15=0,"0.00%",(L15-H15)/H15)</f>
        <v>0.46086317116527914</v>
      </c>
      <c r="L15" s="1866">
        <f>L11-L13+L7</f>
        <v>8487643</v>
      </c>
      <c r="M15" s="2316">
        <f>+L15-H15</f>
        <v>2677623.8499999996</v>
      </c>
      <c r="O15" s="456">
        <f>IF(L15=0,"0.00%",(P15-L15)/L15)</f>
        <v>0.32361339891416263</v>
      </c>
      <c r="P15" s="1866">
        <f>P11-P13+P7</f>
        <v>11234358</v>
      </c>
      <c r="Q15" s="2316">
        <f>+P15-L15</f>
        <v>2746715</v>
      </c>
      <c r="R15" s="455"/>
      <c r="S15" s="2238">
        <f>IF(P15=0,"0.00%",(T15-P15)/P15)</f>
        <v>-0.36300908338509419</v>
      </c>
      <c r="T15" s="2366">
        <f>T11-T13</f>
        <v>7156184</v>
      </c>
      <c r="V15" s="952"/>
      <c r="W15" s="2241">
        <f>IF(T15=0,"0.00%",(X15-T15)/T15)</f>
        <v>-1</v>
      </c>
      <c r="X15" s="2366">
        <f>X11-X13</f>
        <v>0</v>
      </c>
      <c r="AA15" s="456" t="str">
        <f>IF(X15=0,"0.00%",(AB15-X15)/X15)</f>
        <v>0.00%</v>
      </c>
      <c r="AB15" s="2366">
        <f>AB11-AB13</f>
        <v>0</v>
      </c>
    </row>
    <row r="16" spans="1:29" s="457" customFormat="1" x14ac:dyDescent="0.25">
      <c r="A16" s="1656"/>
      <c r="B16" s="2345"/>
      <c r="C16" s="1656"/>
      <c r="D16" s="340"/>
      <c r="E16" s="1656"/>
      <c r="G16" s="2338"/>
      <c r="H16" s="833"/>
      <c r="I16" s="1656"/>
      <c r="J16" s="601"/>
      <c r="K16" s="1668"/>
      <c r="L16" s="833"/>
      <c r="M16" s="1656"/>
      <c r="O16" s="1668"/>
      <c r="P16" s="833"/>
      <c r="Q16" s="1656"/>
      <c r="R16" s="455"/>
      <c r="S16" s="2341"/>
      <c r="T16" s="2367"/>
      <c r="V16" s="952"/>
      <c r="W16" s="2343"/>
      <c r="X16" s="2367"/>
      <c r="AA16" s="1668"/>
      <c r="AB16" s="2367"/>
    </row>
    <row r="17" spans="1:29" s="457" customFormat="1" x14ac:dyDescent="0.25">
      <c r="A17" s="1656"/>
      <c r="B17" s="2345"/>
      <c r="C17" s="2432"/>
      <c r="D17" s="340"/>
      <c r="E17" s="1656"/>
      <c r="G17" s="2338"/>
      <c r="H17" s="833"/>
      <c r="I17" s="1656"/>
      <c r="J17" s="602"/>
      <c r="K17" s="1668"/>
      <c r="L17" s="833"/>
      <c r="M17" s="1656"/>
      <c r="O17" s="1668"/>
      <c r="P17" s="833"/>
      <c r="Q17" s="1656"/>
      <c r="R17" s="455"/>
      <c r="S17" s="2341"/>
      <c r="T17" s="2356"/>
      <c r="V17" s="952"/>
      <c r="W17" s="2343"/>
      <c r="X17" s="2356"/>
      <c r="AA17" s="1668"/>
      <c r="AB17" s="2356"/>
    </row>
    <row r="18" spans="1:29" s="457" customFormat="1" x14ac:dyDescent="0.25">
      <c r="A18" s="1867"/>
      <c r="B18" s="2345"/>
      <c r="C18" s="1656"/>
      <c r="D18" s="459" t="s">
        <v>807</v>
      </c>
      <c r="E18" s="1867"/>
      <c r="F18" s="2433"/>
      <c r="G18" s="2338"/>
      <c r="H18" s="459" t="s">
        <v>176</v>
      </c>
      <c r="I18" s="1867"/>
      <c r="J18" s="604"/>
      <c r="K18" s="1668"/>
      <c r="L18" s="2370"/>
      <c r="M18" s="1867"/>
      <c r="O18" s="1668"/>
      <c r="P18" s="340"/>
      <c r="Q18" s="1867"/>
      <c r="R18" s="455"/>
      <c r="S18" s="2341"/>
      <c r="U18" s="2433"/>
      <c r="V18" s="952"/>
      <c r="W18" s="2343"/>
      <c r="Y18" s="2433"/>
      <c r="AA18" s="1668"/>
      <c r="AC18" s="2433"/>
    </row>
    <row r="19" spans="1:29" s="457" customFormat="1" ht="17.25" x14ac:dyDescent="0.4">
      <c r="A19" s="2434"/>
      <c r="B19" s="2345"/>
      <c r="C19" s="1656"/>
      <c r="D19" s="2435" t="s">
        <v>808</v>
      </c>
      <c r="E19" s="2434"/>
      <c r="F19" s="2436"/>
      <c r="G19" s="2338"/>
      <c r="H19" s="2435" t="s">
        <v>48</v>
      </c>
      <c r="I19" s="2371"/>
      <c r="J19" s="459"/>
      <c r="K19" s="1668"/>
      <c r="L19" s="2372" t="s">
        <v>48</v>
      </c>
      <c r="M19" s="2437">
        <v>0.02</v>
      </c>
      <c r="O19" s="1668"/>
      <c r="P19" s="2372" t="s">
        <v>48</v>
      </c>
      <c r="Q19" s="2437">
        <v>0.02</v>
      </c>
      <c r="R19" s="455"/>
      <c r="S19" s="2341"/>
      <c r="T19" s="2372" t="s">
        <v>48</v>
      </c>
      <c r="U19" s="2374">
        <v>0.02</v>
      </c>
      <c r="V19" s="952"/>
      <c r="W19" s="2343"/>
      <c r="X19" s="2372" t="s">
        <v>48</v>
      </c>
      <c r="Y19" s="2374">
        <v>0.02</v>
      </c>
      <c r="AA19" s="1668"/>
      <c r="AB19" s="2372" t="s">
        <v>48</v>
      </c>
      <c r="AC19" s="2374">
        <v>0.02</v>
      </c>
    </row>
    <row r="20" spans="1:29" s="2378" customFormat="1" x14ac:dyDescent="0.25">
      <c r="A20" s="900"/>
      <c r="B20" s="2337" t="s">
        <v>46</v>
      </c>
      <c r="C20" s="2384"/>
      <c r="D20" s="1866"/>
      <c r="E20" s="2375"/>
      <c r="F20" s="1866"/>
      <c r="G20" s="2376"/>
      <c r="H20" s="1866"/>
      <c r="I20" s="868"/>
      <c r="J20" s="460"/>
      <c r="K20" s="606"/>
      <c r="L20" s="1866"/>
      <c r="M20" s="2379"/>
      <c r="O20" s="606"/>
      <c r="P20" s="1866"/>
      <c r="Q20" s="2379"/>
      <c r="R20" s="460"/>
      <c r="S20" s="1669"/>
      <c r="T20" s="1866"/>
      <c r="U20" s="2383"/>
      <c r="V20" s="2381"/>
      <c r="W20" s="2382"/>
      <c r="X20" s="1866"/>
      <c r="Y20" s="2383"/>
      <c r="AA20" s="606"/>
      <c r="AB20" s="1866"/>
      <c r="AC20" s="2383"/>
    </row>
    <row r="21" spans="1:29" s="457" customFormat="1" x14ac:dyDescent="0.25">
      <c r="A21" s="2439"/>
      <c r="B21" s="2385">
        <v>1101</v>
      </c>
      <c r="C21" s="1656" t="s">
        <v>959</v>
      </c>
      <c r="D21" s="340">
        <v>1098384.68</v>
      </c>
      <c r="E21" s="2386"/>
      <c r="F21" s="340"/>
      <c r="G21" s="456">
        <f t="shared" ref="G21:G33" si="1">IF(D21=0,"0.00%",(H21-D21)/D21)</f>
        <v>2.3437326165183453E-3</v>
      </c>
      <c r="H21" s="340">
        <v>1100959</v>
      </c>
      <c r="I21" s="899"/>
      <c r="J21" s="455"/>
      <c r="K21" s="456">
        <f t="shared" ref="K21:K29" si="2">IF(H21=0,"0.00%",(L21-H21)/H21)</f>
        <v>1.3400135699876199E-2</v>
      </c>
      <c r="L21" s="340">
        <v>1115712</v>
      </c>
      <c r="M21" s="897"/>
      <c r="O21" s="456">
        <f t="shared" ref="O21:O29" si="3">IF(L21=0,"0.00%",(P21-L21)/L21)</f>
        <v>1.9999784890724487E-2</v>
      </c>
      <c r="P21" s="340">
        <f>ROUND(L21*(1+Q19),0)</f>
        <v>1138026</v>
      </c>
      <c r="Q21" s="897" t="str">
        <f>TEXT(Q19,"0.0%")&amp;" = Est. S &amp; C"</f>
        <v>2.0% = Est. S &amp; C</v>
      </c>
      <c r="R21" s="455"/>
      <c r="S21" s="2238">
        <f>IF(P21=0,"0.00%",(T21-P21)/P21)</f>
        <v>2.0000421782982111E-2</v>
      </c>
      <c r="T21" s="340">
        <f>ROUND(P21*(1+U19),0)</f>
        <v>1160787</v>
      </c>
      <c r="U21" s="455" t="str">
        <f>TEXT(U19,"0.0%")&amp;" = Est. S &amp; C"</f>
        <v>2.0% = Est. S &amp; C</v>
      </c>
      <c r="V21" s="952"/>
      <c r="W21" s="2241">
        <f t="shared" ref="W21:W29" si="4">IF(T21=0,"0.00%",(X21-T21)/T21)</f>
        <v>2.0000223985968141E-2</v>
      </c>
      <c r="X21" s="340">
        <f>ROUND(T21*(1+Y19),0)</f>
        <v>1184003</v>
      </c>
      <c r="Y21" s="455" t="str">
        <f>TEXT(Y19,"0.0%")&amp;" = Est. S &amp; C"</f>
        <v>2.0% = Est. S &amp; C</v>
      </c>
      <c r="AA21" s="456">
        <f t="shared" ref="AA21:AA29" si="5">IF(X21=0,"0.00%",(AB21-X21)/X21)</f>
        <v>1.9999949324452725E-2</v>
      </c>
      <c r="AB21" s="340">
        <f>ROUND(X21*(1+AC19),0)</f>
        <v>1207683</v>
      </c>
      <c r="AC21" s="455" t="str">
        <f>TEXT(AC19,"0.0%")&amp;" = Est. S &amp; C"</f>
        <v>2.0% = Est. S &amp; C</v>
      </c>
    </row>
    <row r="22" spans="1:29" s="457" customFormat="1" x14ac:dyDescent="0.25">
      <c r="A22" s="897"/>
      <c r="B22" s="2385">
        <v>1103</v>
      </c>
      <c r="C22" s="1656" t="s">
        <v>399</v>
      </c>
      <c r="D22" s="340">
        <v>157095.1</v>
      </c>
      <c r="E22" s="2386"/>
      <c r="F22" s="340"/>
      <c r="G22" s="456">
        <f t="shared" si="1"/>
        <v>0.1149679398020689</v>
      </c>
      <c r="H22" s="340">
        <v>175156</v>
      </c>
      <c r="I22" s="897"/>
      <c r="J22" s="455"/>
      <c r="K22" s="456">
        <f t="shared" si="2"/>
        <v>5.5384914019502615E-2</v>
      </c>
      <c r="L22" s="340">
        <v>184857</v>
      </c>
      <c r="M22" s="897"/>
      <c r="O22" s="456">
        <f t="shared" si="3"/>
        <v>1.9999242657838222E-2</v>
      </c>
      <c r="P22" s="340">
        <f>ROUND(L22*(1+Q19),0)</f>
        <v>188554</v>
      </c>
      <c r="Q22" s="897" t="str">
        <f>TEXT(Q19,"0.0%")&amp;" = Est. S &amp; C"</f>
        <v>2.0% = Est. S &amp; C</v>
      </c>
      <c r="R22" s="455"/>
      <c r="S22" s="2238">
        <f t="shared" ref="S22:S29" si="6">IF(P22=0,"0.00%",(T22-P22)/P22)</f>
        <v>1.9999575718361848E-2</v>
      </c>
      <c r="T22" s="340">
        <f>ROUND(P22*(1+U19),0)</f>
        <v>192325</v>
      </c>
      <c r="U22" s="455" t="str">
        <f>TEXT(U19,"0.0%")&amp;" = Est. S &amp; C"</f>
        <v>2.0% = Est. S &amp; C</v>
      </c>
      <c r="V22" s="952"/>
      <c r="W22" s="2241">
        <f t="shared" si="4"/>
        <v>2.0002599766021058E-2</v>
      </c>
      <c r="X22" s="340">
        <f>ROUND(T22*(1+Y19),0)</f>
        <v>196172</v>
      </c>
      <c r="Y22" s="455" t="str">
        <f>TEXT(Y19,"0.0%")&amp;" = Est. S &amp; C"</f>
        <v>2.0% = Est. S &amp; C</v>
      </c>
      <c r="AA22" s="456">
        <f t="shared" si="5"/>
        <v>1.9997757070326042E-2</v>
      </c>
      <c r="AB22" s="340">
        <f>ROUND(X22*(1+AC19),0)</f>
        <v>200095</v>
      </c>
      <c r="AC22" s="455" t="str">
        <f>TEXT(AC19,"0.0%")&amp;" = Est. S &amp; C"</f>
        <v>2.0% = Est. S &amp; C</v>
      </c>
    </row>
    <row r="23" spans="1:29" s="457" customFormat="1" x14ac:dyDescent="0.25">
      <c r="A23" s="897"/>
      <c r="B23" s="2385">
        <v>1105</v>
      </c>
      <c r="C23" s="1656" t="s">
        <v>400</v>
      </c>
      <c r="D23" s="340">
        <v>185655.53</v>
      </c>
      <c r="E23" s="2386"/>
      <c r="F23" s="340"/>
      <c r="G23" s="456">
        <f t="shared" si="1"/>
        <v>4.1401783184158325E-2</v>
      </c>
      <c r="H23" s="340">
        <v>193342</v>
      </c>
      <c r="I23" s="897"/>
      <c r="J23" s="455"/>
      <c r="K23" s="456">
        <f t="shared" si="2"/>
        <v>2.362135490478013E-2</v>
      </c>
      <c r="L23" s="340">
        <v>197909</v>
      </c>
      <c r="M23" s="897"/>
      <c r="O23" s="456">
        <f t="shared" si="3"/>
        <v>1.9999090491084285E-2</v>
      </c>
      <c r="P23" s="340">
        <f>ROUND(L23*(1+Q19),0)</f>
        <v>201867</v>
      </c>
      <c r="Q23" s="897" t="str">
        <f>TEXT(Q19,"0.0%")&amp;" = Est. S &amp; C"</f>
        <v>2.0% = Est. S &amp; C</v>
      </c>
      <c r="R23" s="455"/>
      <c r="S23" s="2238">
        <f t="shared" si="6"/>
        <v>1.9998315722728331E-2</v>
      </c>
      <c r="T23" s="340">
        <f>ROUND(P23*(1+U19),0)</f>
        <v>205904</v>
      </c>
      <c r="U23" s="455" t="str">
        <f>TEXT(U19,"0.0%")&amp;" = Est. S &amp; C"</f>
        <v>2.0% = Est. S &amp; C</v>
      </c>
      <c r="V23" s="952"/>
      <c r="W23" s="2241">
        <f t="shared" si="4"/>
        <v>1.9999611469422644E-2</v>
      </c>
      <c r="X23" s="340">
        <f>ROUND(T23*(1+Y19),0)</f>
        <v>210022</v>
      </c>
      <c r="Y23" s="455" t="str">
        <f>TEXT(Y19,"0.0%")&amp;" = Est. S &amp; C"</f>
        <v>2.0% = Est. S &amp; C</v>
      </c>
      <c r="AA23" s="456">
        <f t="shared" si="5"/>
        <v>1.9997904981382902E-2</v>
      </c>
      <c r="AB23" s="340">
        <f>ROUND(X23*(1+AC19),0)</f>
        <v>214222</v>
      </c>
      <c r="AC23" s="455" t="str">
        <f>TEXT(AC19,"0.0%")&amp;" = Est. S &amp; C"</f>
        <v>2.0% = Est. S &amp; C</v>
      </c>
    </row>
    <row r="24" spans="1:29" s="457" customFormat="1" x14ac:dyDescent="0.25">
      <c r="A24" s="897"/>
      <c r="B24" s="2385">
        <v>1112</v>
      </c>
      <c r="C24" s="1656" t="s">
        <v>862</v>
      </c>
      <c r="D24" s="340">
        <v>773.48</v>
      </c>
      <c r="E24" s="2386"/>
      <c r="F24" s="340"/>
      <c r="G24" s="456">
        <f>IF(D24=0,"0.00%",(H24-D24)/D24)</f>
        <v>-0.4298495112995811</v>
      </c>
      <c r="H24" s="340">
        <v>441</v>
      </c>
      <c r="I24" s="897"/>
      <c r="J24" s="455"/>
      <c r="K24" s="456">
        <f>IF(H24=0,"0.00%",(L24-H24)/H24)</f>
        <v>-1</v>
      </c>
      <c r="L24" s="340">
        <v>0</v>
      </c>
      <c r="M24" s="897"/>
      <c r="O24" s="456" t="str">
        <f t="shared" ref="O24" si="7">IF(L24=0,"0.00%",(P24-L24)/L24)</f>
        <v>0.00%</v>
      </c>
      <c r="P24" s="340">
        <f t="shared" ref="P24" si="8">ROUND(L24*(1+$Q$19),0)</f>
        <v>0</v>
      </c>
      <c r="Q24" s="897" t="str">
        <f>TEXT(Q19,"0.0%")&amp;" = Est. S &amp; C"</f>
        <v>2.0% = Est. S &amp; C</v>
      </c>
      <c r="R24" s="455"/>
      <c r="S24" s="456" t="str">
        <f t="shared" si="6"/>
        <v>0.00%</v>
      </c>
      <c r="T24" s="340">
        <f t="shared" ref="T24" si="9">ROUND(P24*(1+$Q$19),0)</f>
        <v>0</v>
      </c>
      <c r="U24" s="897" t="str">
        <f>TEXT(U19,"0.0%")&amp;" = Est. S &amp; C"</f>
        <v>2.0% = Est. S &amp; C</v>
      </c>
      <c r="V24" s="952"/>
      <c r="W24" s="2343"/>
      <c r="X24" s="340"/>
      <c r="Y24" s="2344"/>
      <c r="AA24" s="1668"/>
      <c r="AB24" s="340"/>
      <c r="AC24" s="2344"/>
    </row>
    <row r="25" spans="1:29" s="457" customFormat="1" x14ac:dyDescent="0.25">
      <c r="A25" s="897"/>
      <c r="B25" s="2385">
        <v>1122</v>
      </c>
      <c r="C25" s="1656" t="s">
        <v>401</v>
      </c>
      <c r="D25" s="340">
        <v>32827.03</v>
      </c>
      <c r="E25" s="2386"/>
      <c r="F25" s="340"/>
      <c r="G25" s="456">
        <f t="shared" si="1"/>
        <v>1.3357885254925592</v>
      </c>
      <c r="H25" s="340">
        <v>76677</v>
      </c>
      <c r="I25" s="897"/>
      <c r="J25" s="455"/>
      <c r="K25" s="456">
        <f t="shared" si="2"/>
        <v>-2.1401463281036034E-2</v>
      </c>
      <c r="L25" s="340">
        <v>75036</v>
      </c>
      <c r="M25" s="897"/>
      <c r="O25" s="456">
        <f t="shared" si="3"/>
        <v>0</v>
      </c>
      <c r="P25" s="340">
        <f>+L25</f>
        <v>75036</v>
      </c>
      <c r="Q25" s="897" t="s">
        <v>173</v>
      </c>
      <c r="R25" s="455"/>
      <c r="S25" s="456">
        <f t="shared" si="6"/>
        <v>0</v>
      </c>
      <c r="T25" s="340">
        <f>+P25</f>
        <v>75036</v>
      </c>
      <c r="U25" s="897" t="s">
        <v>173</v>
      </c>
      <c r="V25" s="952"/>
      <c r="W25" s="2241">
        <f t="shared" si="4"/>
        <v>2.0003731542193082E-2</v>
      </c>
      <c r="X25" s="340">
        <f>ROUND(T25*(1+Y19),0)</f>
        <v>76537</v>
      </c>
      <c r="Y25" s="455" t="str">
        <f>TEXT(Y19,"0.0%")&amp;" = Est. S &amp; C"</f>
        <v>2.0% = Est. S &amp; C</v>
      </c>
      <c r="AA25" s="456">
        <f t="shared" si="5"/>
        <v>2.0003397049792912E-2</v>
      </c>
      <c r="AB25" s="340">
        <f>ROUND(X25*(1+AC19),0)</f>
        <v>78068</v>
      </c>
      <c r="AC25" s="455" t="str">
        <f>TEXT(AC19,"0.0%")&amp;" = Est. S &amp; C"</f>
        <v>2.0% = Est. S &amp; C</v>
      </c>
    </row>
    <row r="26" spans="1:29" s="457" customFormat="1" x14ac:dyDescent="0.25">
      <c r="A26" s="897"/>
      <c r="B26" s="2385">
        <v>1181</v>
      </c>
      <c r="C26" s="1656" t="s">
        <v>402</v>
      </c>
      <c r="D26" s="340">
        <v>25560.78</v>
      </c>
      <c r="E26" s="2386"/>
      <c r="F26" s="340"/>
      <c r="G26" s="456">
        <f t="shared" si="1"/>
        <v>0.68265600658508863</v>
      </c>
      <c r="H26" s="340">
        <f>42310+700</f>
        <v>43010</v>
      </c>
      <c r="I26" s="897"/>
      <c r="J26" s="455"/>
      <c r="K26" s="456">
        <f t="shared" si="2"/>
        <v>-1.6275284817484307E-2</v>
      </c>
      <c r="L26" s="340">
        <v>42310</v>
      </c>
      <c r="M26" s="897"/>
      <c r="O26" s="456">
        <f t="shared" si="3"/>
        <v>0</v>
      </c>
      <c r="P26" s="340">
        <f>+L26</f>
        <v>42310</v>
      </c>
      <c r="Q26" s="897" t="s">
        <v>173</v>
      </c>
      <c r="R26" s="455"/>
      <c r="S26" s="456">
        <f t="shared" si="6"/>
        <v>0</v>
      </c>
      <c r="T26" s="340">
        <f>+P26</f>
        <v>42310</v>
      </c>
      <c r="U26" s="897" t="s">
        <v>173</v>
      </c>
      <c r="V26" s="952"/>
      <c r="W26" s="2241">
        <f t="shared" si="4"/>
        <v>1.9995272985109905E-2</v>
      </c>
      <c r="X26" s="340">
        <f>ROUND(T26*(1+Y19),0)</f>
        <v>43156</v>
      </c>
      <c r="Y26" s="455" t="str">
        <f>TEXT(Y19,"0.0%")&amp;" = Est. S &amp; C"</f>
        <v>2.0% = Est. S &amp; C</v>
      </c>
      <c r="AA26" s="456">
        <f t="shared" si="5"/>
        <v>1.9997219390119565E-2</v>
      </c>
      <c r="AB26" s="340">
        <f>ROUND(X26*(1+AC19),0)</f>
        <v>44019</v>
      </c>
      <c r="AC26" s="455" t="str">
        <f>TEXT(AC19,"0.0%")&amp;" = Est. S &amp; C"</f>
        <v>2.0% = Est. S &amp; C</v>
      </c>
    </row>
    <row r="27" spans="1:29" s="457" customFormat="1" x14ac:dyDescent="0.25">
      <c r="A27" s="897"/>
      <c r="B27" s="2385">
        <v>1204</v>
      </c>
      <c r="C27" s="1656" t="s">
        <v>40</v>
      </c>
      <c r="D27" s="340">
        <v>330921.26</v>
      </c>
      <c r="E27" s="2386"/>
      <c r="F27" s="340"/>
      <c r="G27" s="456">
        <f t="shared" si="1"/>
        <v>-2.3196635961074272E-2</v>
      </c>
      <c r="H27" s="340">
        <v>323245</v>
      </c>
      <c r="I27" s="897"/>
      <c r="J27" s="455"/>
      <c r="K27" s="456">
        <f t="shared" si="2"/>
        <v>5.8472675524756761E-2</v>
      </c>
      <c r="L27" s="340">
        <v>342146</v>
      </c>
      <c r="M27" s="897"/>
      <c r="O27" s="456">
        <f t="shared" si="3"/>
        <v>2.000023381831148E-2</v>
      </c>
      <c r="P27" s="340">
        <f>ROUND(L27*(1+Q19),0)</f>
        <v>348989</v>
      </c>
      <c r="Q27" s="897" t="str">
        <f>TEXT(Q19,"0.0%")&amp;" = Est. S &amp; C"</f>
        <v>2.0% = Est. S &amp; C</v>
      </c>
      <c r="R27" s="455"/>
      <c r="S27" s="2238">
        <f t="shared" si="6"/>
        <v>2.0000630392361936E-2</v>
      </c>
      <c r="T27" s="340">
        <f>ROUND(P27*(1+U19),0)</f>
        <v>355969</v>
      </c>
      <c r="U27" s="455" t="str">
        <f>TEXT(U19,"0.0%")&amp;" = Est. S &amp; C"</f>
        <v>2.0% = Est. S &amp; C</v>
      </c>
      <c r="V27" s="952"/>
      <c r="W27" s="2241">
        <f t="shared" si="4"/>
        <v>1.9998932491312446E-2</v>
      </c>
      <c r="X27" s="340">
        <f>ROUND(T27*(1+Y19),0)</f>
        <v>363088</v>
      </c>
      <c r="Y27" s="455" t="str">
        <f>TEXT(Y19,"0.0%")&amp;" = Est. S &amp; C"</f>
        <v>2.0% = Est. S &amp; C</v>
      </c>
      <c r="AA27" s="456">
        <f t="shared" si="5"/>
        <v>2.0000660996783149E-2</v>
      </c>
      <c r="AB27" s="340">
        <f>ROUND(X27*(1+AC19),0)</f>
        <v>370350</v>
      </c>
      <c r="AC27" s="455" t="str">
        <f>TEXT(AC19,"0.0%")&amp;" = Est. S &amp; C"</f>
        <v>2.0% = Est. S &amp; C</v>
      </c>
    </row>
    <row r="28" spans="1:29" s="457" customFormat="1" x14ac:dyDescent="0.25">
      <c r="A28" s="897"/>
      <c r="B28" s="2385">
        <v>1303</v>
      </c>
      <c r="C28" s="1656" t="s">
        <v>1097</v>
      </c>
      <c r="D28" s="340">
        <v>0</v>
      </c>
      <c r="E28" s="2386"/>
      <c r="F28" s="340"/>
      <c r="G28" s="456" t="str">
        <f t="shared" si="1"/>
        <v>0.00%</v>
      </c>
      <c r="H28" s="340">
        <v>116598</v>
      </c>
      <c r="I28" s="897"/>
      <c r="J28" s="455"/>
      <c r="K28" s="456">
        <f t="shared" ref="K28" si="10">IF(H28=0,"0.00%",(L28-H28)/H28)</f>
        <v>-1</v>
      </c>
      <c r="L28" s="340">
        <v>0</v>
      </c>
      <c r="M28" s="897"/>
      <c r="O28" s="456" t="str">
        <f t="shared" ref="O28" si="11">IF(L28=0,"0.00%",(P28-L28)/L28)</f>
        <v>0.00%</v>
      </c>
      <c r="P28" s="340">
        <f>ROUND(L28*(1+Q19),0)</f>
        <v>0</v>
      </c>
      <c r="Q28" s="897" t="str">
        <f>TEXT(Q19,"0.0%")&amp;" = Est. S &amp; C"</f>
        <v>2.0% = Est. S &amp; C</v>
      </c>
      <c r="R28" s="455"/>
      <c r="S28" s="2238"/>
      <c r="T28" s="340"/>
      <c r="U28" s="455"/>
      <c r="V28" s="952"/>
      <c r="W28" s="2241"/>
      <c r="X28" s="340"/>
      <c r="Y28" s="455"/>
      <c r="AA28" s="456"/>
      <c r="AB28" s="340"/>
      <c r="AC28" s="455"/>
    </row>
    <row r="29" spans="1:29" s="457" customFormat="1" x14ac:dyDescent="0.25">
      <c r="A29" s="897"/>
      <c r="B29" s="2385">
        <v>1304</v>
      </c>
      <c r="C29" s="1656" t="s">
        <v>403</v>
      </c>
      <c r="D29" s="340">
        <v>337261.6</v>
      </c>
      <c r="E29" s="2386"/>
      <c r="F29" s="340"/>
      <c r="G29" s="456">
        <f t="shared" si="1"/>
        <v>4.1322225833003295E-2</v>
      </c>
      <c r="H29" s="340">
        <v>351198</v>
      </c>
      <c r="I29" s="897"/>
      <c r="J29" s="455"/>
      <c r="K29" s="456">
        <f t="shared" si="2"/>
        <v>0.1096589388322257</v>
      </c>
      <c r="L29" s="340">
        <v>389710</v>
      </c>
      <c r="M29" s="897"/>
      <c r="O29" s="456">
        <f t="shared" si="3"/>
        <v>1.9999486797875343E-2</v>
      </c>
      <c r="P29" s="340">
        <f>ROUND(L29*(1+$Q$19),0)</f>
        <v>397504</v>
      </c>
      <c r="Q29" s="897" t="str">
        <f>TEXT($Q$19,"0.0%")&amp;" = Est. S &amp; C"</f>
        <v>2.0% = Est. S &amp; C</v>
      </c>
      <c r="R29" s="455"/>
      <c r="S29" s="2238">
        <f t="shared" si="6"/>
        <v>1.9999798744163581E-2</v>
      </c>
      <c r="T29" s="340">
        <f>ROUND(P29*(1+U19),0)</f>
        <v>405454</v>
      </c>
      <c r="U29" s="455" t="str">
        <f>TEXT(U19,"0.0%")&amp;" = Est. S &amp; C"</f>
        <v>2.0% = Est. S &amp; C</v>
      </c>
      <c r="V29" s="952"/>
      <c r="W29" s="2241">
        <f t="shared" si="4"/>
        <v>1.9999802690317519E-2</v>
      </c>
      <c r="X29" s="340">
        <f>ROUND(T29*(1+Y19),0)</f>
        <v>413563</v>
      </c>
      <c r="Y29" s="455" t="str">
        <f>TEXT(Y19,"0.0%")&amp;" = Est. S &amp; C"</f>
        <v>2.0% = Est. S &amp; C</v>
      </c>
      <c r="AA29" s="456">
        <f t="shared" si="5"/>
        <v>1.9999371317066566E-2</v>
      </c>
      <c r="AB29" s="340">
        <f>ROUND(X29*(1+AC19),0)</f>
        <v>421834</v>
      </c>
      <c r="AC29" s="455" t="str">
        <f>TEXT(AC19,"0.0%")&amp;" = Est. S &amp; C"</f>
        <v>2.0% = Est. S &amp; C</v>
      </c>
    </row>
    <row r="30" spans="1:29" s="457" customFormat="1" x14ac:dyDescent="0.25">
      <c r="A30" s="897"/>
      <c r="B30" s="2385">
        <v>1305</v>
      </c>
      <c r="C30" s="1656" t="s">
        <v>404</v>
      </c>
      <c r="D30" s="340">
        <v>301463.78999999998</v>
      </c>
      <c r="E30" s="2386"/>
      <c r="F30" s="340"/>
      <c r="G30" s="456">
        <f>IF(D30=0,"0.00%",(H30-D30)/D30)</f>
        <v>-9.814744251705915E-3</v>
      </c>
      <c r="H30" s="340">
        <v>298505</v>
      </c>
      <c r="I30" s="897"/>
      <c r="J30" s="455"/>
      <c r="K30" s="456">
        <f>IF(H30=0,"0.00%",(L30-H30)/H30)</f>
        <v>4.1124939280749069E-2</v>
      </c>
      <c r="L30" s="340">
        <v>310781</v>
      </c>
      <c r="M30" s="897"/>
      <c r="O30" s="456">
        <f>IF(L30=0,"0.00%",(P30-L30)/L30)</f>
        <v>2.0001222725971022E-2</v>
      </c>
      <c r="P30" s="340">
        <f t="shared" ref="P30" si="12">ROUND(L30*(1+$Q$19),0)</f>
        <v>316997</v>
      </c>
      <c r="Q30" s="897" t="str">
        <f t="shared" ref="Q30:Q32" si="13">TEXT($Q$19,"0.0%")&amp;" = Est. S &amp; C"</f>
        <v>2.0% = Est. S &amp; C</v>
      </c>
      <c r="R30" s="455"/>
      <c r="S30" s="2238">
        <f>IF(P30=0,"0.00%",(T30-P30)/P30)</f>
        <v>0</v>
      </c>
      <c r="T30" s="340">
        <f>ROUND(P30*(1+U20),0)</f>
        <v>316997</v>
      </c>
      <c r="U30" s="455" t="str">
        <f>TEXT(U20,"0.0%")&amp;" = Est. S &amp; C"</f>
        <v>0.0% = Est. S &amp; C</v>
      </c>
      <c r="V30" s="952"/>
      <c r="W30" s="2241">
        <f>IF(T30=0,"0.00%",(X30-T30)/T30)</f>
        <v>0</v>
      </c>
      <c r="X30" s="340">
        <f>ROUND(T30*(1+Y20),0)</f>
        <v>316997</v>
      </c>
      <c r="Y30" s="455" t="str">
        <f>TEXT(Y20,"0.0%")&amp;" = Est. S &amp; C"</f>
        <v>0.0% = Est. S &amp; C</v>
      </c>
      <c r="AA30" s="456">
        <f>IF(X30=0,"0.00%",(AB30-X30)/X30)</f>
        <v>0</v>
      </c>
      <c r="AB30" s="340">
        <f>ROUND(X30*(1+AC20),0)</f>
        <v>316997</v>
      </c>
      <c r="AC30" s="455" t="str">
        <f>TEXT(AC20,"0.0%")&amp;" = Est. S &amp; C"</f>
        <v>0.0% = Est. S &amp; C</v>
      </c>
    </row>
    <row r="31" spans="1:29" s="457" customFormat="1" x14ac:dyDescent="0.25">
      <c r="A31" s="897"/>
      <c r="B31" s="2385">
        <v>1310</v>
      </c>
      <c r="C31" s="1656" t="s">
        <v>693</v>
      </c>
      <c r="D31" s="340">
        <v>22826.16</v>
      </c>
      <c r="E31" s="2386"/>
      <c r="F31" s="340"/>
      <c r="G31" s="456">
        <f>IF(D31=0,"0.00%",(H31-D31)/D31)</f>
        <v>-0.40997522141262482</v>
      </c>
      <c r="H31" s="340">
        <v>13468</v>
      </c>
      <c r="I31" s="897"/>
      <c r="J31" s="455"/>
      <c r="K31" s="456">
        <f t="shared" ref="K31" si="14">IF(H31=0,"0.00%",(L31-H31)/H31)</f>
        <v>1.5444015444015444E-2</v>
      </c>
      <c r="L31" s="340">
        <v>13676</v>
      </c>
      <c r="M31" s="897"/>
      <c r="O31" s="456">
        <f t="shared" ref="O31:O33" si="15">IF(L31=0,"0.00%",(P31-L31)/L31)</f>
        <v>0</v>
      </c>
      <c r="P31" s="340">
        <f>+L31</f>
        <v>13676</v>
      </c>
      <c r="Q31" s="897" t="s">
        <v>173</v>
      </c>
      <c r="R31" s="455"/>
      <c r="S31" s="456">
        <f t="shared" ref="S31" si="16">IF(P31=0,"0.00%",(T31-P31)/P31)</f>
        <v>0</v>
      </c>
      <c r="T31" s="340">
        <f>+P31</f>
        <v>13676</v>
      </c>
      <c r="U31" s="897" t="s">
        <v>173</v>
      </c>
      <c r="V31" s="952"/>
      <c r="W31" s="2343"/>
      <c r="X31" s="340"/>
      <c r="Y31" s="2344"/>
      <c r="AA31" s="1668"/>
      <c r="AB31" s="340"/>
      <c r="AC31" s="2344"/>
    </row>
    <row r="32" spans="1:29" s="457" customFormat="1" x14ac:dyDescent="0.25">
      <c r="A32" s="897"/>
      <c r="B32" s="2385">
        <v>1312</v>
      </c>
      <c r="C32" s="1656" t="s">
        <v>1098</v>
      </c>
      <c r="D32" s="340">
        <v>0</v>
      </c>
      <c r="E32" s="2386"/>
      <c r="F32" s="340"/>
      <c r="G32" s="456" t="str">
        <f>IF(D32=0,"0.00%",(H32-D32)/D32)</f>
        <v>0.00%</v>
      </c>
      <c r="H32" s="340">
        <v>0</v>
      </c>
      <c r="I32" s="899"/>
      <c r="J32" s="455"/>
      <c r="K32" s="456" t="s">
        <v>849</v>
      </c>
      <c r="L32" s="340">
        <v>45643</v>
      </c>
      <c r="M32" s="2476"/>
      <c r="O32" s="456">
        <f t="shared" si="15"/>
        <v>2.0003067283044497E-2</v>
      </c>
      <c r="P32" s="340">
        <f t="shared" ref="P32" si="17">ROUND(L32*(1+$Q$19),0)</f>
        <v>46556</v>
      </c>
      <c r="Q32" s="897" t="str">
        <f t="shared" si="13"/>
        <v>2.0% = Est. S &amp; C</v>
      </c>
      <c r="R32" s="455"/>
      <c r="S32" s="2238">
        <f>IF(P32=0,"0.00%",(T32-P32)/P32)</f>
        <v>1.9997422458974137E-2</v>
      </c>
      <c r="T32" s="340">
        <f>ROUND(P32*(1+U19),0)</f>
        <v>47487</v>
      </c>
      <c r="U32" s="455" t="str">
        <f>TEXT(U22,"0.0%")&amp;" = Est. S &amp; C"</f>
        <v>2.0% = Est. S &amp; C = Est. S &amp; C</v>
      </c>
      <c r="V32" s="952"/>
      <c r="W32" s="2343"/>
      <c r="X32" s="340"/>
      <c r="Y32" s="2344"/>
      <c r="AA32" s="1668"/>
      <c r="AB32" s="340"/>
      <c r="AC32" s="2344"/>
    </row>
    <row r="33" spans="1:29" s="457" customFormat="1" x14ac:dyDescent="0.25">
      <c r="A33" s="898"/>
      <c r="B33" s="2385"/>
      <c r="C33" s="1656"/>
      <c r="D33" s="458">
        <f>SUM(D21:D32)</f>
        <v>2492769.41</v>
      </c>
      <c r="E33" s="2386"/>
      <c r="F33" s="340"/>
      <c r="G33" s="456">
        <f t="shared" si="1"/>
        <v>8.0163688305209035E-2</v>
      </c>
      <c r="H33" s="458">
        <f>SUM(H21:H32)</f>
        <v>2692599</v>
      </c>
      <c r="I33" s="2316">
        <f>+H33-D33</f>
        <v>199829.58999999985</v>
      </c>
      <c r="J33" s="459"/>
      <c r="K33" s="456">
        <f>IF(H33=0,"0.00%",(L33-H33)/H33)</f>
        <v>9.3519309782110153E-3</v>
      </c>
      <c r="L33" s="458">
        <f>SUM(L21:L32)</f>
        <v>2717780</v>
      </c>
      <c r="M33" s="2316">
        <f>+L33-H33</f>
        <v>25181</v>
      </c>
      <c r="O33" s="456">
        <f t="shared" si="15"/>
        <v>1.9035757125300798E-2</v>
      </c>
      <c r="P33" s="458">
        <f>SUM(P21:P32)</f>
        <v>2769515</v>
      </c>
      <c r="Q33" s="2316">
        <f>+P33-L33</f>
        <v>51735</v>
      </c>
      <c r="R33" s="455"/>
      <c r="S33" s="2238">
        <f>IF(P33=0,"0.00%",(T33-P33)/P33)</f>
        <v>1.6764668181974099E-2</v>
      </c>
      <c r="T33" s="458">
        <f>SUM(T21:T32)</f>
        <v>2815945</v>
      </c>
      <c r="U33" s="2316">
        <f>T33-P33</f>
        <v>46430</v>
      </c>
      <c r="V33" s="952"/>
      <c r="W33" s="2241">
        <f>IF(T33=0,"0.00%",(X33-T33)/T33)</f>
        <v>-4.4059809406788841E-3</v>
      </c>
      <c r="X33" s="458">
        <f>SUM(X21:X31)</f>
        <v>2803538</v>
      </c>
      <c r="Y33" s="2344"/>
      <c r="AA33" s="456">
        <f>IF(X33=0,"0.00%",(AB33-X33)/X33)</f>
        <v>1.7738300675788951E-2</v>
      </c>
      <c r="AB33" s="458">
        <f>SUM(AB21:AB31)</f>
        <v>2853268</v>
      </c>
      <c r="AC33" s="2344"/>
    </row>
    <row r="34" spans="1:29" s="457" customFormat="1" x14ac:dyDescent="0.25">
      <c r="A34" s="897"/>
      <c r="B34" s="2345"/>
      <c r="C34" s="1656"/>
      <c r="D34" s="340"/>
      <c r="E34" s="2386"/>
      <c r="F34" s="340"/>
      <c r="G34" s="2338"/>
      <c r="H34" s="340"/>
      <c r="I34" s="897"/>
      <c r="J34" s="455"/>
      <c r="K34" s="1668"/>
      <c r="L34" s="340"/>
      <c r="M34" s="901"/>
      <c r="O34" s="1668"/>
      <c r="P34" s="340"/>
      <c r="Q34" s="901"/>
      <c r="R34" s="455"/>
      <c r="S34" s="2341"/>
      <c r="T34" s="340"/>
      <c r="U34" s="2344"/>
      <c r="V34" s="952"/>
      <c r="W34" s="2343"/>
      <c r="X34" s="340"/>
      <c r="Y34" s="2344"/>
      <c r="AA34" s="1668"/>
      <c r="AB34" s="340"/>
      <c r="AC34" s="2344"/>
    </row>
    <row r="35" spans="1:29" s="461" customFormat="1" x14ac:dyDescent="0.25">
      <c r="A35" s="900"/>
      <c r="B35" s="2440" t="s">
        <v>35</v>
      </c>
      <c r="C35" s="900"/>
      <c r="D35" s="460"/>
      <c r="E35" s="868"/>
      <c r="F35" s="460"/>
      <c r="G35" s="2389"/>
      <c r="H35" s="460"/>
      <c r="I35" s="868"/>
      <c r="J35" s="460"/>
      <c r="K35" s="1669"/>
      <c r="L35" s="460"/>
      <c r="M35" s="902"/>
      <c r="O35" s="1669"/>
      <c r="P35" s="460"/>
      <c r="Q35" s="902"/>
      <c r="R35" s="460"/>
      <c r="S35" s="1669"/>
      <c r="T35" s="460"/>
      <c r="U35" s="2392"/>
      <c r="V35" s="2381"/>
      <c r="W35" s="2382"/>
      <c r="X35" s="460"/>
      <c r="Y35" s="2392"/>
      <c r="AA35" s="1669"/>
      <c r="AB35" s="460"/>
      <c r="AC35" s="2392"/>
    </row>
    <row r="36" spans="1:29" s="457" customFormat="1" x14ac:dyDescent="0.25">
      <c r="A36" s="897"/>
      <c r="B36" s="2385">
        <v>2101</v>
      </c>
      <c r="C36" s="1656" t="s">
        <v>875</v>
      </c>
      <c r="D36" s="340">
        <v>1811.1</v>
      </c>
      <c r="E36" s="2386"/>
      <c r="F36" s="340"/>
      <c r="G36" s="456">
        <f t="shared" ref="G36:G49" si="18">IF(D36=0,"0.00%",(H36-D36)/D36)</f>
        <v>-0.44784937330903868</v>
      </c>
      <c r="H36" s="340">
        <v>1000</v>
      </c>
      <c r="I36" s="897"/>
      <c r="J36" s="455"/>
      <c r="K36" s="456">
        <f t="shared" ref="K36:K41" si="19">IF(H36=0,"0.00%",(L36-H36)/H36)</f>
        <v>-1</v>
      </c>
      <c r="L36" s="340">
        <v>0</v>
      </c>
      <c r="M36" s="897"/>
      <c r="O36" s="456" t="str">
        <f t="shared" ref="O36:O49" si="20">IF(L36=0,"0.00%",(P36-L36)/L36)</f>
        <v>0.00%</v>
      </c>
      <c r="P36" s="340">
        <f>ROUND(L36*(1+Q19),0)</f>
        <v>0</v>
      </c>
      <c r="Q36" s="897" t="str">
        <f>TEXT(Q19,"0.0%")&amp;" = Est. S &amp; C"</f>
        <v>2.0% = Est. S &amp; C</v>
      </c>
      <c r="R36" s="455"/>
      <c r="S36" s="2238" t="str">
        <f t="shared" ref="S36:S41" si="21">IF(P36=0,"0.00%",(T36-P36)/P36)</f>
        <v>0.00%</v>
      </c>
      <c r="T36" s="340">
        <f>ROUND(P36*(1+U19),0)</f>
        <v>0</v>
      </c>
      <c r="U36" s="455" t="str">
        <f>TEXT(U19,"0.0%")&amp;" = Est. S &amp; C"</f>
        <v>2.0% = Est. S &amp; C</v>
      </c>
      <c r="V36" s="952"/>
      <c r="W36" s="2241" t="str">
        <f t="shared" ref="W36:W49" si="22">IF(T36=0,"0.00%",(X36-T36)/T36)</f>
        <v>0.00%</v>
      </c>
      <c r="X36" s="340">
        <f>ROUND(T36*(1+Y19),0)</f>
        <v>0</v>
      </c>
      <c r="Y36" s="455" t="str">
        <f>TEXT(Y19,"0.0%")&amp;" = Est. S &amp; C"</f>
        <v>2.0% = Est. S &amp; C</v>
      </c>
      <c r="AA36" s="456" t="str">
        <f t="shared" ref="AA36:AA49" si="23">IF(X36=0,"0.00%",(AB36-X36)/X36)</f>
        <v>0.00%</v>
      </c>
      <c r="AB36" s="340">
        <f>ROUND(X36*(1+AC19),0)</f>
        <v>0</v>
      </c>
      <c r="AC36" s="455" t="str">
        <f>TEXT(AC19,"0.0%")&amp;" = Est. S &amp; C"</f>
        <v>2.0% = Est. S &amp; C</v>
      </c>
    </row>
    <row r="37" spans="1:29" s="457" customFormat="1" x14ac:dyDescent="0.25">
      <c r="A37" s="897"/>
      <c r="B37" s="2385">
        <v>2120</v>
      </c>
      <c r="C37" s="1656" t="s">
        <v>867</v>
      </c>
      <c r="D37" s="340">
        <v>2072.4</v>
      </c>
      <c r="E37" s="2386"/>
      <c r="F37" s="340"/>
      <c r="G37" s="456">
        <f t="shared" si="18"/>
        <v>-0.97973364215402436</v>
      </c>
      <c r="H37" s="340">
        <v>42</v>
      </c>
      <c r="I37" s="897"/>
      <c r="J37" s="455"/>
      <c r="K37" s="456">
        <f t="shared" si="19"/>
        <v>-1</v>
      </c>
      <c r="L37" s="340">
        <v>0</v>
      </c>
      <c r="M37" s="897"/>
      <c r="O37" s="456" t="str">
        <f t="shared" si="20"/>
        <v>0.00%</v>
      </c>
      <c r="P37" s="340">
        <f>ROUND(L37*(1+Q19),0)</f>
        <v>0</v>
      </c>
      <c r="Q37" s="897" t="str">
        <f>TEXT(Q19,"0.0%")&amp;" = Est. S &amp; C"</f>
        <v>2.0% = Est. S &amp; C</v>
      </c>
      <c r="R37" s="455"/>
      <c r="S37" s="2238" t="str">
        <f t="shared" si="21"/>
        <v>0.00%</v>
      </c>
      <c r="T37" s="340">
        <f>ROUND(P37*(1+U19),0)</f>
        <v>0</v>
      </c>
      <c r="U37" s="455" t="str">
        <f>TEXT(U19,"0.0%")&amp;" = Est. S &amp; C"</f>
        <v>2.0% = Est. S &amp; C</v>
      </c>
      <c r="V37" s="952"/>
      <c r="W37" s="2241" t="str">
        <f t="shared" si="22"/>
        <v>0.00%</v>
      </c>
      <c r="X37" s="340">
        <f>ROUND(T37*(1+Y19),0)</f>
        <v>0</v>
      </c>
      <c r="Y37" s="455" t="str">
        <f>TEXT(Y19,"0.0%")&amp;" = Est. S &amp; C"</f>
        <v>2.0% = Est. S &amp; C</v>
      </c>
      <c r="AA37" s="456" t="str">
        <f t="shared" si="23"/>
        <v>0.00%</v>
      </c>
      <c r="AB37" s="340">
        <f>ROUND(X37*(1+AC19),0)</f>
        <v>0</v>
      </c>
      <c r="AC37" s="455" t="str">
        <f>TEXT(AC19,"0.0%")&amp;" = Est. S &amp; C"</f>
        <v>2.0% = Est. S &amp; C</v>
      </c>
    </row>
    <row r="38" spans="1:29" s="457" customFormat="1" x14ac:dyDescent="0.25">
      <c r="A38" s="897"/>
      <c r="B38" s="2385">
        <v>2208</v>
      </c>
      <c r="C38" s="1656" t="s">
        <v>266</v>
      </c>
      <c r="D38" s="340">
        <v>93377.75</v>
      </c>
      <c r="E38" s="2386"/>
      <c r="F38" s="340"/>
      <c r="G38" s="456">
        <f t="shared" si="18"/>
        <v>1.0037856984131659</v>
      </c>
      <c r="H38" s="340">
        <v>187109</v>
      </c>
      <c r="I38" s="2393"/>
      <c r="J38" s="455"/>
      <c r="K38" s="456">
        <f t="shared" si="19"/>
        <v>0.31838660887504078</v>
      </c>
      <c r="L38" s="340">
        <v>246682</v>
      </c>
      <c r="M38" s="897"/>
      <c r="O38" s="456">
        <f t="shared" si="20"/>
        <v>2.0001459368741942E-2</v>
      </c>
      <c r="P38" s="340">
        <f>ROUND(L38*(1+Q19),0)</f>
        <v>251616</v>
      </c>
      <c r="Q38" s="897" t="str">
        <f>TEXT(Q19,"0.0%")&amp;" = Est. S &amp; C"</f>
        <v>2.0% = Est. S &amp; C</v>
      </c>
      <c r="R38" s="455"/>
      <c r="S38" s="2238">
        <f t="shared" si="21"/>
        <v>1.9998728220780873E-2</v>
      </c>
      <c r="T38" s="340">
        <f>ROUND(P38*(1+U19),0)</f>
        <v>256648</v>
      </c>
      <c r="U38" s="455" t="str">
        <f>TEXT(U19,"0.0%")&amp;" = Est. S &amp; C"</f>
        <v>2.0% = Est. S &amp; C</v>
      </c>
      <c r="V38" s="952"/>
      <c r="W38" s="2241">
        <f t="shared" si="22"/>
        <v>2.0000155855490788E-2</v>
      </c>
      <c r="X38" s="340">
        <f>ROUND(T38*(1+Y19),0)</f>
        <v>261781</v>
      </c>
      <c r="Y38" s="455" t="str">
        <f>TEXT(Y19,"0.0%")&amp;" = Est. S &amp; C"</f>
        <v>2.0% = Est. S &amp; C</v>
      </c>
      <c r="AA38" s="456">
        <f t="shared" si="23"/>
        <v>2.0001451595035545E-2</v>
      </c>
      <c r="AB38" s="340">
        <f>ROUND(X38*(1+AC19),0)</f>
        <v>267017</v>
      </c>
      <c r="AC38" s="455" t="str">
        <f>TEXT(AC19,"0.0%")&amp;" = Est. S &amp; C"</f>
        <v>2.0% = Est. S &amp; C</v>
      </c>
    </row>
    <row r="39" spans="1:29" s="457" customFormat="1" x14ac:dyDescent="0.25">
      <c r="A39" s="897"/>
      <c r="B39" s="2385">
        <v>2273</v>
      </c>
      <c r="C39" s="1656" t="s">
        <v>868</v>
      </c>
      <c r="D39" s="340">
        <v>37.04</v>
      </c>
      <c r="E39" s="2386"/>
      <c r="F39" s="340"/>
      <c r="G39" s="456">
        <f t="shared" si="18"/>
        <v>2.5917926565874754E-2</v>
      </c>
      <c r="H39" s="340">
        <v>38</v>
      </c>
      <c r="I39" s="897"/>
      <c r="J39" s="455"/>
      <c r="K39" s="456">
        <f t="shared" si="19"/>
        <v>-1</v>
      </c>
      <c r="L39" s="340">
        <v>0</v>
      </c>
      <c r="M39" s="897"/>
      <c r="O39" s="456" t="str">
        <f t="shared" si="20"/>
        <v>0.00%</v>
      </c>
      <c r="P39" s="340">
        <f>ROUND(L39*(1+Q19),0)</f>
        <v>0</v>
      </c>
      <c r="Q39" s="897" t="str">
        <f>TEXT(Q19,"0.0%")&amp;" = Est. S &amp; C"</f>
        <v>2.0% = Est. S &amp; C</v>
      </c>
      <c r="R39" s="455"/>
      <c r="S39" s="2238" t="str">
        <f t="shared" si="21"/>
        <v>0.00%</v>
      </c>
      <c r="T39" s="340">
        <f>ROUND(P39*(1+U19),0)</f>
        <v>0</v>
      </c>
      <c r="U39" s="455" t="str">
        <f>TEXT(U19,"0.0%")&amp;" = Est. S &amp; C"</f>
        <v>2.0% = Est. S &amp; C</v>
      </c>
      <c r="V39" s="952"/>
      <c r="W39" s="2241" t="str">
        <f t="shared" si="22"/>
        <v>0.00%</v>
      </c>
      <c r="X39" s="340">
        <f>ROUND(T39*(1+Y19),0)</f>
        <v>0</v>
      </c>
      <c r="Y39" s="455" t="str">
        <f>TEXT(Y19,"0.0%")&amp;" = Est. S &amp; C"</f>
        <v>2.0% = Est. S &amp; C</v>
      </c>
      <c r="AA39" s="456" t="str">
        <f t="shared" si="23"/>
        <v>0.00%</v>
      </c>
      <c r="AB39" s="340">
        <f>ROUND(X39*(1+AC19),0)</f>
        <v>0</v>
      </c>
      <c r="AC39" s="455" t="str">
        <f>TEXT(AC19,"0.0%")&amp;" = Est. S &amp; C"</f>
        <v>2.0% = Est. S &amp; C</v>
      </c>
    </row>
    <row r="40" spans="1:29" s="457" customFormat="1" x14ac:dyDescent="0.25">
      <c r="A40" s="897"/>
      <c r="B40" s="2385">
        <v>2404</v>
      </c>
      <c r="C40" s="1656" t="s">
        <v>31</v>
      </c>
      <c r="D40" s="340">
        <v>18175.25</v>
      </c>
      <c r="E40" s="2386"/>
      <c r="F40" s="340"/>
      <c r="G40" s="456">
        <f t="shared" si="18"/>
        <v>9.9627240340573034E-2</v>
      </c>
      <c r="H40" s="340">
        <v>19986</v>
      </c>
      <c r="I40" s="897"/>
      <c r="J40" s="455"/>
      <c r="K40" s="456">
        <f t="shared" si="19"/>
        <v>-5.9091363954768335E-2</v>
      </c>
      <c r="L40" s="340">
        <v>18805</v>
      </c>
      <c r="M40" s="897"/>
      <c r="O40" s="456">
        <f t="shared" si="20"/>
        <v>1.999468226535496E-2</v>
      </c>
      <c r="P40" s="340">
        <f>ROUND(L40*(1+Q19),0)</f>
        <v>19181</v>
      </c>
      <c r="Q40" s="897" t="str">
        <f>TEXT(Q19,"0.0%")&amp;" = Est. S &amp; C"</f>
        <v>2.0% = Est. S &amp; C</v>
      </c>
      <c r="R40" s="455"/>
      <c r="S40" s="2238">
        <f t="shared" si="21"/>
        <v>2.0019811271570827E-2</v>
      </c>
      <c r="T40" s="340">
        <f>ROUND(P40*(1+$U$19),0)</f>
        <v>19565</v>
      </c>
      <c r="U40" s="455" t="str">
        <f>TEXT(U19,"0.0%")&amp;" = Est. S &amp; C"</f>
        <v>2.0% = Est. S &amp; C</v>
      </c>
      <c r="V40" s="952"/>
      <c r="W40" s="2241">
        <f t="shared" si="22"/>
        <v>1.9984666496294403E-2</v>
      </c>
      <c r="X40" s="340">
        <f>ROUND(T40*(1+Y19),0)</f>
        <v>19956</v>
      </c>
      <c r="Y40" s="455" t="str">
        <f>TEXT(Y19,"0.0%")&amp;" = Est. S &amp; C"</f>
        <v>2.0% = Est. S &amp; C</v>
      </c>
      <c r="AA40" s="456">
        <f t="shared" si="23"/>
        <v>1.999398677089597E-2</v>
      </c>
      <c r="AB40" s="340">
        <f>ROUND(X40*(1+AC19),0)</f>
        <v>20355</v>
      </c>
      <c r="AC40" s="455" t="str">
        <f>TEXT(AC19,"0.0%")&amp;" = Est. S &amp; C"</f>
        <v>2.0% = Est. S &amp; C</v>
      </c>
    </row>
    <row r="41" spans="1:29" s="457" customFormat="1" x14ac:dyDescent="0.25">
      <c r="A41" s="897"/>
      <c r="B41" s="2385">
        <v>2418</v>
      </c>
      <c r="C41" s="1656" t="s">
        <v>869</v>
      </c>
      <c r="D41" s="340">
        <v>89387.28</v>
      </c>
      <c r="E41" s="2386"/>
      <c r="F41" s="340"/>
      <c r="G41" s="456">
        <f t="shared" si="18"/>
        <v>9.6912222857659408E-2</v>
      </c>
      <c r="H41" s="340">
        <v>98050</v>
      </c>
      <c r="I41" s="897"/>
      <c r="J41" s="455"/>
      <c r="K41" s="456">
        <f t="shared" si="19"/>
        <v>1.1473737888832228E-2</v>
      </c>
      <c r="L41" s="340">
        <v>99175</v>
      </c>
      <c r="M41" s="897"/>
      <c r="O41" s="456">
        <f t="shared" si="20"/>
        <v>2.0005041593143435E-2</v>
      </c>
      <c r="P41" s="340">
        <f>ROUND(L41*(1+Q19),0)</f>
        <v>101159</v>
      </c>
      <c r="Q41" s="897" t="str">
        <f>TEXT(Q19,"0.0%")&amp;" = Est. S &amp; C"</f>
        <v>2.0% = Est. S &amp; C</v>
      </c>
      <c r="R41" s="455"/>
      <c r="S41" s="2238">
        <f t="shared" si="21"/>
        <v>1.9998220622979665E-2</v>
      </c>
      <c r="T41" s="340">
        <f>ROUND(P41*(1+$U$19),0)</f>
        <v>103182</v>
      </c>
      <c r="U41" s="455" t="str">
        <f>TEXT($U$19,"0.0%")&amp;" = Est. S &amp; C"</f>
        <v>2.0% = Est. S &amp; C</v>
      </c>
      <c r="V41" s="952"/>
      <c r="W41" s="2241">
        <f t="shared" si="22"/>
        <v>2.0003488980636159E-2</v>
      </c>
      <c r="X41" s="340">
        <f>ROUND(T41*(1+Y19),0)</f>
        <v>105246</v>
      </c>
      <c r="Y41" s="455" t="str">
        <f>TEXT(Y19,"0.0%")&amp;" = Est. S &amp; C"</f>
        <v>2.0% = Est. S &amp; C</v>
      </c>
      <c r="AA41" s="456">
        <f t="shared" si="23"/>
        <v>2.0000760123900195E-2</v>
      </c>
      <c r="AB41" s="340">
        <f>ROUND(X41*(1+AC19),0)</f>
        <v>107351</v>
      </c>
      <c r="AC41" s="455" t="str">
        <f>TEXT(AC19,"0.0%")&amp;" = Est. S &amp; C"</f>
        <v>2.0% = Est. S &amp; C</v>
      </c>
    </row>
    <row r="42" spans="1:29" s="457" customFormat="1" x14ac:dyDescent="0.25">
      <c r="A42" s="897"/>
      <c r="B42" s="2385">
        <v>2473</v>
      </c>
      <c r="C42" s="1656" t="s">
        <v>870</v>
      </c>
      <c r="D42" s="340">
        <v>0</v>
      </c>
      <c r="E42" s="2386"/>
      <c r="F42" s="340"/>
      <c r="G42" s="456" t="str">
        <f t="shared" si="18"/>
        <v>0.00%</v>
      </c>
      <c r="H42" s="340">
        <v>0</v>
      </c>
      <c r="I42" s="897"/>
      <c r="J42" s="455"/>
      <c r="K42" s="456" t="str">
        <f t="shared" ref="K42:K49" si="24">IF(H42=0,"0.00%",(L42-H42)/H42)</f>
        <v>0.00%</v>
      </c>
      <c r="L42" s="340">
        <v>0</v>
      </c>
      <c r="M42" s="897"/>
      <c r="O42" s="456" t="str">
        <f t="shared" si="20"/>
        <v>0.00%</v>
      </c>
      <c r="P42" s="340">
        <f>ROUND(L42*(1+Q19),0)</f>
        <v>0</v>
      </c>
      <c r="Q42" s="897" t="str">
        <f>TEXT(Q19,"0.0%")&amp;" = Est. S &amp; C"</f>
        <v>2.0% = Est. S &amp; C</v>
      </c>
      <c r="R42" s="455"/>
      <c r="S42" s="2238" t="str">
        <f t="shared" ref="S42:S49" si="25">IF(P42=0,"0.00%",(T42-P42)/P42)</f>
        <v>0.00%</v>
      </c>
      <c r="T42" s="340">
        <f t="shared" ref="T42:T49" si="26">ROUND(P42*(1+$U$19),0)</f>
        <v>0</v>
      </c>
      <c r="U42" s="455" t="str">
        <f t="shared" ref="U42:U49" si="27">TEXT($U$19,"0.0%")&amp;" = Est. S &amp; C"</f>
        <v>2.0% = Est. S &amp; C</v>
      </c>
      <c r="V42" s="952"/>
      <c r="W42" s="2241"/>
      <c r="X42" s="340"/>
      <c r="Y42" s="455"/>
      <c r="AA42" s="456"/>
      <c r="AB42" s="340"/>
      <c r="AC42" s="455"/>
    </row>
    <row r="43" spans="1:29" s="457" customFormat="1" x14ac:dyDescent="0.25">
      <c r="A43" s="897"/>
      <c r="B43" s="2385">
        <v>2481</v>
      </c>
      <c r="C43" s="1656" t="s">
        <v>871</v>
      </c>
      <c r="D43" s="340">
        <v>88.4</v>
      </c>
      <c r="E43" s="2386"/>
      <c r="F43" s="340"/>
      <c r="G43" s="456">
        <f t="shared" si="18"/>
        <v>-0.12895927601809962</v>
      </c>
      <c r="H43" s="340">
        <v>77</v>
      </c>
      <c r="I43" s="897"/>
      <c r="J43" s="455"/>
      <c r="K43" s="456">
        <f>IF(H43=0,"0.00%",(L43-H43)/H43)</f>
        <v>-1</v>
      </c>
      <c r="L43" s="340">
        <v>0</v>
      </c>
      <c r="M43" s="897"/>
      <c r="O43" s="456" t="str">
        <f t="shared" si="20"/>
        <v>0.00%</v>
      </c>
      <c r="P43" s="340">
        <f>ROUND(L43*(1+Q19),0)</f>
        <v>0</v>
      </c>
      <c r="Q43" s="897" t="str">
        <f>TEXT(Q19,"0.0%")&amp;" = Est. S &amp; C"</f>
        <v>2.0% = Est. S &amp; C</v>
      </c>
      <c r="R43" s="455"/>
      <c r="S43" s="2238" t="str">
        <f t="shared" si="25"/>
        <v>0.00%</v>
      </c>
      <c r="T43" s="340">
        <f t="shared" si="26"/>
        <v>0</v>
      </c>
      <c r="U43" s="455" t="str">
        <f t="shared" si="27"/>
        <v>2.0% = Est. S &amp; C</v>
      </c>
      <c r="V43" s="952"/>
      <c r="W43" s="2241"/>
      <c r="X43" s="340"/>
      <c r="Y43" s="455"/>
      <c r="AA43" s="456"/>
      <c r="AB43" s="340"/>
      <c r="AC43" s="455"/>
    </row>
    <row r="44" spans="1:29" s="457" customFormat="1" x14ac:dyDescent="0.25">
      <c r="A44" s="897"/>
      <c r="B44" s="2385">
        <v>2901</v>
      </c>
      <c r="C44" s="1656" t="s">
        <v>71</v>
      </c>
      <c r="D44" s="340">
        <v>73.86</v>
      </c>
      <c r="E44" s="2386"/>
      <c r="F44" s="340"/>
      <c r="G44" s="456">
        <f t="shared" si="18"/>
        <v>-0.97292174383969676</v>
      </c>
      <c r="H44" s="340">
        <v>2</v>
      </c>
      <c r="I44" s="897"/>
      <c r="J44" s="455"/>
      <c r="K44" s="456">
        <f t="shared" si="24"/>
        <v>-1</v>
      </c>
      <c r="L44" s="340">
        <v>0</v>
      </c>
      <c r="M44" s="897"/>
      <c r="O44" s="456" t="str">
        <f t="shared" si="20"/>
        <v>0.00%</v>
      </c>
      <c r="P44" s="340">
        <f>ROUND(L44*(1+Q19),0)</f>
        <v>0</v>
      </c>
      <c r="Q44" s="897" t="str">
        <f>TEXT(Q19,"0.0%")&amp;" = Est. S &amp; C"</f>
        <v>2.0% = Est. S &amp; C</v>
      </c>
      <c r="R44" s="455"/>
      <c r="S44" s="2238" t="str">
        <f t="shared" si="25"/>
        <v>0.00%</v>
      </c>
      <c r="T44" s="340">
        <f t="shared" si="26"/>
        <v>0</v>
      </c>
      <c r="U44" s="455" t="str">
        <f t="shared" si="27"/>
        <v>2.0% = Est. S &amp; C</v>
      </c>
      <c r="V44" s="952"/>
      <c r="W44" s="2241"/>
      <c r="X44" s="340"/>
      <c r="Y44" s="455"/>
      <c r="AA44" s="456"/>
      <c r="AB44" s="340"/>
      <c r="AC44" s="455"/>
    </row>
    <row r="45" spans="1:29" s="457" customFormat="1" x14ac:dyDescent="0.25">
      <c r="A45" s="897"/>
      <c r="B45" s="2385">
        <v>2907</v>
      </c>
      <c r="C45" s="1656" t="s">
        <v>872</v>
      </c>
      <c r="D45" s="340">
        <v>3332.04</v>
      </c>
      <c r="E45" s="2386"/>
      <c r="F45" s="340"/>
      <c r="G45" s="456">
        <f t="shared" si="18"/>
        <v>2.9999639860265794E-2</v>
      </c>
      <c r="H45" s="340">
        <v>3432</v>
      </c>
      <c r="I45" s="897"/>
      <c r="J45" s="455"/>
      <c r="K45" s="456">
        <f t="shared" si="24"/>
        <v>-1</v>
      </c>
      <c r="L45" s="340">
        <v>0</v>
      </c>
      <c r="M45" s="897"/>
      <c r="O45" s="456" t="str">
        <f t="shared" si="20"/>
        <v>0.00%</v>
      </c>
      <c r="P45" s="340">
        <f>ROUND(L45*(1+Q19),0)</f>
        <v>0</v>
      </c>
      <c r="Q45" s="897" t="str">
        <f>TEXT(Q19,"0.0%")&amp;" = Est. S &amp; C"</f>
        <v>2.0% = Est. S &amp; C</v>
      </c>
      <c r="R45" s="455"/>
      <c r="S45" s="2238" t="str">
        <f t="shared" si="25"/>
        <v>0.00%</v>
      </c>
      <c r="T45" s="340">
        <f t="shared" si="26"/>
        <v>0</v>
      </c>
      <c r="U45" s="455" t="str">
        <f t="shared" si="27"/>
        <v>2.0% = Est. S &amp; C</v>
      </c>
      <c r="V45" s="952"/>
      <c r="W45" s="2241"/>
      <c r="X45" s="340"/>
      <c r="Y45" s="455"/>
      <c r="AA45" s="456"/>
      <c r="AB45" s="340"/>
      <c r="AC45" s="455"/>
    </row>
    <row r="46" spans="1:29" s="457" customFormat="1" x14ac:dyDescent="0.25">
      <c r="A46" s="897"/>
      <c r="B46" s="2385">
        <v>2910</v>
      </c>
      <c r="C46" s="1656" t="s">
        <v>117</v>
      </c>
      <c r="D46" s="340">
        <v>883.78</v>
      </c>
      <c r="E46" s="2386"/>
      <c r="F46" s="340"/>
      <c r="G46" s="456">
        <f t="shared" si="18"/>
        <v>1.9984837855574917</v>
      </c>
      <c r="H46" s="340">
        <v>2650</v>
      </c>
      <c r="I46" s="897"/>
      <c r="J46" s="455"/>
      <c r="K46" s="456">
        <f t="shared" si="24"/>
        <v>-1</v>
      </c>
      <c r="L46" s="340">
        <v>0</v>
      </c>
      <c r="M46" s="897"/>
      <c r="O46" s="456" t="str">
        <f t="shared" si="20"/>
        <v>0.00%</v>
      </c>
      <c r="P46" s="340">
        <f>+L46</f>
        <v>0</v>
      </c>
      <c r="Q46" s="897" t="s">
        <v>173</v>
      </c>
      <c r="R46" s="455"/>
      <c r="S46" s="2238" t="str">
        <f t="shared" si="25"/>
        <v>0.00%</v>
      </c>
      <c r="T46" s="340">
        <f t="shared" si="26"/>
        <v>0</v>
      </c>
      <c r="U46" s="455" t="str">
        <f t="shared" si="27"/>
        <v>2.0% = Est. S &amp; C</v>
      </c>
      <c r="V46" s="952"/>
      <c r="W46" s="2241"/>
      <c r="X46" s="340"/>
      <c r="Y46" s="455"/>
      <c r="AA46" s="456"/>
      <c r="AB46" s="340"/>
      <c r="AC46" s="455"/>
    </row>
    <row r="47" spans="1:29" s="457" customFormat="1" x14ac:dyDescent="0.25">
      <c r="A47" s="897"/>
      <c r="B47" s="2385">
        <v>2973</v>
      </c>
      <c r="C47" s="1656" t="s">
        <v>873</v>
      </c>
      <c r="D47" s="340">
        <v>448.37</v>
      </c>
      <c r="E47" s="2386"/>
      <c r="F47" s="340"/>
      <c r="G47" s="456">
        <f t="shared" si="18"/>
        <v>7.6981733835894461</v>
      </c>
      <c r="H47" s="340">
        <v>3900</v>
      </c>
      <c r="I47" s="897"/>
      <c r="J47" s="455"/>
      <c r="K47" s="456">
        <f t="shared" si="24"/>
        <v>0</v>
      </c>
      <c r="L47" s="340">
        <v>3900</v>
      </c>
      <c r="M47" s="897"/>
      <c r="O47" s="456">
        <f t="shared" si="20"/>
        <v>0</v>
      </c>
      <c r="P47" s="340">
        <f>+L47</f>
        <v>3900</v>
      </c>
      <c r="Q47" s="897" t="s">
        <v>173</v>
      </c>
      <c r="R47" s="455"/>
      <c r="S47" s="2238">
        <f t="shared" si="25"/>
        <v>0</v>
      </c>
      <c r="T47" s="340">
        <f>+P47</f>
        <v>3900</v>
      </c>
      <c r="U47" s="897" t="s">
        <v>173</v>
      </c>
      <c r="V47" s="952"/>
      <c r="W47" s="2241"/>
      <c r="X47" s="340"/>
      <c r="Y47" s="455"/>
      <c r="AA47" s="456"/>
      <c r="AB47" s="340"/>
      <c r="AC47" s="455"/>
    </row>
    <row r="48" spans="1:29" s="457" customFormat="1" x14ac:dyDescent="0.25">
      <c r="A48" s="897"/>
      <c r="B48" s="2385">
        <v>2981</v>
      </c>
      <c r="C48" s="1656" t="s">
        <v>874</v>
      </c>
      <c r="D48" s="340">
        <v>0</v>
      </c>
      <c r="E48" s="2386"/>
      <c r="F48" s="340"/>
      <c r="G48" s="456" t="str">
        <f t="shared" si="18"/>
        <v>0.00%</v>
      </c>
      <c r="H48" s="340">
        <v>220</v>
      </c>
      <c r="I48" s="897"/>
      <c r="J48" s="455"/>
      <c r="K48" s="456">
        <f t="shared" si="24"/>
        <v>-1</v>
      </c>
      <c r="L48" s="340">
        <v>0</v>
      </c>
      <c r="M48" s="897"/>
      <c r="O48" s="456" t="str">
        <f t="shared" si="20"/>
        <v>0.00%</v>
      </c>
      <c r="P48" s="340">
        <f>ROUND(L48*(1+Q19),0)</f>
        <v>0</v>
      </c>
      <c r="Q48" s="897" t="str">
        <f>TEXT(Q19,"0.0%")&amp;" = Est. S &amp; C"</f>
        <v>2.0% = Est. S &amp; C</v>
      </c>
      <c r="R48" s="455"/>
      <c r="S48" s="2238" t="str">
        <f t="shared" si="25"/>
        <v>0.00%</v>
      </c>
      <c r="T48" s="340">
        <f t="shared" si="26"/>
        <v>0</v>
      </c>
      <c r="U48" s="455" t="str">
        <f t="shared" si="27"/>
        <v>2.0% = Est. S &amp; C</v>
      </c>
      <c r="V48" s="952"/>
      <c r="W48" s="2241"/>
      <c r="X48" s="340"/>
      <c r="Y48" s="455"/>
      <c r="AA48" s="456"/>
      <c r="AB48" s="340"/>
      <c r="AC48" s="455"/>
    </row>
    <row r="49" spans="1:29" s="457" customFormat="1" x14ac:dyDescent="0.25">
      <c r="A49" s="897"/>
      <c r="B49" s="2385"/>
      <c r="C49" s="1656"/>
      <c r="D49" s="340">
        <v>0</v>
      </c>
      <c r="E49" s="2386"/>
      <c r="F49" s="340"/>
      <c r="G49" s="456" t="str">
        <f t="shared" si="18"/>
        <v>0.00%</v>
      </c>
      <c r="H49" s="340">
        <f t="shared" ref="H49" si="28">ROUND(D49*(1+$I$19),0)</f>
        <v>0</v>
      </c>
      <c r="I49" s="897"/>
      <c r="J49" s="455"/>
      <c r="K49" s="456" t="str">
        <f t="shared" si="24"/>
        <v>0.00%</v>
      </c>
      <c r="L49" s="340">
        <f>ROUND(H49*(1+M19),0)</f>
        <v>0</v>
      </c>
      <c r="M49" s="897"/>
      <c r="O49" s="456" t="str">
        <f t="shared" si="20"/>
        <v>0.00%</v>
      </c>
      <c r="P49" s="340">
        <f>ROUND(L49*(1+Q19),0)</f>
        <v>0</v>
      </c>
      <c r="Q49" s="897" t="str">
        <f>TEXT(Q19,"0.0%")&amp;" = Est. S &amp; C"</f>
        <v>2.0% = Est. S &amp; C</v>
      </c>
      <c r="R49" s="455"/>
      <c r="S49" s="2238" t="str">
        <f t="shared" si="25"/>
        <v>0.00%</v>
      </c>
      <c r="T49" s="340">
        <f t="shared" si="26"/>
        <v>0</v>
      </c>
      <c r="U49" s="455" t="str">
        <f t="shared" si="27"/>
        <v>2.0% = Est. S &amp; C</v>
      </c>
      <c r="V49" s="952"/>
      <c r="W49" s="2241" t="str">
        <f t="shared" si="22"/>
        <v>0.00%</v>
      </c>
      <c r="X49" s="340">
        <f>ROUND(T49*(1+Y19),0)</f>
        <v>0</v>
      </c>
      <c r="Y49" s="455" t="str">
        <f>TEXT(Y19,"0.0%")&amp;" = Est. S &amp; C"</f>
        <v>2.0% = Est. S &amp; C</v>
      </c>
      <c r="AA49" s="456" t="str">
        <f t="shared" si="23"/>
        <v>0.00%</v>
      </c>
      <c r="AB49" s="340">
        <f>ROUND(X49*(1+AC19),0)</f>
        <v>0</v>
      </c>
      <c r="AC49" s="455" t="str">
        <f>TEXT(AC19,"0.0%")&amp;" = Est. S &amp; C"</f>
        <v>2.0% = Est. S &amp; C</v>
      </c>
    </row>
    <row r="50" spans="1:29" s="457" customFormat="1" ht="6" customHeight="1" x14ac:dyDescent="0.25">
      <c r="A50" s="897"/>
      <c r="B50" s="2385"/>
      <c r="C50" s="1656"/>
      <c r="D50" s="340"/>
      <c r="E50" s="2386"/>
      <c r="F50" s="340"/>
      <c r="G50" s="2338"/>
      <c r="H50" s="340"/>
      <c r="I50" s="897"/>
      <c r="J50" s="455"/>
      <c r="K50" s="1668"/>
      <c r="L50" s="340"/>
      <c r="M50" s="901"/>
      <c r="O50" s="1668"/>
      <c r="P50" s="340"/>
      <c r="Q50" s="901"/>
      <c r="R50" s="455"/>
      <c r="S50" s="2341"/>
      <c r="T50" s="340"/>
      <c r="U50" s="2344"/>
      <c r="V50" s="952"/>
      <c r="W50" s="2343"/>
      <c r="X50" s="340"/>
      <c r="Y50" s="2344"/>
      <c r="AA50" s="1668"/>
      <c r="AB50" s="340"/>
      <c r="AC50" s="2344"/>
    </row>
    <row r="51" spans="1:29" s="457" customFormat="1" x14ac:dyDescent="0.25">
      <c r="A51" s="898"/>
      <c r="B51" s="2385"/>
      <c r="C51" s="1656"/>
      <c r="D51" s="458">
        <f>SUM(D36:D50)</f>
        <v>209687.27</v>
      </c>
      <c r="E51" s="2386"/>
      <c r="F51" s="340"/>
      <c r="G51" s="456">
        <f>IF(D51=0,"0.00%",(H51-D51)/D51)</f>
        <v>0.50941924133019623</v>
      </c>
      <c r="H51" s="458">
        <f>SUM(H36:H50)</f>
        <v>316506</v>
      </c>
      <c r="I51" s="2316">
        <f>+H51-D51</f>
        <v>106818.73000000001</v>
      </c>
      <c r="J51" s="459"/>
      <c r="K51" s="456">
        <f>IF(H51=0,"0.00%",(L51-H51)/H51)</f>
        <v>0.16447081571913327</v>
      </c>
      <c r="L51" s="458">
        <f>SUM(L36:L50)</f>
        <v>368562</v>
      </c>
      <c r="M51" s="2316">
        <f>+L51-H51</f>
        <v>52056</v>
      </c>
      <c r="O51" s="456">
        <f>IF(L51=0,"0.00%",(P51-L51)/L51)</f>
        <v>1.9790428747402066E-2</v>
      </c>
      <c r="P51" s="458">
        <f>SUM(P36:P50)</f>
        <v>375856</v>
      </c>
      <c r="Q51" s="2316">
        <f>+P51-L51</f>
        <v>7294</v>
      </c>
      <c r="R51" s="455"/>
      <c r="S51" s="2238">
        <f>IF(P51=0,"0.00%",(T51-P51)/P51)</f>
        <v>1.9792154442126772E-2</v>
      </c>
      <c r="T51" s="458">
        <f>SUM(T36:T50)</f>
        <v>383295</v>
      </c>
      <c r="U51" s="2344"/>
      <c r="V51" s="952"/>
      <c r="W51" s="2241">
        <f>IF(T51=0,"0.00%",(X51-T51)/T51)</f>
        <v>9.621831748392231E-3</v>
      </c>
      <c r="X51" s="458">
        <f>SUM(X36:X50)</f>
        <v>386983</v>
      </c>
      <c r="Y51" s="2344"/>
      <c r="AA51" s="456">
        <f>IF(X51=0,"0.00%",(AB51-X51)/X51)</f>
        <v>2.0000878591566039E-2</v>
      </c>
      <c r="AB51" s="458">
        <f>SUM(AB36:AB50)</f>
        <v>394723</v>
      </c>
      <c r="AC51" s="2344"/>
    </row>
    <row r="52" spans="1:29" s="457" customFormat="1" x14ac:dyDescent="0.25">
      <c r="A52" s="897"/>
      <c r="B52" s="2345" t="s">
        <v>28</v>
      </c>
      <c r="C52" s="1656"/>
      <c r="D52" s="340"/>
      <c r="E52" s="2386"/>
      <c r="F52" s="340"/>
      <c r="G52" s="2338"/>
      <c r="H52" s="340"/>
      <c r="I52" s="897"/>
      <c r="J52" s="455"/>
      <c r="K52" s="1668"/>
      <c r="L52" s="340"/>
      <c r="M52" s="901"/>
      <c r="O52" s="1668"/>
      <c r="P52" s="340"/>
      <c r="Q52" s="901"/>
      <c r="R52" s="455"/>
      <c r="S52" s="2341"/>
      <c r="T52" s="340"/>
      <c r="U52" s="2344"/>
      <c r="V52" s="952"/>
      <c r="W52" s="2343"/>
      <c r="X52" s="340"/>
      <c r="Y52" s="2344"/>
      <c r="AA52" s="1668"/>
      <c r="AB52" s="340"/>
      <c r="AC52" s="2344"/>
    </row>
    <row r="53" spans="1:29" s="457" customFormat="1" x14ac:dyDescent="0.25">
      <c r="A53" s="868"/>
      <c r="B53" s="2337" t="s">
        <v>27</v>
      </c>
      <c r="C53" s="1656"/>
      <c r="D53" s="340"/>
      <c r="E53" s="2386"/>
      <c r="F53" s="340"/>
      <c r="G53" s="2338"/>
      <c r="H53" s="340"/>
      <c r="I53" s="897"/>
      <c r="J53" s="455"/>
      <c r="K53" s="1668"/>
      <c r="L53" s="340"/>
      <c r="M53" s="901"/>
      <c r="O53" s="1668"/>
      <c r="P53" s="340"/>
      <c r="Q53" s="901"/>
      <c r="R53" s="455"/>
      <c r="S53" s="2341"/>
      <c r="T53" s="340"/>
      <c r="U53" s="2344"/>
      <c r="V53" s="952"/>
      <c r="W53" s="2343"/>
      <c r="X53" s="340"/>
      <c r="Y53" s="2344"/>
      <c r="AA53" s="1668"/>
      <c r="AB53" s="340"/>
      <c r="AC53" s="2344"/>
    </row>
    <row r="54" spans="1:29" s="457" customFormat="1" x14ac:dyDescent="0.25">
      <c r="A54" s="897"/>
      <c r="B54" s="2385" t="s">
        <v>83</v>
      </c>
      <c r="C54" s="1656" t="s">
        <v>76</v>
      </c>
      <c r="D54" s="340">
        <f>310785.39+11632.92</f>
        <v>322418.31</v>
      </c>
      <c r="E54" s="899" t="str">
        <f>TEXT('MYP Assumptions'!$D$57,"0.00%")&amp;", STRS rate"</f>
        <v>12.58%, STRS rate</v>
      </c>
      <c r="F54" s="340"/>
      <c r="G54" s="456">
        <f t="shared" ref="G54:G63" si="29">IF(D54=0,"0.00%",(H54-D54)/D54)</f>
        <v>0.28232528109213162</v>
      </c>
      <c r="H54" s="340">
        <f>392142.15+21303</f>
        <v>413445.15</v>
      </c>
      <c r="I54" s="899" t="str">
        <f>TEXT('MYP Assumptions'!E57,"0.00%")&amp;", projected STRS rate"</f>
        <v>14.43%, projected STRS rate</v>
      </c>
      <c r="J54" s="455"/>
      <c r="K54" s="456">
        <f t="shared" ref="K54:K63" si="30">IF(H54=0,"0.00%",(L54-H54)/H54)</f>
        <v>0.19231535307646003</v>
      </c>
      <c r="L54" s="340">
        <v>492957</v>
      </c>
      <c r="M54" s="899" t="str">
        <f>TEXT('MYP Assumptions'!F57,"0.00%")&amp;", projected STRS rate"</f>
        <v>16.28%, projected STRS rate</v>
      </c>
      <c r="O54" s="456">
        <f t="shared" ref="O54:O63" si="31">IF(L54=0,"0.00%",(P54-L54)/L54)</f>
        <v>1.8573628125779732E-2</v>
      </c>
      <c r="P54" s="340">
        <f>ROUND(P33*LEFT(Q54,6),0)</f>
        <v>502113</v>
      </c>
      <c r="Q54" s="899" t="str">
        <f>TEXT('MYP Assumptions'!G57,"0.00%")&amp;", projected STRS rate"</f>
        <v>18.13%, projected STRS rate</v>
      </c>
      <c r="R54" s="455"/>
      <c r="S54" s="2238">
        <f t="shared" ref="S54:S63" si="32">IF(P54=0,"0.00%",(T54-P54)/P54)</f>
        <v>7.1163264046141012E-2</v>
      </c>
      <c r="T54" s="340">
        <f>ROUND(T33*LEFT(U54,6),0)</f>
        <v>537845</v>
      </c>
      <c r="U54" s="953" t="str">
        <f>TEXT('MYP Assumptions'!H57,"0.00%")&amp;", projected STRS rate"</f>
        <v>19.10%, projected STRS rate</v>
      </c>
      <c r="V54" s="952"/>
      <c r="W54" s="2241">
        <f t="shared" ref="W54:W63" si="33">IF(T54=0,"0.00%",(X54-T54)/T54)</f>
        <v>-4.4046147124171464E-3</v>
      </c>
      <c r="X54" s="340">
        <f>ROUND(X33*LEFT(Y54,6),0)</f>
        <v>535476</v>
      </c>
      <c r="Y54" s="953" t="str">
        <f>TEXT('MYP Assumptions'!I57,"0.00%")&amp;", projected STRS rate"</f>
        <v>19.10%, projected STRS rate</v>
      </c>
      <c r="AA54" s="456" t="e">
        <f t="shared" ref="AA54:AA63" si="34">IF(X54=0,"0.00%",(AB54-X54)/X54)</f>
        <v>#VALUE!</v>
      </c>
      <c r="AB54" s="340" t="e">
        <f>ROUND(AB33*LEFT(AC54,6),0)</f>
        <v>#VALUE!</v>
      </c>
      <c r="AC54" s="953" t="str">
        <f>TEXT('MYP Assumptions'!J57,"0.00%")&amp;", projected STRS rate"</f>
        <v>0.00%, projected STRS rate</v>
      </c>
    </row>
    <row r="55" spans="1:29" s="457" customFormat="1" x14ac:dyDescent="0.25">
      <c r="A55" s="897"/>
      <c r="B55" s="2385" t="s">
        <v>84</v>
      </c>
      <c r="C55" s="1656" t="s">
        <v>77</v>
      </c>
      <c r="D55" s="340">
        <v>15551.71</v>
      </c>
      <c r="E55" s="899" t="str">
        <f>TEXT('MYP Assumptions'!$D$58,"0.00%")&amp;", PERS rate"</f>
        <v>13.89%, PERS rate</v>
      </c>
      <c r="F55" s="340"/>
      <c r="G55" s="456">
        <f t="shared" si="29"/>
        <v>0.67254919233962063</v>
      </c>
      <c r="H55" s="340">
        <v>26011</v>
      </c>
      <c r="I55" s="899" t="str">
        <f>TEXT('MYP Assumptions'!E58,"0.000%")&amp;", projected PERS rate"</f>
        <v>15.531%, projected PERS rate</v>
      </c>
      <c r="J55" s="455"/>
      <c r="K55" s="456">
        <f t="shared" si="30"/>
        <v>-0.18073122909538272</v>
      </c>
      <c r="L55" s="340">
        <v>21310</v>
      </c>
      <c r="M55" s="899" t="str">
        <f>TEXT('MYP Assumptions'!F58,"0.00%")&amp;", projected PERS rate"</f>
        <v>18.06%, projected PERS rate</v>
      </c>
      <c r="O55" s="456">
        <f t="shared" si="31"/>
        <v>2.6686062881276396</v>
      </c>
      <c r="P55" s="340">
        <f>ROUND(P51*LEFT(Q55,6),0)</f>
        <v>78178</v>
      </c>
      <c r="Q55" s="899" t="str">
        <f>TEXT('MYP Assumptions'!G58,"0.00%")&amp;", projected PERS rate"</f>
        <v>20.80%, projected PERS rate</v>
      </c>
      <c r="R55" s="455"/>
      <c r="S55" s="2238">
        <f t="shared" si="32"/>
        <v>0.15216557087671723</v>
      </c>
      <c r="T55" s="340">
        <f>ROUND(T51*LEFT(U55,6),0)</f>
        <v>90074</v>
      </c>
      <c r="U55" s="953" t="str">
        <f>TEXT('MYP Assumptions'!H58,"0.00%")&amp;", projected PERS rate"</f>
        <v>23.50%, projected PERS rate</v>
      </c>
      <c r="V55" s="952"/>
      <c r="W55" s="2241">
        <f t="shared" si="33"/>
        <v>5.6886559939605216E-2</v>
      </c>
      <c r="X55" s="340">
        <f>ROUND(X51*LEFT(Y55,6),0)</f>
        <v>95198</v>
      </c>
      <c r="Y55" s="953" t="str">
        <f>TEXT('MYP Assumptions'!I58,"0.00%")&amp;", projected PERS rate"</f>
        <v>24.60%, projected PERS rate</v>
      </c>
      <c r="AA55" s="456" t="e">
        <f t="shared" si="34"/>
        <v>#VALUE!</v>
      </c>
      <c r="AB55" s="340" t="e">
        <f>ROUND(AB51*LEFT(AC55,6),0)</f>
        <v>#VALUE!</v>
      </c>
      <c r="AC55" s="953" t="str">
        <f>TEXT('MYP Assumptions'!J58,"0.00%")&amp;", projected PERS rate"</f>
        <v>0.00%, projected PERS rate</v>
      </c>
    </row>
    <row r="56" spans="1:29" s="457" customFormat="1" x14ac:dyDescent="0.25">
      <c r="A56" s="897"/>
      <c r="B56" s="2385" t="s">
        <v>85</v>
      </c>
      <c r="C56" s="1656" t="s">
        <v>78</v>
      </c>
      <c r="D56" s="340">
        <f>137.95+7168.53</f>
        <v>7306.48</v>
      </c>
      <c r="E56" s="899" t="str">
        <f>TEXT('MYP Assumptions'!$D$60,"0.00%")&amp;", SS rate"</f>
        <v>6.20%, SS rate</v>
      </c>
      <c r="F56" s="340"/>
      <c r="G56" s="456">
        <f t="shared" si="29"/>
        <v>0.76446113586843467</v>
      </c>
      <c r="H56" s="340">
        <f>55+12837</f>
        <v>12892</v>
      </c>
      <c r="I56" s="899" t="str">
        <f>TEXT('MYP Assumptions'!E60,"0.00%")&amp;", no rate change"</f>
        <v>6.20%, no rate change</v>
      </c>
      <c r="J56" s="455"/>
      <c r="K56" s="456">
        <f t="shared" si="30"/>
        <v>-0.4325938566552901</v>
      </c>
      <c r="L56" s="340">
        <v>7315</v>
      </c>
      <c r="M56" s="899" t="str">
        <f>TEXT('MYP Assumptions'!F60,"0.00%")&amp;", no rate change"</f>
        <v>6.20%, no rate change</v>
      </c>
      <c r="O56" s="456">
        <f t="shared" si="31"/>
        <v>2.1856459330143543</v>
      </c>
      <c r="P56" s="340">
        <f>ROUND(P51*LEFT(Q56,5),0)</f>
        <v>23303</v>
      </c>
      <c r="Q56" s="899" t="str">
        <f>TEXT('MYP Assumptions'!G60,"0.00%")&amp;", no rate change"</f>
        <v>6.20%, no rate change</v>
      </c>
      <c r="R56" s="455"/>
      <c r="S56" s="2238">
        <f t="shared" si="32"/>
        <v>1.9782860575891518E-2</v>
      </c>
      <c r="T56" s="340">
        <f>ROUND(T51*LEFT(U56,5),0)</f>
        <v>23764</v>
      </c>
      <c r="U56" s="953" t="str">
        <f>TEXT('MYP Assumptions'!H60,"0.00%")&amp;", no rate change"</f>
        <v>6.20%, no rate change</v>
      </c>
      <c r="V56" s="952"/>
      <c r="W56" s="2241">
        <f t="shared" si="33"/>
        <v>9.6364248443023062E-3</v>
      </c>
      <c r="X56" s="340">
        <f>ROUND(X51*LEFT(Y56,5),0)</f>
        <v>23993</v>
      </c>
      <c r="Y56" s="953" t="str">
        <f>TEXT('MYP Assumptions'!I60,"0.00%")&amp;", no rate change"</f>
        <v>6.20%, no rate change</v>
      </c>
      <c r="AA56" s="456">
        <f t="shared" si="34"/>
        <v>-1</v>
      </c>
      <c r="AB56" s="340">
        <f>ROUND(AB51*LEFT(AC56,5),0)</f>
        <v>0</v>
      </c>
      <c r="AC56" s="953" t="str">
        <f>TEXT('MYP Assumptions'!J60,"0.00%")&amp;", no rate change"</f>
        <v>0.00%, no rate change</v>
      </c>
    </row>
    <row r="57" spans="1:29" s="457" customFormat="1" x14ac:dyDescent="0.25">
      <c r="A57" s="897"/>
      <c r="B57" s="2385" t="s">
        <v>86</v>
      </c>
      <c r="C57" s="1656" t="s">
        <v>79</v>
      </c>
      <c r="D57" s="340">
        <f>34615.36+2770.15</f>
        <v>37385.51</v>
      </c>
      <c r="E57" s="899" t="str">
        <f>TEXT('MYP Assumptions'!$D$61,"0.00%")&amp;", Medicare rate"</f>
        <v>1.45%, Medicare rate</v>
      </c>
      <c r="F57" s="340"/>
      <c r="G57" s="456">
        <f t="shared" si="29"/>
        <v>0.18679670278672131</v>
      </c>
      <c r="H57" s="340">
        <f>39839+4530</f>
        <v>44369</v>
      </c>
      <c r="I57" s="899" t="str">
        <f>TEXT('MYP Assumptions'!E61,"0.00%")&amp;", no rate change"</f>
        <v>1.45%, no rate change</v>
      </c>
      <c r="J57" s="455"/>
      <c r="K57" s="456">
        <f t="shared" si="30"/>
        <v>2.8105208591584215E-2</v>
      </c>
      <c r="L57" s="340">
        <f>43904+1712</f>
        <v>45616</v>
      </c>
      <c r="M57" s="899" t="str">
        <f>TEXT('MYP Assumptions'!F61,"0.00%")&amp;", no rate change"</f>
        <v>1.45%, no rate change</v>
      </c>
      <c r="O57" s="456">
        <f t="shared" si="31"/>
        <v>-1.7537706068046299E-4</v>
      </c>
      <c r="P57" s="340">
        <f>ROUND((P51+P33)*LEFT(Q57,5),0)</f>
        <v>45608</v>
      </c>
      <c r="Q57" s="899" t="str">
        <f>TEXT('MYP Assumptions'!G61,"0.00%")&amp;", no rate change"</f>
        <v>1.45%, no rate change</v>
      </c>
      <c r="R57" s="455"/>
      <c r="S57" s="2238">
        <f t="shared" si="32"/>
        <v>1.7124188738817752E-2</v>
      </c>
      <c r="T57" s="340">
        <f>ROUND((T51+T33)*LEFT(U57,5),0)</f>
        <v>46389</v>
      </c>
      <c r="U57" s="953" t="str">
        <f>TEXT('MYP Assumptions'!H61,"0.00%")&amp;", no rate change"</f>
        <v>1.45%, no rate change</v>
      </c>
      <c r="V57" s="952"/>
      <c r="W57" s="2241">
        <f t="shared" si="33"/>
        <v>-2.716161158895428E-3</v>
      </c>
      <c r="X57" s="340">
        <f>ROUND((X51+X33)*LEFT(Y57,5),0)</f>
        <v>46263</v>
      </c>
      <c r="Y57" s="953" t="str">
        <f>TEXT('MYP Assumptions'!I61,"0.00%")&amp;", no rate change"</f>
        <v>1.45%, no rate change</v>
      </c>
      <c r="AA57" s="456">
        <f t="shared" si="34"/>
        <v>-1</v>
      </c>
      <c r="AB57" s="340">
        <f>ROUND((AB51+AB33)*LEFT(AC57,5),0)</f>
        <v>0</v>
      </c>
      <c r="AC57" s="953" t="str">
        <f>TEXT('MYP Assumptions'!J61,"0.00%")&amp;", no rate change"</f>
        <v>0.00%, no rate change</v>
      </c>
    </row>
    <row r="58" spans="1:29" s="457" customFormat="1" x14ac:dyDescent="0.25">
      <c r="A58" s="897"/>
      <c r="B58" s="2385" t="s">
        <v>87</v>
      </c>
      <c r="C58" s="1656" t="s">
        <v>80</v>
      </c>
      <c r="D58" s="340">
        <f>211409.63+22190.13</f>
        <v>233599.76</v>
      </c>
      <c r="E58" s="899"/>
      <c r="F58" s="340"/>
      <c r="G58" s="456">
        <f t="shared" si="29"/>
        <v>0.22690622627352008</v>
      </c>
      <c r="H58" s="340">
        <f>252277+34328</f>
        <v>286605</v>
      </c>
      <c r="I58" s="899"/>
      <c r="J58" s="455"/>
      <c r="K58" s="456">
        <f t="shared" si="30"/>
        <v>5.5431691701121756E-2</v>
      </c>
      <c r="L58" s="340">
        <f>268884+33608</f>
        <v>302492</v>
      </c>
      <c r="M58" s="899" t="str">
        <f>TEXT('MYP Assumptions'!$I$68,"0.00%")&amp;", projected increase"</f>
        <v>5.00%, projected increase</v>
      </c>
      <c r="O58" s="456">
        <f t="shared" si="31"/>
        <v>5.0001322349020799E-2</v>
      </c>
      <c r="P58" s="340">
        <f>ROUND((L58)*(LEFT(Q58,5)+1),0)</f>
        <v>317617</v>
      </c>
      <c r="Q58" s="899" t="str">
        <f>TEXT('MYP Assumptions'!$I$68,"0.00%")&amp;", projected increase"</f>
        <v>5.00%, projected increase</v>
      </c>
      <c r="R58" s="455"/>
      <c r="S58" s="2238">
        <f t="shared" si="32"/>
        <v>5.0000472266912663E-2</v>
      </c>
      <c r="T58" s="340">
        <f>ROUND((P58)*(LEFT(U58,5)+1),0)</f>
        <v>333498</v>
      </c>
      <c r="U58" s="953" t="str">
        <f>TEXT('MYP Assumptions'!$I$68,"0.00%")&amp;", projected increase"</f>
        <v>5.00%, projected increase</v>
      </c>
      <c r="V58" s="952"/>
      <c r="W58" s="2241">
        <f t="shared" si="33"/>
        <v>5.0000299851873174E-2</v>
      </c>
      <c r="X58" s="340">
        <f>ROUND((T58)*(LEFT(Y58,5)+1),0)</f>
        <v>350173</v>
      </c>
      <c r="Y58" s="953" t="str">
        <f>TEXT('MYP Assumptions'!$I$68,"0.00%")&amp;", projected increase"</f>
        <v>5.00%, projected increase</v>
      </c>
      <c r="AA58" s="456">
        <f t="shared" si="34"/>
        <v>5.0000999505958481E-2</v>
      </c>
      <c r="AB58" s="340">
        <f>ROUND((X58)*(LEFT(AC58,5)+1),0)</f>
        <v>367682</v>
      </c>
      <c r="AC58" s="953" t="str">
        <f>TEXT('MYP Assumptions'!$I$68,"0.00%")&amp;", projected increase"</f>
        <v>5.00%, projected increase</v>
      </c>
    </row>
    <row r="59" spans="1:29" s="457" customFormat="1" x14ac:dyDescent="0.25">
      <c r="A59" s="897"/>
      <c r="B59" s="2385" t="s">
        <v>88</v>
      </c>
      <c r="C59" s="1656" t="s">
        <v>81</v>
      </c>
      <c r="D59" s="340">
        <f>1195.32+95.51</f>
        <v>1290.83</v>
      </c>
      <c r="E59" s="899" t="str">
        <f>TEXT('MYP Assumptions'!$D$62,"0.00%")&amp;", SUI rate"</f>
        <v>0.05%, SUI rate</v>
      </c>
      <c r="F59" s="340"/>
      <c r="G59" s="456">
        <f t="shared" si="29"/>
        <v>0.20465127088772347</v>
      </c>
      <c r="H59" s="340">
        <f>1397+158</f>
        <v>1555</v>
      </c>
      <c r="I59" s="899" t="str">
        <f>TEXT('MYP Assumptions'!E62,"0.00%")&amp;", no rate change"</f>
        <v>0.05%, no rate change</v>
      </c>
      <c r="J59" s="455"/>
      <c r="K59" s="456">
        <f t="shared" si="30"/>
        <v>2.122186495176849E-2</v>
      </c>
      <c r="L59" s="340">
        <f>1530+58</f>
        <v>1588</v>
      </c>
      <c r="M59" s="899" t="str">
        <f>TEXT('MYP Assumptions'!F62,"0.00%")&amp;", no rate change"</f>
        <v>0.05%, no rate change</v>
      </c>
      <c r="O59" s="456">
        <f t="shared" si="31"/>
        <v>-9.4458438287153661E-3</v>
      </c>
      <c r="P59" s="340">
        <f>ROUND((P51+P33)*LEFT(Q59,5),0)</f>
        <v>1573</v>
      </c>
      <c r="Q59" s="899" t="str">
        <f>TEXT('MYP Assumptions'!G62,"0.00%")&amp;", no rate change"</f>
        <v>0.05%, no rate change</v>
      </c>
      <c r="R59" s="455"/>
      <c r="S59" s="2238">
        <f t="shared" si="32"/>
        <v>1.7164653528289893E-2</v>
      </c>
      <c r="T59" s="340">
        <f>ROUND((T51+T33)*LEFT(U59,5),0)</f>
        <v>1600</v>
      </c>
      <c r="U59" s="953" t="str">
        <f>TEXT('MYP Assumptions'!H62,"0.00%")&amp;", no rate change"</f>
        <v>0.05%, no rate change</v>
      </c>
      <c r="V59" s="952"/>
      <c r="W59" s="2241">
        <f t="shared" si="33"/>
        <v>-3.1250000000000002E-3</v>
      </c>
      <c r="X59" s="340">
        <f>ROUND((X51+X33)*LEFT(Y59,5),0)</f>
        <v>1595</v>
      </c>
      <c r="Y59" s="953" t="str">
        <f>TEXT('MYP Assumptions'!I62,"0.00%")&amp;", no rate change"</f>
        <v>0.05%, no rate change</v>
      </c>
      <c r="AA59" s="456">
        <f t="shared" si="34"/>
        <v>-1</v>
      </c>
      <c r="AB59" s="340">
        <f>ROUND((AB51+AB33)*LEFT(AC59,5),0)</f>
        <v>0</v>
      </c>
      <c r="AC59" s="953" t="str">
        <f>TEXT('MYP Assumptions'!J62,"0.00%")&amp;", no rate change"</f>
        <v>0.00%, no rate change</v>
      </c>
    </row>
    <row r="60" spans="1:29" s="457" customFormat="1" x14ac:dyDescent="0.25">
      <c r="A60" s="897"/>
      <c r="B60" s="2385" t="s">
        <v>89</v>
      </c>
      <c r="C60" s="1656" t="s">
        <v>82</v>
      </c>
      <c r="D60" s="340">
        <f>26281.85+2101.5</f>
        <v>28383.35</v>
      </c>
      <c r="E60" s="899" t="str">
        <f>TEXT('MYP Assumptions'!$D$63,"0.00%")&amp;", W/C rate"</f>
        <v>1.10%, W/C rate</v>
      </c>
      <c r="F60" s="340"/>
      <c r="G60" s="456">
        <f t="shared" si="29"/>
        <v>0.12231290527721364</v>
      </c>
      <c r="H60" s="340">
        <f>28787+3068</f>
        <v>31855</v>
      </c>
      <c r="I60" s="899" t="str">
        <f>TEXT('MYP Assumptions'!E63,"0.00%")&amp;", no rate change"</f>
        <v>0.80%, no rate change</v>
      </c>
      <c r="J60" s="455"/>
      <c r="K60" s="456">
        <f t="shared" si="30"/>
        <v>-0.20995134201852142</v>
      </c>
      <c r="L60" s="340">
        <f>24224+943</f>
        <v>25167</v>
      </c>
      <c r="M60" s="899" t="str">
        <f>TEXT('MYP Assumptions'!F63,"0.00%")&amp;", no rate change"</f>
        <v>0.80%, no rate change</v>
      </c>
      <c r="O60" s="456">
        <f t="shared" si="31"/>
        <v>-1.5893829220805023E-4</v>
      </c>
      <c r="P60" s="340">
        <f>ROUND((P51+P33)*LEFT(Q60,5),0)</f>
        <v>25163</v>
      </c>
      <c r="Q60" s="899" t="str">
        <f>TEXT('MYP Assumptions'!G63,"0.00%")&amp;", no rate change"</f>
        <v>0.80%, no rate change</v>
      </c>
      <c r="R60" s="455"/>
      <c r="S60" s="2238">
        <f t="shared" si="32"/>
        <v>1.7128323331876166E-2</v>
      </c>
      <c r="T60" s="340">
        <f>ROUND((T51+T33)*LEFT(U60,5),0)</f>
        <v>25594</v>
      </c>
      <c r="U60" s="953" t="str">
        <f>TEXT('MYP Assumptions'!H63,"0.00%")&amp;", no rate change"</f>
        <v>0.80%, no rate change</v>
      </c>
      <c r="V60" s="952"/>
      <c r="W60" s="2241">
        <f t="shared" si="33"/>
        <v>-2.7350160193795421E-3</v>
      </c>
      <c r="X60" s="340">
        <f>ROUND((X51+X33)*LEFT(Y60,5),0)</f>
        <v>25524</v>
      </c>
      <c r="Y60" s="953" t="str">
        <f>TEXT('MYP Assumptions'!I63,"0.00%")&amp;", no rate change"</f>
        <v>0.80%, no rate change</v>
      </c>
      <c r="AA60" s="456">
        <f t="shared" si="34"/>
        <v>-1</v>
      </c>
      <c r="AB60" s="340">
        <f>ROUND((AB51+AB33)*LEFT(AC60,5),0)</f>
        <v>0</v>
      </c>
      <c r="AC60" s="953" t="str">
        <f>TEXT('MYP Assumptions'!J63,"0.00%")&amp;", no rate change"</f>
        <v>0.00%, no rate change</v>
      </c>
    </row>
    <row r="61" spans="1:29" s="457" customFormat="1" x14ac:dyDescent="0.25">
      <c r="A61" s="897"/>
      <c r="B61" s="2441" t="s">
        <v>469</v>
      </c>
      <c r="C61" s="2386" t="s">
        <v>470</v>
      </c>
      <c r="D61" s="340"/>
      <c r="E61" s="2386"/>
      <c r="F61" s="340"/>
      <c r="G61" s="456" t="str">
        <f t="shared" ref="G61:G62" si="35">IF(D61=0,"0.00%",(H61-D61)/D61)</f>
        <v>0.00%</v>
      </c>
      <c r="H61" s="340">
        <v>0</v>
      </c>
      <c r="I61" s="899"/>
      <c r="J61" s="455"/>
      <c r="K61" s="456" t="str">
        <f t="shared" ref="K61" si="36">IF(H61=0,"0.00%",(L61-H61)/H61)</f>
        <v>0.00%</v>
      </c>
      <c r="L61" s="340">
        <v>0</v>
      </c>
      <c r="M61" s="899"/>
      <c r="O61" s="456" t="str">
        <f t="shared" ref="O61" si="37">IF(L61=0,"0.00%",(P61-L61)/L61)</f>
        <v>0.00%</v>
      </c>
      <c r="P61" s="340">
        <f>L61</f>
        <v>0</v>
      </c>
      <c r="Q61" s="899"/>
      <c r="R61" s="455"/>
      <c r="S61" s="456" t="str">
        <f t="shared" si="32"/>
        <v>0.00%</v>
      </c>
      <c r="T61" s="340">
        <f>P61</f>
        <v>0</v>
      </c>
      <c r="U61" s="899"/>
      <c r="V61" s="952"/>
      <c r="W61" s="2241" t="str">
        <f t="shared" ref="W61" si="38">IF(T61=0,"0.00%",(X61-T61)/T61)</f>
        <v>0.00%</v>
      </c>
      <c r="X61" s="340">
        <f>T61</f>
        <v>0</v>
      </c>
      <c r="Y61" s="953" t="s">
        <v>165</v>
      </c>
      <c r="AA61" s="456" t="str">
        <f t="shared" ref="AA61" si="39">IF(X61=0,"0.00%",(AB61-X61)/X61)</f>
        <v>0.00%</v>
      </c>
      <c r="AB61" s="340">
        <f>X61</f>
        <v>0</v>
      </c>
      <c r="AC61" s="953" t="s">
        <v>165</v>
      </c>
    </row>
    <row r="62" spans="1:29" s="457" customFormat="1" x14ac:dyDescent="0.25">
      <c r="A62" s="897"/>
      <c r="B62" s="2441" t="s">
        <v>91</v>
      </c>
      <c r="C62" s="2386" t="s">
        <v>93</v>
      </c>
      <c r="D62" s="340">
        <v>14555</v>
      </c>
      <c r="E62" s="2386"/>
      <c r="F62" s="340"/>
      <c r="G62" s="456">
        <f t="shared" si="35"/>
        <v>0.33981449673651665</v>
      </c>
      <c r="H62" s="340">
        <v>19501</v>
      </c>
      <c r="I62" s="899"/>
      <c r="J62" s="455"/>
      <c r="K62" s="456">
        <f t="shared" ref="K62" si="40">IF(H62=0,"0.00%",(L62-H62)/H62)</f>
        <v>-0.17055535613558279</v>
      </c>
      <c r="L62" s="340">
        <f>12375+1000+2800</f>
        <v>16175</v>
      </c>
      <c r="M62" s="899" t="s">
        <v>165</v>
      </c>
      <c r="O62" s="456">
        <f t="shared" ref="O62" si="41">IF(L62=0,"0.00%",(P62-L62)/L62)</f>
        <v>0</v>
      </c>
      <c r="P62" s="340">
        <f>L62</f>
        <v>16175</v>
      </c>
      <c r="Q62" s="899" t="s">
        <v>165</v>
      </c>
      <c r="R62" s="455"/>
      <c r="S62" s="456">
        <f t="shared" si="32"/>
        <v>0</v>
      </c>
      <c r="T62" s="340">
        <f>P62</f>
        <v>16175</v>
      </c>
      <c r="U62" s="899" t="s">
        <v>165</v>
      </c>
      <c r="V62" s="952"/>
      <c r="W62" s="2241"/>
      <c r="X62" s="340"/>
      <c r="Y62" s="953"/>
      <c r="AA62" s="456"/>
      <c r="AB62" s="340"/>
      <c r="AC62" s="953"/>
    </row>
    <row r="63" spans="1:29" s="457" customFormat="1" x14ac:dyDescent="0.25">
      <c r="A63" s="898"/>
      <c r="B63" s="2385"/>
      <c r="C63" s="1656"/>
      <c r="D63" s="458">
        <f>SUM(D54:D62)</f>
        <v>660490.94999999995</v>
      </c>
      <c r="E63" s="2386"/>
      <c r="F63" s="340"/>
      <c r="G63" s="456">
        <f t="shared" si="29"/>
        <v>0.26607813475718339</v>
      </c>
      <c r="H63" s="458">
        <f>SUM(H54:H62)</f>
        <v>836233.15</v>
      </c>
      <c r="I63" s="2316">
        <f>+H63-D63</f>
        <v>175742.20000000007</v>
      </c>
      <c r="J63" s="459"/>
      <c r="K63" s="456">
        <f t="shared" si="30"/>
        <v>9.1346354781558198E-2</v>
      </c>
      <c r="L63" s="458">
        <f>SUM(L54:L62)</f>
        <v>912620</v>
      </c>
      <c r="M63" s="2316">
        <f>+L63-H63</f>
        <v>76386.849999999977</v>
      </c>
      <c r="O63" s="456">
        <f t="shared" si="31"/>
        <v>0.10640792443733427</v>
      </c>
      <c r="P63" s="458">
        <f>SUM(P54:P62)</f>
        <v>1009730</v>
      </c>
      <c r="Q63" s="2316">
        <f>+P63-L63</f>
        <v>97110</v>
      </c>
      <c r="R63" s="455"/>
      <c r="S63" s="2238">
        <f t="shared" si="32"/>
        <v>6.4580630465569999E-2</v>
      </c>
      <c r="T63" s="458">
        <f>SUM(T54:T62)</f>
        <v>1074939</v>
      </c>
      <c r="U63" s="2344"/>
      <c r="V63" s="952"/>
      <c r="W63" s="2241">
        <f t="shared" si="33"/>
        <v>3.0541267923110058E-3</v>
      </c>
      <c r="X63" s="458">
        <f>SUM(X54:X62)</f>
        <v>1078222</v>
      </c>
      <c r="Y63" s="2344"/>
      <c r="AA63" s="456" t="e">
        <f t="shared" si="34"/>
        <v>#VALUE!</v>
      </c>
      <c r="AB63" s="458" t="e">
        <f>SUM(AB54:AB62)</f>
        <v>#VALUE!</v>
      </c>
      <c r="AC63" s="2344"/>
    </row>
    <row r="64" spans="1:29" s="457" customFormat="1" x14ac:dyDescent="0.25">
      <c r="A64" s="868"/>
      <c r="B64" s="2385"/>
      <c r="C64" s="1656"/>
      <c r="D64" s="340"/>
      <c r="E64" s="2386"/>
      <c r="F64" s="340"/>
      <c r="G64" s="2338"/>
      <c r="H64" s="340"/>
      <c r="I64" s="897"/>
      <c r="J64" s="455"/>
      <c r="K64" s="1668"/>
      <c r="L64" s="340"/>
      <c r="M64" s="901"/>
      <c r="O64" s="1668"/>
      <c r="P64" s="340"/>
      <c r="Q64" s="901"/>
      <c r="R64" s="455"/>
      <c r="S64" s="2341"/>
      <c r="T64" s="340"/>
      <c r="U64" s="2344"/>
      <c r="V64" s="952"/>
      <c r="W64" s="2343"/>
      <c r="X64" s="340"/>
      <c r="Y64" s="2344"/>
      <c r="AA64" s="1668"/>
      <c r="AB64" s="340"/>
      <c r="AC64" s="2344"/>
    </row>
    <row r="65" spans="1:29" s="457" customFormat="1" x14ac:dyDescent="0.25">
      <c r="A65" s="898"/>
      <c r="B65" s="2337" t="s">
        <v>26</v>
      </c>
      <c r="C65" s="1656"/>
      <c r="D65" s="458">
        <f>SUM(D63,D51,D33)</f>
        <v>3362947.63</v>
      </c>
      <c r="E65" s="2386"/>
      <c r="F65" s="340"/>
      <c r="G65" s="456">
        <f>IF(D65=0,"0.00%",(H65-D65)/D65)</f>
        <v>0.14344276898537373</v>
      </c>
      <c r="H65" s="458">
        <f>SUM(H63,H51,H33)</f>
        <v>3845338.15</v>
      </c>
      <c r="I65" s="2316">
        <f>+H65-D65</f>
        <v>482390.52</v>
      </c>
      <c r="J65" s="459"/>
      <c r="K65" s="456">
        <f>IF(H65=0,"0.00%",(L65-H65)/H65)</f>
        <v>3.9950673778845716E-2</v>
      </c>
      <c r="L65" s="458">
        <f>SUM(L63,L51,L33)</f>
        <v>3998962</v>
      </c>
      <c r="M65" s="2316">
        <f>+L65-H65</f>
        <v>153623.85000000009</v>
      </c>
      <c r="O65" s="456">
        <f>IF(L65=0,"0.00%",(P65-L65)/L65)</f>
        <v>3.9044882146917127E-2</v>
      </c>
      <c r="P65" s="458">
        <f>SUM(P63,P51,P33)</f>
        <v>4155101</v>
      </c>
      <c r="Q65" s="2316">
        <f>+P65-L65</f>
        <v>156139</v>
      </c>
      <c r="R65" s="455"/>
      <c r="S65" s="2238">
        <f>IF(P65=0,"0.00%",(T65-P65)/P65)</f>
        <v>2.8658268475303006E-2</v>
      </c>
      <c r="T65" s="458">
        <f>SUM(T63,T51,T33)</f>
        <v>4274179</v>
      </c>
      <c r="U65" s="2344"/>
      <c r="V65" s="952"/>
      <c r="W65" s="2241">
        <f>IF(T65=0,"0.00%",(X65-T65)/T65)</f>
        <v>-1.2718231969227306E-3</v>
      </c>
      <c r="X65" s="458">
        <f>SUM(X63,X51,X33)</f>
        <v>4268743</v>
      </c>
      <c r="Y65" s="2344"/>
      <c r="AA65" s="456" t="e">
        <f>IF(X65=0,"0.00%",(AB65-X65)/X65)</f>
        <v>#VALUE!</v>
      </c>
      <c r="AB65" s="458" t="e">
        <f>SUM(AB63,AB51,AB33)</f>
        <v>#VALUE!</v>
      </c>
      <c r="AC65" s="2344"/>
    </row>
    <row r="66" spans="1:29" s="457" customFormat="1" x14ac:dyDescent="0.25">
      <c r="A66" s="2339"/>
      <c r="B66" s="2345"/>
      <c r="C66" s="1656"/>
      <c r="D66" s="340"/>
      <c r="E66" s="2386"/>
      <c r="F66" s="340"/>
      <c r="G66" s="2338"/>
      <c r="H66" s="340"/>
      <c r="I66" s="897"/>
      <c r="J66" s="455"/>
      <c r="K66" s="1668"/>
      <c r="L66" s="340"/>
      <c r="M66" s="901"/>
      <c r="O66" s="1668"/>
      <c r="P66" s="340"/>
      <c r="Q66" s="901"/>
      <c r="R66" s="455"/>
      <c r="S66" s="2341"/>
      <c r="T66" s="340"/>
      <c r="U66" s="2344"/>
      <c r="V66" s="952"/>
      <c r="W66" s="2343"/>
      <c r="X66" s="340"/>
      <c r="Y66" s="2344"/>
      <c r="AA66" s="1668"/>
      <c r="AB66" s="340"/>
      <c r="AC66" s="2344"/>
    </row>
    <row r="67" spans="1:29" s="457" customFormat="1" x14ac:dyDescent="0.25">
      <c r="A67" s="897"/>
      <c r="B67" s="2345"/>
      <c r="C67" s="1656"/>
      <c r="D67" s="340"/>
      <c r="E67" s="2386"/>
      <c r="F67" s="340"/>
      <c r="G67" s="2338"/>
      <c r="H67" s="340"/>
      <c r="I67" s="897"/>
      <c r="J67" s="455"/>
      <c r="K67" s="1668"/>
      <c r="L67" s="340"/>
      <c r="M67" s="901"/>
      <c r="O67" s="1668"/>
      <c r="P67" s="340"/>
      <c r="Q67" s="901"/>
      <c r="R67" s="455"/>
      <c r="S67" s="2341"/>
      <c r="T67" s="340"/>
      <c r="U67" s="2344"/>
      <c r="V67" s="952"/>
      <c r="W67" s="2343"/>
      <c r="X67" s="340"/>
      <c r="Y67" s="2344"/>
      <c r="AA67" s="1668"/>
      <c r="AB67" s="340"/>
      <c r="AC67" s="2344"/>
    </row>
    <row r="68" spans="1:29" s="457" customFormat="1" x14ac:dyDescent="0.25">
      <c r="A68" s="2339"/>
      <c r="B68" s="2440" t="s">
        <v>25</v>
      </c>
      <c r="C68" s="900"/>
      <c r="D68" s="340"/>
      <c r="E68" s="2386"/>
      <c r="F68" s="340"/>
      <c r="G68" s="2338"/>
      <c r="H68" s="606"/>
      <c r="I68" s="897"/>
      <c r="J68" s="455"/>
      <c r="K68" s="1668"/>
      <c r="L68" s="606"/>
      <c r="M68" s="897"/>
      <c r="O68" s="1668"/>
      <c r="P68" s="606"/>
      <c r="Q68" s="897"/>
      <c r="R68" s="455"/>
      <c r="S68" s="2341"/>
      <c r="T68" s="340"/>
      <c r="U68" s="2344"/>
      <c r="V68" s="952"/>
      <c r="W68" s="2343"/>
      <c r="X68" s="340"/>
      <c r="Y68" s="2344"/>
      <c r="AA68" s="1668"/>
      <c r="AB68" s="340"/>
      <c r="AC68" s="2344"/>
    </row>
    <row r="69" spans="1:29" s="457" customFormat="1" x14ac:dyDescent="0.25">
      <c r="A69" s="897"/>
      <c r="B69" s="2385">
        <v>4310</v>
      </c>
      <c r="C69" s="1656" t="s">
        <v>863</v>
      </c>
      <c r="D69" s="340">
        <v>81824.91</v>
      </c>
      <c r="E69" s="2386"/>
      <c r="F69" s="340"/>
      <c r="G69" s="456">
        <f t="shared" ref="G69:G79" si="42">IF(D69=0,"0.00%",(H69-D69)/D69)</f>
        <v>-4.3848627514530759E-2</v>
      </c>
      <c r="H69" s="340">
        <v>78237</v>
      </c>
      <c r="I69" s="897" t="s">
        <v>951</v>
      </c>
      <c r="J69" s="455"/>
      <c r="K69" s="456">
        <f t="shared" ref="K69:K79" si="43">IF(H69=0,"0.00%",(L69-H69)/H69)</f>
        <v>0.20550378976699005</v>
      </c>
      <c r="L69" s="340">
        <v>94315</v>
      </c>
      <c r="M69" s="897"/>
      <c r="O69" s="456">
        <f t="shared" ref="O69:O79" si="44">IF(L69=0,"0.00%",(P69-L69)/L69)</f>
        <v>0</v>
      </c>
      <c r="P69" s="340">
        <f>+L69*(1-$P$68)</f>
        <v>94315</v>
      </c>
      <c r="Q69" s="897"/>
      <c r="R69" s="455"/>
      <c r="S69" s="2238">
        <f t="shared" ref="S69:S79" si="45">IF(P69=0,"0.00%",(T69-P69)/P69)</f>
        <v>3.229602926363781E-2</v>
      </c>
      <c r="T69" s="340">
        <f>ROUND(P69*(LEFT(U69,5)+1),0)</f>
        <v>97361</v>
      </c>
      <c r="U69" s="953" t="str">
        <f>TEXT('MYP Assumptions'!H78,"0.00%")&amp;", CPI"</f>
        <v>3.23%, CPI</v>
      </c>
      <c r="V69" s="952"/>
      <c r="W69" s="2241">
        <f t="shared" ref="W69:W79" si="46">IF(T69=0,"0.00%",(X69-T69)/T69)</f>
        <v>2.7300459116073171E-2</v>
      </c>
      <c r="X69" s="340">
        <f>ROUND(T69*(LEFT(Y69,5)+1),0)</f>
        <v>100019</v>
      </c>
      <c r="Y69" s="953" t="str">
        <f>TEXT('MYP Assumptions'!I78,"0.00%")&amp;", CPI"</f>
        <v>2.73%, CPI</v>
      </c>
      <c r="AA69" s="456">
        <f t="shared" ref="AA69:AA79" si="47">IF(X69=0,"0.00%",(AB69-X69)/X69)</f>
        <v>2.7304812085703716E-2</v>
      </c>
      <c r="AB69" s="340">
        <f>ROUND(X69*(LEFT(AC69,5)+1),0)</f>
        <v>102750</v>
      </c>
      <c r="AC69" s="953" t="str">
        <f>TEXT('MYP Assumptions'!J78,"0.00%")&amp;", CPI"</f>
        <v>2.73%, CPI</v>
      </c>
    </row>
    <row r="70" spans="1:29" s="457" customFormat="1" x14ac:dyDescent="0.25">
      <c r="A70" s="897"/>
      <c r="B70" s="2385">
        <v>4353</v>
      </c>
      <c r="C70" s="1656" t="s">
        <v>864</v>
      </c>
      <c r="D70" s="340">
        <v>2207.27</v>
      </c>
      <c r="E70" s="2386"/>
      <c r="F70" s="340"/>
      <c r="G70" s="456">
        <f t="shared" si="42"/>
        <v>0.56664114494375406</v>
      </c>
      <c r="H70" s="340">
        <v>3458</v>
      </c>
      <c r="I70" s="897"/>
      <c r="J70" s="455"/>
      <c r="K70" s="456">
        <f t="shared" si="43"/>
        <v>-0.23366107576633893</v>
      </c>
      <c r="L70" s="340">
        <v>2650</v>
      </c>
      <c r="M70" s="897"/>
      <c r="O70" s="456">
        <f t="shared" si="44"/>
        <v>0</v>
      </c>
      <c r="P70" s="340">
        <f>+L70</f>
        <v>2650</v>
      </c>
      <c r="Q70" s="897"/>
      <c r="R70" s="455"/>
      <c r="S70" s="2238">
        <f t="shared" si="45"/>
        <v>3.2452830188679248E-2</v>
      </c>
      <c r="T70" s="340">
        <f t="shared" ref="T70:T78" si="48">ROUND(P70*(LEFT(U70,5)+1),0)</f>
        <v>2736</v>
      </c>
      <c r="U70" s="953" t="str">
        <f>TEXT('MYP Assumptions'!H78,"0.00%")&amp;", CPI"</f>
        <v>3.23%, CPI</v>
      </c>
      <c r="V70" s="952"/>
      <c r="W70" s="2241">
        <f t="shared" si="46"/>
        <v>2.7412280701754384E-2</v>
      </c>
      <c r="X70" s="340">
        <f t="shared" ref="X70:X78" si="49">ROUND(T70*(LEFT(Y70,5)+1),0)</f>
        <v>2811</v>
      </c>
      <c r="Y70" s="953" t="str">
        <f>TEXT('MYP Assumptions'!I78,"0.00%")&amp;", CPI"</f>
        <v>2.73%, CPI</v>
      </c>
      <c r="AA70" s="456">
        <f t="shared" si="47"/>
        <v>2.7392387050871575E-2</v>
      </c>
      <c r="AB70" s="340">
        <f t="shared" ref="AB70:AB78" si="50">ROUND(X70*(LEFT(AC70,5)+1),0)</f>
        <v>2888</v>
      </c>
      <c r="AC70" s="953" t="str">
        <f>TEXT('MYP Assumptions'!J78,"0.00%")&amp;", CPI"</f>
        <v>2.73%, CPI</v>
      </c>
    </row>
    <row r="71" spans="1:29" s="457" customFormat="1" x14ac:dyDescent="0.25">
      <c r="A71" s="897"/>
      <c r="B71" s="2385">
        <v>4354</v>
      </c>
      <c r="C71" s="1656" t="s">
        <v>865</v>
      </c>
      <c r="D71" s="340">
        <v>31350.35</v>
      </c>
      <c r="E71" s="2386"/>
      <c r="F71" s="340"/>
      <c r="G71" s="456">
        <f t="shared" si="42"/>
        <v>0.32272845438727166</v>
      </c>
      <c r="H71" s="340">
        <v>41468</v>
      </c>
      <c r="I71" s="897"/>
      <c r="J71" s="455"/>
      <c r="K71" s="456">
        <f t="shared" si="43"/>
        <v>-3.5400790971351404E-2</v>
      </c>
      <c r="L71" s="340">
        <v>40000</v>
      </c>
      <c r="M71" s="897"/>
      <c r="O71" s="456">
        <f t="shared" si="44"/>
        <v>0</v>
      </c>
      <c r="P71" s="340">
        <f t="shared" ref="P71:P75" si="51">+L71*(1-$P$68)</f>
        <v>40000</v>
      </c>
      <c r="Q71" s="897"/>
      <c r="R71" s="455"/>
      <c r="S71" s="2238">
        <f t="shared" si="45"/>
        <v>3.2300000000000002E-2</v>
      </c>
      <c r="T71" s="340">
        <f t="shared" si="48"/>
        <v>41292</v>
      </c>
      <c r="U71" s="953" t="str">
        <f>TEXT('MYP Assumptions'!H78,"0.00%")&amp;", CPI"</f>
        <v>3.23%, CPI</v>
      </c>
      <c r="V71" s="952"/>
      <c r="W71" s="2241">
        <f t="shared" si="46"/>
        <v>2.7293422454712776E-2</v>
      </c>
      <c r="X71" s="340">
        <f t="shared" si="49"/>
        <v>42419</v>
      </c>
      <c r="Y71" s="953" t="str">
        <f>TEXT('MYP Assumptions'!I78,"0.00%")&amp;", CPI"</f>
        <v>2.73%, CPI</v>
      </c>
      <c r="AA71" s="456">
        <f t="shared" si="47"/>
        <v>2.7299087672976733E-2</v>
      </c>
      <c r="AB71" s="340">
        <f t="shared" si="50"/>
        <v>43577</v>
      </c>
      <c r="AC71" s="953" t="str">
        <f>TEXT('MYP Assumptions'!J78,"0.00%")&amp;", CPI"</f>
        <v>2.73%, CPI</v>
      </c>
    </row>
    <row r="72" spans="1:29" s="457" customFormat="1" x14ac:dyDescent="0.25">
      <c r="A72" s="897"/>
      <c r="B72" s="2385">
        <v>4400</v>
      </c>
      <c r="C72" s="1656" t="s">
        <v>866</v>
      </c>
      <c r="D72" s="340">
        <v>77276.97</v>
      </c>
      <c r="E72" s="2386"/>
      <c r="F72" s="340"/>
      <c r="G72" s="456">
        <f t="shared" si="42"/>
        <v>0.4645113544177521</v>
      </c>
      <c r="H72" s="340">
        <v>113173</v>
      </c>
      <c r="I72" s="897"/>
      <c r="J72" s="455"/>
      <c r="K72" s="456">
        <f t="shared" si="43"/>
        <v>3.2163148454136585E-2</v>
      </c>
      <c r="L72" s="340">
        <v>116813</v>
      </c>
      <c r="M72" s="1656"/>
      <c r="O72" s="456">
        <f t="shared" si="44"/>
        <v>0.28410365284685779</v>
      </c>
      <c r="P72" s="340">
        <v>150000</v>
      </c>
      <c r="Q72" s="897"/>
      <c r="R72" s="455"/>
      <c r="S72" s="2238">
        <f t="shared" si="45"/>
        <v>3.2300000000000002E-2</v>
      </c>
      <c r="T72" s="340">
        <f t="shared" si="48"/>
        <v>154845</v>
      </c>
      <c r="U72" s="953" t="str">
        <f>TEXT('MYP Assumptions'!H78,"0.00%")&amp;", CPI"</f>
        <v>3.23%, CPI</v>
      </c>
      <c r="V72" s="952"/>
      <c r="W72" s="2241">
        <f t="shared" si="46"/>
        <v>2.7298266007943429E-2</v>
      </c>
      <c r="X72" s="340">
        <f t="shared" si="49"/>
        <v>159072</v>
      </c>
      <c r="Y72" s="953" t="str">
        <f>TEXT('MYP Assumptions'!I78,"0.00%")&amp;", CPI"</f>
        <v>2.73%, CPI</v>
      </c>
      <c r="AA72" s="456">
        <f t="shared" si="47"/>
        <v>2.7302102192717764E-2</v>
      </c>
      <c r="AB72" s="340">
        <f t="shared" si="50"/>
        <v>163415</v>
      </c>
      <c r="AC72" s="953" t="str">
        <f>TEXT('MYP Assumptions'!J78,"0.00%")&amp;", CPI"</f>
        <v>2.73%, CPI</v>
      </c>
    </row>
    <row r="73" spans="1:29" s="457" customFormat="1" hidden="1" x14ac:dyDescent="0.25">
      <c r="A73" s="897"/>
      <c r="B73" s="2385">
        <v>4354</v>
      </c>
      <c r="C73" s="1656"/>
      <c r="D73" s="340"/>
      <c r="E73" s="2386"/>
      <c r="F73" s="340"/>
      <c r="G73" s="456" t="str">
        <f t="shared" si="42"/>
        <v>0.00%</v>
      </c>
      <c r="H73" s="340">
        <f t="shared" ref="H73:H78" si="52">+D73*(1-$H$68)</f>
        <v>0</v>
      </c>
      <c r="I73" s="897"/>
      <c r="J73" s="455"/>
      <c r="K73" s="456" t="str">
        <f t="shared" si="43"/>
        <v>0.00%</v>
      </c>
      <c r="L73" s="340">
        <f t="shared" ref="L73:L74" si="53">+H73*(1-$L$68)</f>
        <v>0</v>
      </c>
      <c r="M73" s="897"/>
      <c r="O73" s="456" t="str">
        <f t="shared" si="44"/>
        <v>0.00%</v>
      </c>
      <c r="P73" s="340">
        <f t="shared" si="51"/>
        <v>0</v>
      </c>
      <c r="Q73" s="897"/>
      <c r="R73" s="455"/>
      <c r="S73" s="2238" t="str">
        <f t="shared" si="45"/>
        <v>0.00%</v>
      </c>
      <c r="T73" s="340">
        <f t="shared" si="48"/>
        <v>0</v>
      </c>
      <c r="U73" s="953" t="str">
        <f>TEXT('MYP Assumptions'!H78,"0.00%")&amp;", CPI"</f>
        <v>3.23%, CPI</v>
      </c>
      <c r="V73" s="952"/>
      <c r="W73" s="2241" t="str">
        <f t="shared" si="46"/>
        <v>0.00%</v>
      </c>
      <c r="X73" s="340">
        <f t="shared" si="49"/>
        <v>0</v>
      </c>
      <c r="Y73" s="953" t="str">
        <f>TEXT('MYP Assumptions'!I78,"0.00%")&amp;", CPI"</f>
        <v>2.73%, CPI</v>
      </c>
      <c r="AA73" s="456" t="str">
        <f t="shared" si="47"/>
        <v>0.00%</v>
      </c>
      <c r="AB73" s="340">
        <f t="shared" si="50"/>
        <v>0</v>
      </c>
      <c r="AC73" s="953" t="str">
        <f>TEXT('MYP Assumptions'!J78,"0.00%")&amp;", CPI"</f>
        <v>2.73%, CPI</v>
      </c>
    </row>
    <row r="74" spans="1:29" s="457" customFormat="1" hidden="1" x14ac:dyDescent="0.25">
      <c r="A74" s="897"/>
      <c r="B74" s="2385">
        <v>4353</v>
      </c>
      <c r="C74" s="1656"/>
      <c r="D74" s="340"/>
      <c r="E74" s="2386"/>
      <c r="F74" s="340"/>
      <c r="G74" s="456" t="str">
        <f t="shared" si="42"/>
        <v>0.00%</v>
      </c>
      <c r="H74" s="340">
        <f t="shared" si="52"/>
        <v>0</v>
      </c>
      <c r="I74" s="897"/>
      <c r="J74" s="455"/>
      <c r="K74" s="456" t="str">
        <f t="shared" si="43"/>
        <v>0.00%</v>
      </c>
      <c r="L74" s="340">
        <f t="shared" si="53"/>
        <v>0</v>
      </c>
      <c r="M74" s="897"/>
      <c r="O74" s="456" t="str">
        <f t="shared" si="44"/>
        <v>0.00%</v>
      </c>
      <c r="P74" s="340">
        <f t="shared" si="51"/>
        <v>0</v>
      </c>
      <c r="Q74" s="897"/>
      <c r="R74" s="455"/>
      <c r="S74" s="2238" t="str">
        <f t="shared" si="45"/>
        <v>0.00%</v>
      </c>
      <c r="T74" s="340">
        <f t="shared" si="48"/>
        <v>0</v>
      </c>
      <c r="U74" s="953" t="str">
        <f>TEXT('MYP Assumptions'!H78,"0.00%")&amp;", CPI"</f>
        <v>3.23%, CPI</v>
      </c>
      <c r="V74" s="952"/>
      <c r="W74" s="2241" t="str">
        <f t="shared" si="46"/>
        <v>0.00%</v>
      </c>
      <c r="X74" s="340">
        <f t="shared" si="49"/>
        <v>0</v>
      </c>
      <c r="Y74" s="953" t="str">
        <f>TEXT('MYP Assumptions'!I78,"0.00%")&amp;", CPI"</f>
        <v>2.73%, CPI</v>
      </c>
      <c r="AA74" s="456" t="str">
        <f t="shared" si="47"/>
        <v>0.00%</v>
      </c>
      <c r="AB74" s="340">
        <f t="shared" si="50"/>
        <v>0</v>
      </c>
      <c r="AC74" s="953" t="str">
        <f>TEXT('MYP Assumptions'!J78,"0.00%")&amp;", CPI"</f>
        <v>2.73%, CPI</v>
      </c>
    </row>
    <row r="75" spans="1:29" s="457" customFormat="1" x14ac:dyDescent="0.25">
      <c r="A75" s="897"/>
      <c r="B75" s="2385" t="s">
        <v>407</v>
      </c>
      <c r="C75" s="1656"/>
      <c r="D75" s="340">
        <v>0</v>
      </c>
      <c r="E75" s="2386"/>
      <c r="F75" s="340"/>
      <c r="G75" s="456" t="str">
        <f t="shared" ref="G75" si="54">IF(D75=0,"0.00%",(H75-D75)/D75)</f>
        <v>0.00%</v>
      </c>
      <c r="H75" s="340">
        <v>0</v>
      </c>
      <c r="I75" s="897"/>
      <c r="J75" s="455"/>
      <c r="K75" s="456" t="str">
        <f t="shared" ref="K75:K78" si="55">IF(H75=0,"0.00%",(L75-H75)/H75)</f>
        <v>0.00%</v>
      </c>
      <c r="L75" s="340">
        <v>0</v>
      </c>
      <c r="M75" s="897"/>
      <c r="O75" s="456" t="str">
        <f t="shared" si="44"/>
        <v>0.00%</v>
      </c>
      <c r="P75" s="340">
        <f t="shared" si="51"/>
        <v>0</v>
      </c>
      <c r="Q75" s="897"/>
      <c r="R75" s="455"/>
      <c r="S75" s="2238"/>
      <c r="T75" s="340"/>
      <c r="U75" s="953"/>
      <c r="V75" s="952"/>
      <c r="W75" s="2241"/>
      <c r="X75" s="340"/>
      <c r="Y75" s="953"/>
      <c r="AA75" s="456"/>
      <c r="AB75" s="340"/>
      <c r="AC75" s="953"/>
    </row>
    <row r="76" spans="1:29" s="457" customFormat="1" x14ac:dyDescent="0.25">
      <c r="A76" s="897"/>
      <c r="B76" s="2385"/>
      <c r="C76" s="1656"/>
      <c r="D76" s="340"/>
      <c r="E76" s="2386"/>
      <c r="F76" s="340"/>
      <c r="G76" s="456"/>
      <c r="H76" s="340"/>
      <c r="I76" s="897"/>
      <c r="J76" s="455"/>
      <c r="K76" s="456"/>
      <c r="L76" s="340"/>
      <c r="M76" s="1656"/>
      <c r="O76" s="456"/>
      <c r="P76" s="340"/>
      <c r="Q76" s="897"/>
      <c r="R76" s="455"/>
      <c r="S76" s="2238"/>
      <c r="T76" s="340"/>
      <c r="U76" s="953"/>
      <c r="V76" s="952"/>
      <c r="W76" s="2241"/>
      <c r="X76" s="340"/>
      <c r="Y76" s="953"/>
      <c r="AA76" s="456"/>
      <c r="AB76" s="340"/>
      <c r="AC76" s="953"/>
    </row>
    <row r="77" spans="1:29" s="457" customFormat="1" hidden="1" x14ac:dyDescent="0.25">
      <c r="A77" s="897"/>
      <c r="B77" s="2385"/>
      <c r="C77" s="1656"/>
      <c r="D77" s="340"/>
      <c r="E77" s="2386"/>
      <c r="F77" s="340"/>
      <c r="G77" s="456" t="str">
        <f t="shared" ref="G77:G78" si="56">IF(D77=0,"0.00%",(H77-D77)/D77)</f>
        <v>0.00%</v>
      </c>
      <c r="H77" s="340">
        <f t="shared" si="52"/>
        <v>0</v>
      </c>
      <c r="I77" s="897" t="str">
        <f t="shared" ref="I77:I78" si="57">TEXT($H$68,"0.00%")&amp;"   reduction"</f>
        <v>0.00%   reduction</v>
      </c>
      <c r="J77" s="455"/>
      <c r="K77" s="456" t="str">
        <f t="shared" si="55"/>
        <v>0.00%</v>
      </c>
      <c r="L77" s="340">
        <f t="shared" ref="L77:L78" si="58">ROUND(H77*(LEFT(M77,5)+1),0)</f>
        <v>0</v>
      </c>
      <c r="M77" s="899" t="str">
        <f>TEXT('MYP Assumptions'!$F$78,"0.00%")&amp;", CPI"</f>
        <v>3.58%, CPI</v>
      </c>
      <c r="O77" s="456" t="str">
        <f t="shared" si="44"/>
        <v>0.00%</v>
      </c>
      <c r="P77" s="340">
        <f t="shared" ref="P77:P78" si="59">ROUND(L77*(LEFT(Q77,5)+1),0)</f>
        <v>0</v>
      </c>
      <c r="Q77" s="899" t="str">
        <f>TEXT('MYP Assumptions'!$G$78,"0.00%")&amp;", CPI"</f>
        <v>3.36%, CPI</v>
      </c>
      <c r="R77" s="455"/>
      <c r="S77" s="2238"/>
      <c r="T77" s="340"/>
      <c r="U77" s="953"/>
      <c r="V77" s="952"/>
      <c r="W77" s="2241"/>
      <c r="X77" s="340"/>
      <c r="Y77" s="953"/>
      <c r="AA77" s="456"/>
      <c r="AB77" s="340"/>
      <c r="AC77" s="953"/>
    </row>
    <row r="78" spans="1:29" s="457" customFormat="1" hidden="1" x14ac:dyDescent="0.25">
      <c r="A78" s="897"/>
      <c r="B78" s="2385"/>
      <c r="C78" s="1656"/>
      <c r="D78" s="340"/>
      <c r="E78" s="2386"/>
      <c r="F78" s="340"/>
      <c r="G78" s="456" t="str">
        <f t="shared" si="56"/>
        <v>0.00%</v>
      </c>
      <c r="H78" s="340">
        <f t="shared" si="52"/>
        <v>0</v>
      </c>
      <c r="I78" s="897" t="str">
        <f t="shared" si="57"/>
        <v>0.00%   reduction</v>
      </c>
      <c r="J78" s="455"/>
      <c r="K78" s="456" t="str">
        <f t="shared" si="55"/>
        <v>0.00%</v>
      </c>
      <c r="L78" s="340">
        <f t="shared" si="58"/>
        <v>0</v>
      </c>
      <c r="M78" s="899" t="str">
        <f>TEXT('MYP Assumptions'!$F$78,"0.00%")&amp;", CPI"</f>
        <v>3.58%, CPI</v>
      </c>
      <c r="O78" s="456" t="str">
        <f t="shared" si="44"/>
        <v>0.00%</v>
      </c>
      <c r="P78" s="340">
        <f t="shared" si="59"/>
        <v>0</v>
      </c>
      <c r="Q78" s="899" t="str">
        <f>TEXT('MYP Assumptions'!$G$78,"0.00%")&amp;", CPI"</f>
        <v>3.36%, CPI</v>
      </c>
      <c r="R78" s="455"/>
      <c r="S78" s="2238" t="str">
        <f t="shared" si="45"/>
        <v>0.00%</v>
      </c>
      <c r="T78" s="340">
        <f t="shared" si="48"/>
        <v>0</v>
      </c>
      <c r="U78" s="953" t="str">
        <f>TEXT('MYP Assumptions'!H78,"0.00%")&amp;", CPI"</f>
        <v>3.23%, CPI</v>
      </c>
      <c r="V78" s="952"/>
      <c r="W78" s="2241" t="str">
        <f t="shared" si="46"/>
        <v>0.00%</v>
      </c>
      <c r="X78" s="340">
        <f t="shared" si="49"/>
        <v>0</v>
      </c>
      <c r="Y78" s="953" t="str">
        <f>TEXT('MYP Assumptions'!I78,"0.00%")&amp;", CPI"</f>
        <v>2.73%, CPI</v>
      </c>
      <c r="AA78" s="456" t="str">
        <f t="shared" si="47"/>
        <v>0.00%</v>
      </c>
      <c r="AB78" s="340">
        <f t="shared" si="50"/>
        <v>0</v>
      </c>
      <c r="AC78" s="953" t="str">
        <f>TEXT('MYP Assumptions'!J78,"0.00%")&amp;", CPI"</f>
        <v>2.73%, CPI</v>
      </c>
    </row>
    <row r="79" spans="1:29" s="457" customFormat="1" x14ac:dyDescent="0.25">
      <c r="A79" s="898"/>
      <c r="B79" s="2215"/>
      <c r="C79" s="1656"/>
      <c r="D79" s="458">
        <f>SUM(D69:D78)</f>
        <v>192659.5</v>
      </c>
      <c r="E79" s="2386"/>
      <c r="F79" s="340"/>
      <c r="G79" s="456">
        <f t="shared" si="42"/>
        <v>0.22670306940483081</v>
      </c>
      <c r="H79" s="458">
        <f>SUM(H69:H78)</f>
        <v>236336</v>
      </c>
      <c r="I79" s="2316">
        <f>+H79-D79</f>
        <v>43676.5</v>
      </c>
      <c r="J79" s="459"/>
      <c r="K79" s="456">
        <f t="shared" si="43"/>
        <v>7.3801706045629953E-2</v>
      </c>
      <c r="L79" s="458">
        <f>SUM(L69:L78)</f>
        <v>253778</v>
      </c>
      <c r="M79" s="2316">
        <f>+L79-H79</f>
        <v>17442</v>
      </c>
      <c r="O79" s="456">
        <f t="shared" si="44"/>
        <v>0.13077177690737574</v>
      </c>
      <c r="P79" s="458">
        <f>SUM(P69:P78)</f>
        <v>286965</v>
      </c>
      <c r="Q79" s="2316">
        <f>+P79-L79</f>
        <v>33187</v>
      </c>
      <c r="R79" s="455"/>
      <c r="S79" s="2238">
        <f t="shared" si="45"/>
        <v>3.2300106284738554E-2</v>
      </c>
      <c r="T79" s="458">
        <f>SUM(T69:T78)</f>
        <v>296234</v>
      </c>
      <c r="U79" s="2316">
        <f>+T79-P79</f>
        <v>9269</v>
      </c>
      <c r="V79" s="952"/>
      <c r="W79" s="2241">
        <f t="shared" si="46"/>
        <v>2.7299364691426374E-2</v>
      </c>
      <c r="X79" s="458">
        <f>SUM(X69:X78)</f>
        <v>304321</v>
      </c>
      <c r="Y79" s="2344"/>
      <c r="AA79" s="456">
        <f t="shared" si="47"/>
        <v>2.730340660026748E-2</v>
      </c>
      <c r="AB79" s="458">
        <f>SUM(AB69:AB78)</f>
        <v>312630</v>
      </c>
      <c r="AC79" s="2344"/>
    </row>
    <row r="80" spans="1:29" s="457" customFormat="1" x14ac:dyDescent="0.25">
      <c r="A80" s="897"/>
      <c r="B80" s="2345"/>
      <c r="C80" s="1656"/>
      <c r="D80" s="340"/>
      <c r="E80" s="2386"/>
      <c r="F80" s="340"/>
      <c r="G80" s="2338"/>
      <c r="H80" s="340"/>
      <c r="I80" s="455">
        <f>450*900</f>
        <v>405000</v>
      </c>
      <c r="J80" s="455"/>
      <c r="K80" s="1668"/>
      <c r="L80" s="340"/>
      <c r="M80" s="901"/>
      <c r="O80" s="1668"/>
      <c r="P80" s="340"/>
      <c r="Q80" s="901"/>
      <c r="R80" s="455"/>
      <c r="S80" s="2341"/>
      <c r="T80" s="340"/>
      <c r="U80" s="2344"/>
      <c r="V80" s="952"/>
      <c r="W80" s="2343"/>
      <c r="X80" s="340"/>
      <c r="Y80" s="2344"/>
      <c r="AA80" s="1668"/>
      <c r="AB80" s="340"/>
      <c r="AC80" s="2344"/>
    </row>
    <row r="81" spans="1:29" s="461" customFormat="1" x14ac:dyDescent="0.25">
      <c r="A81" s="900"/>
      <c r="B81" s="2337" t="s">
        <v>16</v>
      </c>
      <c r="C81" s="900"/>
      <c r="D81" s="460"/>
      <c r="E81" s="868"/>
      <c r="F81" s="460"/>
      <c r="G81" s="2389"/>
      <c r="H81" s="606"/>
      <c r="I81" s="900"/>
      <c r="K81" s="1669"/>
      <c r="L81" s="460"/>
      <c r="M81" s="902"/>
      <c r="O81" s="1669"/>
      <c r="P81" s="460"/>
      <c r="Q81" s="902"/>
      <c r="R81" s="460"/>
      <c r="S81" s="1669"/>
      <c r="U81" s="2392"/>
      <c r="V81" s="2381"/>
      <c r="W81" s="2382"/>
      <c r="Y81" s="2392"/>
      <c r="AA81" s="1669"/>
      <c r="AC81" s="2392"/>
    </row>
    <row r="82" spans="1:29" s="457" customFormat="1" x14ac:dyDescent="0.25">
      <c r="A82" s="897"/>
      <c r="B82" s="2385">
        <v>5130</v>
      </c>
      <c r="C82" s="1656" t="s">
        <v>409</v>
      </c>
      <c r="D82" s="340">
        <v>101948.1</v>
      </c>
      <c r="E82" s="2386"/>
      <c r="F82" s="340"/>
      <c r="G82" s="456">
        <f t="shared" ref="G82:G87" si="60">IF(D82=0,"0.00%",(H82-D82)/D82)</f>
        <v>-8.7771130604690092E-2</v>
      </c>
      <c r="H82" s="340">
        <v>93000</v>
      </c>
      <c r="I82" s="899"/>
      <c r="J82" s="455"/>
      <c r="K82" s="456">
        <f t="shared" ref="K82:K95" si="61">IF(H82=0,"0.00%",(L82-H82)/H82)</f>
        <v>7.5268817204301078E-2</v>
      </c>
      <c r="L82" s="340">
        <v>100000</v>
      </c>
      <c r="M82" s="899"/>
      <c r="O82" s="456">
        <f t="shared" ref="O82:O95" si="62">IF(L82=0,"0.00%",(P82-L82)/L82)</f>
        <v>0</v>
      </c>
      <c r="P82" s="340">
        <f>+L82</f>
        <v>100000</v>
      </c>
      <c r="Q82" s="899"/>
      <c r="R82" s="455"/>
      <c r="S82" s="2238">
        <f t="shared" ref="S82:S95" si="63">IF(P82=0,"0.00%",(T82-P82)/P82)</f>
        <v>0</v>
      </c>
      <c r="T82" s="340">
        <f>+P82</f>
        <v>100000</v>
      </c>
      <c r="U82" s="899"/>
      <c r="V82" s="952"/>
      <c r="W82" s="2241">
        <f t="shared" ref="W82:W95" si="64">IF(T82=0,"0.00%",(X82-T82)/T82)</f>
        <v>2.7300000000000001E-2</v>
      </c>
      <c r="X82" s="340">
        <f>ROUND(T82*(LEFT(Y82,5)+1),0)</f>
        <v>102730</v>
      </c>
      <c r="Y82" s="953" t="str">
        <f>TEXT('MYP Assumptions'!I78,"0.00%")&amp;", CPI"</f>
        <v>2.73%, CPI</v>
      </c>
      <c r="AA82" s="456">
        <f t="shared" ref="AA82:AA95" si="65">IF(X82=0,"0.00%",(AB82-X82)/X82)</f>
        <v>2.7304584834030955E-2</v>
      </c>
      <c r="AB82" s="340">
        <f>ROUND(X82*(LEFT(AC82,5)+1),0)</f>
        <v>105535</v>
      </c>
      <c r="AC82" s="953" t="str">
        <f>TEXT('MYP Assumptions'!J78,"0.00%")&amp;", CPI"</f>
        <v>2.73%, CPI</v>
      </c>
    </row>
    <row r="83" spans="1:29" s="457" customFormat="1" x14ac:dyDescent="0.25">
      <c r="A83" s="897"/>
      <c r="B83" s="2385" t="s">
        <v>410</v>
      </c>
      <c r="C83" s="1656" t="s">
        <v>408</v>
      </c>
      <c r="D83" s="340">
        <v>17163.099999999999</v>
      </c>
      <c r="E83" s="2386"/>
      <c r="F83" s="340"/>
      <c r="G83" s="456">
        <f t="shared" si="60"/>
        <v>-0.25252431087624022</v>
      </c>
      <c r="H83" s="340">
        <f>108+12721</f>
        <v>12829</v>
      </c>
      <c r="I83" s="899"/>
      <c r="J83" s="455"/>
      <c r="K83" s="456">
        <f t="shared" si="61"/>
        <v>-0.26962350923688516</v>
      </c>
      <c r="L83" s="340">
        <f>75+9295</f>
        <v>9370</v>
      </c>
      <c r="M83" s="899"/>
      <c r="O83" s="456">
        <f t="shared" si="62"/>
        <v>0</v>
      </c>
      <c r="P83" s="340">
        <f t="shared" ref="P83:P92" si="66">+L83</f>
        <v>9370</v>
      </c>
      <c r="Q83" s="899"/>
      <c r="R83" s="455"/>
      <c r="S83" s="2238">
        <f t="shared" si="63"/>
        <v>0</v>
      </c>
      <c r="T83" s="340">
        <f t="shared" ref="T83:T92" si="67">+P83</f>
        <v>9370</v>
      </c>
      <c r="U83" s="899"/>
      <c r="V83" s="952"/>
      <c r="W83" s="2241">
        <f t="shared" si="64"/>
        <v>2.7321237993596585E-2</v>
      </c>
      <c r="X83" s="340">
        <f t="shared" ref="X83:X93" si="68">ROUND(T83*(LEFT(Y83,5)+1),0)</f>
        <v>9626</v>
      </c>
      <c r="Y83" s="953" t="str">
        <f>TEXT('MYP Assumptions'!I78,"0.00%")&amp;", CPI"</f>
        <v>2.73%, CPI</v>
      </c>
      <c r="AA83" s="456">
        <f t="shared" si="65"/>
        <v>2.7321836692291709E-2</v>
      </c>
      <c r="AB83" s="340">
        <f t="shared" ref="AB83:AB93" si="69">ROUND(X83*(LEFT(AC83,5)+1),0)</f>
        <v>9889</v>
      </c>
      <c r="AC83" s="953" t="str">
        <f>TEXT('MYP Assumptions'!J78,"0.00%")&amp;", CPI"</f>
        <v>2.73%, CPI</v>
      </c>
    </row>
    <row r="84" spans="1:29" s="457" customFormat="1" x14ac:dyDescent="0.25">
      <c r="A84" s="897"/>
      <c r="B84" s="2385">
        <v>5310</v>
      </c>
      <c r="C84" s="1656" t="s">
        <v>12</v>
      </c>
      <c r="D84" s="340">
        <v>551</v>
      </c>
      <c r="E84" s="2386"/>
      <c r="F84" s="340"/>
      <c r="G84" s="456">
        <f t="shared" si="60"/>
        <v>-0.45553539019963701</v>
      </c>
      <c r="H84" s="340">
        <v>300</v>
      </c>
      <c r="I84" s="899"/>
      <c r="J84" s="455"/>
      <c r="K84" s="456">
        <f t="shared" si="61"/>
        <v>0</v>
      </c>
      <c r="L84" s="340">
        <f>+H84</f>
        <v>300</v>
      </c>
      <c r="M84" s="899"/>
      <c r="O84" s="456">
        <f t="shared" si="62"/>
        <v>0</v>
      </c>
      <c r="P84" s="340">
        <f t="shared" si="66"/>
        <v>300</v>
      </c>
      <c r="Q84" s="899"/>
      <c r="R84" s="455"/>
      <c r="S84" s="2238">
        <f t="shared" si="63"/>
        <v>0</v>
      </c>
      <c r="T84" s="340">
        <f t="shared" si="67"/>
        <v>300</v>
      </c>
      <c r="U84" s="899"/>
      <c r="V84" s="952"/>
      <c r="W84" s="2241">
        <f t="shared" si="64"/>
        <v>2.6666666666666668E-2</v>
      </c>
      <c r="X84" s="340">
        <f t="shared" si="68"/>
        <v>308</v>
      </c>
      <c r="Y84" s="953" t="str">
        <f>TEXT('MYP Assumptions'!I78,"0.00%")&amp;", CPI"</f>
        <v>2.73%, CPI</v>
      </c>
      <c r="AA84" s="456">
        <f t="shared" si="65"/>
        <v>2.5974025974025976E-2</v>
      </c>
      <c r="AB84" s="340">
        <f t="shared" si="69"/>
        <v>316</v>
      </c>
      <c r="AC84" s="953" t="str">
        <f>TEXT('MYP Assumptions'!J78,"0.00%")&amp;", CPI"</f>
        <v>2.73%, CPI</v>
      </c>
    </row>
    <row r="85" spans="1:29" s="457" customFormat="1" x14ac:dyDescent="0.25">
      <c r="A85" s="897"/>
      <c r="B85" s="2385" t="s">
        <v>411</v>
      </c>
      <c r="C85" s="1656" t="s">
        <v>412</v>
      </c>
      <c r="D85" s="340">
        <v>1541.32</v>
      </c>
      <c r="E85" s="2386"/>
      <c r="F85" s="340"/>
      <c r="G85" s="456">
        <f t="shared" si="60"/>
        <v>2.63324942257286</v>
      </c>
      <c r="H85" s="340">
        <f>600+5000</f>
        <v>5600</v>
      </c>
      <c r="I85" s="899"/>
      <c r="J85" s="455"/>
      <c r="K85" s="456">
        <f t="shared" si="61"/>
        <v>0</v>
      </c>
      <c r="L85" s="340">
        <f>600+5000</f>
        <v>5600</v>
      </c>
      <c r="M85" s="899"/>
      <c r="O85" s="456">
        <f t="shared" si="62"/>
        <v>0</v>
      </c>
      <c r="P85" s="340">
        <f t="shared" si="66"/>
        <v>5600</v>
      </c>
      <c r="Q85" s="899"/>
      <c r="R85" s="455"/>
      <c r="S85" s="2238">
        <f t="shared" si="63"/>
        <v>0</v>
      </c>
      <c r="T85" s="340">
        <f t="shared" si="67"/>
        <v>5600</v>
      </c>
      <c r="U85" s="899"/>
      <c r="V85" s="952"/>
      <c r="W85" s="2241">
        <f t="shared" si="64"/>
        <v>2.7321428571428573E-2</v>
      </c>
      <c r="X85" s="340">
        <f t="shared" si="68"/>
        <v>5753</v>
      </c>
      <c r="Y85" s="953" t="str">
        <f>TEXT('MYP Assumptions'!I78,"0.00%")&amp;", CPI"</f>
        <v>2.73%, CPI</v>
      </c>
      <c r="AA85" s="456">
        <f t="shared" si="65"/>
        <v>2.7290109508082739E-2</v>
      </c>
      <c r="AB85" s="340">
        <f t="shared" si="69"/>
        <v>5910</v>
      </c>
      <c r="AC85" s="953" t="str">
        <f>TEXT('MYP Assumptions'!J78,"0.00%")&amp;", CPI"</f>
        <v>2.73%, CPI</v>
      </c>
    </row>
    <row r="86" spans="1:29" s="457" customFormat="1" x14ac:dyDescent="0.25">
      <c r="A86" s="897"/>
      <c r="B86" s="2385">
        <v>5725</v>
      </c>
      <c r="C86" s="1656" t="s">
        <v>413</v>
      </c>
      <c r="D86" s="340">
        <v>24622.67</v>
      </c>
      <c r="E86" s="2386"/>
      <c r="F86" s="340"/>
      <c r="G86" s="456">
        <f t="shared" si="60"/>
        <v>0.57919510759799819</v>
      </c>
      <c r="H86" s="340">
        <v>38884</v>
      </c>
      <c r="I86" s="899"/>
      <c r="J86" s="455"/>
      <c r="K86" s="456">
        <f t="shared" si="61"/>
        <v>5.6089908445633163E-2</v>
      </c>
      <c r="L86" s="340">
        <v>41065</v>
      </c>
      <c r="M86" s="899"/>
      <c r="O86" s="456">
        <f t="shared" si="62"/>
        <v>0</v>
      </c>
      <c r="P86" s="340">
        <f t="shared" si="66"/>
        <v>41065</v>
      </c>
      <c r="Q86" s="899"/>
      <c r="R86" s="455"/>
      <c r="S86" s="2238">
        <f t="shared" si="63"/>
        <v>0</v>
      </c>
      <c r="T86" s="340">
        <f t="shared" si="67"/>
        <v>41065</v>
      </c>
      <c r="U86" s="899"/>
      <c r="V86" s="952"/>
      <c r="W86" s="2241">
        <f t="shared" si="64"/>
        <v>2.7298185802995253E-2</v>
      </c>
      <c r="X86" s="340">
        <f t="shared" si="68"/>
        <v>42186</v>
      </c>
      <c r="Y86" s="953" t="str">
        <f>TEXT('MYP Assumptions'!I78,"0.00%")&amp;", CPI"</f>
        <v>2.73%, CPI</v>
      </c>
      <c r="AA86" s="456">
        <f t="shared" si="65"/>
        <v>2.7307637604892618E-2</v>
      </c>
      <c r="AB86" s="340">
        <f t="shared" si="69"/>
        <v>43338</v>
      </c>
      <c r="AC86" s="953" t="str">
        <f>TEXT('MYP Assumptions'!J78,"0.00%")&amp;", CPI"</f>
        <v>2.73%, CPI</v>
      </c>
    </row>
    <row r="87" spans="1:29" s="457" customFormat="1" x14ac:dyDescent="0.25">
      <c r="A87" s="897"/>
      <c r="B87" s="2385">
        <v>5752</v>
      </c>
      <c r="C87" s="1656" t="s">
        <v>414</v>
      </c>
      <c r="D87" s="340">
        <v>1567.1</v>
      </c>
      <c r="E87" s="2386"/>
      <c r="F87" s="340"/>
      <c r="G87" s="456">
        <f t="shared" si="60"/>
        <v>1.3508391296024505</v>
      </c>
      <c r="H87" s="340">
        <v>3684</v>
      </c>
      <c r="I87" s="899"/>
      <c r="J87" s="455"/>
      <c r="K87" s="456">
        <f t="shared" si="61"/>
        <v>0</v>
      </c>
      <c r="L87" s="340">
        <v>3684</v>
      </c>
      <c r="M87" s="899"/>
      <c r="O87" s="456">
        <f t="shared" si="62"/>
        <v>0</v>
      </c>
      <c r="P87" s="340">
        <f t="shared" si="66"/>
        <v>3684</v>
      </c>
      <c r="Q87" s="899"/>
      <c r="R87" s="455"/>
      <c r="S87" s="2238">
        <f t="shared" si="63"/>
        <v>0</v>
      </c>
      <c r="T87" s="340">
        <f t="shared" si="67"/>
        <v>3684</v>
      </c>
      <c r="U87" s="899"/>
      <c r="V87" s="952"/>
      <c r="W87" s="2241">
        <f t="shared" si="64"/>
        <v>2.7415852334419108E-2</v>
      </c>
      <c r="X87" s="340">
        <f t="shared" si="68"/>
        <v>3785</v>
      </c>
      <c r="Y87" s="953" t="str">
        <f>TEXT('MYP Assumptions'!I78,"0.00%")&amp;", CPI"</f>
        <v>2.73%, CPI</v>
      </c>
      <c r="AA87" s="456">
        <f t="shared" si="65"/>
        <v>2.7212681638044914E-2</v>
      </c>
      <c r="AB87" s="340">
        <f t="shared" si="69"/>
        <v>3888</v>
      </c>
      <c r="AC87" s="953" t="str">
        <f>TEXT('MYP Assumptions'!J78,"0.00%")&amp;", CPI"</f>
        <v>2.73%, CPI</v>
      </c>
    </row>
    <row r="88" spans="1:29" s="457" customFormat="1" x14ac:dyDescent="0.25">
      <c r="A88" s="897"/>
      <c r="B88" s="2385">
        <v>5807</v>
      </c>
      <c r="C88" s="1656" t="s">
        <v>8</v>
      </c>
      <c r="D88" s="340">
        <v>18360</v>
      </c>
      <c r="E88" s="2386"/>
      <c r="F88" s="340"/>
      <c r="G88" s="456">
        <f>IF(D88=0,"0.00%",(H88-D88)/D88)</f>
        <v>-1</v>
      </c>
      <c r="H88" s="340">
        <v>0</v>
      </c>
      <c r="I88" s="899"/>
      <c r="J88" s="455"/>
      <c r="K88" s="456" t="str">
        <f t="shared" si="61"/>
        <v>0.00%</v>
      </c>
      <c r="L88" s="340">
        <f>+H88</f>
        <v>0</v>
      </c>
      <c r="M88" s="899"/>
      <c r="O88" s="456" t="str">
        <f t="shared" si="62"/>
        <v>0.00%</v>
      </c>
      <c r="P88" s="340">
        <f t="shared" si="66"/>
        <v>0</v>
      </c>
      <c r="Q88" s="899"/>
      <c r="R88" s="455"/>
      <c r="S88" s="2238" t="str">
        <f t="shared" si="63"/>
        <v>0.00%</v>
      </c>
      <c r="T88" s="340">
        <f t="shared" si="67"/>
        <v>0</v>
      </c>
      <c r="U88" s="899"/>
      <c r="V88" s="952"/>
      <c r="W88" s="2241" t="str">
        <f t="shared" si="64"/>
        <v>0.00%</v>
      </c>
      <c r="X88" s="340">
        <f t="shared" si="68"/>
        <v>0</v>
      </c>
      <c r="Y88" s="953" t="str">
        <f>TEXT('MYP Assumptions'!I78,"0.00%")&amp;", CPI"</f>
        <v>2.73%, CPI</v>
      </c>
      <c r="AA88" s="456" t="str">
        <f t="shared" si="65"/>
        <v>0.00%</v>
      </c>
      <c r="AB88" s="340">
        <f t="shared" si="69"/>
        <v>0</v>
      </c>
      <c r="AC88" s="953" t="str">
        <f>TEXT('MYP Assumptions'!J78,"0.00%")&amp;", CPI"</f>
        <v>2.73%, CPI</v>
      </c>
    </row>
    <row r="89" spans="1:29" s="457" customFormat="1" x14ac:dyDescent="0.25">
      <c r="A89" s="897"/>
      <c r="B89" s="2385">
        <v>5809</v>
      </c>
      <c r="C89" s="1656" t="s">
        <v>843</v>
      </c>
      <c r="D89" s="340">
        <v>20560</v>
      </c>
      <c r="E89" s="2386"/>
      <c r="F89" s="340"/>
      <c r="G89" s="456">
        <f t="shared" ref="G89:G95" si="70">IF(D89=0,"0.00%",(H89-D89)/D89)</f>
        <v>0.11556420233463036</v>
      </c>
      <c r="H89" s="340">
        <v>22936</v>
      </c>
      <c r="I89" s="899"/>
      <c r="J89" s="455"/>
      <c r="K89" s="456">
        <f t="shared" si="61"/>
        <v>-3.6362050924311128E-2</v>
      </c>
      <c r="L89" s="340">
        <v>22102</v>
      </c>
      <c r="M89" s="899"/>
      <c r="O89" s="456">
        <f t="shared" si="62"/>
        <v>0</v>
      </c>
      <c r="P89" s="340">
        <f t="shared" si="66"/>
        <v>22102</v>
      </c>
      <c r="Q89" s="899"/>
      <c r="R89" s="455"/>
      <c r="S89" s="2238">
        <f t="shared" si="63"/>
        <v>0</v>
      </c>
      <c r="T89" s="340">
        <f t="shared" si="67"/>
        <v>22102</v>
      </c>
      <c r="U89" s="899"/>
      <c r="V89" s="952"/>
      <c r="W89" s="2241">
        <f t="shared" si="64"/>
        <v>2.728259885983169E-2</v>
      </c>
      <c r="X89" s="340">
        <f t="shared" si="68"/>
        <v>22705</v>
      </c>
      <c r="Y89" s="953" t="str">
        <f>TEXT('MYP Assumptions'!I78,"0.00%")&amp;", CPI"</f>
        <v>2.73%, CPI</v>
      </c>
      <c r="AA89" s="456">
        <f t="shared" si="65"/>
        <v>2.7306760625412905E-2</v>
      </c>
      <c r="AB89" s="340">
        <f t="shared" si="69"/>
        <v>23325</v>
      </c>
      <c r="AC89" s="953" t="str">
        <f>TEXT('MYP Assumptions'!J78,"0.00%")&amp;", CPI"</f>
        <v>2.73%, CPI</v>
      </c>
    </row>
    <row r="90" spans="1:29" s="457" customFormat="1" x14ac:dyDescent="0.25">
      <c r="A90" s="897"/>
      <c r="B90" s="2385">
        <v>5810</v>
      </c>
      <c r="C90" s="1656" t="s">
        <v>415</v>
      </c>
      <c r="D90" s="340">
        <v>0</v>
      </c>
      <c r="E90" s="2386"/>
      <c r="F90" s="340"/>
      <c r="G90" s="456" t="str">
        <f t="shared" si="70"/>
        <v>0.00%</v>
      </c>
      <c r="H90" s="340">
        <v>0</v>
      </c>
      <c r="I90" s="899"/>
      <c r="J90" s="455"/>
      <c r="K90" s="456" t="str">
        <f t="shared" si="61"/>
        <v>0.00%</v>
      </c>
      <c r="L90" s="340">
        <v>0</v>
      </c>
      <c r="M90" s="899"/>
      <c r="O90" s="456" t="str">
        <f t="shared" si="62"/>
        <v>0.00%</v>
      </c>
      <c r="P90" s="340">
        <f t="shared" si="66"/>
        <v>0</v>
      </c>
      <c r="Q90" s="899"/>
      <c r="R90" s="455"/>
      <c r="S90" s="2238" t="str">
        <f t="shared" si="63"/>
        <v>0.00%</v>
      </c>
      <c r="T90" s="340">
        <f t="shared" si="67"/>
        <v>0</v>
      </c>
      <c r="U90" s="899"/>
      <c r="V90" s="952"/>
      <c r="W90" s="2241" t="str">
        <f t="shared" si="64"/>
        <v>0.00%</v>
      </c>
      <c r="X90" s="340">
        <f t="shared" si="68"/>
        <v>0</v>
      </c>
      <c r="Y90" s="953" t="str">
        <f>TEXT('MYP Assumptions'!I78,"0.00%")&amp;", CPI"</f>
        <v>2.73%, CPI</v>
      </c>
      <c r="AA90" s="456" t="str">
        <f t="shared" si="65"/>
        <v>0.00%</v>
      </c>
      <c r="AB90" s="340">
        <f t="shared" si="69"/>
        <v>0</v>
      </c>
      <c r="AC90" s="953" t="str">
        <f>TEXT('MYP Assumptions'!J78,"0.00%")&amp;", CPI"</f>
        <v>2.73%, CPI</v>
      </c>
    </row>
    <row r="91" spans="1:29" s="457" customFormat="1" x14ac:dyDescent="0.25">
      <c r="A91" s="897"/>
      <c r="B91" s="2385">
        <v>5813</v>
      </c>
      <c r="C91" s="1656" t="s">
        <v>6</v>
      </c>
      <c r="D91" s="340">
        <v>39702.93</v>
      </c>
      <c r="E91" s="2386"/>
      <c r="F91" s="340"/>
      <c r="G91" s="456">
        <f t="shared" si="70"/>
        <v>-0.88809390138208943</v>
      </c>
      <c r="H91" s="340">
        <v>4443</v>
      </c>
      <c r="I91" s="899"/>
      <c r="J91" s="455"/>
      <c r="K91" s="456">
        <f t="shared" si="61"/>
        <v>2.1832095431015081E-2</v>
      </c>
      <c r="L91" s="340">
        <v>4540</v>
      </c>
      <c r="M91" s="899"/>
      <c r="O91" s="456">
        <f t="shared" si="62"/>
        <v>0</v>
      </c>
      <c r="P91" s="340">
        <f t="shared" si="66"/>
        <v>4540</v>
      </c>
      <c r="Q91" s="899"/>
      <c r="R91" s="455"/>
      <c r="S91" s="2238">
        <f t="shared" si="63"/>
        <v>0</v>
      </c>
      <c r="T91" s="340">
        <f t="shared" si="67"/>
        <v>4540</v>
      </c>
      <c r="U91" s="899"/>
      <c r="V91" s="952"/>
      <c r="W91" s="2241">
        <f t="shared" si="64"/>
        <v>2.7312775330396475E-2</v>
      </c>
      <c r="X91" s="340">
        <f t="shared" si="68"/>
        <v>4664</v>
      </c>
      <c r="Y91" s="953" t="str">
        <f>TEXT('MYP Assumptions'!I78,"0.00%")&amp;", CPI"</f>
        <v>2.73%, CPI</v>
      </c>
      <c r="AA91" s="456">
        <f t="shared" si="65"/>
        <v>2.722984562607204E-2</v>
      </c>
      <c r="AB91" s="340">
        <f t="shared" si="69"/>
        <v>4791</v>
      </c>
      <c r="AC91" s="953" t="str">
        <f>TEXT('MYP Assumptions'!J78,"0.00%")&amp;", CPI"</f>
        <v>2.73%, CPI</v>
      </c>
    </row>
    <row r="92" spans="1:29" s="457" customFormat="1" x14ac:dyDescent="0.25">
      <c r="A92" s="897"/>
      <c r="B92" s="2385">
        <v>5814</v>
      </c>
      <c r="C92" s="1656" t="s">
        <v>4</v>
      </c>
      <c r="D92" s="340">
        <v>19850.23</v>
      </c>
      <c r="E92" s="2386"/>
      <c r="F92" s="340"/>
      <c r="G92" s="456">
        <f t="shared" si="70"/>
        <v>3.7563680622340399</v>
      </c>
      <c r="H92" s="340">
        <v>94415</v>
      </c>
      <c r="I92" s="899"/>
      <c r="J92" s="455"/>
      <c r="K92" s="456">
        <f t="shared" si="61"/>
        <v>6.3443308796271775E-2</v>
      </c>
      <c r="L92" s="340">
        <v>100405</v>
      </c>
      <c r="M92" s="899"/>
      <c r="O92" s="456">
        <f t="shared" si="62"/>
        <v>0</v>
      </c>
      <c r="P92" s="340">
        <f t="shared" si="66"/>
        <v>100405</v>
      </c>
      <c r="Q92" s="899"/>
      <c r="R92" s="455"/>
      <c r="S92" s="2238">
        <f t="shared" si="63"/>
        <v>0</v>
      </c>
      <c r="T92" s="340">
        <f t="shared" si="67"/>
        <v>100405</v>
      </c>
      <c r="U92" s="899"/>
      <c r="V92" s="952"/>
      <c r="W92" s="2241">
        <f t="shared" si="64"/>
        <v>2.729943727901997E-2</v>
      </c>
      <c r="X92" s="340">
        <f t="shared" si="68"/>
        <v>103146</v>
      </c>
      <c r="Y92" s="953" t="str">
        <f>TEXT('MYP Assumptions'!I78,"0.00%")&amp;", CPI"</f>
        <v>2.73%, CPI</v>
      </c>
      <c r="AA92" s="456">
        <f t="shared" si="65"/>
        <v>2.7301107168479631E-2</v>
      </c>
      <c r="AB92" s="340">
        <f t="shared" si="69"/>
        <v>105962</v>
      </c>
      <c r="AC92" s="953" t="str">
        <f>TEXT('MYP Assumptions'!J78,"0.00%")&amp;", CPI"</f>
        <v>2.73%, CPI</v>
      </c>
    </row>
    <row r="93" spans="1:29" s="457" customFormat="1" hidden="1" x14ac:dyDescent="0.25">
      <c r="A93" s="897"/>
      <c r="B93" s="2385"/>
      <c r="C93" s="1656"/>
      <c r="D93" s="340">
        <v>0</v>
      </c>
      <c r="E93" s="2386"/>
      <c r="F93" s="340"/>
      <c r="G93" s="456" t="str">
        <f t="shared" si="70"/>
        <v>0.00%</v>
      </c>
      <c r="H93" s="340"/>
      <c r="I93" s="899"/>
      <c r="J93" s="455"/>
      <c r="K93" s="456" t="str">
        <f t="shared" si="61"/>
        <v>0.00%</v>
      </c>
      <c r="L93" s="340">
        <f>ROUND(H93*(LEFT(M93,5)+1),0)</f>
        <v>0</v>
      </c>
      <c r="M93" s="899" t="str">
        <f>TEXT('MYP Assumptions'!F78,"0.00%")&amp;", CPI"</f>
        <v>3.58%, CPI</v>
      </c>
      <c r="O93" s="456" t="str">
        <f t="shared" si="62"/>
        <v>0.00%</v>
      </c>
      <c r="P93" s="340">
        <f t="shared" ref="P93" si="71">ROUND(L93*(LEFT(Q93,5)+1),0)</f>
        <v>0</v>
      </c>
      <c r="Q93" s="899" t="str">
        <f>TEXT('MYP Assumptions'!J78,"0.00%")&amp;", CPI"</f>
        <v>2.73%, CPI</v>
      </c>
      <c r="R93" s="455"/>
      <c r="S93" s="2238" t="str">
        <f t="shared" si="63"/>
        <v>0.00%</v>
      </c>
      <c r="T93" s="340">
        <f t="shared" ref="T93" si="72">ROUND(P93*(LEFT(U93,5)+1),0)</f>
        <v>0</v>
      </c>
      <c r="U93" s="899" t="str">
        <f>TEXT('MYP Assumptions'!N78,"0.00%")&amp;", CPI"</f>
        <v>0.00%, CPI</v>
      </c>
      <c r="V93" s="952"/>
      <c r="W93" s="2241" t="str">
        <f t="shared" si="64"/>
        <v>0.00%</v>
      </c>
      <c r="X93" s="340">
        <f t="shared" si="68"/>
        <v>0</v>
      </c>
      <c r="Y93" s="953" t="str">
        <f>TEXT('MYP Assumptions'!I78,"0.00%")&amp;", CPI"</f>
        <v>2.73%, CPI</v>
      </c>
      <c r="AA93" s="456" t="str">
        <f t="shared" si="65"/>
        <v>0.00%</v>
      </c>
      <c r="AB93" s="340">
        <f t="shared" si="69"/>
        <v>0</v>
      </c>
      <c r="AC93" s="953" t="str">
        <f>TEXT('MYP Assumptions'!J78,"0.00%")&amp;", CPI"</f>
        <v>2.73%, CPI</v>
      </c>
    </row>
    <row r="94" spans="1:29" s="457" customFormat="1" x14ac:dyDescent="0.25">
      <c r="A94" s="897"/>
      <c r="B94" s="2385">
        <v>5817</v>
      </c>
      <c r="C94" s="1656" t="s">
        <v>259</v>
      </c>
      <c r="D94" s="340">
        <v>616.97</v>
      </c>
      <c r="E94" s="2386"/>
      <c r="F94" s="340"/>
      <c r="G94" s="456">
        <f t="shared" si="70"/>
        <v>0.21561826344879001</v>
      </c>
      <c r="H94" s="340">
        <v>750</v>
      </c>
      <c r="I94" s="899"/>
      <c r="J94" s="455"/>
      <c r="K94" s="456">
        <f t="shared" si="61"/>
        <v>0</v>
      </c>
      <c r="L94" s="340">
        <v>750</v>
      </c>
      <c r="M94" s="899"/>
      <c r="O94" s="456">
        <f t="shared" ref="O94" si="73">IF(L94=0,"0.00%",(P94-L94)/L94)</f>
        <v>0</v>
      </c>
      <c r="P94" s="340">
        <f t="shared" ref="P94" si="74">+L94</f>
        <v>750</v>
      </c>
      <c r="Q94" s="899"/>
      <c r="R94" s="455"/>
      <c r="S94" s="2238"/>
      <c r="T94" s="340">
        <f t="shared" ref="T94" si="75">+P94</f>
        <v>750</v>
      </c>
      <c r="U94" s="899"/>
      <c r="V94" s="952"/>
      <c r="W94" s="2241"/>
      <c r="X94" s="340"/>
      <c r="Y94" s="953"/>
      <c r="AA94" s="456"/>
      <c r="AB94" s="340"/>
      <c r="AC94" s="953"/>
    </row>
    <row r="95" spans="1:29" s="457" customFormat="1" x14ac:dyDescent="0.25">
      <c r="A95" s="898"/>
      <c r="B95" s="2345"/>
      <c r="C95" s="1656"/>
      <c r="D95" s="458">
        <f>SUM(D82:D94)</f>
        <v>246483.42</v>
      </c>
      <c r="E95" s="2386"/>
      <c r="F95" s="340"/>
      <c r="G95" s="456">
        <f t="shared" si="70"/>
        <v>0.12316276689117664</v>
      </c>
      <c r="H95" s="458">
        <f>SUM(H82:H94)</f>
        <v>276841</v>
      </c>
      <c r="I95" s="2316">
        <f>+H95-D95</f>
        <v>30357.579999999987</v>
      </c>
      <c r="J95" s="459"/>
      <c r="K95" s="456">
        <f t="shared" si="61"/>
        <v>3.964369439497762E-2</v>
      </c>
      <c r="L95" s="458">
        <f>SUM(L82:L94)</f>
        <v>287816</v>
      </c>
      <c r="M95" s="2316">
        <f>+L95-H95</f>
        <v>10975</v>
      </c>
      <c r="O95" s="456">
        <f t="shared" si="62"/>
        <v>0</v>
      </c>
      <c r="P95" s="458">
        <f>SUM(P82:P94)</f>
        <v>287816</v>
      </c>
      <c r="Q95" s="2316">
        <f>+P95-L95</f>
        <v>0</v>
      </c>
      <c r="R95" s="455"/>
      <c r="S95" s="2238">
        <f t="shared" si="63"/>
        <v>0</v>
      </c>
      <c r="T95" s="458">
        <f>SUM(T82:T94)</f>
        <v>287816</v>
      </c>
      <c r="U95" s="2316">
        <f>+T95-P95</f>
        <v>0</v>
      </c>
      <c r="V95" s="952"/>
      <c r="W95" s="2241">
        <f t="shared" si="64"/>
        <v>2.4623370486699835E-2</v>
      </c>
      <c r="X95" s="458">
        <f>SUM(X82:X94)</f>
        <v>294903</v>
      </c>
      <c r="Y95" s="2344"/>
      <c r="AA95" s="456">
        <f t="shared" si="65"/>
        <v>2.7300502199028156E-2</v>
      </c>
      <c r="AB95" s="458">
        <f>SUM(AB82:AB94)</f>
        <v>302954</v>
      </c>
      <c r="AC95" s="2344"/>
    </row>
    <row r="96" spans="1:29" s="457" customFormat="1" x14ac:dyDescent="0.25">
      <c r="A96" s="897"/>
      <c r="B96" s="2337"/>
      <c r="C96" s="1656"/>
      <c r="D96" s="340"/>
      <c r="E96" s="2386"/>
      <c r="F96" s="340"/>
      <c r="G96" s="456"/>
      <c r="H96" s="340"/>
      <c r="I96" s="897"/>
      <c r="J96" s="455"/>
      <c r="K96" s="1668"/>
      <c r="L96" s="340"/>
      <c r="M96" s="901"/>
      <c r="O96" s="1668"/>
      <c r="P96" s="340"/>
      <c r="Q96" s="901"/>
      <c r="R96" s="455"/>
      <c r="S96" s="2341"/>
      <c r="T96" s="340"/>
      <c r="U96" s="2344"/>
      <c r="V96" s="952"/>
      <c r="W96" s="2343"/>
      <c r="X96" s="340"/>
      <c r="Y96" s="2344"/>
      <c r="AA96" s="1668"/>
      <c r="AB96" s="340"/>
      <c r="AC96" s="2344"/>
    </row>
    <row r="97" spans="1:29" s="457" customFormat="1" x14ac:dyDescent="0.25">
      <c r="A97" s="897"/>
      <c r="B97" s="2345"/>
      <c r="C97" s="1656"/>
      <c r="D97" s="340"/>
      <c r="E97" s="2386"/>
      <c r="F97" s="340"/>
      <c r="G97" s="2338"/>
      <c r="H97" s="340"/>
      <c r="I97" s="897"/>
      <c r="J97" s="455"/>
      <c r="K97" s="1668"/>
      <c r="L97" s="340"/>
      <c r="M97" s="901"/>
      <c r="O97" s="1668"/>
      <c r="P97" s="340"/>
      <c r="Q97" s="901"/>
      <c r="R97" s="455"/>
      <c r="S97" s="2341"/>
      <c r="T97" s="340"/>
      <c r="U97" s="2344"/>
      <c r="V97" s="952"/>
      <c r="W97" s="2343"/>
      <c r="X97" s="340"/>
      <c r="Y97" s="2344"/>
      <c r="AA97" s="1668"/>
      <c r="AB97" s="340"/>
      <c r="AC97" s="2344"/>
    </row>
    <row r="98" spans="1:29" s="457" customFormat="1" x14ac:dyDescent="0.25">
      <c r="A98" s="898"/>
      <c r="B98" s="2337" t="s">
        <v>0</v>
      </c>
      <c r="C98" s="1656"/>
      <c r="D98" s="458">
        <f>SUM(D95,D79,D65,D13)</f>
        <v>3802090.55</v>
      </c>
      <c r="E98" s="2386"/>
      <c r="F98" s="340"/>
      <c r="G98" s="456">
        <f>IF(D98=0,"0.00%",(H98-D98)/D98)</f>
        <v>0.14634701427613306</v>
      </c>
      <c r="H98" s="458">
        <f>SUM(H95,H79,H65,H13)</f>
        <v>4358515.1500000004</v>
      </c>
      <c r="I98" s="2480"/>
      <c r="J98" s="459"/>
      <c r="K98" s="456">
        <f>IF(H98=0,"0.00%",(L98-H98)/H98)</f>
        <v>4.1766712684249731E-2</v>
      </c>
      <c r="L98" s="458">
        <f>SUM(L95,L79,L65,L13)</f>
        <v>4540556</v>
      </c>
      <c r="M98" s="2480"/>
      <c r="O98" s="456">
        <f>IF(L98=0,"0.00%",(P98-L98)/L98)</f>
        <v>4.1696655651862903E-2</v>
      </c>
      <c r="P98" s="458">
        <f>SUM(P95,P79,P65,P13)</f>
        <v>4729882</v>
      </c>
      <c r="Q98" s="2480"/>
      <c r="R98" s="455"/>
      <c r="S98" s="2238">
        <f>IF(P98=0,"0.00%",(T98-P98)/P98)</f>
        <v>2.7135349253956019E-2</v>
      </c>
      <c r="T98" s="458">
        <f>SUM(T95,T79,T65,T13)</f>
        <v>4858229</v>
      </c>
      <c r="U98" s="2344"/>
      <c r="V98" s="952"/>
      <c r="W98" s="2241">
        <f>IF(T98=0,"0.00%",(X98-T98)/T98)</f>
        <v>2.0044341260982142E-3</v>
      </c>
      <c r="X98" s="458">
        <f>SUM(X95,X79,X65,X13)</f>
        <v>4867967</v>
      </c>
      <c r="Y98" s="2344"/>
      <c r="AA98" s="456" t="e">
        <f>IF(X98=0,"0.00%",(AB98-X98)/X98)</f>
        <v>#VALUE!</v>
      </c>
      <c r="AB98" s="458" t="e">
        <f>SUM(AB95,AB79,AB65,AB13)</f>
        <v>#VALUE!</v>
      </c>
      <c r="AC98" s="2344"/>
    </row>
    <row r="99" spans="1:29" s="457" customFormat="1" x14ac:dyDescent="0.25">
      <c r="A99" s="897"/>
      <c r="B99" s="2345"/>
      <c r="C99" s="1656"/>
      <c r="D99" s="340"/>
      <c r="E99" s="2386"/>
      <c r="F99" s="340"/>
      <c r="G99" s="2338"/>
      <c r="H99" s="340"/>
      <c r="I99" s="897"/>
      <c r="J99" s="455"/>
      <c r="K99" s="1668"/>
      <c r="L99" s="340"/>
      <c r="M99" s="2481">
        <f>+L98-H98</f>
        <v>182040.84999999963</v>
      </c>
      <c r="O99" s="1668"/>
      <c r="P99" s="340"/>
      <c r="Q99" s="901"/>
      <c r="R99" s="455"/>
      <c r="S99" s="2341"/>
      <c r="T99" s="340"/>
      <c r="U99" s="2344"/>
      <c r="V99" s="952"/>
      <c r="W99" s="2343"/>
      <c r="X99" s="340"/>
      <c r="Y99" s="2344"/>
      <c r="AA99" s="1668"/>
      <c r="AB99" s="340"/>
      <c r="AC99" s="2344"/>
    </row>
    <row r="100" spans="1:29" s="457" customFormat="1" x14ac:dyDescent="0.25">
      <c r="A100" s="897"/>
      <c r="B100" s="2337" t="s">
        <v>138</v>
      </c>
      <c r="C100" s="1656"/>
      <c r="D100" s="833">
        <f>D11-D98</f>
        <v>245488.45000000019</v>
      </c>
      <c r="E100" s="1656"/>
      <c r="G100" s="456">
        <f>IF(D100=0,"0.00%",(H100-D100)/D100)</f>
        <v>2.5959486077654526</v>
      </c>
      <c r="H100" s="833">
        <f>H11-H98</f>
        <v>882763.84999999963</v>
      </c>
      <c r="I100" s="897"/>
      <c r="J100" s="455"/>
      <c r="K100" s="456">
        <f>IF(H100=0,"0.00%",(L100-H100)/H100)</f>
        <v>1.8270108704609971</v>
      </c>
      <c r="L100" s="833">
        <f>L11-L98</f>
        <v>2495583</v>
      </c>
      <c r="M100" s="901"/>
      <c r="O100" s="456">
        <f>IF(L100=0,"0.00%",(P100-L100)/L100)</f>
        <v>2.4766156845915363E-2</v>
      </c>
      <c r="P100" s="833">
        <f>P11-P98</f>
        <v>2557389</v>
      </c>
      <c r="Q100" s="901"/>
      <c r="R100" s="455"/>
      <c r="S100" s="2238">
        <f>IF(P100=0,"0.00%",(T100-P100)/P100)</f>
        <v>-0.10144487209415541</v>
      </c>
      <c r="T100" s="833">
        <f>T11-T98</f>
        <v>2297955</v>
      </c>
      <c r="U100" s="2344"/>
      <c r="V100" s="952"/>
      <c r="W100" s="2241">
        <f>IF(T100=0,"0.00%",(X100-T100)/T100)</f>
        <v>-3.1183909171415456</v>
      </c>
      <c r="X100" s="833">
        <f>X11-X98</f>
        <v>-4867967</v>
      </c>
      <c r="Y100" s="2344"/>
      <c r="AA100" s="456" t="e">
        <f>IF(X100=0,"0.00%",(AB100-X100)/X100)</f>
        <v>#VALUE!</v>
      </c>
      <c r="AB100" s="833" t="e">
        <f>AB11-AB98</f>
        <v>#VALUE!</v>
      </c>
      <c r="AC100" s="2344"/>
    </row>
    <row r="101" spans="1:29" s="457" customFormat="1" x14ac:dyDescent="0.25">
      <c r="A101" s="1656"/>
      <c r="B101" s="2337"/>
      <c r="C101" s="2432"/>
      <c r="D101" s="833"/>
      <c r="E101" s="1656"/>
      <c r="G101" s="2338"/>
      <c r="H101" s="833"/>
      <c r="I101" s="897"/>
      <c r="J101" s="455"/>
      <c r="K101" s="1668"/>
      <c r="L101" s="833"/>
      <c r="M101" s="901"/>
      <c r="O101" s="1668"/>
      <c r="P101" s="833"/>
      <c r="Q101" s="901"/>
      <c r="R101" s="455"/>
      <c r="S101" s="2341"/>
      <c r="T101" s="2356"/>
      <c r="U101" s="2344"/>
      <c r="V101" s="952"/>
      <c r="W101" s="2343"/>
      <c r="X101" s="2356"/>
      <c r="Y101" s="2344"/>
      <c r="AA101" s="1668"/>
      <c r="AB101" s="2356"/>
      <c r="AC101" s="2344"/>
    </row>
    <row r="102" spans="1:29" s="457" customFormat="1" x14ac:dyDescent="0.25">
      <c r="A102" s="1656"/>
      <c r="B102" s="2337" t="s">
        <v>136</v>
      </c>
      <c r="C102" s="2443"/>
      <c r="D102" s="833">
        <f>D7+D100</f>
        <v>568740.15000000014</v>
      </c>
      <c r="E102" s="1656"/>
      <c r="G102" s="456">
        <f>IF(D102=0,"0.00%",(H102-D102)/D102)</f>
        <v>1.5521391447394728</v>
      </c>
      <c r="H102" s="833">
        <f>H7+H100</f>
        <v>1451503.9999999998</v>
      </c>
      <c r="I102" s="2316"/>
      <c r="J102" s="455"/>
      <c r="K102" s="456">
        <f>IF(H102=0,"0.00%",(L102-H102)/H102)</f>
        <v>1.7193083863358285</v>
      </c>
      <c r="L102" s="833">
        <f>L7+L100</f>
        <v>3947087</v>
      </c>
      <c r="M102" s="2316"/>
      <c r="O102" s="456">
        <f>IF(L102=0,"0.00%",(P102-L102)/L102)</f>
        <v>0.64791807223909681</v>
      </c>
      <c r="P102" s="833">
        <f>P7+P100</f>
        <v>6504476</v>
      </c>
      <c r="Q102" s="2316"/>
      <c r="R102" s="455"/>
      <c r="S102" s="2238">
        <f>IF(P102=0,"0.00%",(T102-P102)/P102)</f>
        <v>0.35328825873137204</v>
      </c>
      <c r="T102" s="2367">
        <f>T7+T100</f>
        <v>8802431</v>
      </c>
      <c r="U102" s="2344"/>
      <c r="V102" s="952"/>
      <c r="W102" s="2241">
        <f>IF(T102=0,"0.00%",(X102-T102)/T102)</f>
        <v>-0.55302529494408992</v>
      </c>
      <c r="X102" s="2367">
        <f>X7+X100</f>
        <v>3934464</v>
      </c>
      <c r="Y102" s="2344"/>
      <c r="AA102" s="456" t="e">
        <f>IF(X102=0,"0.00%",(AB102-X102)/X102)</f>
        <v>#VALUE!</v>
      </c>
      <c r="AB102" s="2367" t="e">
        <f>AB7+AB100</f>
        <v>#VALUE!</v>
      </c>
      <c r="AC102" s="2344"/>
    </row>
    <row r="103" spans="1:29" s="457" customFormat="1" x14ac:dyDescent="0.25">
      <c r="A103" s="1656"/>
      <c r="B103" s="2345"/>
      <c r="C103" s="900"/>
      <c r="D103" s="340"/>
      <c r="E103" s="1656"/>
      <c r="G103" s="2355"/>
      <c r="H103" s="459"/>
      <c r="I103" s="898"/>
      <c r="J103" s="459"/>
      <c r="K103" s="1668"/>
      <c r="L103" s="459"/>
      <c r="M103" s="901"/>
      <c r="O103" s="1668"/>
      <c r="P103" s="459"/>
      <c r="Q103" s="901"/>
      <c r="R103" s="455"/>
      <c r="S103" s="2341"/>
      <c r="T103" s="459"/>
      <c r="U103" s="2344"/>
      <c r="V103" s="952"/>
      <c r="W103" s="2343"/>
      <c r="X103" s="459"/>
      <c r="Y103" s="2344"/>
      <c r="AA103" s="1668"/>
      <c r="AB103" s="459"/>
      <c r="AC103" s="2344"/>
    </row>
    <row r="104" spans="1:29" s="457" customFormat="1" x14ac:dyDescent="0.25">
      <c r="A104" s="1656"/>
      <c r="B104" s="2345"/>
      <c r="C104" s="2339"/>
      <c r="D104" s="340"/>
      <c r="E104" s="1656"/>
      <c r="G104" s="2355"/>
      <c r="H104" s="455"/>
      <c r="I104" s="897"/>
      <c r="J104" s="455"/>
      <c r="K104" s="1668"/>
      <c r="L104" s="340"/>
      <c r="M104" s="901"/>
      <c r="O104" s="1668"/>
      <c r="P104" s="340"/>
      <c r="Q104" s="901"/>
      <c r="R104" s="455"/>
      <c r="S104" s="2341"/>
      <c r="T104" s="340"/>
      <c r="U104" s="2344"/>
      <c r="V104" s="952"/>
      <c r="W104" s="2343"/>
      <c r="X104" s="340"/>
      <c r="Y104" s="2344"/>
      <c r="AA104" s="1668"/>
      <c r="AB104" s="340"/>
      <c r="AC104" s="2344"/>
    </row>
    <row r="105" spans="1:29" s="457" customFormat="1" x14ac:dyDescent="0.25">
      <c r="A105" s="1656"/>
      <c r="B105" s="2345"/>
      <c r="C105" s="2339"/>
      <c r="D105" s="340"/>
      <c r="E105" s="1656"/>
      <c r="G105" s="2355"/>
      <c r="H105" s="455"/>
      <c r="I105" s="897"/>
      <c r="J105" s="455"/>
      <c r="K105" s="1668"/>
      <c r="L105" s="340"/>
      <c r="M105" s="901"/>
      <c r="O105" s="1668"/>
      <c r="P105" s="340"/>
      <c r="Q105" s="901"/>
      <c r="R105" s="455"/>
      <c r="S105" s="2341"/>
      <c r="T105" s="340"/>
      <c r="U105" s="2344"/>
      <c r="V105" s="952"/>
      <c r="W105" s="2343"/>
      <c r="X105" s="340"/>
      <c r="Y105" s="2344"/>
      <c r="AA105" s="1668"/>
      <c r="AB105" s="340"/>
      <c r="AC105" s="2344"/>
    </row>
    <row r="106" spans="1:29" s="457" customFormat="1" x14ac:dyDescent="0.25">
      <c r="A106" s="1656"/>
      <c r="B106" s="2345"/>
      <c r="C106" s="2339"/>
      <c r="D106" s="340"/>
      <c r="E106" s="1656"/>
      <c r="G106" s="2355"/>
      <c r="H106" s="455"/>
      <c r="I106" s="897"/>
      <c r="J106" s="455"/>
      <c r="K106" s="1668"/>
      <c r="L106" s="340"/>
      <c r="M106" s="901"/>
      <c r="O106" s="1668"/>
      <c r="P106" s="340"/>
      <c r="Q106" s="901"/>
      <c r="R106" s="455"/>
      <c r="S106" s="2341"/>
      <c r="T106" s="340"/>
      <c r="U106" s="2344"/>
      <c r="V106" s="952"/>
      <c r="W106" s="2343"/>
      <c r="X106" s="340"/>
      <c r="Y106" s="2344"/>
      <c r="AA106" s="1668"/>
      <c r="AB106" s="340"/>
      <c r="AC106" s="2344"/>
    </row>
    <row r="107" spans="1:29" s="457" customFormat="1" x14ac:dyDescent="0.25">
      <c r="A107" s="1656"/>
      <c r="B107" s="2345"/>
      <c r="C107" s="2339"/>
      <c r="D107" s="340"/>
      <c r="E107" s="1656"/>
      <c r="G107" s="2355"/>
      <c r="H107" s="455"/>
      <c r="I107" s="897"/>
      <c r="J107" s="455"/>
      <c r="K107" s="1668"/>
      <c r="L107" s="340"/>
      <c r="M107" s="901"/>
      <c r="O107" s="1668"/>
      <c r="P107" s="340"/>
      <c r="Q107" s="901"/>
      <c r="R107" s="455"/>
      <c r="S107" s="2341"/>
      <c r="T107" s="340"/>
      <c r="U107" s="2344"/>
      <c r="V107" s="952"/>
      <c r="W107" s="2343"/>
      <c r="X107" s="340"/>
      <c r="Y107" s="2344"/>
      <c r="AA107" s="1668"/>
      <c r="AB107" s="340"/>
      <c r="AC107" s="2344"/>
    </row>
    <row r="108" spans="1:29" s="2402" customFormat="1" ht="11.25" x14ac:dyDescent="0.2">
      <c r="A108" s="2363"/>
      <c r="B108" s="2395"/>
      <c r="C108" s="2444" t="s">
        <v>221</v>
      </c>
      <c r="D108" s="2397">
        <f>+D95+D79+D63+D51+D33</f>
        <v>3802090.5500000003</v>
      </c>
      <c r="E108" s="2363"/>
      <c r="G108" s="2399" t="s">
        <v>221</v>
      </c>
      <c r="H108" s="2397">
        <f>+H95+H79+H63+H51+H33</f>
        <v>4358515.1500000004</v>
      </c>
      <c r="I108" s="2400"/>
      <c r="J108" s="607"/>
      <c r="K108" s="2399" t="s">
        <v>221</v>
      </c>
      <c r="L108" s="2397">
        <f>+L95+L79+L63+L51+L33</f>
        <v>4540556</v>
      </c>
      <c r="M108" s="2404"/>
      <c r="O108" s="2399" t="s">
        <v>221</v>
      </c>
      <c r="P108" s="2397">
        <f>+P95+P79+P63+P51+P33</f>
        <v>4729882</v>
      </c>
      <c r="Q108" s="2404"/>
      <c r="R108" s="2414"/>
      <c r="S108" s="2405" t="s">
        <v>221</v>
      </c>
      <c r="T108" s="2397">
        <f>+T95+T79+T63+T51+T33</f>
        <v>4858229</v>
      </c>
      <c r="U108" s="2409"/>
      <c r="V108" s="2407"/>
      <c r="W108" s="2408" t="s">
        <v>221</v>
      </c>
      <c r="X108" s="2397">
        <f>+X95+X79+X63+X51+X33</f>
        <v>4867967</v>
      </c>
      <c r="Y108" s="2409"/>
      <c r="AA108" s="2399" t="s">
        <v>221</v>
      </c>
      <c r="AB108" s="2397" t="e">
        <f>+AB95+AB79+AB63+AB51+AB33</f>
        <v>#VALUE!</v>
      </c>
      <c r="AC108" s="2409"/>
    </row>
    <row r="109" spans="1:29" s="2402" customFormat="1" ht="11.25" x14ac:dyDescent="0.2">
      <c r="A109" s="2413"/>
      <c r="B109" s="2395"/>
      <c r="C109" s="2445" t="s">
        <v>222</v>
      </c>
      <c r="D109" s="2412">
        <f>+D13</f>
        <v>0</v>
      </c>
      <c r="E109" s="2419"/>
      <c r="F109" s="2410"/>
      <c r="G109" s="2415" t="s">
        <v>222</v>
      </c>
      <c r="H109" s="2412">
        <f>+H13</f>
        <v>0</v>
      </c>
      <c r="I109" s="2398"/>
      <c r="J109" s="608"/>
      <c r="K109" s="2415" t="s">
        <v>222</v>
      </c>
      <c r="L109" s="2412">
        <f>+L13</f>
        <v>0</v>
      </c>
      <c r="M109" s="2404"/>
      <c r="O109" s="2415" t="s">
        <v>222</v>
      </c>
      <c r="P109" s="2412">
        <f>+P13</f>
        <v>0</v>
      </c>
      <c r="Q109" s="2363"/>
      <c r="R109" s="2414"/>
      <c r="S109" s="2416" t="s">
        <v>222</v>
      </c>
      <c r="T109" s="2412">
        <f>+T13</f>
        <v>0</v>
      </c>
      <c r="V109" s="2407"/>
      <c r="W109" s="2417" t="s">
        <v>222</v>
      </c>
      <c r="X109" s="2412">
        <f>+X13</f>
        <v>0</v>
      </c>
      <c r="AA109" s="2415" t="s">
        <v>222</v>
      </c>
      <c r="AB109" s="2412">
        <f>+AB13</f>
        <v>0</v>
      </c>
    </row>
    <row r="110" spans="1:29" s="2402" customFormat="1" ht="11.25" x14ac:dyDescent="0.2">
      <c r="A110" s="2413"/>
      <c r="B110" s="2395"/>
      <c r="C110" s="2445"/>
      <c r="D110" s="2418">
        <f>+D108+D109</f>
        <v>3802090.5500000003</v>
      </c>
      <c r="E110" s="2419"/>
      <c r="F110" s="2410"/>
      <c r="G110" s="2415"/>
      <c r="H110" s="2418">
        <f>+H108+H109</f>
        <v>4358515.1500000004</v>
      </c>
      <c r="I110" s="2398"/>
      <c r="J110" s="608"/>
      <c r="K110" s="2415"/>
      <c r="L110" s="2418">
        <f>+L108+L109</f>
        <v>4540556</v>
      </c>
      <c r="M110" s="2363"/>
      <c r="O110" s="2415"/>
      <c r="P110" s="2418">
        <f>+P108+P109</f>
        <v>4729882</v>
      </c>
      <c r="Q110" s="2363"/>
      <c r="R110" s="2414"/>
      <c r="S110" s="2416"/>
      <c r="T110" s="2418">
        <f>+T108+T109</f>
        <v>4858229</v>
      </c>
      <c r="V110" s="2407"/>
      <c r="W110" s="2417"/>
      <c r="X110" s="2418">
        <f>+X108+X109</f>
        <v>4867967</v>
      </c>
      <c r="AA110" s="2415"/>
      <c r="AB110" s="2418" t="e">
        <f>+AB108+AB109</f>
        <v>#VALUE!</v>
      </c>
    </row>
    <row r="111" spans="1:29" s="457" customFormat="1" ht="15" customHeight="1" x14ac:dyDescent="0.25">
      <c r="A111" s="897"/>
      <c r="B111" s="2422"/>
      <c r="C111" s="2446"/>
      <c r="D111" s="459">
        <f>+D98-D110</f>
        <v>0</v>
      </c>
      <c r="E111" s="2386"/>
      <c r="F111" s="340"/>
      <c r="G111" s="2447"/>
      <c r="H111" s="459">
        <f>+H98-H110</f>
        <v>0</v>
      </c>
      <c r="I111" s="2339"/>
      <c r="J111" s="592"/>
      <c r="K111" s="2447"/>
      <c r="L111" s="459">
        <f>+L98-L110</f>
        <v>0</v>
      </c>
      <c r="M111" s="1656"/>
      <c r="O111" s="2447"/>
      <c r="P111" s="459">
        <f>+P98-P110</f>
        <v>0</v>
      </c>
      <c r="Q111" s="1656"/>
      <c r="R111" s="455"/>
      <c r="S111" s="2447"/>
      <c r="T111" s="459">
        <f>+T98-T110</f>
        <v>0</v>
      </c>
      <c r="V111" s="952"/>
      <c r="W111" s="2448"/>
      <c r="X111" s="459">
        <f>+X98-X110</f>
        <v>0</v>
      </c>
      <c r="AA111" s="2447"/>
      <c r="AB111" s="459" t="e">
        <f>+AB98-AB110</f>
        <v>#VALUE!</v>
      </c>
    </row>
    <row r="112" spans="1:29" s="457" customFormat="1" x14ac:dyDescent="0.25">
      <c r="A112" s="897"/>
      <c r="B112" s="2422"/>
      <c r="C112" s="2446"/>
      <c r="D112" s="455"/>
      <c r="E112" s="2386"/>
      <c r="F112" s="340"/>
      <c r="G112" s="2338"/>
      <c r="H112" s="2424"/>
      <c r="I112" s="2339"/>
      <c r="J112" s="592"/>
      <c r="K112" s="1668"/>
      <c r="L112" s="2370"/>
      <c r="M112" s="1656"/>
      <c r="O112" s="1668"/>
      <c r="P112" s="340"/>
      <c r="Q112" s="1656"/>
      <c r="R112" s="455"/>
      <c r="S112" s="2341"/>
      <c r="V112" s="952"/>
      <c r="W112" s="2343"/>
      <c r="AA112" s="1668"/>
    </row>
    <row r="113" spans="1:27" s="457" customFormat="1" x14ac:dyDescent="0.25">
      <c r="A113" s="897"/>
      <c r="B113" s="2394"/>
      <c r="C113" s="2339"/>
      <c r="D113" s="342"/>
      <c r="E113" s="2386"/>
      <c r="F113" s="340"/>
      <c r="G113" s="2338"/>
      <c r="H113" s="2424"/>
      <c r="I113" s="2339"/>
      <c r="J113" s="592"/>
      <c r="K113" s="1668"/>
      <c r="L113" s="2370"/>
      <c r="M113" s="1656"/>
      <c r="O113" s="1668"/>
      <c r="P113" s="340"/>
      <c r="Q113" s="1656"/>
      <c r="R113" s="455"/>
      <c r="S113" s="2341"/>
      <c r="V113" s="952"/>
      <c r="W113" s="2343"/>
      <c r="AA113" s="1668"/>
    </row>
    <row r="114" spans="1:27" s="457" customFormat="1" x14ac:dyDescent="0.25">
      <c r="A114" s="1656"/>
      <c r="B114" s="2394"/>
      <c r="C114" s="2339"/>
      <c r="D114" s="455"/>
      <c r="E114" s="1656"/>
      <c r="G114" s="2338"/>
      <c r="H114" s="2424"/>
      <c r="I114" s="2339"/>
      <c r="J114" s="592"/>
      <c r="K114" s="1668"/>
      <c r="L114" s="2370"/>
      <c r="M114" s="1656"/>
      <c r="O114" s="1668"/>
      <c r="P114" s="340"/>
      <c r="Q114" s="1656"/>
      <c r="R114" s="455"/>
      <c r="S114" s="2341"/>
      <c r="V114" s="952"/>
      <c r="W114" s="2343"/>
      <c r="AA114" s="1668"/>
    </row>
    <row r="115" spans="1:27" s="457" customFormat="1" x14ac:dyDescent="0.25">
      <c r="A115" s="1656"/>
      <c r="B115" s="2394"/>
      <c r="C115" s="2339"/>
      <c r="D115" s="455"/>
      <c r="E115" s="1656"/>
      <c r="G115" s="2338"/>
      <c r="H115" s="2424"/>
      <c r="I115" s="2339"/>
      <c r="J115" s="592"/>
      <c r="K115" s="1668"/>
      <c r="L115" s="2370"/>
      <c r="M115" s="1656"/>
      <c r="O115" s="1668"/>
      <c r="P115" s="340"/>
      <c r="Q115" s="1656"/>
      <c r="R115" s="455"/>
      <c r="S115" s="2341"/>
      <c r="V115" s="952"/>
      <c r="W115" s="2343"/>
      <c r="AA115" s="1668"/>
    </row>
    <row r="116" spans="1:27" s="457" customFormat="1" ht="15" customHeight="1" x14ac:dyDescent="0.25">
      <c r="A116" s="1656"/>
      <c r="B116" s="2394"/>
      <c r="C116" s="2339"/>
      <c r="D116" s="455"/>
      <c r="E116" s="1656"/>
      <c r="G116" s="2338"/>
      <c r="H116" s="2424"/>
      <c r="I116" s="2339"/>
      <c r="J116" s="592"/>
      <c r="K116" s="1668"/>
      <c r="L116" s="2370"/>
      <c r="M116" s="1656"/>
      <c r="O116" s="1668"/>
      <c r="P116" s="340"/>
      <c r="Q116" s="1656"/>
      <c r="R116" s="455"/>
      <c r="S116" s="2341"/>
      <c r="V116" s="952"/>
      <c r="W116" s="2343"/>
      <c r="AA116" s="1668"/>
    </row>
    <row r="117" spans="1:27" s="457" customFormat="1" x14ac:dyDescent="0.25">
      <c r="A117" s="1656"/>
      <c r="B117" s="2394"/>
      <c r="C117" s="2339"/>
      <c r="D117" s="455"/>
      <c r="E117" s="1656"/>
      <c r="G117" s="2338"/>
      <c r="H117" s="2424"/>
      <c r="I117" s="2339"/>
      <c r="J117" s="592"/>
      <c r="K117" s="1668"/>
      <c r="L117" s="2370"/>
      <c r="M117" s="1656"/>
      <c r="O117" s="1668"/>
      <c r="P117" s="340"/>
      <c r="Q117" s="1656"/>
      <c r="R117" s="455"/>
      <c r="S117" s="2341"/>
      <c r="V117" s="952"/>
      <c r="W117" s="2343"/>
      <c r="AA117" s="1668"/>
    </row>
    <row r="118" spans="1:27" s="457" customFormat="1" x14ac:dyDescent="0.25">
      <c r="A118" s="1656"/>
      <c r="B118" s="2394"/>
      <c r="C118" s="2339"/>
      <c r="D118" s="455"/>
      <c r="E118" s="1656"/>
      <c r="G118" s="2338"/>
      <c r="H118" s="2424"/>
      <c r="I118" s="2339"/>
      <c r="J118" s="592"/>
      <c r="K118" s="1668"/>
      <c r="L118" s="2370"/>
      <c r="M118" s="1656"/>
      <c r="O118" s="1668"/>
      <c r="P118" s="340"/>
      <c r="Q118" s="1656"/>
      <c r="R118" s="455"/>
      <c r="S118" s="2341"/>
      <c r="V118" s="952"/>
      <c r="W118" s="2343"/>
      <c r="AA118" s="1668"/>
    </row>
    <row r="119" spans="1:27" s="457" customFormat="1" ht="15" customHeight="1" x14ac:dyDescent="0.25">
      <c r="A119" s="1656"/>
      <c r="B119" s="2565"/>
      <c r="C119" s="2565"/>
      <c r="D119" s="455"/>
      <c r="E119" s="1656"/>
      <c r="G119" s="2338"/>
      <c r="H119" s="2424"/>
      <c r="I119" s="2339"/>
      <c r="J119" s="592"/>
      <c r="K119" s="1668"/>
      <c r="L119" s="2370"/>
      <c r="M119" s="1656"/>
      <c r="O119" s="1668"/>
      <c r="P119" s="340"/>
      <c r="Q119" s="1656"/>
      <c r="R119" s="455"/>
      <c r="S119" s="2341"/>
      <c r="V119" s="952"/>
      <c r="W119" s="2343"/>
      <c r="AA119" s="1668"/>
    </row>
    <row r="120" spans="1:27" s="457" customFormat="1" x14ac:dyDescent="0.25">
      <c r="A120" s="1656"/>
      <c r="B120" s="2565"/>
      <c r="C120" s="2565"/>
      <c r="D120" s="455"/>
      <c r="E120" s="1656"/>
      <c r="G120" s="2338"/>
      <c r="H120" s="2424"/>
      <c r="I120" s="2339"/>
      <c r="J120" s="592"/>
      <c r="K120" s="1668"/>
      <c r="L120" s="2370"/>
      <c r="M120" s="1656"/>
      <c r="O120" s="1668"/>
      <c r="P120" s="340"/>
      <c r="Q120" s="1656"/>
      <c r="R120" s="455"/>
      <c r="S120" s="2341"/>
      <c r="V120" s="952"/>
      <c r="W120" s="2343"/>
      <c r="AA120" s="1668"/>
    </row>
    <row r="121" spans="1:27" s="457" customFormat="1" x14ac:dyDescent="0.25">
      <c r="A121" s="1656"/>
      <c r="B121" s="2394"/>
      <c r="C121" s="2339"/>
      <c r="D121" s="460"/>
      <c r="E121" s="1656"/>
      <c r="G121" s="2338"/>
      <c r="H121" s="2424"/>
      <c r="I121" s="2339"/>
      <c r="J121" s="592"/>
      <c r="K121" s="1668"/>
      <c r="L121" s="2370"/>
      <c r="M121" s="1656"/>
      <c r="O121" s="1668"/>
      <c r="P121" s="340"/>
      <c r="Q121" s="1656"/>
      <c r="R121" s="455"/>
      <c r="S121" s="2341"/>
      <c r="V121" s="952"/>
      <c r="W121" s="2343"/>
      <c r="AA121" s="1668"/>
    </row>
    <row r="122" spans="1:27" s="457" customFormat="1" x14ac:dyDescent="0.25">
      <c r="A122" s="1656"/>
      <c r="B122" s="2394"/>
      <c r="C122" s="2339"/>
      <c r="D122" s="455"/>
      <c r="E122" s="1656"/>
      <c r="G122" s="2338"/>
      <c r="H122" s="2424"/>
      <c r="I122" s="2339"/>
      <c r="J122" s="592"/>
      <c r="K122" s="1668"/>
      <c r="L122" s="2370"/>
      <c r="M122" s="1656"/>
      <c r="O122" s="1668"/>
      <c r="P122" s="340"/>
      <c r="Q122" s="1656"/>
      <c r="R122" s="455"/>
      <c r="S122" s="2341"/>
      <c r="V122" s="952"/>
      <c r="W122" s="2343"/>
      <c r="AA122" s="1668"/>
    </row>
    <row r="123" spans="1:27" s="457" customFormat="1" x14ac:dyDescent="0.25">
      <c r="A123" s="1656"/>
      <c r="B123" s="2394"/>
      <c r="C123" s="2339"/>
      <c r="D123" s="455"/>
      <c r="E123" s="1656"/>
      <c r="G123" s="2338"/>
      <c r="H123" s="2424"/>
      <c r="I123" s="2339"/>
      <c r="J123" s="592"/>
      <c r="K123" s="1668"/>
      <c r="L123" s="2370"/>
      <c r="M123" s="1656"/>
      <c r="O123" s="1668"/>
      <c r="P123" s="340"/>
      <c r="Q123" s="1656"/>
      <c r="R123" s="455"/>
      <c r="S123" s="2341"/>
      <c r="V123" s="952"/>
      <c r="W123" s="2343"/>
      <c r="AA123" s="1668"/>
    </row>
    <row r="124" spans="1:27" s="457" customFormat="1" ht="28.5" customHeight="1" x14ac:dyDescent="0.25">
      <c r="A124" s="1656"/>
      <c r="B124" s="2394"/>
      <c r="C124" s="2339"/>
      <c r="D124" s="342"/>
      <c r="E124" s="1656"/>
      <c r="G124" s="2338"/>
      <c r="H124" s="2424"/>
      <c r="I124" s="2339"/>
      <c r="J124" s="592"/>
      <c r="K124" s="1668"/>
      <c r="L124" s="2370"/>
      <c r="M124" s="1656"/>
      <c r="O124" s="1668"/>
      <c r="P124" s="340"/>
      <c r="Q124" s="1656"/>
      <c r="R124" s="455"/>
      <c r="S124" s="2341"/>
      <c r="V124" s="952"/>
      <c r="W124" s="2343"/>
      <c r="AA124" s="1668"/>
    </row>
    <row r="125" spans="1:27" s="457" customFormat="1" x14ac:dyDescent="0.25">
      <c r="A125" s="1656"/>
      <c r="B125" s="2394"/>
      <c r="C125" s="2339"/>
      <c r="D125" s="455"/>
      <c r="E125" s="1656"/>
      <c r="G125" s="2338"/>
      <c r="H125" s="2424"/>
      <c r="I125" s="2339"/>
      <c r="J125" s="592"/>
      <c r="K125" s="1668"/>
      <c r="L125" s="2370"/>
      <c r="M125" s="1656"/>
      <c r="O125" s="1668"/>
      <c r="P125" s="340"/>
      <c r="Q125" s="1656"/>
      <c r="R125" s="455"/>
      <c r="S125" s="2341"/>
      <c r="V125" s="952"/>
      <c r="W125" s="2343"/>
      <c r="AA125" s="1668"/>
    </row>
    <row r="126" spans="1:27" s="457" customFormat="1" x14ac:dyDescent="0.25">
      <c r="A126" s="1656"/>
      <c r="B126" s="2394"/>
      <c r="C126" s="2339"/>
      <c r="D126" s="455"/>
      <c r="E126" s="1656"/>
      <c r="G126" s="2338"/>
      <c r="H126" s="2424"/>
      <c r="I126" s="2339"/>
      <c r="J126" s="592"/>
      <c r="K126" s="1668"/>
      <c r="L126" s="2370"/>
      <c r="M126" s="1656"/>
      <c r="O126" s="1668"/>
      <c r="P126" s="340"/>
      <c r="Q126" s="1656"/>
      <c r="R126" s="455"/>
      <c r="S126" s="2341"/>
      <c r="V126" s="952"/>
      <c r="W126" s="2343"/>
      <c r="AA126" s="1668"/>
    </row>
    <row r="127" spans="1:27" s="457" customFormat="1" x14ac:dyDescent="0.25">
      <c r="A127" s="1656"/>
      <c r="B127" s="2394"/>
      <c r="C127" s="2339"/>
      <c r="D127" s="455"/>
      <c r="E127" s="1656"/>
      <c r="G127" s="2338"/>
      <c r="H127" s="2424"/>
      <c r="I127" s="2339"/>
      <c r="J127" s="592"/>
      <c r="K127" s="1668"/>
      <c r="L127" s="2370"/>
      <c r="M127" s="1656"/>
      <c r="O127" s="1668"/>
      <c r="P127" s="340"/>
      <c r="Q127" s="1656"/>
      <c r="R127" s="455"/>
      <c r="S127" s="2341"/>
      <c r="V127" s="952"/>
      <c r="W127" s="2343"/>
      <c r="AA127" s="1668"/>
    </row>
    <row r="128" spans="1:27" s="457" customFormat="1" x14ac:dyDescent="0.25">
      <c r="A128" s="1656"/>
      <c r="B128" s="2394"/>
      <c r="C128" s="2339"/>
      <c r="D128" s="455"/>
      <c r="E128" s="1656"/>
      <c r="G128" s="2338"/>
      <c r="H128" s="2424"/>
      <c r="I128" s="2339"/>
      <c r="J128" s="592"/>
      <c r="K128" s="1668"/>
      <c r="L128" s="2370"/>
      <c r="M128" s="1656"/>
      <c r="O128" s="1668"/>
      <c r="P128" s="340"/>
      <c r="Q128" s="1656"/>
      <c r="R128" s="455"/>
      <c r="S128" s="2341"/>
      <c r="V128" s="952"/>
      <c r="W128" s="2343"/>
      <c r="AA128" s="1668"/>
    </row>
    <row r="129" spans="1:27" s="457" customFormat="1" x14ac:dyDescent="0.25">
      <c r="A129" s="1656"/>
      <c r="B129" s="2394"/>
      <c r="C129" s="2339"/>
      <c r="D129" s="455"/>
      <c r="E129" s="1656"/>
      <c r="G129" s="2338"/>
      <c r="H129" s="2424"/>
      <c r="I129" s="2339"/>
      <c r="J129" s="592"/>
      <c r="K129" s="1668"/>
      <c r="L129" s="2370"/>
      <c r="M129" s="1656"/>
      <c r="O129" s="1668"/>
      <c r="P129" s="340"/>
      <c r="Q129" s="1656"/>
      <c r="R129" s="455"/>
      <c r="S129" s="2341"/>
      <c r="V129" s="952"/>
      <c r="W129" s="2343"/>
      <c r="AA129" s="1668"/>
    </row>
    <row r="130" spans="1:27" s="457" customFormat="1" x14ac:dyDescent="0.25">
      <c r="A130" s="1656"/>
      <c r="B130" s="2394"/>
      <c r="C130" s="2339"/>
      <c r="D130" s="455"/>
      <c r="E130" s="1656"/>
      <c r="G130" s="2338"/>
      <c r="H130" s="2424"/>
      <c r="I130" s="2339"/>
      <c r="J130" s="592"/>
      <c r="K130" s="1668"/>
      <c r="L130" s="2370"/>
      <c r="M130" s="1656"/>
      <c r="O130" s="1668"/>
      <c r="P130" s="340"/>
      <c r="Q130" s="1656"/>
      <c r="R130" s="455"/>
      <c r="S130" s="2341"/>
      <c r="V130" s="952"/>
      <c r="W130" s="2343"/>
      <c r="AA130" s="1668"/>
    </row>
    <row r="131" spans="1:27" s="457" customFormat="1" x14ac:dyDescent="0.25">
      <c r="A131" s="1656"/>
      <c r="B131" s="2394"/>
      <c r="C131" s="2339"/>
      <c r="D131" s="455"/>
      <c r="E131" s="1656"/>
      <c r="G131" s="2338"/>
      <c r="H131" s="2424"/>
      <c r="I131" s="2339"/>
      <c r="J131" s="592"/>
      <c r="K131" s="1668"/>
      <c r="L131" s="2370"/>
      <c r="M131" s="1656"/>
      <c r="O131" s="1668"/>
      <c r="P131" s="340"/>
      <c r="Q131" s="1656"/>
      <c r="R131" s="455"/>
      <c r="S131" s="2341"/>
      <c r="V131" s="952"/>
      <c r="W131" s="2343"/>
      <c r="AA131" s="1668"/>
    </row>
    <row r="132" spans="1:27" x14ac:dyDescent="0.25">
      <c r="B132" s="2173"/>
      <c r="C132" s="853"/>
      <c r="D132" s="36"/>
    </row>
    <row r="133" spans="1:27" x14ac:dyDescent="0.25">
      <c r="B133" s="2173"/>
      <c r="C133" s="853"/>
      <c r="D133" s="36"/>
    </row>
    <row r="134" spans="1:27" x14ac:dyDescent="0.25">
      <c r="B134" s="2173"/>
      <c r="C134" s="853"/>
      <c r="D134" s="36"/>
    </row>
    <row r="135" spans="1:27" x14ac:dyDescent="0.25">
      <c r="B135" s="2173"/>
      <c r="C135" s="853"/>
      <c r="D135" s="36"/>
    </row>
    <row r="136" spans="1:27" x14ac:dyDescent="0.25">
      <c r="B136" s="2173"/>
      <c r="C136" s="853"/>
      <c r="D136" s="36"/>
    </row>
    <row r="137" spans="1:27" x14ac:dyDescent="0.25">
      <c r="B137" s="2173"/>
      <c r="C137" s="853"/>
      <c r="D137" s="36"/>
    </row>
    <row r="138" spans="1:27" x14ac:dyDescent="0.25">
      <c r="B138" s="2173"/>
      <c r="C138" s="853"/>
      <c r="D138" s="36"/>
    </row>
    <row r="139" spans="1:27" x14ac:dyDescent="0.25">
      <c r="B139" s="2173"/>
      <c r="C139" s="853"/>
      <c r="D139" s="36"/>
    </row>
  </sheetData>
  <sheetProtection password="E247" sheet="1" objects="1" scenarios="1"/>
  <mergeCells count="1">
    <mergeCell ref="B119:C120"/>
  </mergeCells>
  <pageMargins left="0.25" right="0.25" top="0.5" bottom="0.5" header="0.25" footer="0.25"/>
  <pageSetup paperSize="5" scale="61" orientation="portrait" r:id="rId1"/>
  <headerFooter>
    <oddHeader>&amp;L&amp;F</oddHeader>
    <oddFooter>&amp;R&amp;A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R107"/>
  <sheetViews>
    <sheetView showGridLines="0" zoomScale="80" zoomScaleNormal="80" workbookViewId="0">
      <pane ySplit="2" topLeftCell="A21" activePane="bottomLeft" state="frozen"/>
      <selection activeCell="M53" sqref="M53"/>
      <selection pane="bottomLeft" activeCell="D58" sqref="D58"/>
    </sheetView>
  </sheetViews>
  <sheetFormatPr defaultRowHeight="15.75" x14ac:dyDescent="0.25"/>
  <cols>
    <col min="1" max="1" width="1.28515625" style="1214" customWidth="1"/>
    <col min="2" max="2" width="1.85546875" style="1214" customWidth="1"/>
    <col min="3" max="3" width="1.85546875" style="1213" customWidth="1"/>
    <col min="4" max="4" width="69" style="1213" customWidth="1"/>
    <col min="5" max="5" width="3.5703125" style="187" hidden="1" customWidth="1"/>
    <col min="6" max="9" width="21.7109375" style="187" customWidth="1"/>
    <col min="10" max="12" width="21.7109375" style="187" hidden="1" customWidth="1"/>
    <col min="13" max="13" width="18.7109375" style="1733" customWidth="1"/>
    <col min="14" max="14" width="18.7109375" style="1703" customWidth="1"/>
    <col min="15" max="15" width="18.7109375" style="1735" customWidth="1"/>
    <col min="16" max="16" width="13" style="1698" bestFit="1" customWidth="1"/>
    <col min="17" max="17" width="18.7109375" style="1735" customWidth="1"/>
    <col min="18" max="18" width="11.42578125" style="1603" bestFit="1" customWidth="1"/>
    <col min="19" max="20" width="11.42578125" style="1603" customWidth="1"/>
    <col min="21" max="22" width="23.28515625" style="1631" customWidth="1"/>
    <col min="23" max="23" width="23.28515625" style="1397" customWidth="1"/>
    <col min="24" max="24" width="23.28515625" style="795" customWidth="1"/>
    <col min="25" max="25" width="17.28515625" style="1140" customWidth="1"/>
    <col min="26" max="26" width="26.140625" style="1140" customWidth="1"/>
    <col min="27" max="27" width="19.5703125" style="1140" bestFit="1" customWidth="1"/>
    <col min="28" max="28" width="13.140625" style="1140" bestFit="1" customWidth="1"/>
    <col min="29" max="31" width="13.5703125" style="1140" customWidth="1"/>
    <col min="32" max="32" width="4" style="1140" customWidth="1"/>
    <col min="33" max="33" width="7.85546875" style="1140" customWidth="1"/>
    <col min="34" max="37" width="11" style="1140" customWidth="1"/>
    <col min="38" max="38" width="9.140625" style="1140" customWidth="1"/>
    <col min="39" max="39" width="9.140625" style="1140"/>
    <col min="40" max="40" width="18.28515625" style="1140" customWidth="1"/>
    <col min="41" max="16384" width="9.140625" style="1140"/>
  </cols>
  <sheetData>
    <row r="1" spans="1:44" s="1139" customFormat="1" ht="18" customHeight="1" thickTop="1" x14ac:dyDescent="0.3">
      <c r="A1" s="2541" t="s">
        <v>343</v>
      </c>
      <c r="B1" s="2542"/>
      <c r="C1" s="2542"/>
      <c r="D1" s="2542"/>
      <c r="E1" s="1353" t="str">
        <f>+COMBINED!E2</f>
        <v>2015-2016</v>
      </c>
      <c r="F1" s="1369" t="str">
        <f>+COMBINED!F2</f>
        <v>2016-2017</v>
      </c>
      <c r="G1" s="1370" t="str">
        <f>+COMBINED!G2</f>
        <v>2017-2018</v>
      </c>
      <c r="H1" s="1371" t="str">
        <f>+COMBINED!H2</f>
        <v>2018-2019</v>
      </c>
      <c r="I1" s="1372" t="str">
        <f>+COMBINED!I2</f>
        <v>2019-2020</v>
      </c>
      <c r="J1" s="1372" t="str">
        <f>+COMBINED!J2</f>
        <v>2020-2021</v>
      </c>
      <c r="K1" s="1372" t="str">
        <f>+COMBINED!K2</f>
        <v>2021-2022</v>
      </c>
      <c r="L1" s="1372" t="str">
        <f>+COMBINED!L2</f>
        <v>2022-2023</v>
      </c>
      <c r="M1" s="1719"/>
      <c r="N1" s="1704"/>
      <c r="O1" s="1734"/>
      <c r="P1" s="1706"/>
      <c r="Q1" s="1734"/>
      <c r="R1" s="1705"/>
      <c r="S1" s="1705"/>
      <c r="T1" s="1705"/>
      <c r="U1" s="1630"/>
      <c r="V1" s="1614"/>
      <c r="W1" s="1614"/>
      <c r="X1" s="1615"/>
      <c r="Y1" s="1577"/>
    </row>
    <row r="2" spans="1:44" s="1139" customFormat="1" ht="36" x14ac:dyDescent="0.3">
      <c r="A2" s="2543"/>
      <c r="B2" s="2544"/>
      <c r="C2" s="2544"/>
      <c r="D2" s="2544"/>
      <c r="E2" s="1366"/>
      <c r="F2" s="1406" t="s">
        <v>858</v>
      </c>
      <c r="G2" s="1689" t="s">
        <v>944</v>
      </c>
      <c r="H2" s="1569" t="s">
        <v>859</v>
      </c>
      <c r="I2" s="1570" t="s">
        <v>859</v>
      </c>
      <c r="J2" s="1367" t="s">
        <v>859</v>
      </c>
      <c r="K2" s="1367" t="s">
        <v>859</v>
      </c>
      <c r="L2" s="1367" t="s">
        <v>859</v>
      </c>
      <c r="M2" s="1719"/>
      <c r="N2" s="1704"/>
      <c r="O2" s="1734"/>
      <c r="P2" s="1706"/>
      <c r="Q2" s="1734"/>
      <c r="R2" s="1705"/>
      <c r="S2" s="1705"/>
      <c r="T2" s="1705"/>
      <c r="U2" s="1630"/>
      <c r="V2" s="1614"/>
      <c r="W2" s="1614"/>
      <c r="X2" s="1615"/>
      <c r="Y2" s="1577"/>
    </row>
    <row r="3" spans="1:44" x14ac:dyDescent="0.25">
      <c r="A3" s="1358"/>
      <c r="B3" s="1359"/>
      <c r="C3" s="1360"/>
      <c r="D3" s="1360"/>
      <c r="E3" s="178"/>
      <c r="F3" s="1361"/>
      <c r="G3" s="1362"/>
      <c r="H3" s="1363"/>
      <c r="I3" s="1364"/>
      <c r="J3" s="1364"/>
      <c r="K3" s="1364"/>
      <c r="L3" s="1364"/>
      <c r="M3" s="1720"/>
      <c r="V3" s="1397"/>
      <c r="X3" s="462"/>
      <c r="Y3" s="1578"/>
      <c r="AA3" s="1579" t="s">
        <v>720</v>
      </c>
    </row>
    <row r="4" spans="1:44" ht="18" x14ac:dyDescent="0.25">
      <c r="A4" s="1215"/>
      <c r="B4" s="1173" t="s">
        <v>344</v>
      </c>
      <c r="C4" s="1174"/>
      <c r="D4" s="1174"/>
      <c r="E4" s="667"/>
      <c r="F4" s="962"/>
      <c r="G4" s="1029"/>
      <c r="H4" s="998"/>
      <c r="I4" s="668"/>
      <c r="J4" s="668"/>
      <c r="K4" s="668"/>
      <c r="L4" s="668"/>
      <c r="M4" s="1721"/>
      <c r="N4" s="1707"/>
      <c r="O4" s="1736"/>
      <c r="P4" s="1709"/>
      <c r="Q4" s="1736"/>
      <c r="R4" s="1708"/>
      <c r="S4" s="1708"/>
      <c r="T4" s="1708"/>
      <c r="V4" s="1397"/>
      <c r="X4" s="462"/>
      <c r="Y4" s="1578"/>
      <c r="AA4" s="1580">
        <f>+G5-F5</f>
        <v>1859870.9399999976</v>
      </c>
      <c r="AB4" s="1580">
        <f>+H5-G5</f>
        <v>5122330</v>
      </c>
      <c r="AC4" s="1580">
        <f>+I5-H5</f>
        <v>-487468</v>
      </c>
    </row>
    <row r="5" spans="1:44" ht="18" x14ac:dyDescent="0.25">
      <c r="A5" s="1216"/>
      <c r="B5" s="1176"/>
      <c r="C5" s="739" t="s">
        <v>701</v>
      </c>
      <c r="D5" s="739"/>
      <c r="E5" s="617"/>
      <c r="F5" s="963">
        <f>+'RS 0000 &amp; 1400'!D10+'RS 0653'!D9+'RS 0654'!D9+'RS 0655'!D9+'RS 0617'!D9</f>
        <v>64149318.060000002</v>
      </c>
      <c r="G5" s="1030">
        <f>+'RS 0000 &amp; 1400'!H10+'RS 0653'!H9+'RS 0654'!H9+'RS 0655'!H9+'RS 0617'!H11</f>
        <v>66009189</v>
      </c>
      <c r="H5" s="1683">
        <f>+'RS 0000 &amp; 1400'!L10+'RS 0653'!L9+'RS 0654'!L9+'RS 0655'!L9+'RS 0617'!L11</f>
        <v>71131519</v>
      </c>
      <c r="I5" s="663">
        <f>+'RS 0000 &amp; 1400'!P10+'RS 0653'!P9+'RS 0654'!P9+'RS 0655'!P9+'RS 0617'!P11</f>
        <v>70644051</v>
      </c>
      <c r="J5" s="663">
        <v>71555411</v>
      </c>
      <c r="K5" s="663">
        <f>+J5*1.0266</f>
        <v>73458784.932599992</v>
      </c>
      <c r="L5" s="663">
        <f>+K5*1.0266</f>
        <v>75412788.611807153</v>
      </c>
      <c r="M5" s="1722">
        <f>+G5-F5</f>
        <v>1859870.9399999976</v>
      </c>
      <c r="N5" s="1699">
        <f>IFERROR(M5/F5,0)</f>
        <v>2.8992840395597456E-2</v>
      </c>
      <c r="O5" s="1722">
        <f>+H5-G5</f>
        <v>5122330</v>
      </c>
      <c r="P5" s="1699">
        <f>IFERROR(O5/G5,0)</f>
        <v>7.760025653398045E-2</v>
      </c>
      <c r="Q5" s="1722">
        <f>+I5-H5</f>
        <v>-487468</v>
      </c>
      <c r="R5" s="1699">
        <f>IFERROR(Q5/H5,0)</f>
        <v>-6.8530520204411775E-3</v>
      </c>
      <c r="S5" s="1712"/>
      <c r="T5" s="1712"/>
      <c r="V5" s="1397"/>
      <c r="X5" s="462"/>
      <c r="Y5" s="1578"/>
      <c r="AA5" s="1581">
        <f>+AA4/F5</f>
        <v>2.8992840395597456E-2</v>
      </c>
      <c r="AB5" s="1581">
        <f>+AB4/G5</f>
        <v>7.760025653398045E-2</v>
      </c>
      <c r="AC5" s="1581">
        <f>+AC4/H5</f>
        <v>-6.8530520204411775E-3</v>
      </c>
    </row>
    <row r="6" spans="1:44" ht="18" x14ac:dyDescent="0.25">
      <c r="A6" s="1216"/>
      <c r="B6" s="1176"/>
      <c r="C6" s="739"/>
      <c r="D6" s="1217" t="s">
        <v>851</v>
      </c>
      <c r="E6" s="961"/>
      <c r="F6" s="964">
        <v>0</v>
      </c>
      <c r="G6" s="1031">
        <v>0</v>
      </c>
      <c r="H6" s="1684">
        <v>0</v>
      </c>
      <c r="I6" s="648">
        <v>0</v>
      </c>
      <c r="J6" s="648"/>
      <c r="K6" s="648"/>
      <c r="L6" s="648"/>
      <c r="M6" s="1722">
        <f>+G6-F6</f>
        <v>0</v>
      </c>
      <c r="N6" s="1699">
        <f t="shared" ref="N6:N13" si="0">IFERROR(M6/F6,0)</f>
        <v>0</v>
      </c>
      <c r="O6" s="1722">
        <f>+H6-G6</f>
        <v>0</v>
      </c>
      <c r="P6" s="1699">
        <f t="shared" ref="P6:P13" si="1">IFERROR(O6/G6,0)</f>
        <v>0</v>
      </c>
      <c r="Q6" s="1722">
        <f t="shared" ref="Q6:Q13" si="2">+I6-H6</f>
        <v>0</v>
      </c>
      <c r="R6" s="1699">
        <f t="shared" ref="R6:R13" si="3">IFERROR(Q6/H6,0)</f>
        <v>0</v>
      </c>
      <c r="S6" s="1712"/>
      <c r="T6" s="1712"/>
      <c r="V6" s="1612"/>
      <c r="W6" s="1612"/>
      <c r="X6" s="463"/>
      <c r="Y6" s="1150"/>
      <c r="Z6" s="1141"/>
      <c r="AA6" s="1581"/>
      <c r="AB6" s="1581"/>
      <c r="AC6" s="1581"/>
    </row>
    <row r="7" spans="1:44" ht="18" x14ac:dyDescent="0.25">
      <c r="A7" s="1218"/>
      <c r="B7" s="1178"/>
      <c r="C7" s="731" t="s">
        <v>520</v>
      </c>
      <c r="D7" s="731"/>
      <c r="E7" s="619"/>
      <c r="F7" s="965">
        <f>+'RS 0000 &amp; 1400'!D11</f>
        <v>100830.73</v>
      </c>
      <c r="G7" s="1032">
        <f>+'RS 0000 &amp; 1400'!H11</f>
        <v>0</v>
      </c>
      <c r="H7" s="1685">
        <f>+'RS 0000 &amp; 1400'!L11</f>
        <v>0</v>
      </c>
      <c r="I7" s="647">
        <f>+'RS 0000 &amp; 1400'!P11</f>
        <v>0</v>
      </c>
      <c r="J7" s="647"/>
      <c r="K7" s="647"/>
      <c r="L7" s="647"/>
      <c r="M7" s="1722">
        <f t="shared" ref="M7:M13" si="4">+G7-F7</f>
        <v>-100830.73</v>
      </c>
      <c r="N7" s="1699">
        <f t="shared" si="0"/>
        <v>-1</v>
      </c>
      <c r="O7" s="1722">
        <f>+H7-G7</f>
        <v>0</v>
      </c>
      <c r="P7" s="1699">
        <f t="shared" si="1"/>
        <v>0</v>
      </c>
      <c r="Q7" s="1722">
        <f t="shared" si="2"/>
        <v>0</v>
      </c>
      <c r="R7" s="1699">
        <f t="shared" si="3"/>
        <v>0</v>
      </c>
      <c r="S7" s="1712"/>
      <c r="T7" s="1712"/>
      <c r="U7" s="1632"/>
      <c r="V7" s="1612"/>
      <c r="W7" s="1612"/>
      <c r="X7" s="463"/>
      <c r="Y7" s="1150"/>
      <c r="Z7" s="1141"/>
    </row>
    <row r="8" spans="1:44" ht="18" hidden="1" x14ac:dyDescent="0.25">
      <c r="A8" s="1331"/>
      <c r="B8" s="1332"/>
      <c r="C8" s="1333"/>
      <c r="D8" s="1333"/>
      <c r="E8" s="1334"/>
      <c r="F8" s="965"/>
      <c r="G8" s="1032"/>
      <c r="H8" s="1685"/>
      <c r="I8" s="647"/>
      <c r="J8" s="647"/>
      <c r="K8" s="647"/>
      <c r="L8" s="647"/>
      <c r="M8" s="1722">
        <f t="shared" si="4"/>
        <v>0</v>
      </c>
      <c r="N8" s="1699">
        <f t="shared" si="0"/>
        <v>0</v>
      </c>
      <c r="O8" s="1722">
        <f t="shared" ref="O8:O13" si="5">+H8-G8</f>
        <v>0</v>
      </c>
      <c r="P8" s="1699">
        <f t="shared" si="1"/>
        <v>0</v>
      </c>
      <c r="Q8" s="1722">
        <f t="shared" si="2"/>
        <v>0</v>
      </c>
      <c r="R8" s="1699">
        <f t="shared" si="3"/>
        <v>0</v>
      </c>
      <c r="S8" s="1712"/>
      <c r="T8" s="1712"/>
      <c r="U8" s="1632"/>
      <c r="V8" s="1612"/>
      <c r="W8" s="1612"/>
      <c r="X8" s="463"/>
      <c r="Y8" s="1150"/>
      <c r="Z8" s="1141"/>
    </row>
    <row r="9" spans="1:44" ht="18" x14ac:dyDescent="0.25">
      <c r="A9" s="1218"/>
      <c r="B9" s="1178"/>
      <c r="C9" s="731" t="s">
        <v>347</v>
      </c>
      <c r="D9" s="731"/>
      <c r="E9" s="619"/>
      <c r="F9" s="965">
        <f>+'RS 0000 &amp; 1400'!D12+'RS 0000 &amp; 1400'!D14+'RS 1100'!D9</f>
        <v>1417478.97</v>
      </c>
      <c r="G9" s="1032">
        <f>+'RS 0000 &amp; 1400'!H12+'RS 0000 &amp; 1400'!H14+'RS 1100'!H11</f>
        <v>1411811</v>
      </c>
      <c r="H9" s="1685">
        <f>+'RS 0000 &amp; 1400'!L12+'RS 0000 &amp; 1400'!L14+'RS 1100'!L9</f>
        <v>1392629</v>
      </c>
      <c r="I9" s="647">
        <f>+'RS 0000 &amp; 1400'!P12+'RS 0000 &amp; 1400'!P14+'RS 1100'!P9</f>
        <v>1427767</v>
      </c>
      <c r="J9" s="647" t="e">
        <f>(I9)*(1+#REF!)</f>
        <v>#REF!</v>
      </c>
      <c r="K9" s="647" t="e">
        <f>(J9)*(1+#REF!)</f>
        <v>#REF!</v>
      </c>
      <c r="L9" s="647" t="e">
        <f>(K9)*(1+#REF!)</f>
        <v>#REF!</v>
      </c>
      <c r="M9" s="1722">
        <f t="shared" si="4"/>
        <v>-5667.9699999999721</v>
      </c>
      <c r="N9" s="1699">
        <f t="shared" si="0"/>
        <v>-3.9986272247834282E-3</v>
      </c>
      <c r="O9" s="1722">
        <f t="shared" si="5"/>
        <v>-19182</v>
      </c>
      <c r="P9" s="1699">
        <f t="shared" si="1"/>
        <v>-1.3586804466036885E-2</v>
      </c>
      <c r="Q9" s="1722">
        <f t="shared" si="2"/>
        <v>35138</v>
      </c>
      <c r="R9" s="1699">
        <f t="shared" si="3"/>
        <v>2.5231414827638948E-2</v>
      </c>
      <c r="S9" s="1712"/>
      <c r="T9" s="1712"/>
      <c r="U9" s="1632"/>
      <c r="V9" s="1612"/>
      <c r="W9" s="1612"/>
      <c r="X9" s="463"/>
      <c r="Y9" s="1150"/>
      <c r="Z9" s="1141"/>
    </row>
    <row r="10" spans="1:44" ht="18" x14ac:dyDescent="0.25">
      <c r="A10" s="1219"/>
      <c r="B10" s="1220"/>
      <c r="C10" s="1221"/>
      <c r="D10" s="1179" t="s">
        <v>348</v>
      </c>
      <c r="E10" s="620"/>
      <c r="F10" s="964">
        <f>+'RS 0000 &amp; 1400'!D13</f>
        <v>1687542</v>
      </c>
      <c r="G10" s="1031">
        <f>+'RS 0000 &amp; 1400'!H13</f>
        <v>1143299</v>
      </c>
      <c r="H10" s="1684">
        <f>+'RS 0000 &amp; 1400'!L13</f>
        <v>2654872</v>
      </c>
      <c r="I10" s="648">
        <f>+'RS 0000 &amp; 1400'!P13</f>
        <v>0</v>
      </c>
      <c r="J10" s="648">
        <v>0</v>
      </c>
      <c r="K10" s="648">
        <v>0</v>
      </c>
      <c r="L10" s="648">
        <v>0</v>
      </c>
      <c r="M10" s="1722">
        <f>+G10-F10</f>
        <v>-544243</v>
      </c>
      <c r="N10" s="1699">
        <f t="shared" si="0"/>
        <v>-0.32250634354581992</v>
      </c>
      <c r="O10" s="1722">
        <f t="shared" si="5"/>
        <v>1511573</v>
      </c>
      <c r="P10" s="1699">
        <f t="shared" si="1"/>
        <v>1.3221152122060809</v>
      </c>
      <c r="Q10" s="1722">
        <f t="shared" si="2"/>
        <v>-2654872</v>
      </c>
      <c r="R10" s="1699">
        <f t="shared" si="3"/>
        <v>-1</v>
      </c>
      <c r="S10" s="1712"/>
      <c r="T10" s="1712"/>
      <c r="U10" s="1632"/>
      <c r="V10" s="1612"/>
      <c r="W10" s="1612"/>
      <c r="X10" s="463"/>
      <c r="Y10" s="1150"/>
      <c r="Z10" s="1141"/>
    </row>
    <row r="11" spans="1:44" ht="18.75" x14ac:dyDescent="0.3">
      <c r="A11" s="1218"/>
      <c r="B11" s="1178"/>
      <c r="C11" s="731" t="s">
        <v>349</v>
      </c>
      <c r="D11" s="731"/>
      <c r="E11" s="619"/>
      <c r="F11" s="965">
        <f>+SUM('RS 0000 &amp; 1400'!D17:D23)+'RS 0655'!D10</f>
        <v>629241.15000000014</v>
      </c>
      <c r="G11" s="1032">
        <f>+SUM('RS 0000 &amp; 1400'!H15:H23)+'RS 0655'!H10</f>
        <v>1323003</v>
      </c>
      <c r="H11" s="1685">
        <f>+SUM('RS 0000 &amp; 1400'!L17:L23)+'RS 0655'!L10</f>
        <v>650208</v>
      </c>
      <c r="I11" s="647">
        <f>+SUM('RS 0000 &amp; 1400'!P17:P23)+'RS 0655'!P10</f>
        <v>666662</v>
      </c>
      <c r="J11" s="647">
        <f t="shared" ref="J11:L11" si="6">+I11</f>
        <v>666662</v>
      </c>
      <c r="K11" s="647">
        <f t="shared" si="6"/>
        <v>666662</v>
      </c>
      <c r="L11" s="647">
        <f t="shared" si="6"/>
        <v>666662</v>
      </c>
      <c r="M11" s="1722">
        <f t="shared" si="4"/>
        <v>693761.84999999986</v>
      </c>
      <c r="N11" s="1699">
        <f t="shared" si="0"/>
        <v>1.1025373181649034</v>
      </c>
      <c r="O11" s="1722">
        <f t="shared" si="5"/>
        <v>-672795</v>
      </c>
      <c r="P11" s="1699">
        <f t="shared" si="1"/>
        <v>-0.50853626182253553</v>
      </c>
      <c r="Q11" s="1722">
        <f t="shared" si="2"/>
        <v>16454</v>
      </c>
      <c r="R11" s="1699">
        <f t="shared" si="3"/>
        <v>2.5305748314385552E-2</v>
      </c>
      <c r="S11" s="1712"/>
      <c r="T11" s="1712"/>
      <c r="U11" s="1608"/>
      <c r="V11" s="1612"/>
      <c r="W11" s="1612"/>
      <c r="X11" s="463"/>
      <c r="Y11" s="1150"/>
      <c r="Z11" s="1141"/>
    </row>
    <row r="12" spans="1:44" ht="20.25" x14ac:dyDescent="0.4">
      <c r="A12" s="1222"/>
      <c r="B12" s="1223"/>
      <c r="C12" s="1224"/>
      <c r="D12" s="1225" t="s">
        <v>663</v>
      </c>
      <c r="E12" s="199"/>
      <c r="F12" s="966">
        <f>+'RS 0000 &amp; 1400'!D15+'RS 0000 &amp; 1400'!D16</f>
        <v>807000</v>
      </c>
      <c r="G12" s="1033">
        <f>+'RS 0000 &amp; 1400'!H15+'RS 0000 &amp; 1400'!H16</f>
        <v>803000</v>
      </c>
      <c r="H12" s="1686">
        <f>+'RS 0000 &amp; 1400'!L15+'RS 0000 &amp; 1400'!L16</f>
        <v>0</v>
      </c>
      <c r="I12" s="669">
        <f>+'RS 0000 &amp; 1400'!P15+'RS 0000 &amp; 1400'!P16</f>
        <v>0</v>
      </c>
      <c r="J12" s="669">
        <v>0</v>
      </c>
      <c r="K12" s="669">
        <v>0</v>
      </c>
      <c r="L12" s="669">
        <v>0</v>
      </c>
      <c r="M12" s="1722">
        <f t="shared" si="4"/>
        <v>-4000</v>
      </c>
      <c r="N12" s="1699">
        <f t="shared" si="0"/>
        <v>-4.9566294919454771E-3</v>
      </c>
      <c r="O12" s="1722">
        <f t="shared" si="5"/>
        <v>-803000</v>
      </c>
      <c r="P12" s="1699">
        <f t="shared" si="1"/>
        <v>-1</v>
      </c>
      <c r="Q12" s="1722">
        <f t="shared" si="2"/>
        <v>0</v>
      </c>
      <c r="R12" s="1699">
        <f t="shared" si="3"/>
        <v>0</v>
      </c>
      <c r="S12" s="1712"/>
      <c r="T12" s="1712"/>
      <c r="U12" s="1633"/>
      <c r="V12" s="1612"/>
      <c r="W12" s="1612"/>
      <c r="X12" s="463"/>
      <c r="Y12" s="1150"/>
      <c r="Z12" s="1141"/>
    </row>
    <row r="13" spans="1:44" ht="18" customHeight="1" thickBot="1" x14ac:dyDescent="0.3">
      <c r="A13" s="1183"/>
      <c r="B13" s="1184" t="s">
        <v>350</v>
      </c>
      <c r="C13" s="1192"/>
      <c r="D13" s="1192"/>
      <c r="E13" s="624"/>
      <c r="F13" s="967">
        <f>SUM(F5:F12)</f>
        <v>68791410.909999996</v>
      </c>
      <c r="G13" s="1034">
        <f>SUM(G5:G12)</f>
        <v>70690302</v>
      </c>
      <c r="H13" s="1002">
        <f>SUM(H5:H12)</f>
        <v>75829228</v>
      </c>
      <c r="I13" s="654">
        <f>SUM(I5:I12)</f>
        <v>72738480</v>
      </c>
      <c r="J13" s="654" t="e">
        <f t="shared" ref="J13:L13" si="7">SUM(J5:J12)</f>
        <v>#REF!</v>
      </c>
      <c r="K13" s="654" t="e">
        <f t="shared" si="7"/>
        <v>#REF!</v>
      </c>
      <c r="L13" s="654" t="e">
        <f t="shared" si="7"/>
        <v>#REF!</v>
      </c>
      <c r="M13" s="1722">
        <f t="shared" si="4"/>
        <v>1898891.0900000036</v>
      </c>
      <c r="N13" s="1699">
        <f t="shared" si="0"/>
        <v>2.7603607265510637E-2</v>
      </c>
      <c r="O13" s="1722">
        <f t="shared" si="5"/>
        <v>5138926</v>
      </c>
      <c r="P13" s="1699">
        <f t="shared" si="1"/>
        <v>7.2696336762007333E-2</v>
      </c>
      <c r="Q13" s="1722">
        <f t="shared" si="2"/>
        <v>-3090748</v>
      </c>
      <c r="R13" s="1699">
        <f t="shared" si="3"/>
        <v>-4.0759323040978339E-2</v>
      </c>
      <c r="S13" s="1712"/>
      <c r="T13" s="1712"/>
      <c r="U13" s="1634"/>
      <c r="V13" s="1635"/>
      <c r="W13" s="1635"/>
      <c r="X13" s="631"/>
      <c r="Y13" s="1582"/>
      <c r="Z13" s="1141"/>
    </row>
    <row r="14" spans="1:44" ht="18" customHeight="1" thickTop="1" x14ac:dyDescent="0.25">
      <c r="A14" s="1226"/>
      <c r="B14" s="1227"/>
      <c r="C14" s="1228"/>
      <c r="D14" s="1228"/>
      <c r="E14" s="683"/>
      <c r="F14" s="968"/>
      <c r="G14" s="1035"/>
      <c r="H14" s="1003"/>
      <c r="I14" s="651"/>
      <c r="J14" s="651"/>
      <c r="K14" s="651"/>
      <c r="L14" s="651"/>
      <c r="M14" s="1722"/>
      <c r="N14" s="1699"/>
      <c r="O14" s="1722"/>
      <c r="P14" s="1699"/>
      <c r="Q14" s="1722"/>
      <c r="R14" s="1699"/>
      <c r="S14" s="1712"/>
      <c r="T14" s="1712"/>
      <c r="U14" s="1632"/>
      <c r="V14" s="1635"/>
      <c r="W14" s="1635"/>
      <c r="X14" s="631"/>
      <c r="Y14" s="1582"/>
      <c r="Z14" s="1141"/>
    </row>
    <row r="15" spans="1:44" ht="18" customHeight="1" x14ac:dyDescent="0.25">
      <c r="A15" s="1215"/>
      <c r="B15" s="1173" t="s">
        <v>702</v>
      </c>
      <c r="C15" s="1174"/>
      <c r="D15" s="1174"/>
      <c r="E15" s="661"/>
      <c r="F15" s="969"/>
      <c r="G15" s="1036"/>
      <c r="H15" s="1004"/>
      <c r="I15" s="662"/>
      <c r="J15" s="662"/>
      <c r="K15" s="662"/>
      <c r="L15" s="662"/>
      <c r="M15" s="1722"/>
      <c r="N15" s="1699"/>
      <c r="O15" s="1722"/>
      <c r="P15" s="1699"/>
      <c r="Q15" s="1722"/>
      <c r="R15" s="1699"/>
      <c r="S15" s="1712"/>
      <c r="T15" s="1712"/>
      <c r="U15" s="1632"/>
      <c r="V15" s="1635"/>
      <c r="W15" s="1635"/>
      <c r="X15" s="631"/>
      <c r="Y15" s="1582"/>
      <c r="Z15" s="1141"/>
    </row>
    <row r="16" spans="1:44" ht="18" x14ac:dyDescent="0.25">
      <c r="A16" s="1216"/>
      <c r="B16" s="1176"/>
      <c r="C16" s="739" t="s">
        <v>361</v>
      </c>
      <c r="D16" s="739"/>
      <c r="E16" s="618"/>
      <c r="F16" s="963">
        <v>0</v>
      </c>
      <c r="G16" s="1030">
        <v>0</v>
      </c>
      <c r="H16" s="999">
        <v>0</v>
      </c>
      <c r="I16" s="663">
        <v>0</v>
      </c>
      <c r="J16" s="663">
        <v>0</v>
      </c>
      <c r="K16" s="663">
        <v>0</v>
      </c>
      <c r="L16" s="663">
        <v>0</v>
      </c>
      <c r="M16" s="1722">
        <f t="shared" ref="M16:M61" si="8">+G16-F16</f>
        <v>0</v>
      </c>
      <c r="N16" s="1699">
        <f t="shared" ref="N16:N61" si="9">IFERROR(M16/F16,0)</f>
        <v>0</v>
      </c>
      <c r="O16" s="1722">
        <f t="shared" ref="O16:O61" si="10">+H16-G16</f>
        <v>0</v>
      </c>
      <c r="P16" s="1699">
        <f t="shared" ref="P16:P61" si="11">IFERROR(O16/G16,0)</f>
        <v>0</v>
      </c>
      <c r="Q16" s="1722">
        <f t="shared" ref="Q16:Q61" si="12">+I16-H16</f>
        <v>0</v>
      </c>
      <c r="R16" s="1699">
        <f t="shared" ref="R16:R61" si="13">IFERROR(Q16/H16,0)</f>
        <v>0</v>
      </c>
      <c r="S16" s="1712"/>
      <c r="T16" s="1712"/>
      <c r="U16" s="1636"/>
      <c r="V16" s="1637"/>
      <c r="W16" s="1637"/>
      <c r="X16" s="1616"/>
      <c r="Y16" s="1148"/>
      <c r="Z16" s="1148"/>
      <c r="AA16" s="1148"/>
      <c r="AB16" s="1141"/>
      <c r="AC16" s="1141"/>
      <c r="AD16" s="1141"/>
      <c r="AE16" s="1141"/>
      <c r="AF16" s="1141"/>
      <c r="AG16" s="1141"/>
      <c r="AH16" s="1141"/>
      <c r="AI16" s="1141"/>
      <c r="AJ16" s="1141"/>
      <c r="AK16" s="1141"/>
      <c r="AL16" s="1141"/>
      <c r="AM16" s="1141"/>
      <c r="AN16" s="1141"/>
      <c r="AO16" s="1141"/>
      <c r="AP16" s="1141"/>
      <c r="AQ16" s="1141"/>
      <c r="AR16" s="1141"/>
    </row>
    <row r="17" spans="1:44" s="1143" customFormat="1" ht="18" x14ac:dyDescent="0.25">
      <c r="A17" s="1218"/>
      <c r="B17" s="1178"/>
      <c r="C17" s="731" t="s">
        <v>270</v>
      </c>
      <c r="D17" s="731"/>
      <c r="E17" s="619"/>
      <c r="F17" s="970">
        <v>0</v>
      </c>
      <c r="G17" s="1032">
        <v>0</v>
      </c>
      <c r="H17" s="1001">
        <v>0</v>
      </c>
      <c r="I17" s="647">
        <v>0</v>
      </c>
      <c r="J17" s="647">
        <v>0</v>
      </c>
      <c r="K17" s="647">
        <v>0</v>
      </c>
      <c r="L17" s="647">
        <v>0</v>
      </c>
      <c r="M17" s="1722">
        <f t="shared" si="8"/>
        <v>0</v>
      </c>
      <c r="N17" s="1699">
        <f t="shared" si="9"/>
        <v>0</v>
      </c>
      <c r="O17" s="1722">
        <f t="shared" si="10"/>
        <v>0</v>
      </c>
      <c r="P17" s="1699">
        <f t="shared" si="11"/>
        <v>0</v>
      </c>
      <c r="Q17" s="1722">
        <f t="shared" si="12"/>
        <v>0</v>
      </c>
      <c r="R17" s="1699">
        <f t="shared" si="13"/>
        <v>0</v>
      </c>
      <c r="S17" s="1712"/>
      <c r="T17" s="1712"/>
      <c r="U17" s="1636"/>
      <c r="V17" s="1637"/>
      <c r="W17" s="1637"/>
      <c r="X17" s="1616"/>
      <c r="Y17" s="1148"/>
      <c r="Z17" s="1148"/>
      <c r="AA17" s="1148"/>
      <c r="AB17" s="1142"/>
      <c r="AC17" s="1142"/>
      <c r="AD17" s="1142"/>
      <c r="AE17" s="1142"/>
      <c r="AF17" s="1142"/>
      <c r="AG17" s="1142"/>
      <c r="AH17" s="1142"/>
      <c r="AI17" s="1142"/>
      <c r="AJ17" s="1142"/>
      <c r="AK17" s="1142"/>
      <c r="AL17" s="1142"/>
      <c r="AM17" s="1142"/>
      <c r="AN17" s="1142"/>
      <c r="AO17" s="1142"/>
      <c r="AP17" s="1142"/>
      <c r="AQ17" s="1142"/>
      <c r="AR17" s="1142"/>
    </row>
    <row r="18" spans="1:44" ht="24.75" customHeight="1" x14ac:dyDescent="0.25">
      <c r="A18" s="1218"/>
      <c r="B18" s="1178"/>
      <c r="C18" s="731" t="s">
        <v>396</v>
      </c>
      <c r="D18" s="731"/>
      <c r="E18" s="619"/>
      <c r="F18" s="970"/>
      <c r="G18" s="1032"/>
      <c r="H18" s="1001"/>
      <c r="I18" s="647"/>
      <c r="J18" s="647" t="e">
        <f>-#REF!</f>
        <v>#REF!</v>
      </c>
      <c r="K18" s="647" t="e">
        <f>-#REF!</f>
        <v>#REF!</v>
      </c>
      <c r="L18" s="647" t="e">
        <f>-#REF!</f>
        <v>#REF!</v>
      </c>
      <c r="M18" s="1722"/>
      <c r="N18" s="1699"/>
      <c r="O18" s="1722"/>
      <c r="P18" s="1699"/>
      <c r="Q18" s="1722"/>
      <c r="R18" s="1699"/>
      <c r="S18" s="1712"/>
      <c r="T18" s="1712"/>
      <c r="U18" s="1637"/>
      <c r="V18" s="1636"/>
      <c r="W18" s="1636"/>
      <c r="X18" s="1617"/>
      <c r="Y18" s="1149"/>
      <c r="Z18" s="1141"/>
      <c r="AA18" s="1141"/>
      <c r="AB18" s="1141"/>
      <c r="AC18" s="1141"/>
      <c r="AD18" s="1141"/>
      <c r="AE18" s="1141"/>
      <c r="AF18" s="1141"/>
      <c r="AG18" s="1141"/>
      <c r="AH18" s="1141"/>
      <c r="AI18" s="1141"/>
      <c r="AJ18" s="1141"/>
      <c r="AK18" s="1141"/>
      <c r="AL18" s="1141"/>
      <c r="AM18" s="1141"/>
      <c r="AN18" s="1141"/>
      <c r="AO18" s="1141"/>
      <c r="AP18" s="1141"/>
      <c r="AQ18" s="1141"/>
      <c r="AR18" s="1141"/>
    </row>
    <row r="19" spans="1:44" ht="18" x14ac:dyDescent="0.25">
      <c r="A19" s="1218"/>
      <c r="B19" s="1178"/>
      <c r="C19" s="731"/>
      <c r="D19" s="731" t="str">
        <f>+RESTRICTED!D20</f>
        <v>Special Education (RS 6500)</v>
      </c>
      <c r="E19" s="619">
        <f>-RESTRICTED!E20</f>
        <v>0</v>
      </c>
      <c r="F19" s="970">
        <f>-RESTRICTED!F20</f>
        <v>-11011522.92</v>
      </c>
      <c r="G19" s="1032">
        <f>-RESTRICTED!G20</f>
        <v>-12810175</v>
      </c>
      <c r="H19" s="1001">
        <f>-RESTRICTED!H20</f>
        <v>-13924421</v>
      </c>
      <c r="I19" s="647">
        <f>-RESTRICTED!I20</f>
        <v>-14065041</v>
      </c>
      <c r="J19" s="647"/>
      <c r="K19" s="647"/>
      <c r="L19" s="647"/>
      <c r="M19" s="1722">
        <f t="shared" si="8"/>
        <v>-1798652.08</v>
      </c>
      <c r="N19" s="1699">
        <f t="shared" si="9"/>
        <v>0.16334271772101075</v>
      </c>
      <c r="O19" s="1722">
        <f>+H19-G19</f>
        <v>-1114246</v>
      </c>
      <c r="P19" s="1699">
        <f>IFERROR(O19/G19,0)</f>
        <v>8.6981325391729619E-2</v>
      </c>
      <c r="Q19" s="1722">
        <f t="shared" si="12"/>
        <v>-140620</v>
      </c>
      <c r="R19" s="1699">
        <f t="shared" si="13"/>
        <v>1.0098804108264178E-2</v>
      </c>
      <c r="S19" s="1712"/>
      <c r="T19" s="1712"/>
      <c r="U19" s="1637"/>
      <c r="V19" s="1636"/>
      <c r="W19" s="1636"/>
      <c r="X19" s="1617"/>
      <c r="Y19" s="1149"/>
      <c r="Z19" s="1141"/>
      <c r="AA19" s="1141"/>
      <c r="AB19" s="1141"/>
      <c r="AC19" s="1141"/>
      <c r="AD19" s="1141"/>
      <c r="AE19" s="1141"/>
      <c r="AF19" s="1141"/>
      <c r="AG19" s="1141"/>
      <c r="AH19" s="1141"/>
      <c r="AI19" s="1141"/>
      <c r="AJ19" s="1141"/>
      <c r="AK19" s="1141"/>
      <c r="AL19" s="1141"/>
      <c r="AM19" s="1141"/>
      <c r="AN19" s="1141"/>
      <c r="AO19" s="1141"/>
      <c r="AP19" s="1141"/>
      <c r="AQ19" s="1141"/>
      <c r="AR19" s="1141"/>
    </row>
    <row r="20" spans="1:44" ht="18" x14ac:dyDescent="0.25">
      <c r="A20" s="1218"/>
      <c r="B20" s="1178"/>
      <c r="C20" s="731"/>
      <c r="D20" s="731" t="str">
        <f>+RESTRICTED!D21</f>
        <v>Ongoing &amp; Major Maintenance (RS 8150)</v>
      </c>
      <c r="E20" s="619">
        <f>-RESTRICTED!E21</f>
        <v>0</v>
      </c>
      <c r="F20" s="970">
        <f>-RESTRICTED!F21</f>
        <v>-2400861</v>
      </c>
      <c r="G20" s="1032">
        <f>-RESTRICTED!G21</f>
        <v>-2608798</v>
      </c>
      <c r="H20" s="1001">
        <f>-RESTRICTED!H21</f>
        <v>-2679245</v>
      </c>
      <c r="I20" s="647">
        <f>-RESTRICTED!I21</f>
        <v>-2995687.1799999997</v>
      </c>
      <c r="J20" s="647"/>
      <c r="K20" s="647"/>
      <c r="L20" s="647"/>
      <c r="M20" s="1722">
        <f t="shared" si="8"/>
        <v>-207937</v>
      </c>
      <c r="N20" s="1699">
        <f t="shared" si="9"/>
        <v>8.6609345563945603E-2</v>
      </c>
      <c r="O20" s="1722">
        <f t="shared" si="10"/>
        <v>-70447</v>
      </c>
      <c r="P20" s="1699">
        <f t="shared" si="11"/>
        <v>2.7003623891156004E-2</v>
      </c>
      <c r="Q20" s="1722">
        <f t="shared" si="12"/>
        <v>-316442.1799999997</v>
      </c>
      <c r="R20" s="1699">
        <f t="shared" si="13"/>
        <v>0.11810871346218793</v>
      </c>
      <c r="S20" s="1712"/>
      <c r="T20" s="1712"/>
      <c r="U20" s="1636"/>
      <c r="V20" s="1636"/>
      <c r="W20" s="1636"/>
      <c r="X20" s="1617"/>
      <c r="Y20" s="1149"/>
      <c r="Z20" s="1141"/>
      <c r="AA20" s="1141"/>
      <c r="AB20" s="1141"/>
      <c r="AC20" s="1141"/>
      <c r="AD20" s="1141"/>
      <c r="AE20" s="1141"/>
      <c r="AF20" s="1141"/>
      <c r="AG20" s="1141"/>
      <c r="AH20" s="1141"/>
      <c r="AI20" s="1141"/>
      <c r="AJ20" s="1141"/>
      <c r="AK20" s="1141"/>
      <c r="AL20" s="1141"/>
      <c r="AM20" s="1141"/>
      <c r="AN20" s="1141"/>
      <c r="AO20" s="1141"/>
      <c r="AP20" s="1141"/>
      <c r="AQ20" s="1141"/>
      <c r="AR20" s="1141"/>
    </row>
    <row r="21" spans="1:44" ht="18" x14ac:dyDescent="0.25">
      <c r="A21" s="1229"/>
      <c r="B21" s="1181"/>
      <c r="C21" s="1182"/>
      <c r="D21" s="1182" t="str">
        <f>+RESTRICTED!D22</f>
        <v>Facilities Improvement (RS 9225)</v>
      </c>
      <c r="E21" s="625">
        <f>-RESTRICTED!E22</f>
        <v>0</v>
      </c>
      <c r="F21" s="971">
        <f>-RESTRICTED!F22</f>
        <v>-1961318</v>
      </c>
      <c r="G21" s="1037">
        <f>-RESTRICTED!G22</f>
        <v>-300000</v>
      </c>
      <c r="H21" s="1005">
        <f>-RESTRICTED!H22</f>
        <v>0</v>
      </c>
      <c r="I21" s="649">
        <f>-RESTRICTED!I22</f>
        <v>0</v>
      </c>
      <c r="J21" s="649"/>
      <c r="K21" s="649"/>
      <c r="L21" s="649"/>
      <c r="M21" s="1722">
        <f t="shared" si="8"/>
        <v>1661318</v>
      </c>
      <c r="N21" s="1699">
        <f t="shared" si="9"/>
        <v>-0.84704163220854545</v>
      </c>
      <c r="O21" s="1722">
        <f t="shared" si="10"/>
        <v>300000</v>
      </c>
      <c r="P21" s="1699">
        <f t="shared" si="11"/>
        <v>-1</v>
      </c>
      <c r="Q21" s="1722">
        <f t="shared" si="12"/>
        <v>0</v>
      </c>
      <c r="R21" s="1699">
        <f t="shared" si="13"/>
        <v>0</v>
      </c>
      <c r="S21" s="1712"/>
      <c r="T21" s="1712"/>
      <c r="U21" s="1636"/>
      <c r="V21" s="1637"/>
      <c r="W21" s="1637"/>
      <c r="X21" s="1616"/>
      <c r="Y21" s="1148"/>
      <c r="Z21" s="1141"/>
      <c r="AA21" s="1141"/>
      <c r="AB21" s="1141"/>
      <c r="AC21" s="1141"/>
      <c r="AD21" s="1141"/>
      <c r="AE21" s="1141"/>
      <c r="AF21" s="1141"/>
      <c r="AG21" s="1141"/>
      <c r="AH21" s="1141"/>
      <c r="AI21" s="1141"/>
      <c r="AJ21" s="1141"/>
      <c r="AK21" s="1141"/>
      <c r="AL21" s="1141"/>
      <c r="AM21" s="1141"/>
      <c r="AN21" s="1141"/>
      <c r="AO21" s="1141"/>
      <c r="AP21" s="1141"/>
      <c r="AQ21" s="1141"/>
      <c r="AR21" s="1141"/>
    </row>
    <row r="22" spans="1:44" ht="18" customHeight="1" thickBot="1" x14ac:dyDescent="0.3">
      <c r="A22" s="1183"/>
      <c r="B22" s="1184" t="s">
        <v>703</v>
      </c>
      <c r="C22" s="1192"/>
      <c r="D22" s="1192"/>
      <c r="E22" s="635"/>
      <c r="F22" s="972">
        <f>SUM(F16:F21)</f>
        <v>-15373701.92</v>
      </c>
      <c r="G22" s="1038">
        <f t="shared" ref="G22:I22" si="14">SUM(G16:G21)</f>
        <v>-15718973</v>
      </c>
      <c r="H22" s="1006">
        <f t="shared" si="14"/>
        <v>-16603666</v>
      </c>
      <c r="I22" s="670">
        <f t="shared" si="14"/>
        <v>-17060728.18</v>
      </c>
      <c r="J22" s="670"/>
      <c r="K22" s="670"/>
      <c r="L22" s="670"/>
      <c r="M22" s="1722">
        <f t="shared" si="8"/>
        <v>-345271.08000000007</v>
      </c>
      <c r="N22" s="1699">
        <f t="shared" si="9"/>
        <v>2.2458551739632016E-2</v>
      </c>
      <c r="O22" s="1722">
        <f t="shared" si="10"/>
        <v>-884693</v>
      </c>
      <c r="P22" s="1699">
        <f t="shared" si="11"/>
        <v>5.6281857599729958E-2</v>
      </c>
      <c r="Q22" s="1722">
        <f t="shared" si="12"/>
        <v>-457062.1799999997</v>
      </c>
      <c r="R22" s="1699">
        <f t="shared" si="13"/>
        <v>2.7527786935728514E-2</v>
      </c>
      <c r="S22" s="1712"/>
      <c r="T22" s="1712"/>
      <c r="U22" s="1632"/>
      <c r="V22" s="1635"/>
      <c r="W22" s="1635"/>
      <c r="X22" s="631"/>
      <c r="Y22" s="1582"/>
    </row>
    <row r="23" spans="1:44" ht="18" customHeight="1" thickTop="1" x14ac:dyDescent="0.25">
      <c r="A23" s="1230"/>
      <c r="B23" s="1193"/>
      <c r="C23" s="1187"/>
      <c r="D23" s="1187"/>
      <c r="E23" s="183"/>
      <c r="F23" s="973"/>
      <c r="G23" s="1039"/>
      <c r="H23" s="1007"/>
      <c r="I23" s="652"/>
      <c r="J23" s="652"/>
      <c r="K23" s="652"/>
      <c r="L23" s="652"/>
      <c r="M23" s="1722"/>
      <c r="N23" s="1699"/>
      <c r="O23" s="1722"/>
      <c r="P23" s="1699"/>
      <c r="Q23" s="1722"/>
      <c r="R23" s="1699"/>
      <c r="S23" s="1712"/>
      <c r="T23" s="1712"/>
      <c r="U23" s="1632"/>
      <c r="V23" s="1635"/>
      <c r="W23" s="1635"/>
      <c r="X23" s="631"/>
      <c r="Y23" s="1582"/>
    </row>
    <row r="24" spans="1:44" s="1139" customFormat="1" ht="25.5" customHeight="1" x14ac:dyDescent="0.25">
      <c r="A24" s="1231"/>
      <c r="B24" s="1232" t="s">
        <v>704</v>
      </c>
      <c r="C24" s="1232"/>
      <c r="D24" s="1232"/>
      <c r="E24" s="684"/>
      <c r="F24" s="974">
        <f>SUM(F13,F22)</f>
        <v>53417708.989999995</v>
      </c>
      <c r="G24" s="1040">
        <f t="shared" ref="G24:I24" si="15">SUM(G13,G22)</f>
        <v>54971329</v>
      </c>
      <c r="H24" s="1008">
        <f t="shared" si="15"/>
        <v>59225562</v>
      </c>
      <c r="I24" s="685">
        <f t="shared" si="15"/>
        <v>55677751.82</v>
      </c>
      <c r="J24" s="685"/>
      <c r="K24" s="685"/>
      <c r="L24" s="685"/>
      <c r="M24" s="1722">
        <f t="shared" si="8"/>
        <v>1553620.0100000054</v>
      </c>
      <c r="N24" s="1699">
        <f t="shared" si="9"/>
        <v>2.9084362459102266E-2</v>
      </c>
      <c r="O24" s="1722">
        <f t="shared" si="10"/>
        <v>4254233</v>
      </c>
      <c r="P24" s="1699">
        <f t="shared" si="11"/>
        <v>7.7390033630076502E-2</v>
      </c>
      <c r="Q24" s="1722">
        <f t="shared" si="12"/>
        <v>-3547810.1799999997</v>
      </c>
      <c r="R24" s="1699">
        <f t="shared" si="13"/>
        <v>-5.9903360309185409E-2</v>
      </c>
      <c r="S24" s="1712"/>
      <c r="T24" s="1712"/>
      <c r="U24" s="1638"/>
      <c r="V24" s="1639"/>
      <c r="W24" s="1639"/>
      <c r="X24" s="636"/>
      <c r="Y24" s="1166"/>
    </row>
    <row r="25" spans="1:44" ht="18" customHeight="1" x14ac:dyDescent="0.25">
      <c r="A25" s="1233"/>
      <c r="B25" s="1196"/>
      <c r="C25" s="1197"/>
      <c r="D25" s="1197"/>
      <c r="E25" s="686"/>
      <c r="F25" s="975"/>
      <c r="G25" s="1041"/>
      <c r="H25" s="1009"/>
      <c r="I25" s="687"/>
      <c r="J25" s="687"/>
      <c r="K25" s="687"/>
      <c r="L25" s="687"/>
      <c r="M25" s="1722"/>
      <c r="N25" s="1699"/>
      <c r="O25" s="1722"/>
      <c r="P25" s="1699"/>
      <c r="Q25" s="1722"/>
      <c r="R25" s="1699"/>
      <c r="S25" s="1712"/>
      <c r="T25" s="1712"/>
      <c r="U25" s="1640"/>
      <c r="V25" s="1636"/>
      <c r="W25" s="1635"/>
      <c r="X25" s="631"/>
      <c r="Y25" s="1582"/>
    </row>
    <row r="26" spans="1:44" ht="20.25" x14ac:dyDescent="0.25">
      <c r="A26" s="1215"/>
      <c r="B26" s="1173" t="s">
        <v>351</v>
      </c>
      <c r="C26" s="1174"/>
      <c r="D26" s="1174"/>
      <c r="E26" s="661"/>
      <c r="F26" s="969"/>
      <c r="G26" s="1036"/>
      <c r="H26" s="1004"/>
      <c r="I26" s="662"/>
      <c r="J26" s="662"/>
      <c r="K26" s="662"/>
      <c r="L26" s="662"/>
      <c r="M26" s="1722"/>
      <c r="N26" s="1699"/>
      <c r="O26" s="1722"/>
      <c r="P26" s="1699"/>
      <c r="Q26" s="1722"/>
      <c r="R26" s="1699"/>
      <c r="S26" s="1712"/>
      <c r="T26" s="1712"/>
      <c r="U26" s="1641"/>
      <c r="V26" s="1640"/>
    </row>
    <row r="27" spans="1:44" ht="18" x14ac:dyDescent="0.25">
      <c r="A27" s="1216"/>
      <c r="B27" s="1176"/>
      <c r="C27" s="739" t="s">
        <v>352</v>
      </c>
      <c r="D27" s="739"/>
      <c r="E27" s="618"/>
      <c r="F27" s="976">
        <f>+'RS 0000 &amp; 1400'!D65+'RS 0653'!D32+'RS 0654'!D33+'RS 0655'!D32+'RS 1100'!D24</f>
        <v>31226621.970000003</v>
      </c>
      <c r="G27" s="1030">
        <f>+'RS 0000 &amp; 1400'!H65+'RS 0653'!H32+'RS 0654'!H33+'RS 0655'!H32+'RS 1100'!H24</f>
        <v>31858293.079999998</v>
      </c>
      <c r="H27" s="999">
        <f>+'RS 0000 &amp; 1400'!L65+'RS 0653'!L32+'RS 0654'!L33+'RS 0655'!L32+'RS 1100'!L24</f>
        <v>31711668</v>
      </c>
      <c r="I27" s="663">
        <f>+'RS 0000 &amp; 1400'!P65+'RS 0653'!P32+'RS 0654'!P33+'RS 0655'!P32+'RS 1100'!P24</f>
        <v>31803120</v>
      </c>
      <c r="J27" s="663" t="e">
        <f>(+I27*(1+#REF!))</f>
        <v>#REF!</v>
      </c>
      <c r="K27" s="663" t="e">
        <f>(+J27*(1+#REF!))</f>
        <v>#REF!</v>
      </c>
      <c r="L27" s="663" t="e">
        <f>(+K27*(1+#REF!))</f>
        <v>#REF!</v>
      </c>
      <c r="M27" s="1756">
        <f t="shared" si="8"/>
        <v>631671.10999999568</v>
      </c>
      <c r="N27" s="1757">
        <f t="shared" si="9"/>
        <v>2.0228608480509159E-2</v>
      </c>
      <c r="O27" s="1756">
        <f t="shared" si="10"/>
        <v>-146625.07999999821</v>
      </c>
      <c r="P27" s="1757">
        <f t="shared" si="11"/>
        <v>-4.6024148133675911E-3</v>
      </c>
      <c r="Q27" s="1756">
        <f t="shared" si="12"/>
        <v>91452</v>
      </c>
      <c r="R27" s="1757">
        <f t="shared" si="13"/>
        <v>2.8838596569565498E-3</v>
      </c>
      <c r="S27" s="1712"/>
      <c r="T27" s="1712"/>
      <c r="U27" s="1691">
        <v>584764</v>
      </c>
      <c r="V27" s="1401" t="s">
        <v>856</v>
      </c>
      <c r="W27" s="1642"/>
      <c r="X27" s="1618"/>
      <c r="Y27" s="1583"/>
      <c r="Z27" s="1583"/>
      <c r="AN27" s="1144"/>
    </row>
    <row r="28" spans="1:44" ht="18" x14ac:dyDescent="0.25">
      <c r="A28" s="1218"/>
      <c r="B28" s="1178"/>
      <c r="C28" s="731" t="s">
        <v>353</v>
      </c>
      <c r="D28" s="731"/>
      <c r="E28" s="619"/>
      <c r="F28" s="977">
        <f>+'RS 0000 &amp; 1400'!D112+'RS 0653'!D43+'RS 0654'!D51+'RS 0655'!D45+'RS 1100'!D31</f>
        <v>6576599.799999998</v>
      </c>
      <c r="G28" s="1032">
        <f>+'RS 0000 &amp; 1400'!H112+'RS 0653'!H43+'RS 0654'!H51+'RS 0655'!H45+'RS 1100'!H31</f>
        <v>6919338.2800000003</v>
      </c>
      <c r="H28" s="1001">
        <f>+'RS 0000 &amp; 1400'!L112+'RS 0653'!L43+'RS 0654'!L51+'RS 0655'!L45+'RS 1100'!L31</f>
        <v>7140258</v>
      </c>
      <c r="I28" s="647">
        <f>+'RS 0000 &amp; 1400'!P112+'RS 0653'!P43+'RS 0654'!P51+'RS 0655'!P45+'RS 1100'!P31</f>
        <v>7238842</v>
      </c>
      <c r="J28" s="647" t="e">
        <f>+I28*(1+#REF!)</f>
        <v>#REF!</v>
      </c>
      <c r="K28" s="647" t="e">
        <f>+J28*(1+#REF!)</f>
        <v>#REF!</v>
      </c>
      <c r="L28" s="647" t="e">
        <f>+K28*(1+#REF!)</f>
        <v>#REF!</v>
      </c>
      <c r="M28" s="1722">
        <f t="shared" si="8"/>
        <v>342738.48000000231</v>
      </c>
      <c r="N28" s="1699">
        <f t="shared" si="9"/>
        <v>5.2114845121030845E-2</v>
      </c>
      <c r="O28" s="1722">
        <f t="shared" si="10"/>
        <v>220919.71999999974</v>
      </c>
      <c r="P28" s="1699">
        <f t="shared" si="11"/>
        <v>3.1927868108220278E-2</v>
      </c>
      <c r="Q28" s="1722">
        <f t="shared" si="12"/>
        <v>98584</v>
      </c>
      <c r="R28" s="1699">
        <f t="shared" si="13"/>
        <v>1.3806784012566492E-2</v>
      </c>
      <c r="S28" s="1712"/>
      <c r="T28" s="1712"/>
      <c r="U28" s="1643">
        <v>0</v>
      </c>
      <c r="V28" s="1402" t="s">
        <v>948</v>
      </c>
      <c r="W28" s="1642"/>
      <c r="X28" s="1618"/>
      <c r="Y28" s="1583"/>
      <c r="Z28" s="1583"/>
      <c r="AA28" s="1141"/>
      <c r="AB28" s="1141"/>
      <c r="AC28" s="1141"/>
      <c r="AD28" s="1141"/>
      <c r="AE28" s="1141"/>
      <c r="AF28" s="1141"/>
      <c r="AG28" s="1141"/>
      <c r="AH28" s="1141"/>
      <c r="AI28" s="1141"/>
      <c r="AJ28" s="1141"/>
      <c r="AK28" s="1141"/>
      <c r="AL28" s="1141"/>
      <c r="AM28" s="1141"/>
      <c r="AN28" s="1145"/>
      <c r="AO28" s="1141"/>
      <c r="AP28" s="1141"/>
      <c r="AQ28" s="1141"/>
      <c r="AR28" s="1141"/>
    </row>
    <row r="29" spans="1:44" ht="20.25" x14ac:dyDescent="0.3">
      <c r="A29" s="1234"/>
      <c r="B29" s="732"/>
      <c r="C29" s="732"/>
      <c r="D29" s="1349" t="str">
        <f>"Cost of "&amp;U28&amp;"% salary increase, incl. statutory benefits"</f>
        <v>Cost of 0% salary increase, incl. statutory benefits</v>
      </c>
      <c r="E29" s="1350"/>
      <c r="F29" s="1742"/>
      <c r="G29" s="1042">
        <f>+U29</f>
        <v>0</v>
      </c>
      <c r="H29" s="1010">
        <f>+G29</f>
        <v>0</v>
      </c>
      <c r="I29" s="671">
        <f>+H29</f>
        <v>0</v>
      </c>
      <c r="J29" s="671"/>
      <c r="K29" s="671"/>
      <c r="L29" s="671"/>
      <c r="M29" s="1722">
        <f t="shared" si="8"/>
        <v>0</v>
      </c>
      <c r="N29" s="1699">
        <f t="shared" si="9"/>
        <v>0</v>
      </c>
      <c r="O29" s="1722">
        <f t="shared" si="10"/>
        <v>0</v>
      </c>
      <c r="P29" s="1699">
        <f t="shared" si="11"/>
        <v>0</v>
      </c>
      <c r="Q29" s="1722">
        <f t="shared" si="12"/>
        <v>0</v>
      </c>
      <c r="R29" s="1699">
        <f t="shared" si="13"/>
        <v>0</v>
      </c>
      <c r="S29" s="1712"/>
      <c r="T29" s="1712"/>
      <c r="U29" s="1612">
        <f>+U27*U28</f>
        <v>0</v>
      </c>
      <c r="V29" s="1402">
        <f>D28</f>
        <v>0</v>
      </c>
      <c r="W29" s="1642"/>
      <c r="X29" s="1618"/>
      <c r="Y29" s="1583"/>
      <c r="Z29" s="1583"/>
      <c r="AA29" s="1141"/>
      <c r="AB29" s="1141"/>
      <c r="AC29" s="1141"/>
      <c r="AD29" s="1141"/>
      <c r="AE29" s="1141"/>
      <c r="AF29" s="1141"/>
      <c r="AG29" s="1141"/>
      <c r="AH29" s="1141"/>
      <c r="AI29" s="1141"/>
      <c r="AJ29" s="1141"/>
      <c r="AK29" s="1141"/>
      <c r="AL29" s="1141"/>
      <c r="AM29" s="1141"/>
      <c r="AN29" s="1141"/>
      <c r="AO29" s="1141"/>
      <c r="AP29" s="1141"/>
      <c r="AQ29" s="1141"/>
      <c r="AR29" s="1141"/>
    </row>
    <row r="30" spans="1:44" ht="18" x14ac:dyDescent="0.25">
      <c r="A30" s="1747"/>
      <c r="B30" s="1743"/>
      <c r="C30" s="1743"/>
      <c r="D30" s="1748" t="s">
        <v>949</v>
      </c>
      <c r="E30" s="1744"/>
      <c r="F30" s="1749">
        <f>F27*0.1258</f>
        <v>3928309.0438260003</v>
      </c>
      <c r="G30" s="1750">
        <f>G27*0.1258</f>
        <v>4007773.2694639997</v>
      </c>
      <c r="H30" s="1751">
        <f>H27*0.1258</f>
        <v>3989327.8344000001</v>
      </c>
      <c r="I30" s="1752">
        <f>I27*0.1258</f>
        <v>4000832.4959999998</v>
      </c>
      <c r="J30" s="1351"/>
      <c r="K30" s="1351"/>
      <c r="L30" s="1351"/>
      <c r="M30" s="1756">
        <f t="shared" si="8"/>
        <v>79464.225637999363</v>
      </c>
      <c r="N30" s="1757">
        <f t="shared" si="9"/>
        <v>2.0228608480509135E-2</v>
      </c>
      <c r="O30" s="1756">
        <f t="shared" si="10"/>
        <v>-18445.435063999612</v>
      </c>
      <c r="P30" s="1757">
        <f t="shared" si="11"/>
        <v>-4.6024148133675504E-3</v>
      </c>
      <c r="Q30" s="1756">
        <f t="shared" si="12"/>
        <v>11504.661599999759</v>
      </c>
      <c r="R30" s="1757">
        <f t="shared" si="13"/>
        <v>2.8838596569564895E-3</v>
      </c>
      <c r="S30" s="1712"/>
      <c r="T30" s="1712"/>
      <c r="U30" s="1642"/>
      <c r="V30" s="1642"/>
      <c r="W30" s="1642"/>
      <c r="X30" s="1618"/>
      <c r="Y30" s="1583"/>
      <c r="Z30" s="1583"/>
      <c r="AA30" s="1141"/>
      <c r="AB30" s="1141"/>
      <c r="AC30" s="1141"/>
      <c r="AD30" s="1141"/>
      <c r="AE30" s="1141"/>
      <c r="AF30" s="1141"/>
      <c r="AG30" s="1141"/>
      <c r="AH30" s="1141"/>
      <c r="AI30" s="1141"/>
      <c r="AJ30" s="1141"/>
      <c r="AK30" s="1141"/>
      <c r="AL30" s="1141"/>
      <c r="AM30" s="1141"/>
      <c r="AN30" s="1141"/>
      <c r="AO30" s="1141"/>
      <c r="AP30" s="1141"/>
      <c r="AQ30" s="1141"/>
      <c r="AR30" s="1141"/>
    </row>
    <row r="31" spans="1:44" ht="18" x14ac:dyDescent="0.25">
      <c r="A31" s="1747"/>
      <c r="B31" s="1743"/>
      <c r="C31" s="1743"/>
      <c r="D31" s="1753" t="s">
        <v>950</v>
      </c>
      <c r="E31" s="1744"/>
      <c r="F31" s="1749">
        <f>F27*0.1258</f>
        <v>3928309.0438260003</v>
      </c>
      <c r="G31" s="1750">
        <f>G27*0.1443</f>
        <v>4597151.6914440002</v>
      </c>
      <c r="H31" s="1751">
        <f>H27*0.1628</f>
        <v>5162659.5504000001</v>
      </c>
      <c r="I31" s="1752">
        <f>'UNRESTRICTED STRS Incrs Calc'!I27*0.1813</f>
        <v>5765905.6559999995</v>
      </c>
      <c r="J31" s="1351"/>
      <c r="K31" s="1351"/>
      <c r="L31" s="1351"/>
      <c r="M31" s="1758">
        <f t="shared" si="8"/>
        <v>668842.64761799993</v>
      </c>
      <c r="N31" s="1759">
        <f t="shared" si="9"/>
        <v>0.17026222737470181</v>
      </c>
      <c r="O31" s="1758">
        <f t="shared" si="10"/>
        <v>565507.85895599984</v>
      </c>
      <c r="P31" s="1759">
        <f t="shared" si="11"/>
        <v>0.12301266021055954</v>
      </c>
      <c r="Q31" s="1758">
        <f t="shared" si="12"/>
        <v>603246.10559999943</v>
      </c>
      <c r="R31" s="1759">
        <f t="shared" si="13"/>
        <v>0.11684793461797423</v>
      </c>
      <c r="S31" s="1712"/>
      <c r="T31" s="1712"/>
      <c r="U31" s="1642"/>
      <c r="V31" s="1642"/>
      <c r="W31" s="1642"/>
      <c r="X31" s="1618"/>
      <c r="Y31" s="1583"/>
      <c r="Z31" s="1583"/>
      <c r="AA31" s="1141"/>
      <c r="AB31" s="1141"/>
      <c r="AC31" s="1141"/>
      <c r="AD31" s="1141"/>
      <c r="AE31" s="1141"/>
      <c r="AF31" s="1141"/>
      <c r="AG31" s="1141"/>
      <c r="AH31" s="1141"/>
      <c r="AI31" s="1141"/>
      <c r="AJ31" s="1141"/>
      <c r="AK31" s="1141"/>
      <c r="AL31" s="1141"/>
      <c r="AM31" s="1141"/>
      <c r="AN31" s="1141"/>
      <c r="AO31" s="1141"/>
      <c r="AP31" s="1141"/>
      <c r="AQ31" s="1141"/>
      <c r="AR31" s="1141"/>
    </row>
    <row r="32" spans="1:44" ht="20.25" x14ac:dyDescent="0.3">
      <c r="A32" s="1754"/>
      <c r="B32" s="1745"/>
      <c r="C32" s="1745"/>
      <c r="D32" s="1755"/>
      <c r="E32" s="1746"/>
      <c r="F32" s="1749">
        <f>F31-F30</f>
        <v>0</v>
      </c>
      <c r="G32" s="1750">
        <f t="shared" ref="G32:I32" si="16">G31-G30</f>
        <v>589378.42198000057</v>
      </c>
      <c r="H32" s="1751">
        <f t="shared" si="16"/>
        <v>1173331.716</v>
      </c>
      <c r="I32" s="1752">
        <f t="shared" si="16"/>
        <v>1765073.1599999997</v>
      </c>
      <c r="J32" s="1351"/>
      <c r="K32" s="1351"/>
      <c r="L32" s="1351"/>
      <c r="M32" s="1722">
        <f t="shared" si="8"/>
        <v>589378.42198000057</v>
      </c>
      <c r="N32" s="1699">
        <f t="shared" si="9"/>
        <v>0</v>
      </c>
      <c r="O32" s="1722">
        <f t="shared" si="10"/>
        <v>583953.29401999945</v>
      </c>
      <c r="P32" s="1699">
        <f t="shared" si="11"/>
        <v>0.99079517037326281</v>
      </c>
      <c r="Q32" s="1722">
        <f t="shared" si="12"/>
        <v>591741.44399999967</v>
      </c>
      <c r="R32" s="1699">
        <f t="shared" si="13"/>
        <v>0.50432578948543449</v>
      </c>
      <c r="S32" s="1712"/>
      <c r="T32" s="1712"/>
      <c r="U32" s="1642"/>
      <c r="V32" s="1404"/>
      <c r="W32" s="1642"/>
      <c r="X32" s="1618"/>
      <c r="Y32" s="1583"/>
      <c r="Z32" s="1583"/>
      <c r="AA32" s="1141"/>
      <c r="AB32" s="1141"/>
      <c r="AC32" s="1141"/>
      <c r="AD32" s="1141"/>
      <c r="AE32" s="1141"/>
      <c r="AF32" s="1141"/>
      <c r="AG32" s="1141"/>
      <c r="AH32" s="1141"/>
      <c r="AI32" s="1141"/>
      <c r="AJ32" s="1141"/>
      <c r="AK32" s="1141"/>
      <c r="AL32" s="1141"/>
      <c r="AM32" s="1141"/>
      <c r="AN32" s="1141"/>
      <c r="AO32" s="1141"/>
      <c r="AP32" s="1141"/>
      <c r="AQ32" s="1141"/>
      <c r="AR32" s="1141"/>
    </row>
    <row r="33" spans="1:44" s="1147" customFormat="1" ht="18" x14ac:dyDescent="0.25">
      <c r="A33" s="1218"/>
      <c r="B33" s="1178"/>
      <c r="C33" s="731" t="s">
        <v>354</v>
      </c>
      <c r="D33" s="731"/>
      <c r="E33" s="619"/>
      <c r="F33" s="977"/>
      <c r="G33" s="1032"/>
      <c r="H33" s="1001"/>
      <c r="I33" s="647"/>
      <c r="J33" s="647"/>
      <c r="K33" s="647"/>
      <c r="L33" s="647"/>
      <c r="M33" s="1722">
        <f t="shared" si="8"/>
        <v>0</v>
      </c>
      <c r="N33" s="1699">
        <f t="shared" si="9"/>
        <v>0</v>
      </c>
      <c r="O33" s="1722">
        <f t="shared" si="10"/>
        <v>0</v>
      </c>
      <c r="P33" s="1699">
        <f t="shared" si="11"/>
        <v>0</v>
      </c>
      <c r="Q33" s="1722">
        <f t="shared" si="12"/>
        <v>0</v>
      </c>
      <c r="R33" s="1699">
        <f t="shared" si="13"/>
        <v>0</v>
      </c>
      <c r="S33" s="1712"/>
      <c r="T33" s="1712"/>
      <c r="U33" s="1642"/>
      <c r="V33" s="1642"/>
      <c r="W33" s="1642"/>
      <c r="X33" s="1618"/>
      <c r="Y33" s="1583"/>
      <c r="Z33" s="1583"/>
      <c r="AA33" s="1148"/>
      <c r="AB33" s="1148"/>
      <c r="AC33" s="1148"/>
      <c r="AD33" s="1148"/>
      <c r="AE33" s="1148"/>
      <c r="AF33" s="1148"/>
      <c r="AG33" s="1148"/>
      <c r="AH33" s="1148"/>
      <c r="AI33" s="1148"/>
      <c r="AJ33" s="1148"/>
      <c r="AK33" s="1148"/>
      <c r="AL33" s="1146"/>
      <c r="AM33" s="1146"/>
      <c r="AN33" s="1146"/>
      <c r="AO33" s="1146"/>
      <c r="AP33" s="1146"/>
      <c r="AQ33" s="1146"/>
      <c r="AR33" s="1146"/>
    </row>
    <row r="34" spans="1:44" ht="18" x14ac:dyDescent="0.25">
      <c r="A34" s="1218"/>
      <c r="B34" s="1178"/>
      <c r="C34" s="731"/>
      <c r="D34" s="1179" t="s">
        <v>76</v>
      </c>
      <c r="E34" s="620"/>
      <c r="F34" s="978">
        <f>+'RS 0000 &amp; 1400'!D115+'RS 0653'!D46+'RS 0654'!D54+'RS 0655'!D48</f>
        <v>3943449.73</v>
      </c>
      <c r="G34" s="1031">
        <f>+'RS 0000 &amp; 1400'!H115+'RS 0653'!H46+'RS 0654'!H54+'RS 0655'!H48+'RS 1100'!H34</f>
        <v>4617283.1500000004</v>
      </c>
      <c r="H34" s="1000">
        <f>+'RS 0000 &amp; 1400'!L115+'RS 0653'!L46+'RS 0654'!L54+'RS 0655'!L48+'RS 1100'!L34</f>
        <v>5196111</v>
      </c>
      <c r="I34" s="648">
        <f>+'RS 0000 &amp; 1400'!P115+'RS 0653'!P46+'RS 0654'!P54+'RS 0655'!P48+'RS 1100'!P34</f>
        <v>5765905</v>
      </c>
      <c r="J34" s="648">
        <v>6164433.5664931554</v>
      </c>
      <c r="K34" s="648">
        <v>6862934.8935236689</v>
      </c>
      <c r="L34" s="648">
        <v>7581004.2628126368</v>
      </c>
      <c r="M34" s="1722">
        <f t="shared" si="8"/>
        <v>673833.42000000039</v>
      </c>
      <c r="N34" s="1699">
        <f t="shared" si="9"/>
        <v>0.17087409911017185</v>
      </c>
      <c r="O34" s="1722">
        <f t="shared" si="10"/>
        <v>578827.84999999963</v>
      </c>
      <c r="P34" s="1699">
        <f t="shared" si="11"/>
        <v>0.1253611336354799</v>
      </c>
      <c r="Q34" s="1722">
        <f t="shared" si="12"/>
        <v>569794</v>
      </c>
      <c r="R34" s="1699">
        <f t="shared" si="13"/>
        <v>0.10965778059783557</v>
      </c>
      <c r="S34" s="1712"/>
      <c r="T34" s="1712"/>
      <c r="U34" s="1642"/>
      <c r="V34" s="1642"/>
      <c r="W34" s="1642"/>
      <c r="X34" s="1618"/>
      <c r="Y34" s="1583"/>
      <c r="Z34" s="1583"/>
      <c r="AA34" s="1585"/>
      <c r="AB34" s="1149"/>
      <c r="AC34" s="1148"/>
      <c r="AD34" s="1148"/>
      <c r="AE34" s="1148"/>
      <c r="AF34" s="1148"/>
      <c r="AG34" s="1148"/>
      <c r="AH34" s="1149"/>
      <c r="AI34" s="1148"/>
      <c r="AJ34" s="1148"/>
      <c r="AK34" s="1148"/>
      <c r="AL34" s="1148"/>
      <c r="AM34" s="1141"/>
      <c r="AN34" s="1148"/>
      <c r="AO34" s="1149"/>
      <c r="AP34" s="1149"/>
      <c r="AQ34" s="1149"/>
      <c r="AR34" s="1149"/>
    </row>
    <row r="35" spans="1:44" ht="19.5" x14ac:dyDescent="0.35">
      <c r="A35" s="1218"/>
      <c r="B35" s="1178"/>
      <c r="C35" s="731"/>
      <c r="D35" s="1179" t="s">
        <v>77</v>
      </c>
      <c r="E35" s="620"/>
      <c r="F35" s="978">
        <f>+'RS 0000 &amp; 1400'!D116+'RS 0653'!D47+'RS 0654'!D55+'RS 0655'!D49</f>
        <v>791905.79999999993</v>
      </c>
      <c r="G35" s="1031">
        <f>+'RS 0000 &amp; 1400'!H116+'RS 0653'!H47+'RS 0654'!H55+'RS 0655'!H49+'RS 1100'!H35</f>
        <v>964200</v>
      </c>
      <c r="H35" s="1000">
        <f>+'RS 0000 &amp; 1400'!L116+'RS 0653'!L47+'RS 0654'!L55+'RS 0655'!L49+'RS 1100'!L35</f>
        <v>1235740</v>
      </c>
      <c r="I35" s="648">
        <f>+'RS 0000 &amp; 1400'!P116+'RS 0653'!P47+'RS 0654'!P55+'RS 0655'!P49+'RS 1100'!P35</f>
        <v>1505680</v>
      </c>
      <c r="J35" s="648">
        <v>1773281.2504106092</v>
      </c>
      <c r="K35" s="648">
        <v>1908307.0034539229</v>
      </c>
      <c r="L35" s="648">
        <v>2010300.2300400396</v>
      </c>
      <c r="M35" s="1722">
        <f t="shared" si="8"/>
        <v>172294.20000000007</v>
      </c>
      <c r="N35" s="1699">
        <f t="shared" si="9"/>
        <v>0.21756905935024101</v>
      </c>
      <c r="O35" s="1722">
        <f t="shared" si="10"/>
        <v>271540</v>
      </c>
      <c r="P35" s="1699">
        <f t="shared" si="11"/>
        <v>0.28162207010993567</v>
      </c>
      <c r="Q35" s="1722">
        <f t="shared" si="12"/>
        <v>269940</v>
      </c>
      <c r="R35" s="1699">
        <f t="shared" si="13"/>
        <v>0.21844400925761082</v>
      </c>
      <c r="S35" s="1712"/>
      <c r="T35" s="1712"/>
      <c r="U35" s="1642"/>
      <c r="V35" s="1642"/>
      <c r="W35" s="1642"/>
      <c r="X35" s="1618"/>
      <c r="Y35" s="1583"/>
      <c r="Z35" s="1583"/>
      <c r="AA35" s="1585"/>
      <c r="AB35" s="1149"/>
      <c r="AC35" s="1148"/>
      <c r="AD35" s="1148"/>
      <c r="AE35" s="1148"/>
      <c r="AF35" s="1148"/>
      <c r="AG35" s="1586"/>
      <c r="AH35" s="1586"/>
      <c r="AI35" s="1148"/>
      <c r="AJ35" s="1148"/>
      <c r="AK35" s="1148"/>
      <c r="AL35" s="1148"/>
      <c r="AM35" s="1141"/>
      <c r="AN35" s="1148"/>
      <c r="AO35" s="1149"/>
      <c r="AP35" s="1149"/>
      <c r="AQ35" s="1149"/>
      <c r="AR35" s="1149"/>
    </row>
    <row r="36" spans="1:44" ht="18" x14ac:dyDescent="0.25">
      <c r="A36" s="1218"/>
      <c r="B36" s="1178"/>
      <c r="C36" s="731"/>
      <c r="D36" s="731" t="s">
        <v>394</v>
      </c>
      <c r="E36" s="619"/>
      <c r="F36" s="979">
        <f>+'RS 0000 &amp; 1400'!D117+'RS 0653'!D48+'RS 0654'!D56+'RS 0655'!D50</f>
        <v>364474.9</v>
      </c>
      <c r="G36" s="1032">
        <f>+'RS 0000 &amp; 1400'!H117+'RS 0653'!H48+'RS 0654'!H56+'RS 0655'!H50+'RS 1100'!H36</f>
        <v>397067</v>
      </c>
      <c r="H36" s="1001">
        <f>+'RS 0000 &amp; 1400'!L117+'RS 0653'!L48+'RS 0654'!L56+'RS 0655'!L50+'RS 1100'!L36</f>
        <v>427485</v>
      </c>
      <c r="I36" s="647">
        <f>+'RS 0000 &amp; 1400'!P117+'RS 0653'!P48+'RS 0654'!P56+'RS 0655'!P50+'RS 1100'!P36</f>
        <v>448807</v>
      </c>
      <c r="J36" s="647">
        <v>441539.90974079422</v>
      </c>
      <c r="K36" s="647">
        <v>448163.00838690612</v>
      </c>
      <c r="L36" s="647">
        <v>454885.45351270965</v>
      </c>
      <c r="M36" s="1722">
        <f t="shared" si="8"/>
        <v>32592.099999999977</v>
      </c>
      <c r="N36" s="1699">
        <f t="shared" si="9"/>
        <v>8.9422069942264815E-2</v>
      </c>
      <c r="O36" s="1722">
        <f t="shared" si="10"/>
        <v>30418</v>
      </c>
      <c r="P36" s="1699">
        <f t="shared" si="11"/>
        <v>7.6606718765346901E-2</v>
      </c>
      <c r="Q36" s="1722">
        <f t="shared" si="12"/>
        <v>21322</v>
      </c>
      <c r="R36" s="1699">
        <f t="shared" si="13"/>
        <v>4.9877773489128273E-2</v>
      </c>
      <c r="S36" s="1712"/>
      <c r="T36" s="1712"/>
      <c r="U36" s="1642"/>
      <c r="V36" s="1642"/>
      <c r="W36" s="1642"/>
      <c r="X36" s="1618"/>
      <c r="Y36" s="1583"/>
      <c r="Z36" s="1583"/>
      <c r="AA36" s="1585"/>
      <c r="AB36" s="1149"/>
      <c r="AC36" s="1148"/>
      <c r="AD36" s="1148"/>
      <c r="AE36" s="1148"/>
      <c r="AF36" s="1148"/>
      <c r="AG36" s="1148"/>
      <c r="AH36" s="1148"/>
      <c r="AI36" s="1148"/>
      <c r="AJ36" s="1148"/>
      <c r="AK36" s="1148"/>
      <c r="AL36" s="1148"/>
      <c r="AM36" s="1141"/>
      <c r="AN36" s="1148"/>
      <c r="AO36" s="1149"/>
      <c r="AP36" s="1149"/>
      <c r="AQ36" s="1149"/>
      <c r="AR36" s="1149"/>
    </row>
    <row r="37" spans="1:44" ht="19.5" x14ac:dyDescent="0.35">
      <c r="A37" s="1218"/>
      <c r="B37" s="1178"/>
      <c r="C37" s="731"/>
      <c r="D37" s="731" t="s">
        <v>79</v>
      </c>
      <c r="E37" s="619"/>
      <c r="F37" s="979">
        <f>+'RS 0000 &amp; 1400'!D118+'RS 0653'!D49+'RS 0654'!D57+'RS 0655'!D51</f>
        <v>514906.07000000007</v>
      </c>
      <c r="G37" s="1032">
        <f>+'RS 0000 &amp; 1400'!H118+'RS 0653'!H49+'RS 0654'!H57+'RS 0655'!H51+'RS 1100'!H37</f>
        <v>542037</v>
      </c>
      <c r="H37" s="1001">
        <f>+'RS 0000 &amp; 1400'!L118+'RS 0653'!L49+'RS 0654'!L57+'RS 0655'!L51+'RS 1100'!L37</f>
        <v>562806.5</v>
      </c>
      <c r="I37" s="647">
        <f>+'RS 0000 &amp; 1400'!P118+'RS 0653'!P49+'RS 0654'!P57+'RS 0655'!P51+'RS 1100'!P37</f>
        <v>566109</v>
      </c>
      <c r="J37" s="647">
        <v>571243.92470059753</v>
      </c>
      <c r="K37" s="647">
        <v>579812.58357110654</v>
      </c>
      <c r="L37" s="647">
        <v>588509.77232467302</v>
      </c>
      <c r="M37" s="1722">
        <f t="shared" si="8"/>
        <v>27130.929999999935</v>
      </c>
      <c r="N37" s="1699">
        <f t="shared" si="9"/>
        <v>5.269102770530542E-2</v>
      </c>
      <c r="O37" s="1722">
        <f t="shared" si="10"/>
        <v>20769.5</v>
      </c>
      <c r="P37" s="1699">
        <f t="shared" si="11"/>
        <v>3.8317494931157839E-2</v>
      </c>
      <c r="Q37" s="1722">
        <f t="shared" si="12"/>
        <v>3302.5</v>
      </c>
      <c r="R37" s="1699">
        <f t="shared" si="13"/>
        <v>5.8679137501077188E-3</v>
      </c>
      <c r="S37" s="1712"/>
      <c r="T37" s="1712"/>
      <c r="U37" s="1642"/>
      <c r="V37" s="1642"/>
      <c r="W37" s="1642"/>
      <c r="X37" s="1618"/>
      <c r="Y37" s="1583"/>
      <c r="Z37" s="1583"/>
      <c r="AA37" s="1587"/>
      <c r="AB37" s="1149"/>
      <c r="AC37" s="1148"/>
      <c r="AD37" s="1148"/>
      <c r="AE37" s="1148"/>
      <c r="AF37" s="1148"/>
      <c r="AG37" s="1149"/>
      <c r="AH37" s="1149"/>
      <c r="AI37" s="1148"/>
      <c r="AJ37" s="1148"/>
      <c r="AK37" s="1148"/>
      <c r="AL37" s="1148"/>
      <c r="AM37" s="1141"/>
      <c r="AN37" s="1148"/>
      <c r="AO37" s="1149"/>
      <c r="AP37" s="1149"/>
      <c r="AQ37" s="1149"/>
      <c r="AR37" s="1149"/>
    </row>
    <row r="38" spans="1:44" ht="18" x14ac:dyDescent="0.25">
      <c r="A38" s="1218"/>
      <c r="B38" s="1178"/>
      <c r="C38" s="731"/>
      <c r="D38" s="1200" t="s">
        <v>80</v>
      </c>
      <c r="E38" s="619"/>
      <c r="F38" s="979">
        <f>+'RS 0000 &amp; 1400'!D119+'RS 0653'!D50+'RS 0654'!D58+'RS 0655'!D52</f>
        <v>3787299.2800000003</v>
      </c>
      <c r="G38" s="1032">
        <f>+'RS 0000 &amp; 1400'!H119+'RS 0653'!H50+'RS 0654'!H58+'RS 0655'!H52+'RS 1100'!H38</f>
        <v>3919007</v>
      </c>
      <c r="H38" s="1001">
        <f>+'RS 0000 &amp; 1400'!L119+'RS 0653'!L50+'RS 0654'!L58+'RS 0655'!L52+'RS 1100'!L38</f>
        <v>4161628</v>
      </c>
      <c r="I38" s="647">
        <f>+'RS 0000 &amp; 1400'!P119+'RS 0653'!P50+'RS 0654'!P58+'RS 0655'!P52+'RS 1100'!P38</f>
        <v>4369710</v>
      </c>
      <c r="J38" s="647">
        <v>19698.066368986121</v>
      </c>
      <c r="K38" s="647">
        <v>19993.537364520915</v>
      </c>
      <c r="L38" s="647">
        <v>20293.440424988727</v>
      </c>
      <c r="M38" s="1722">
        <f t="shared" si="8"/>
        <v>131707.71999999974</v>
      </c>
      <c r="N38" s="1699">
        <f t="shared" si="9"/>
        <v>3.4776158487268991E-2</v>
      </c>
      <c r="O38" s="1722">
        <f t="shared" si="10"/>
        <v>242621</v>
      </c>
      <c r="P38" s="1699">
        <f t="shared" si="11"/>
        <v>6.1908794753364818E-2</v>
      </c>
      <c r="Q38" s="1722">
        <f t="shared" si="12"/>
        <v>208082</v>
      </c>
      <c r="R38" s="1699">
        <f t="shared" si="13"/>
        <v>5.0000144174347151E-2</v>
      </c>
      <c r="S38" s="1712"/>
      <c r="T38" s="1712"/>
      <c r="U38" s="1642"/>
      <c r="V38" s="1642"/>
      <c r="W38" s="1642"/>
      <c r="X38" s="1618"/>
      <c r="Y38" s="1583"/>
      <c r="Z38" s="1583"/>
      <c r="AA38" s="1585"/>
      <c r="AB38" s="1149"/>
      <c r="AC38" s="1148"/>
      <c r="AD38" s="1148"/>
      <c r="AE38" s="1148"/>
      <c r="AF38" s="1148"/>
      <c r="AG38" s="1149"/>
      <c r="AH38" s="1149"/>
      <c r="AI38" s="1148"/>
      <c r="AJ38" s="1148"/>
      <c r="AK38" s="1148"/>
      <c r="AL38" s="1148"/>
      <c r="AM38" s="1141"/>
      <c r="AN38" s="1148"/>
      <c r="AO38" s="1149"/>
      <c r="AP38" s="1149"/>
      <c r="AQ38" s="1149"/>
      <c r="AR38" s="1149"/>
    </row>
    <row r="39" spans="1:44" ht="18" x14ac:dyDescent="0.25">
      <c r="A39" s="1218"/>
      <c r="B39" s="1178"/>
      <c r="C39" s="731"/>
      <c r="D39" s="731" t="s">
        <v>81</v>
      </c>
      <c r="E39" s="619"/>
      <c r="F39" s="979">
        <f>+'RS 0000 &amp; 1400'!D120+'RS 0653'!D51+'RS 0654'!D59+'RS 0655'!D53</f>
        <v>17794.439999999999</v>
      </c>
      <c r="G39" s="1032">
        <f>+'RS 0000 &amp; 1400'!H120+'RS 0653'!H51+'RS 0654'!H59+'RS 0655'!H53+'RS 1100'!H39</f>
        <v>19028</v>
      </c>
      <c r="H39" s="1001">
        <f>+'RS 0000 &amp; 1400'!L120+'RS 0653'!L51+'RS 0654'!L59+'RS 0655'!L53+'RS 1100'!L39</f>
        <v>19463.5</v>
      </c>
      <c r="I39" s="647">
        <f>+'RS 0000 &amp; 1400'!P120+'RS 0653'!P51+'RS 0654'!P59+'RS 0655'!P53+'RS 1100'!P39</f>
        <v>19520</v>
      </c>
      <c r="J39" s="647">
        <v>393961.3273797225</v>
      </c>
      <c r="K39" s="647">
        <v>399870.74729041825</v>
      </c>
      <c r="L39" s="647">
        <v>405868.80849977449</v>
      </c>
      <c r="M39" s="1722">
        <f t="shared" si="8"/>
        <v>1233.5600000000013</v>
      </c>
      <c r="N39" s="1699">
        <f t="shared" si="9"/>
        <v>6.9322777227044038E-2</v>
      </c>
      <c r="O39" s="1722">
        <f t="shared" si="10"/>
        <v>435.5</v>
      </c>
      <c r="P39" s="1699">
        <f t="shared" si="11"/>
        <v>2.2887323943661973E-2</v>
      </c>
      <c r="Q39" s="1722">
        <f t="shared" si="12"/>
        <v>56.5</v>
      </c>
      <c r="R39" s="1699">
        <f t="shared" si="13"/>
        <v>2.9028694736301284E-3</v>
      </c>
      <c r="S39" s="1712"/>
      <c r="T39" s="1712"/>
      <c r="U39" s="1642"/>
      <c r="V39" s="1642"/>
      <c r="W39" s="1642"/>
      <c r="X39" s="1618"/>
      <c r="Y39" s="1583"/>
      <c r="Z39" s="1583"/>
      <c r="AA39" s="1141"/>
      <c r="AB39" s="1149"/>
      <c r="AC39" s="1148"/>
      <c r="AD39" s="1148"/>
      <c r="AE39" s="1148"/>
      <c r="AF39" s="1148"/>
      <c r="AG39" s="1149"/>
      <c r="AH39" s="1149"/>
      <c r="AI39" s="1148"/>
      <c r="AJ39" s="1148"/>
      <c r="AK39" s="1148"/>
      <c r="AL39" s="1148"/>
      <c r="AM39" s="1141"/>
      <c r="AN39" s="1148"/>
      <c r="AO39" s="1149"/>
      <c r="AP39" s="1149"/>
      <c r="AQ39" s="1149"/>
      <c r="AR39" s="1149"/>
    </row>
    <row r="40" spans="1:44" ht="20.25" x14ac:dyDescent="0.25">
      <c r="A40" s="1235"/>
      <c r="B40" s="1199"/>
      <c r="C40" s="1200"/>
      <c r="D40" s="731" t="s">
        <v>82</v>
      </c>
      <c r="E40" s="621"/>
      <c r="F40" s="979">
        <f>+'RS 0000 &amp; 1400'!D121+'RS 0653'!D52+'RS 0654'!D60+'RS 0655'!D54</f>
        <v>391198.78</v>
      </c>
      <c r="G40" s="1043">
        <f>+'RS 0000 &amp; 1400'!H121+'RS 0653'!H52+'RS 0654'!H60+'RS 0655'!H54+'RS 1100'!H40</f>
        <v>350828</v>
      </c>
      <c r="H40" s="1011">
        <f>+'RS 0000 &amp; 1400'!L121+'RS 0653'!L52+'RS 0654'!L60+'RS 0655'!L54+'RS 1100'!L40</f>
        <v>310469</v>
      </c>
      <c r="I40" s="656">
        <f>+'RS 0000 &amp; 1400'!P121+'RS 0653'!P52+'RS 0654'!P60+'RS 0655'!P54+'RS 1100'!P40</f>
        <v>312335</v>
      </c>
      <c r="J40" s="656">
        <v>5578501.4882336259</v>
      </c>
      <c r="K40" s="656">
        <v>5857426.5626453077</v>
      </c>
      <c r="L40" s="656">
        <v>6150297.890777573</v>
      </c>
      <c r="M40" s="1722">
        <f t="shared" si="8"/>
        <v>-40370.780000000028</v>
      </c>
      <c r="N40" s="1699">
        <f t="shared" si="9"/>
        <v>-0.10319761222159238</v>
      </c>
      <c r="O40" s="1722">
        <f t="shared" si="10"/>
        <v>-40359</v>
      </c>
      <c r="P40" s="1699">
        <f t="shared" si="11"/>
        <v>-0.11503927850684666</v>
      </c>
      <c r="Q40" s="1722">
        <f t="shared" si="12"/>
        <v>1866</v>
      </c>
      <c r="R40" s="1699">
        <f t="shared" si="13"/>
        <v>6.0102618941021485E-3</v>
      </c>
      <c r="S40" s="1712"/>
      <c r="T40" s="1712"/>
      <c r="U40" s="1641" t="s">
        <v>909</v>
      </c>
      <c r="V40" s="1642"/>
      <c r="W40" s="1642"/>
      <c r="X40" s="1618"/>
      <c r="Y40" s="1583"/>
      <c r="Z40" s="1583"/>
      <c r="AA40" s="1141"/>
      <c r="AB40" s="1149"/>
      <c r="AC40" s="1148"/>
      <c r="AD40" s="1148"/>
      <c r="AE40" s="1148"/>
      <c r="AF40" s="1148"/>
      <c r="AG40" s="1141"/>
      <c r="AH40" s="1141"/>
      <c r="AI40" s="1148"/>
      <c r="AJ40" s="1148"/>
      <c r="AK40" s="1148"/>
      <c r="AL40" s="1148"/>
      <c r="AM40" s="1141"/>
      <c r="AN40" s="1148"/>
      <c r="AO40" s="1149"/>
      <c r="AP40" s="1149"/>
      <c r="AQ40" s="1149"/>
      <c r="AR40" s="1149"/>
    </row>
    <row r="41" spans="1:44" ht="18" x14ac:dyDescent="0.25">
      <c r="A41" s="1235"/>
      <c r="B41" s="1199"/>
      <c r="C41" s="1200"/>
      <c r="D41" s="731" t="s">
        <v>93</v>
      </c>
      <c r="E41" s="621"/>
      <c r="F41" s="979">
        <f>+'RS 0000 &amp; 1400'!D122+'RS 0653'!D53+'RS 0654'!D61+'RS 0655'!D55</f>
        <v>340626.19</v>
      </c>
      <c r="G41" s="1043">
        <f>+'RS 0000 &amp; 1400'!H122+'RS 0653'!H53+'RS 0654'!H61+'RS 0655'!H55+'RS 1100'!L41</f>
        <v>329794</v>
      </c>
      <c r="H41" s="1011">
        <f>+'RS 0000 &amp; 1400'!L122+'RS 0653'!L53+'RS 0654'!L61+'RS 0655'!L55+'RS 1100'!L41</f>
        <v>331389</v>
      </c>
      <c r="I41" s="656">
        <f>+'RS 0000 &amp; 1400'!P122+'RS 0653'!P53+'RS 0654'!P61+'RS 0655'!P55+'RS 1100'!P41</f>
        <v>331389</v>
      </c>
      <c r="J41" s="656"/>
      <c r="K41" s="656"/>
      <c r="L41" s="656"/>
      <c r="M41" s="1722">
        <f t="shared" si="8"/>
        <v>-10832.190000000002</v>
      </c>
      <c r="N41" s="1699">
        <f t="shared" si="9"/>
        <v>-3.1800813672019763E-2</v>
      </c>
      <c r="O41" s="1722">
        <f t="shared" si="10"/>
        <v>1595</v>
      </c>
      <c r="P41" s="1699">
        <f t="shared" si="11"/>
        <v>4.8363523896735542E-3</v>
      </c>
      <c r="Q41" s="1722">
        <f t="shared" si="12"/>
        <v>0</v>
      </c>
      <c r="R41" s="1699">
        <f t="shared" si="13"/>
        <v>0</v>
      </c>
      <c r="S41" s="1712"/>
      <c r="T41" s="1712"/>
      <c r="U41" s="1654" t="str">
        <f>+F1</f>
        <v>2016-2017</v>
      </c>
      <c r="V41" s="1654" t="str">
        <f t="shared" ref="V41:X41" si="17">+G1</f>
        <v>2017-2018</v>
      </c>
      <c r="W41" s="1654" t="str">
        <f t="shared" si="17"/>
        <v>2018-2019</v>
      </c>
      <c r="X41" s="1626" t="str">
        <f t="shared" si="17"/>
        <v>2019-2020</v>
      </c>
      <c r="Y41" s="1583"/>
      <c r="Z41" s="1583"/>
      <c r="AA41" s="1141"/>
      <c r="AB41" s="1149"/>
      <c r="AC41" s="1148"/>
      <c r="AD41" s="1148"/>
      <c r="AE41" s="1148"/>
      <c r="AF41" s="1148"/>
      <c r="AG41" s="1141"/>
      <c r="AH41" s="1141"/>
      <c r="AI41" s="1148"/>
      <c r="AJ41" s="1148"/>
      <c r="AK41" s="1148"/>
      <c r="AL41" s="1148"/>
      <c r="AM41" s="1141"/>
      <c r="AN41" s="1148"/>
      <c r="AO41" s="1149"/>
      <c r="AP41" s="1149"/>
      <c r="AQ41" s="1149"/>
      <c r="AR41" s="1149"/>
    </row>
    <row r="42" spans="1:44" ht="18" x14ac:dyDescent="0.25">
      <c r="A42" s="1235"/>
      <c r="B42" s="1199"/>
      <c r="C42" s="1200"/>
      <c r="D42" s="731" t="s">
        <v>92</v>
      </c>
      <c r="E42" s="621"/>
      <c r="F42" s="979">
        <f>+'RS 0000 &amp; 1400'!D123+'RS 0653'!D54+'RS 0654'!D62+'RS 0655'!D56</f>
        <v>320777.17000000004</v>
      </c>
      <c r="G42" s="1043">
        <f>+'RS 0000 &amp; 1400'!H123+'RS 0653'!H54+'RS 0654'!H62+'RS 0655'!H56</f>
        <v>344495</v>
      </c>
      <c r="H42" s="1011">
        <f>+'RS 0000 &amp; 1400'!L123+'RS 0653'!L54+'RS 0654'!L62+'RS 0655'!L56</f>
        <v>337773</v>
      </c>
      <c r="I42" s="656">
        <f>+'RS 0000 &amp; 1400'!P123+'RS 0653'!P54+'RS 0654'!P62+'RS 0655'!P56</f>
        <v>337773</v>
      </c>
      <c r="J42" s="656"/>
      <c r="K42" s="656"/>
      <c r="L42" s="656"/>
      <c r="M42" s="1722">
        <f t="shared" si="8"/>
        <v>23717.829999999958</v>
      </c>
      <c r="N42" s="1699">
        <f t="shared" si="9"/>
        <v>7.3938647192379539E-2</v>
      </c>
      <c r="O42" s="1722">
        <f t="shared" si="10"/>
        <v>-6722</v>
      </c>
      <c r="P42" s="1699">
        <f t="shared" si="11"/>
        <v>-1.9512619921914685E-2</v>
      </c>
      <c r="Q42" s="1722">
        <f t="shared" si="12"/>
        <v>0</v>
      </c>
      <c r="R42" s="1699">
        <f t="shared" si="13"/>
        <v>0</v>
      </c>
      <c r="S42" s="1712"/>
      <c r="T42" s="1712"/>
      <c r="U42" s="1642">
        <f>+SUM(F34:F42)</f>
        <v>10472432.359999999</v>
      </c>
      <c r="V42" s="1642">
        <f>+SUM(G34:G42)</f>
        <v>11483739.15</v>
      </c>
      <c r="W42" s="1642">
        <f>+SUM(H34:H42)</f>
        <v>12582865</v>
      </c>
      <c r="X42" s="1403">
        <f>+SUM(I34:I42)</f>
        <v>13657228</v>
      </c>
      <c r="Y42" s="1583"/>
      <c r="Z42" s="1583"/>
      <c r="AA42" s="1141"/>
      <c r="AB42" s="1149"/>
      <c r="AC42" s="1148"/>
      <c r="AD42" s="1148"/>
      <c r="AE42" s="1148"/>
      <c r="AF42" s="1148"/>
      <c r="AG42" s="1141"/>
      <c r="AH42" s="1141"/>
      <c r="AI42" s="1148"/>
      <c r="AJ42" s="1148"/>
      <c r="AK42" s="1148"/>
      <c r="AL42" s="1148"/>
      <c r="AM42" s="1141"/>
      <c r="AN42" s="1148"/>
      <c r="AO42" s="1149"/>
      <c r="AP42" s="1149"/>
      <c r="AQ42" s="1149"/>
      <c r="AR42" s="1149"/>
    </row>
    <row r="43" spans="1:44" ht="27" customHeight="1" x14ac:dyDescent="0.25">
      <c r="A43" s="1218"/>
      <c r="B43" s="1178"/>
      <c r="C43" s="731" t="s">
        <v>355</v>
      </c>
      <c r="D43" s="731"/>
      <c r="E43" s="619"/>
      <c r="F43" s="970">
        <f>+'RS 0000 &amp; 1400'!D141+'RS 0653'!D71+'RS 0654'!D79+'RS 0655'!D73+'RS 1100'!D59</f>
        <v>843522.15000000014</v>
      </c>
      <c r="G43" s="1032">
        <f>+'RS 0000 &amp; 1400'!H141+'RS 0653'!H71+'RS 0654'!H79+'RS 0655'!H73+'RS 1100'!H59</f>
        <v>1086950</v>
      </c>
      <c r="H43" s="1001">
        <f>+'RS 0000 &amp; 1400'!L141+'RS 0653'!L71+'RS 0654'!L79+'RS 0655'!L73+'RS 1100'!L59</f>
        <v>996853</v>
      </c>
      <c r="I43" s="647">
        <f>+'RS 0000 &amp; 1400'!P141+'RS 0653'!P71+'RS 0654'!P79+'RS 0655'!P73+'RS 1100'!P59</f>
        <v>1009952</v>
      </c>
      <c r="J43" s="647" t="e">
        <f>(+I43)*(1+#REF!)</f>
        <v>#REF!</v>
      </c>
      <c r="K43" s="647" t="e">
        <f>(+J43)*(1+#REF!)</f>
        <v>#REF!</v>
      </c>
      <c r="L43" s="647" t="e">
        <f>(+K43)*(1+#REF!)</f>
        <v>#REF!</v>
      </c>
      <c r="M43" s="1722">
        <f t="shared" si="8"/>
        <v>243427.84999999986</v>
      </c>
      <c r="N43" s="1699">
        <f t="shared" si="9"/>
        <v>0.28858501226079225</v>
      </c>
      <c r="O43" s="1722">
        <f t="shared" si="10"/>
        <v>-90097</v>
      </c>
      <c r="P43" s="1699">
        <f t="shared" si="11"/>
        <v>-8.288973733842403E-2</v>
      </c>
      <c r="Q43" s="1722">
        <f t="shared" si="12"/>
        <v>13099</v>
      </c>
      <c r="R43" s="1699">
        <f t="shared" si="13"/>
        <v>1.3140352689915162E-2</v>
      </c>
      <c r="S43" s="1712"/>
      <c r="T43" s="1712"/>
      <c r="U43" s="1642"/>
      <c r="V43" s="1642"/>
      <c r="W43" s="1642"/>
      <c r="X43" s="1618"/>
      <c r="Y43" s="1583"/>
      <c r="Z43" s="1583"/>
      <c r="AA43" s="1141"/>
      <c r="AB43" s="1149"/>
      <c r="AC43" s="1149"/>
      <c r="AD43" s="1149"/>
      <c r="AE43" s="1149"/>
      <c r="AF43" s="1149"/>
      <c r="AG43" s="1141"/>
      <c r="AH43" s="1141"/>
      <c r="AI43" s="1149"/>
      <c r="AJ43" s="1149"/>
      <c r="AK43" s="1149"/>
      <c r="AL43" s="1149"/>
      <c r="AM43" s="1149"/>
      <c r="AN43" s="1149"/>
      <c r="AO43" s="1149"/>
      <c r="AP43" s="1149"/>
      <c r="AQ43" s="1149"/>
      <c r="AR43" s="1149"/>
    </row>
    <row r="44" spans="1:44" s="1147" customFormat="1" ht="36" customHeight="1" x14ac:dyDescent="0.35">
      <c r="A44" s="1235"/>
      <c r="B44" s="1199"/>
      <c r="C44" s="1200"/>
      <c r="D44" s="1204" t="s">
        <v>664</v>
      </c>
      <c r="E44" s="622"/>
      <c r="F44" s="980">
        <f>+'RS 0617'!D66</f>
        <v>1933812.68</v>
      </c>
      <c r="G44" s="1044">
        <f>+'RS 0617'!H66</f>
        <v>300000</v>
      </c>
      <c r="H44" s="1012">
        <f>+'RS 0617'!L66</f>
        <v>3146300</v>
      </c>
      <c r="I44" s="657">
        <f>+'RS 0617'!P66</f>
        <v>1000000</v>
      </c>
      <c r="J44" s="657">
        <v>550000</v>
      </c>
      <c r="K44" s="657">
        <v>350000</v>
      </c>
      <c r="L44" s="657">
        <v>1369212</v>
      </c>
      <c r="M44" s="1722">
        <f t="shared" si="8"/>
        <v>-1633812.68</v>
      </c>
      <c r="N44" s="1699">
        <f t="shared" si="9"/>
        <v>-0.84486604979754298</v>
      </c>
      <c r="O44" s="1722">
        <f t="shared" si="10"/>
        <v>2846300</v>
      </c>
      <c r="P44" s="1699">
        <f t="shared" si="11"/>
        <v>9.4876666666666658</v>
      </c>
      <c r="Q44" s="1722">
        <f t="shared" si="12"/>
        <v>-2146300</v>
      </c>
      <c r="R44" s="1699">
        <f t="shared" si="13"/>
        <v>-0.68216635413024818</v>
      </c>
      <c r="S44" s="1712"/>
      <c r="T44" s="1712"/>
      <c r="U44" s="1644"/>
      <c r="V44" s="1644"/>
      <c r="W44" s="1644"/>
      <c r="X44" s="1618"/>
      <c r="Y44" s="1583"/>
      <c r="Z44" s="1583"/>
      <c r="AA44" s="1146"/>
      <c r="AB44" s="1149"/>
      <c r="AC44" s="1586"/>
      <c r="AD44" s="1586"/>
      <c r="AE44" s="1586"/>
      <c r="AF44" s="1586"/>
      <c r="AG44" s="1146"/>
      <c r="AH44" s="1146"/>
      <c r="AI44" s="1149"/>
      <c r="AJ44" s="1150"/>
      <c r="AK44" s="1150"/>
      <c r="AL44" s="1150"/>
      <c r="AM44" s="1150"/>
      <c r="AN44" s="1146"/>
      <c r="AO44" s="1146"/>
      <c r="AP44" s="1146"/>
      <c r="AQ44" s="1146"/>
      <c r="AR44" s="1146"/>
    </row>
    <row r="45" spans="1:44" ht="25.5" customHeight="1" x14ac:dyDescent="0.25">
      <c r="A45" s="1218"/>
      <c r="B45" s="1178"/>
      <c r="C45" s="731" t="s">
        <v>356</v>
      </c>
      <c r="D45" s="731"/>
      <c r="E45" s="619"/>
      <c r="F45" s="970">
        <f>+'RS 0000 &amp; 1400'!D185+'RS 0653'!D87+'RS 0654'!D95+'RS 0655'!D95+'RS 1100'!D76+'RS 0617'!D82-F46</f>
        <v>2773265.02</v>
      </c>
      <c r="G45" s="1032">
        <f>+'RS 0000 &amp; 1400'!H185+'RS 0653'!H87+'RS 0654'!H95+'RS 0655'!H95+'RS 1100'!H76+'RS 0617'!H82-G46</f>
        <v>3098267.93</v>
      </c>
      <c r="H45" s="1001">
        <f>+'RS 0000 &amp; 1400'!L185+'RS 0653'!L87+'RS 0654'!L95+'RS 0655'!L95+'RS 1100'!L76+'RS 0617'!L82-H46</f>
        <v>2960737</v>
      </c>
      <c r="I45" s="647">
        <f>+'RS 0000 &amp; 1400'!P185+'RS 0653'!P87+'RS 0654'!P95+'RS 0655'!P95+'RS 1100'!P76+'RS 0617'!P82-I46</f>
        <v>2997194</v>
      </c>
      <c r="J45" s="647" t="e">
        <f>(+I45)*(1+#REF!)</f>
        <v>#REF!</v>
      </c>
      <c r="K45" s="647" t="e">
        <f>(+J45)*(1+#REF!)</f>
        <v>#REF!</v>
      </c>
      <c r="L45" s="647" t="e">
        <f>(+K45)*(1+#REF!)</f>
        <v>#REF!</v>
      </c>
      <c r="M45" s="1722">
        <f t="shared" si="8"/>
        <v>325002.91000000015</v>
      </c>
      <c r="N45" s="1699">
        <f t="shared" si="9"/>
        <v>0.11719143596308734</v>
      </c>
      <c r="O45" s="1722">
        <f t="shared" si="10"/>
        <v>-137530.93000000017</v>
      </c>
      <c r="P45" s="1699">
        <f t="shared" si="11"/>
        <v>-4.4389618040554732E-2</v>
      </c>
      <c r="Q45" s="1722">
        <f t="shared" si="12"/>
        <v>36457</v>
      </c>
      <c r="R45" s="1699">
        <f t="shared" si="13"/>
        <v>1.231348816190023E-2</v>
      </c>
      <c r="S45" s="1712"/>
      <c r="T45" s="1712"/>
      <c r="U45" s="1642"/>
      <c r="V45" s="1642"/>
      <c r="W45" s="1642"/>
      <c r="X45" s="1618"/>
      <c r="Y45" s="1583"/>
      <c r="Z45" s="1583"/>
      <c r="AA45" s="1141"/>
      <c r="AB45" s="1149"/>
      <c r="AC45" s="1149"/>
      <c r="AD45" s="1149"/>
      <c r="AE45" s="1149"/>
      <c r="AF45" s="1149"/>
      <c r="AG45" s="1141"/>
      <c r="AH45" s="1141"/>
      <c r="AI45" s="1149"/>
      <c r="AJ45" s="1150"/>
      <c r="AK45" s="1150"/>
      <c r="AL45" s="1150"/>
      <c r="AM45" s="1150"/>
      <c r="AN45" s="1141"/>
      <c r="AO45" s="1141"/>
      <c r="AP45" s="1141"/>
      <c r="AQ45" s="1141"/>
      <c r="AR45" s="1141"/>
    </row>
    <row r="46" spans="1:44" ht="18" x14ac:dyDescent="0.25">
      <c r="A46" s="1218"/>
      <c r="B46" s="1178"/>
      <c r="C46" s="731"/>
      <c r="D46" s="1204" t="s">
        <v>660</v>
      </c>
      <c r="E46" s="619"/>
      <c r="F46" s="980">
        <f>+'RS 0617'!D82</f>
        <v>33700.58</v>
      </c>
      <c r="G46" s="1044">
        <f>+'RS 0617'!H82</f>
        <v>48576</v>
      </c>
      <c r="H46" s="1012">
        <f>+'RS 0617'!L82</f>
        <v>300895</v>
      </c>
      <c r="I46" s="657">
        <f>+'RS 0617'!P82</f>
        <v>300000</v>
      </c>
      <c r="J46" s="657"/>
      <c r="K46" s="657"/>
      <c r="L46" s="657"/>
      <c r="M46" s="1722">
        <f t="shared" si="8"/>
        <v>14875.419999999998</v>
      </c>
      <c r="N46" s="1699">
        <f t="shared" si="9"/>
        <v>0.44139952487464601</v>
      </c>
      <c r="O46" s="1722">
        <f t="shared" si="10"/>
        <v>252319</v>
      </c>
      <c r="P46" s="1699">
        <f t="shared" si="11"/>
        <v>5.1943140645586299</v>
      </c>
      <c r="Q46" s="1722">
        <f t="shared" si="12"/>
        <v>-895</v>
      </c>
      <c r="R46" s="1699">
        <f t="shared" si="13"/>
        <v>-2.974459529071603E-3</v>
      </c>
      <c r="S46" s="1712"/>
      <c r="T46" s="1712"/>
      <c r="U46" s="1642"/>
      <c r="V46" s="1642"/>
      <c r="W46" s="1642"/>
      <c r="X46" s="1618"/>
      <c r="Y46" s="1583"/>
      <c r="Z46" s="1583"/>
      <c r="AA46" s="1141"/>
      <c r="AB46" s="1149"/>
      <c r="AC46" s="1149"/>
      <c r="AD46" s="1149"/>
      <c r="AE46" s="1149"/>
      <c r="AF46" s="1149"/>
      <c r="AG46" s="1141"/>
      <c r="AH46" s="1141"/>
      <c r="AI46" s="1149"/>
      <c r="AJ46" s="1150"/>
      <c r="AK46" s="1150"/>
      <c r="AL46" s="1150"/>
      <c r="AM46" s="1150"/>
      <c r="AN46" s="1141"/>
      <c r="AO46" s="1141"/>
      <c r="AP46" s="1141"/>
      <c r="AQ46" s="1141"/>
      <c r="AR46" s="1141"/>
    </row>
    <row r="47" spans="1:44" s="1147" customFormat="1" ht="25.5" customHeight="1" x14ac:dyDescent="0.25">
      <c r="A47" s="1218"/>
      <c r="B47" s="1178"/>
      <c r="C47" s="731" t="s">
        <v>328</v>
      </c>
      <c r="D47" s="731"/>
      <c r="E47" s="619"/>
      <c r="F47" s="970">
        <f>+'RS 0000 &amp; 1400'!D191+'RS 1100'!D82</f>
        <v>25000</v>
      </c>
      <c r="G47" s="1032">
        <f>+'RS 0000 &amp; 1400'!H191+'RS 1100'!H82</f>
        <v>453</v>
      </c>
      <c r="H47" s="1001">
        <f>+'RS 0000 &amp; 1400'!L191+'RS 1100'!L82</f>
        <v>0</v>
      </c>
      <c r="I47" s="647">
        <f>+'RS 0000 &amp; 1400'!P191+'RS 1100'!P82</f>
        <v>0</v>
      </c>
      <c r="J47" s="647" t="e">
        <f>(+I47)*(1+#REF!)</f>
        <v>#REF!</v>
      </c>
      <c r="K47" s="647" t="e">
        <f>(+J47)*(1+#REF!)</f>
        <v>#REF!</v>
      </c>
      <c r="L47" s="647" t="e">
        <f>(+K47)*(1+#REF!)</f>
        <v>#REF!</v>
      </c>
      <c r="M47" s="1722">
        <f t="shared" si="8"/>
        <v>-24547</v>
      </c>
      <c r="N47" s="1699">
        <f t="shared" si="9"/>
        <v>-0.98187999999999998</v>
      </c>
      <c r="O47" s="1722">
        <f t="shared" si="10"/>
        <v>-453</v>
      </c>
      <c r="P47" s="1699">
        <f t="shared" si="11"/>
        <v>-1</v>
      </c>
      <c r="Q47" s="1722">
        <f t="shared" si="12"/>
        <v>0</v>
      </c>
      <c r="R47" s="1699">
        <f t="shared" si="13"/>
        <v>0</v>
      </c>
      <c r="S47" s="1712"/>
      <c r="T47" s="1712"/>
      <c r="U47" s="1642"/>
      <c r="V47" s="1642"/>
      <c r="W47" s="1642"/>
      <c r="X47" s="1618"/>
      <c r="Y47" s="1583"/>
      <c r="Z47" s="1583"/>
      <c r="AA47" s="1146"/>
      <c r="AB47" s="1588"/>
      <c r="AC47" s="1149"/>
      <c r="AD47" s="1149"/>
      <c r="AE47" s="1149"/>
      <c r="AF47" s="1149"/>
      <c r="AG47" s="1146"/>
      <c r="AH47" s="1146"/>
      <c r="AI47" s="1148"/>
      <c r="AJ47" s="1150"/>
      <c r="AK47" s="1150"/>
      <c r="AL47" s="1150"/>
      <c r="AM47" s="1150"/>
      <c r="AN47" s="1146"/>
      <c r="AO47" s="1146"/>
      <c r="AP47" s="1146"/>
      <c r="AQ47" s="1146"/>
      <c r="AR47" s="1146"/>
    </row>
    <row r="48" spans="1:44" ht="18" x14ac:dyDescent="0.25">
      <c r="A48" s="1218"/>
      <c r="B48" s="1178"/>
      <c r="C48" s="731" t="s">
        <v>357</v>
      </c>
      <c r="D48" s="731"/>
      <c r="E48" s="619"/>
      <c r="F48" s="970">
        <f>+'RS 0000 &amp; 1400'!D194+'RS 0000 &amp; 1400'!D195</f>
        <v>121634.83</v>
      </c>
      <c r="G48" s="1032">
        <f>+'RS 0000 &amp; 1400'!H194+'RS 0000 &amp; 1400'!H195+'RS 0000 &amp; 1400'!H198</f>
        <v>197959</v>
      </c>
      <c r="H48" s="1001">
        <f>+'RS 0000 &amp; 1400'!L194+'RS 0000 &amp; 1400'!L195+'RS 0000 &amp; 1400'!L198</f>
        <v>173251</v>
      </c>
      <c r="I48" s="647">
        <f>+'RS 0000 &amp; 1400'!P194+'RS 0000 &amp; 1400'!P195+'RS 0000 &amp; 1400'!P198</f>
        <v>173251</v>
      </c>
      <c r="J48" s="647" t="e">
        <f>(+I48)*(1+#REF!)</f>
        <v>#REF!</v>
      </c>
      <c r="K48" s="647" t="e">
        <f>(+J48)*(1+#REF!)</f>
        <v>#REF!</v>
      </c>
      <c r="L48" s="647" t="e">
        <f>(+K48)*(1+#REF!)</f>
        <v>#REF!</v>
      </c>
      <c r="M48" s="1722">
        <f t="shared" si="8"/>
        <v>76324.17</v>
      </c>
      <c r="N48" s="1699">
        <f t="shared" si="9"/>
        <v>0.62748614027741889</v>
      </c>
      <c r="O48" s="1722">
        <f t="shared" si="10"/>
        <v>-24708</v>
      </c>
      <c r="P48" s="1699">
        <f t="shared" si="11"/>
        <v>-0.12481372405397077</v>
      </c>
      <c r="Q48" s="1722">
        <f t="shared" si="12"/>
        <v>0</v>
      </c>
      <c r="R48" s="1699">
        <f t="shared" si="13"/>
        <v>0</v>
      </c>
      <c r="S48" s="1712"/>
      <c r="T48" s="1712"/>
      <c r="U48" s="1642"/>
      <c r="V48" s="1642"/>
      <c r="W48" s="1642"/>
      <c r="X48" s="1618"/>
      <c r="Y48" s="1583"/>
      <c r="Z48" s="1583"/>
      <c r="AA48" s="1141"/>
      <c r="AB48" s="1148"/>
      <c r="AC48" s="1149"/>
      <c r="AD48" s="1149"/>
      <c r="AE48" s="1149"/>
      <c r="AF48" s="1149"/>
      <c r="AG48" s="1141"/>
      <c r="AH48" s="1141"/>
      <c r="AI48" s="1588"/>
      <c r="AJ48" s="1150"/>
      <c r="AK48" s="1150"/>
      <c r="AL48" s="1150"/>
      <c r="AM48" s="1150"/>
      <c r="AN48" s="1141"/>
      <c r="AO48" s="1141"/>
      <c r="AP48" s="1141"/>
      <c r="AQ48" s="1141"/>
      <c r="AR48" s="1141"/>
    </row>
    <row r="49" spans="1:44" ht="18" x14ac:dyDescent="0.25">
      <c r="A49" s="1229"/>
      <c r="B49" s="1181"/>
      <c r="C49" s="1182" t="s">
        <v>358</v>
      </c>
      <c r="D49" s="1182"/>
      <c r="E49" s="625"/>
      <c r="F49" s="971">
        <f>+'RS 0000 &amp; 1400'!D196+'RS 0000 &amp; 1400'!D197</f>
        <v>-694543.14</v>
      </c>
      <c r="G49" s="1037">
        <f>+'RS 0000 &amp; 1400'!H196+'RS 0000 &amp; 1400'!H197</f>
        <v>-895066</v>
      </c>
      <c r="H49" s="1005">
        <f>+'RS 0000 &amp; 1400'!L196+'RS 0000 &amp; 1400'!L197</f>
        <v>-1129223</v>
      </c>
      <c r="I49" s="649">
        <f>+'RS 0000 &amp; 1400'!P196+'RS 0000 &amp; 1400'!P197</f>
        <v>-1167165</v>
      </c>
      <c r="J49" s="649" t="e">
        <f>(+I49)*(1+#REF!)</f>
        <v>#REF!</v>
      </c>
      <c r="K49" s="649" t="e">
        <f>(+J49)*(1+#REF!)</f>
        <v>#REF!</v>
      </c>
      <c r="L49" s="649" t="e">
        <f>(+K49)*(1+#REF!)</f>
        <v>#REF!</v>
      </c>
      <c r="M49" s="1722">
        <f t="shared" si="8"/>
        <v>-200522.86</v>
      </c>
      <c r="N49" s="1699">
        <f t="shared" si="9"/>
        <v>0.28871188620479354</v>
      </c>
      <c r="O49" s="1722">
        <f t="shared" si="10"/>
        <v>-234157</v>
      </c>
      <c r="P49" s="1699">
        <f t="shared" si="11"/>
        <v>0.26160864115048499</v>
      </c>
      <c r="Q49" s="1722">
        <f t="shared" si="12"/>
        <v>-37942</v>
      </c>
      <c r="R49" s="1699">
        <f t="shared" si="13"/>
        <v>3.3600094932533256E-2</v>
      </c>
      <c r="S49" s="1712"/>
      <c r="T49" s="1712"/>
      <c r="U49" s="1642"/>
      <c r="V49" s="1642"/>
      <c r="W49" s="1642"/>
      <c r="X49" s="1618"/>
      <c r="Y49" s="1583"/>
      <c r="Z49" s="1583"/>
      <c r="AA49" s="1141"/>
      <c r="AB49" s="1149"/>
      <c r="AC49" s="1149"/>
      <c r="AD49" s="1149"/>
      <c r="AE49" s="1149"/>
      <c r="AF49" s="1149"/>
      <c r="AG49" s="1141"/>
      <c r="AH49" s="1141"/>
      <c r="AI49" s="1148"/>
      <c r="AJ49" s="1150"/>
      <c r="AK49" s="1150"/>
      <c r="AL49" s="1150"/>
      <c r="AM49" s="1150"/>
      <c r="AN49" s="1141"/>
      <c r="AO49" s="1141"/>
      <c r="AP49" s="1141"/>
      <c r="AQ49" s="1141"/>
      <c r="AR49" s="1141"/>
    </row>
    <row r="50" spans="1:44" ht="18.75" thickBot="1" x14ac:dyDescent="0.3">
      <c r="A50" s="1183"/>
      <c r="B50" s="1184" t="s">
        <v>359</v>
      </c>
      <c r="C50" s="1192"/>
      <c r="D50" s="1192"/>
      <c r="E50" s="624"/>
      <c r="F50" s="967">
        <f>SUM(F27:F49)</f>
        <v>61168664.33765199</v>
      </c>
      <c r="G50" s="1034">
        <f>SUM(G27:G49)</f>
        <v>63292813.822888002</v>
      </c>
      <c r="H50" s="1002">
        <f t="shared" ref="H50:L50" si="18">SUM(H27:H49)</f>
        <v>68208923.100800008</v>
      </c>
      <c r="I50" s="654">
        <f t="shared" si="18"/>
        <v>68544233.311999992</v>
      </c>
      <c r="J50" s="654" t="e">
        <f t="shared" si="18"/>
        <v>#REF!</v>
      </c>
      <c r="K50" s="654" t="e">
        <f t="shared" si="18"/>
        <v>#REF!</v>
      </c>
      <c r="L50" s="654" t="e">
        <f t="shared" si="18"/>
        <v>#REF!</v>
      </c>
      <c r="M50" s="1722">
        <f t="shared" si="8"/>
        <v>2124149.4852360114</v>
      </c>
      <c r="N50" s="1699">
        <f t="shared" si="9"/>
        <v>3.4726105404405641E-2</v>
      </c>
      <c r="O50" s="1722">
        <f t="shared" si="10"/>
        <v>4916109.2779120058</v>
      </c>
      <c r="P50" s="1699">
        <f t="shared" si="11"/>
        <v>7.7672471501563076E-2</v>
      </c>
      <c r="Q50" s="1722">
        <f t="shared" si="12"/>
        <v>335310.21119998395</v>
      </c>
      <c r="R50" s="1699">
        <f t="shared" si="13"/>
        <v>4.9159288250960696E-3</v>
      </c>
      <c r="S50" s="1712"/>
      <c r="T50" s="1712"/>
      <c r="U50" s="1612"/>
      <c r="V50" s="1612"/>
      <c r="W50" s="1612"/>
      <c r="X50" s="1619"/>
      <c r="Y50" s="1141"/>
      <c r="Z50" s="1141"/>
      <c r="AA50" s="1141"/>
      <c r="AB50" s="1149"/>
      <c r="AC50" s="1148"/>
      <c r="AD50" s="1148"/>
      <c r="AE50" s="1148"/>
      <c r="AF50" s="1148"/>
      <c r="AG50" s="1141"/>
      <c r="AH50" s="1141"/>
      <c r="AI50" s="1149"/>
      <c r="AJ50" s="1150"/>
      <c r="AK50" s="1150"/>
      <c r="AL50" s="1150"/>
      <c r="AM50" s="1150"/>
      <c r="AN50" s="1141"/>
      <c r="AO50" s="1141"/>
      <c r="AP50" s="1141"/>
      <c r="AQ50" s="1141"/>
      <c r="AR50" s="1141"/>
    </row>
    <row r="51" spans="1:44" ht="18.75" thickTop="1" x14ac:dyDescent="0.25">
      <c r="A51" s="1226"/>
      <c r="B51" s="1227"/>
      <c r="C51" s="1228"/>
      <c r="D51" s="1228"/>
      <c r="E51" s="690"/>
      <c r="F51" s="981"/>
      <c r="G51" s="1045"/>
      <c r="H51" s="1013"/>
      <c r="I51" s="691"/>
      <c r="J51" s="691"/>
      <c r="K51" s="691"/>
      <c r="L51" s="691"/>
      <c r="M51" s="1722"/>
      <c r="N51" s="1699"/>
      <c r="O51" s="1722"/>
      <c r="P51" s="1699"/>
      <c r="Q51" s="1722"/>
      <c r="R51" s="1699"/>
      <c r="S51" s="1712"/>
      <c r="T51" s="1712"/>
      <c r="U51" s="1637"/>
      <c r="V51" s="1636"/>
      <c r="W51" s="1636"/>
      <c r="X51" s="1617"/>
      <c r="Y51" s="1149"/>
      <c r="Z51" s="1149"/>
      <c r="AA51" s="1149"/>
      <c r="AB51" s="1141"/>
      <c r="AC51" s="1141"/>
      <c r="AD51" s="1149"/>
      <c r="AE51" s="1149"/>
      <c r="AF51" s="1149"/>
      <c r="AG51" s="1149"/>
      <c r="AH51" s="1149"/>
      <c r="AI51" s="1141"/>
      <c r="AJ51" s="1141"/>
      <c r="AK51" s="1141"/>
      <c r="AL51" s="1141"/>
      <c r="AM51" s="1141"/>
      <c r="AN51" s="1141"/>
      <c r="AO51" s="1141"/>
      <c r="AP51" s="1141"/>
      <c r="AQ51" s="1141"/>
      <c r="AR51" s="1141"/>
    </row>
    <row r="52" spans="1:44" ht="18" x14ac:dyDescent="0.25">
      <c r="A52" s="1215"/>
      <c r="B52" s="1173" t="s">
        <v>705</v>
      </c>
      <c r="C52" s="1174"/>
      <c r="D52" s="1174"/>
      <c r="E52" s="661"/>
      <c r="F52" s="982"/>
      <c r="G52" s="1036"/>
      <c r="H52" s="1004"/>
      <c r="I52" s="662"/>
      <c r="J52" s="662"/>
      <c r="K52" s="662"/>
      <c r="L52" s="662"/>
      <c r="M52" s="1722"/>
      <c r="N52" s="1699"/>
      <c r="O52" s="1722"/>
      <c r="P52" s="1699"/>
      <c r="Q52" s="1722"/>
      <c r="R52" s="1699"/>
      <c r="S52" s="1712"/>
      <c r="T52" s="1712"/>
      <c r="U52" s="1636"/>
      <c r="V52" s="1636"/>
      <c r="W52" s="1636"/>
      <c r="X52" s="1617"/>
      <c r="Y52" s="1149"/>
      <c r="Z52" s="1149"/>
      <c r="AA52" s="1149"/>
      <c r="AB52" s="1141"/>
      <c r="AC52" s="1141"/>
      <c r="AD52" s="1141"/>
      <c r="AE52" s="1141"/>
      <c r="AF52" s="1141"/>
      <c r="AG52" s="1141"/>
      <c r="AH52" s="1141"/>
      <c r="AI52" s="1141"/>
      <c r="AJ52" s="1141"/>
      <c r="AK52" s="1141"/>
      <c r="AL52" s="1141"/>
      <c r="AM52" s="1141"/>
      <c r="AN52" s="1141"/>
      <c r="AO52" s="1141"/>
      <c r="AP52" s="1141"/>
      <c r="AQ52" s="1141"/>
      <c r="AR52" s="1141"/>
    </row>
    <row r="53" spans="1:44" ht="20.25" x14ac:dyDescent="0.4">
      <c r="A53" s="1216"/>
      <c r="B53" s="1176"/>
      <c r="C53" s="739" t="s">
        <v>360</v>
      </c>
      <c r="D53" s="739"/>
      <c r="E53" s="688"/>
      <c r="F53" s="983">
        <f>+'RS 0000 &amp; 1400'!D199+'RS 0000 &amp; 1400'!D200+'RS 0000 &amp; 1400'!D201</f>
        <v>562000</v>
      </c>
      <c r="G53" s="1046">
        <f>+'RS 0000 &amp; 1400'!H199+'RS 0000 &amp; 1400'!H200+'RS 0000 &amp; 1400'!H201</f>
        <v>562000</v>
      </c>
      <c r="H53" s="1014">
        <f>+'RS 0000 &amp; 1400'!L199+'RS 0000 &amp; 1400'!L200+'RS 0000 &amp; 1400'!L201</f>
        <v>562000</v>
      </c>
      <c r="I53" s="689">
        <f>+'RS 0000 &amp; 1400'!P199+'RS 0000 &amp; 1400'!P200+'RS 0000 &amp; 1400'!P201</f>
        <v>562000</v>
      </c>
      <c r="J53" s="689">
        <f t="shared" ref="J53:L53" si="19">+I53</f>
        <v>562000</v>
      </c>
      <c r="K53" s="689">
        <f t="shared" si="19"/>
        <v>562000</v>
      </c>
      <c r="L53" s="689">
        <f t="shared" si="19"/>
        <v>562000</v>
      </c>
      <c r="M53" s="1722">
        <f t="shared" si="8"/>
        <v>0</v>
      </c>
      <c r="N53" s="1699">
        <f t="shared" si="9"/>
        <v>0</v>
      </c>
      <c r="O53" s="1722">
        <f t="shared" si="10"/>
        <v>0</v>
      </c>
      <c r="P53" s="1699">
        <f t="shared" si="11"/>
        <v>0</v>
      </c>
      <c r="Q53" s="1722">
        <f t="shared" si="12"/>
        <v>0</v>
      </c>
      <c r="R53" s="1699">
        <f t="shared" si="13"/>
        <v>0</v>
      </c>
      <c r="S53" s="1712"/>
      <c r="T53" s="1712"/>
      <c r="U53" s="1636"/>
      <c r="V53" s="1645"/>
      <c r="W53" s="1645"/>
      <c r="X53" s="1620"/>
      <c r="Y53" s="1586"/>
      <c r="Z53" s="1586"/>
      <c r="AA53" s="1586"/>
      <c r="AB53" s="1141"/>
      <c r="AC53" s="1141"/>
      <c r="AD53" s="1141"/>
      <c r="AE53" s="1141"/>
      <c r="AF53" s="1141"/>
      <c r="AG53" s="1141"/>
      <c r="AH53" s="1141"/>
      <c r="AI53" s="1141"/>
      <c r="AJ53" s="1141"/>
      <c r="AK53" s="1141"/>
      <c r="AL53" s="1141"/>
      <c r="AM53" s="1141"/>
      <c r="AN53" s="1141"/>
      <c r="AO53" s="1141"/>
      <c r="AP53" s="1141"/>
      <c r="AQ53" s="1141"/>
      <c r="AR53" s="1141"/>
    </row>
    <row r="54" spans="1:44" ht="18" x14ac:dyDescent="0.25">
      <c r="A54" s="1218"/>
      <c r="B54" s="1178"/>
      <c r="C54" s="731" t="s">
        <v>362</v>
      </c>
      <c r="D54" s="731"/>
      <c r="E54" s="619"/>
      <c r="F54" s="970">
        <v>0</v>
      </c>
      <c r="G54" s="1032">
        <v>0</v>
      </c>
      <c r="H54" s="1001">
        <v>0</v>
      </c>
      <c r="I54" s="647">
        <v>0</v>
      </c>
      <c r="J54" s="647">
        <v>0</v>
      </c>
      <c r="K54" s="647">
        <v>0</v>
      </c>
      <c r="L54" s="647">
        <v>0</v>
      </c>
      <c r="M54" s="1722">
        <f t="shared" si="8"/>
        <v>0</v>
      </c>
      <c r="N54" s="1699">
        <f t="shared" si="9"/>
        <v>0</v>
      </c>
      <c r="O54" s="1722">
        <f t="shared" si="10"/>
        <v>0</v>
      </c>
      <c r="P54" s="1699">
        <f t="shared" si="11"/>
        <v>0</v>
      </c>
      <c r="Q54" s="1722">
        <f t="shared" si="12"/>
        <v>0</v>
      </c>
      <c r="R54" s="1699">
        <f t="shared" si="13"/>
        <v>0</v>
      </c>
      <c r="S54" s="1712"/>
      <c r="T54" s="1712"/>
      <c r="U54" s="1637"/>
      <c r="V54" s="1636"/>
      <c r="W54" s="1636"/>
      <c r="X54" s="1617"/>
      <c r="Y54" s="1149"/>
      <c r="Z54" s="1149"/>
      <c r="AA54" s="1149"/>
      <c r="AB54" s="1141"/>
      <c r="AC54" s="1141"/>
      <c r="AD54" s="1141"/>
      <c r="AE54" s="1141"/>
      <c r="AF54" s="1141"/>
      <c r="AG54" s="1141"/>
      <c r="AH54" s="1141"/>
      <c r="AI54" s="1141"/>
      <c r="AJ54" s="1141"/>
      <c r="AK54" s="1141"/>
      <c r="AL54" s="1141"/>
      <c r="AM54" s="1141"/>
      <c r="AN54" s="1141"/>
      <c r="AO54" s="1141"/>
      <c r="AP54" s="1141"/>
      <c r="AQ54" s="1141"/>
      <c r="AR54" s="1141"/>
    </row>
    <row r="55" spans="1:44" s="1152" customFormat="1" ht="21" thickBot="1" x14ac:dyDescent="0.45">
      <c r="A55" s="1183"/>
      <c r="B55" s="1184" t="s">
        <v>364</v>
      </c>
      <c r="C55" s="1192"/>
      <c r="D55" s="1192"/>
      <c r="E55" s="624">
        <f>+E16-E53+E17+E54+SUM(E19:E21)</f>
        <v>0</v>
      </c>
      <c r="F55" s="967">
        <f>SUM(F53:F54)</f>
        <v>562000</v>
      </c>
      <c r="G55" s="1034">
        <f t="shared" ref="G55:I55" si="20">SUM(G53:G54)</f>
        <v>562000</v>
      </c>
      <c r="H55" s="1002">
        <f t="shared" si="20"/>
        <v>562000</v>
      </c>
      <c r="I55" s="654">
        <f t="shared" si="20"/>
        <v>562000</v>
      </c>
      <c r="J55" s="654" t="e">
        <f>+J16-J53+J17+J54+J18</f>
        <v>#REF!</v>
      </c>
      <c r="K55" s="654" t="e">
        <f>+K16-K53+K17+K54+K18</f>
        <v>#REF!</v>
      </c>
      <c r="L55" s="654" t="e">
        <f>+L16-L53+L17+L54+L18</f>
        <v>#REF!</v>
      </c>
      <c r="M55" s="1722">
        <f t="shared" si="8"/>
        <v>0</v>
      </c>
      <c r="N55" s="1699">
        <f t="shared" si="9"/>
        <v>0</v>
      </c>
      <c r="O55" s="1722">
        <f t="shared" si="10"/>
        <v>0</v>
      </c>
      <c r="P55" s="1699">
        <f t="shared" si="11"/>
        <v>0</v>
      </c>
      <c r="Q55" s="1722">
        <f t="shared" si="12"/>
        <v>0</v>
      </c>
      <c r="R55" s="1699">
        <f t="shared" si="13"/>
        <v>0</v>
      </c>
      <c r="S55" s="1712"/>
      <c r="T55" s="1712"/>
      <c r="U55" s="1636"/>
      <c r="V55" s="1645"/>
      <c r="W55" s="1645"/>
      <c r="X55" s="1620"/>
      <c r="Y55" s="1586"/>
      <c r="Z55" s="1151"/>
      <c r="AA55" s="1151"/>
      <c r="AB55" s="1151"/>
      <c r="AC55" s="1151"/>
      <c r="AD55" s="1151"/>
      <c r="AE55" s="1151"/>
      <c r="AF55" s="1151"/>
      <c r="AG55" s="1151"/>
      <c r="AH55" s="1151"/>
      <c r="AI55" s="1151"/>
      <c r="AJ55" s="1151"/>
      <c r="AK55" s="1151"/>
      <c r="AL55" s="1151"/>
      <c r="AM55" s="1151"/>
      <c r="AN55" s="1151"/>
      <c r="AO55" s="1151"/>
      <c r="AP55" s="1151"/>
      <c r="AQ55" s="1151"/>
      <c r="AR55" s="1151"/>
    </row>
    <row r="56" spans="1:44" s="1152" customFormat="1" ht="18.75" thickTop="1" x14ac:dyDescent="0.25">
      <c r="A56" s="1230"/>
      <c r="B56" s="1193"/>
      <c r="C56" s="1187"/>
      <c r="D56" s="1187"/>
      <c r="E56" s="183"/>
      <c r="F56" s="984"/>
      <c r="G56" s="1039"/>
      <c r="H56" s="1015"/>
      <c r="I56" s="652"/>
      <c r="J56" s="652"/>
      <c r="K56" s="652"/>
      <c r="L56" s="652"/>
      <c r="M56" s="1722"/>
      <c r="N56" s="1699"/>
      <c r="O56" s="1722"/>
      <c r="P56" s="1699"/>
      <c r="Q56" s="1722"/>
      <c r="R56" s="1699"/>
      <c r="S56" s="1712"/>
      <c r="T56" s="1712"/>
      <c r="U56" s="1636"/>
      <c r="V56" s="1637"/>
      <c r="W56" s="1637"/>
      <c r="X56" s="1616"/>
      <c r="Y56" s="1148"/>
      <c r="Z56" s="1151"/>
      <c r="AA56" s="1151"/>
      <c r="AB56" s="1151"/>
      <c r="AC56" s="1151"/>
      <c r="AD56" s="1151"/>
      <c r="AE56" s="1151"/>
      <c r="AF56" s="1151"/>
      <c r="AG56" s="1151"/>
      <c r="AH56" s="1151"/>
      <c r="AI56" s="1151"/>
      <c r="AJ56" s="1151"/>
      <c r="AK56" s="1151"/>
      <c r="AL56" s="1151"/>
      <c r="AM56" s="1151"/>
      <c r="AN56" s="1151"/>
      <c r="AO56" s="1151"/>
      <c r="AP56" s="1151"/>
      <c r="AQ56" s="1151"/>
      <c r="AR56" s="1151"/>
    </row>
    <row r="57" spans="1:44" s="1154" customFormat="1" ht="25.5" customHeight="1" x14ac:dyDescent="0.25">
      <c r="A57" s="1231"/>
      <c r="B57" s="1232" t="s">
        <v>706</v>
      </c>
      <c r="C57" s="1236"/>
      <c r="D57" s="1236"/>
      <c r="E57" s="692"/>
      <c r="F57" s="985">
        <f>SUM(F50,F55)</f>
        <v>61730664.33765199</v>
      </c>
      <c r="G57" s="1047">
        <f t="shared" ref="G57:I57" si="21">SUM(G50,G55)</f>
        <v>63854813.822888002</v>
      </c>
      <c r="H57" s="1016">
        <f t="shared" si="21"/>
        <v>68770923.100800008</v>
      </c>
      <c r="I57" s="693">
        <f t="shared" si="21"/>
        <v>69106233.311999992</v>
      </c>
      <c r="J57" s="693"/>
      <c r="K57" s="693"/>
      <c r="L57" s="693"/>
      <c r="M57" s="1722">
        <f t="shared" si="8"/>
        <v>2124149.4852360114</v>
      </c>
      <c r="N57" s="1699">
        <f t="shared" si="9"/>
        <v>3.4409956672706792E-2</v>
      </c>
      <c r="O57" s="1722">
        <f t="shared" si="10"/>
        <v>4916109.2779120058</v>
      </c>
      <c r="P57" s="1699">
        <f t="shared" si="11"/>
        <v>7.6988859313687083E-2</v>
      </c>
      <c r="Q57" s="1722">
        <f t="shared" si="12"/>
        <v>335310.21119998395</v>
      </c>
      <c r="R57" s="1699">
        <f t="shared" si="13"/>
        <v>4.8757555676329622E-3</v>
      </c>
      <c r="S57" s="1712"/>
      <c r="T57" s="1712"/>
      <c r="U57" s="1646"/>
      <c r="V57" s="1647"/>
      <c r="W57" s="1647"/>
      <c r="X57" s="1622"/>
      <c r="Y57" s="1171"/>
      <c r="Z57" s="1153"/>
      <c r="AA57" s="1153"/>
      <c r="AB57" s="1153"/>
      <c r="AC57" s="1153"/>
      <c r="AD57" s="1153"/>
      <c r="AE57" s="1153"/>
      <c r="AF57" s="1153"/>
      <c r="AG57" s="1153"/>
      <c r="AH57" s="1153"/>
      <c r="AI57" s="1153"/>
      <c r="AJ57" s="1153"/>
      <c r="AK57" s="1153"/>
      <c r="AL57" s="1153"/>
      <c r="AM57" s="1153"/>
      <c r="AN57" s="1153"/>
      <c r="AO57" s="1153"/>
      <c r="AP57" s="1153"/>
      <c r="AQ57" s="1153"/>
      <c r="AR57" s="1153"/>
    </row>
    <row r="58" spans="1:44" s="1154" customFormat="1" ht="14.25" customHeight="1" x14ac:dyDescent="0.25">
      <c r="A58" s="1237"/>
      <c r="B58" s="1238"/>
      <c r="C58" s="1239"/>
      <c r="D58" s="1240"/>
      <c r="E58" s="751"/>
      <c r="F58" s="752"/>
      <c r="G58" s="1048"/>
      <c r="H58" s="752"/>
      <c r="I58" s="753"/>
      <c r="J58" s="753"/>
      <c r="K58" s="753"/>
      <c r="L58" s="753"/>
      <c r="M58" s="1722"/>
      <c r="N58" s="1699"/>
      <c r="O58" s="1722"/>
      <c r="P58" s="1699"/>
      <c r="Q58" s="1722"/>
      <c r="R58" s="1699"/>
      <c r="S58" s="1712"/>
      <c r="T58" s="1712"/>
      <c r="U58" s="1646"/>
      <c r="V58" s="1647"/>
      <c r="W58" s="1647"/>
      <c r="X58" s="1622"/>
      <c r="Y58" s="1171"/>
      <c r="Z58" s="1153"/>
      <c r="AA58" s="1153"/>
      <c r="AB58" s="1153"/>
      <c r="AC58" s="1153"/>
      <c r="AD58" s="1153"/>
      <c r="AE58" s="1153"/>
      <c r="AF58" s="1153"/>
      <c r="AG58" s="1153"/>
      <c r="AH58" s="1153"/>
      <c r="AI58" s="1153"/>
      <c r="AJ58" s="1153"/>
      <c r="AK58" s="1153"/>
      <c r="AL58" s="1153"/>
      <c r="AM58" s="1153"/>
      <c r="AN58" s="1153"/>
      <c r="AO58" s="1153"/>
      <c r="AP58" s="1153"/>
      <c r="AQ58" s="1153"/>
      <c r="AR58" s="1153"/>
    </row>
    <row r="59" spans="1:44" s="1154" customFormat="1" ht="33" customHeight="1" x14ac:dyDescent="0.25">
      <c r="A59" s="1231"/>
      <c r="B59" s="1232" t="s">
        <v>383</v>
      </c>
      <c r="C59" s="1232"/>
      <c r="D59" s="1232"/>
      <c r="E59" s="694"/>
      <c r="F59" s="986">
        <v>15516669.960000001</v>
      </c>
      <c r="G59" s="1049">
        <f>+F61</f>
        <v>7203714.6123480052</v>
      </c>
      <c r="H59" s="1017">
        <f>+G61</f>
        <v>-1679770.2005399966</v>
      </c>
      <c r="I59" s="695">
        <f>+H61</f>
        <v>-11225131.301340004</v>
      </c>
      <c r="J59" s="695">
        <f t="shared" ref="J59:L59" si="22">+I61</f>
        <v>-24653612.793339998</v>
      </c>
      <c r="K59" s="695" t="e">
        <f t="shared" si="22"/>
        <v>#REF!</v>
      </c>
      <c r="L59" s="695" t="e">
        <f t="shared" si="22"/>
        <v>#REF!</v>
      </c>
      <c r="M59" s="1722">
        <f t="shared" si="8"/>
        <v>-8312955.3476519957</v>
      </c>
      <c r="N59" s="1699">
        <f t="shared" si="9"/>
        <v>-0.53574351771879769</v>
      </c>
      <c r="O59" s="1722">
        <f t="shared" si="10"/>
        <v>-8883484.812888002</v>
      </c>
      <c r="P59" s="1699">
        <f t="shared" si="11"/>
        <v>-1.2331811143185316</v>
      </c>
      <c r="Q59" s="1722">
        <f t="shared" si="12"/>
        <v>-9545361.1008000076</v>
      </c>
      <c r="R59" s="1699">
        <f t="shared" si="13"/>
        <v>5.6825398484456118</v>
      </c>
      <c r="S59" s="1712"/>
      <c r="T59" s="1712"/>
      <c r="U59" s="1648"/>
      <c r="V59" s="1649"/>
      <c r="W59" s="1646"/>
      <c r="X59" s="1623"/>
      <c r="Y59" s="1170"/>
      <c r="Z59" s="1153"/>
      <c r="AA59" s="1153"/>
      <c r="AB59" s="1153"/>
      <c r="AC59" s="1153"/>
      <c r="AD59" s="1153"/>
      <c r="AE59" s="1153"/>
      <c r="AF59" s="1153"/>
      <c r="AG59" s="1153"/>
      <c r="AH59" s="1153"/>
      <c r="AI59" s="1153"/>
      <c r="AJ59" s="1153"/>
      <c r="AK59" s="1153"/>
      <c r="AL59" s="1153"/>
      <c r="AM59" s="1153"/>
      <c r="AN59" s="1153"/>
      <c r="AO59" s="1153"/>
      <c r="AP59" s="1153"/>
      <c r="AQ59" s="1153"/>
      <c r="AR59" s="1153"/>
    </row>
    <row r="60" spans="1:44" s="1154" customFormat="1" ht="33" customHeight="1" x14ac:dyDescent="0.25">
      <c r="A60" s="1231"/>
      <c r="B60" s="1232" t="s">
        <v>365</v>
      </c>
      <c r="C60" s="1236"/>
      <c r="D60" s="1236"/>
      <c r="E60" s="694"/>
      <c r="F60" s="986">
        <f>F24-F57</f>
        <v>-8312955.3476519957</v>
      </c>
      <c r="G60" s="1049">
        <f>G24-G57</f>
        <v>-8883484.8228880018</v>
      </c>
      <c r="H60" s="1017">
        <f>H24-H57</f>
        <v>-9545361.1008000076</v>
      </c>
      <c r="I60" s="695">
        <f>I24-I57</f>
        <v>-13428481.491999991</v>
      </c>
      <c r="J60" s="695" t="e">
        <f>+#REF!+J55</f>
        <v>#REF!</v>
      </c>
      <c r="K60" s="695" t="e">
        <f>+#REF!+K55</f>
        <v>#REF!</v>
      </c>
      <c r="L60" s="695" t="e">
        <f>+#REF!+L55</f>
        <v>#REF!</v>
      </c>
      <c r="M60" s="1722">
        <f t="shared" si="8"/>
        <v>-570529.47523600608</v>
      </c>
      <c r="N60" s="1699">
        <f t="shared" si="9"/>
        <v>6.8631365305859948E-2</v>
      </c>
      <c r="O60" s="1722">
        <f t="shared" si="10"/>
        <v>-661876.27791200578</v>
      </c>
      <c r="P60" s="1699">
        <f t="shared" si="11"/>
        <v>7.4506377970805296E-2</v>
      </c>
      <c r="Q60" s="1722">
        <f t="shared" si="12"/>
        <v>-3883120.3911999837</v>
      </c>
      <c r="R60" s="1699">
        <f t="shared" si="13"/>
        <v>0.40680707101531599</v>
      </c>
      <c r="S60" s="1712"/>
      <c r="T60" s="1712"/>
      <c r="U60" s="1650"/>
      <c r="V60" s="1651"/>
      <c r="W60" s="1646"/>
      <c r="X60" s="1623"/>
      <c r="Y60" s="1170"/>
      <c r="Z60" s="1153"/>
      <c r="AA60" s="1153"/>
      <c r="AB60" s="1153"/>
      <c r="AC60" s="1153"/>
      <c r="AD60" s="1153"/>
      <c r="AE60" s="1153"/>
      <c r="AF60" s="1153"/>
      <c r="AG60" s="1153"/>
      <c r="AH60" s="1153"/>
      <c r="AI60" s="1153"/>
      <c r="AJ60" s="1153"/>
      <c r="AK60" s="1153"/>
      <c r="AL60" s="1153"/>
      <c r="AM60" s="1153"/>
      <c r="AN60" s="1153"/>
      <c r="AO60" s="1153"/>
      <c r="AP60" s="1153"/>
      <c r="AQ60" s="1153"/>
      <c r="AR60" s="1153"/>
    </row>
    <row r="61" spans="1:44" s="1156" customFormat="1" ht="26.25" customHeight="1" x14ac:dyDescent="0.25">
      <c r="A61" s="1241"/>
      <c r="B61" s="1242" t="s">
        <v>136</v>
      </c>
      <c r="C61" s="1243"/>
      <c r="D61" s="1243"/>
      <c r="E61" s="643"/>
      <c r="F61" s="987">
        <f>F59+F60</f>
        <v>7203714.6123480052</v>
      </c>
      <c r="G61" s="1050">
        <f>G59+G60+0.01</f>
        <v>-1679770.2005399966</v>
      </c>
      <c r="H61" s="1018">
        <f>H59+H60</f>
        <v>-11225131.301340004</v>
      </c>
      <c r="I61" s="672">
        <f>I59+I60</f>
        <v>-24653612.793339998</v>
      </c>
      <c r="J61" s="672" t="e">
        <f>+#REF!+J60</f>
        <v>#REF!</v>
      </c>
      <c r="K61" s="672" t="e">
        <f>+#REF!+K60</f>
        <v>#REF!</v>
      </c>
      <c r="L61" s="672" t="e">
        <f>+#REF!+L60</f>
        <v>#REF!</v>
      </c>
      <c r="M61" s="1722">
        <f t="shared" si="8"/>
        <v>-8883484.812888002</v>
      </c>
      <c r="N61" s="1699">
        <f t="shared" si="9"/>
        <v>-1.2331811143185316</v>
      </c>
      <c r="O61" s="1722">
        <f t="shared" si="10"/>
        <v>-9545361.1008000076</v>
      </c>
      <c r="P61" s="1699">
        <f t="shared" si="11"/>
        <v>5.6825398484456118</v>
      </c>
      <c r="Q61" s="1722">
        <f t="shared" si="12"/>
        <v>-13428481.491999993</v>
      </c>
      <c r="R61" s="1699">
        <f t="shared" si="13"/>
        <v>1.196287253263306</v>
      </c>
      <c r="S61" s="1712"/>
      <c r="T61" s="1712"/>
      <c r="U61" s="1649"/>
      <c r="V61" s="1649"/>
      <c r="W61" s="1651"/>
      <c r="X61" s="645"/>
      <c r="Y61" s="1590"/>
      <c r="Z61" s="1155"/>
      <c r="AA61" s="1155"/>
      <c r="AB61" s="1591"/>
      <c r="AC61" s="1155"/>
      <c r="AD61" s="1155"/>
      <c r="AE61" s="1155"/>
      <c r="AF61" s="1155"/>
      <c r="AG61" s="1155"/>
      <c r="AH61" s="1155"/>
      <c r="AI61" s="1155"/>
      <c r="AJ61" s="1155"/>
      <c r="AK61" s="1155"/>
      <c r="AL61" s="1155"/>
      <c r="AM61" s="1155"/>
      <c r="AN61" s="1155"/>
      <c r="AO61" s="1155"/>
      <c r="AP61" s="1155"/>
      <c r="AQ61" s="1155"/>
      <c r="AR61" s="1155"/>
    </row>
    <row r="62" spans="1:44" s="1152" customFormat="1" ht="18.75" thickBot="1" x14ac:dyDescent="0.3">
      <c r="A62" s="1244"/>
      <c r="B62" s="1245"/>
      <c r="C62" s="1246"/>
      <c r="D62" s="1246"/>
      <c r="E62" s="642"/>
      <c r="F62" s="988">
        <f>F61/COMBINED!F58</f>
        <v>9.0014167526071179E-2</v>
      </c>
      <c r="G62" s="1051">
        <f>G61/COMBINED!G58</f>
        <v>-1.9353377523316898E-2</v>
      </c>
      <c r="H62" s="1019">
        <f>H61/COMBINED!H58</f>
        <v>-0.1288976994198914</v>
      </c>
      <c r="I62" s="673">
        <f>I61/COMBINED!I58</f>
        <v>-0.28483892522117876</v>
      </c>
      <c r="J62" s="673" t="e">
        <f>+J61/(COMBINED!J51+COMBINED!J54+COMBINED!J55)</f>
        <v>#REF!</v>
      </c>
      <c r="K62" s="673" t="e">
        <f>+K61/(COMBINED!K51+COMBINED!K54+COMBINED!K55)</f>
        <v>#REF!</v>
      </c>
      <c r="L62" s="673" t="e">
        <f>+L61/(COMBINED!L51+COMBINED!L54+COMBINED!L55)</f>
        <v>#REF!</v>
      </c>
      <c r="M62" s="1722"/>
      <c r="N62" s="1710"/>
      <c r="O62" s="1722"/>
      <c r="P62" s="1711"/>
      <c r="Q62" s="1722"/>
      <c r="R62" s="1712"/>
      <c r="S62" s="1712"/>
      <c r="T62" s="1712"/>
      <c r="U62" s="1635"/>
      <c r="V62" s="1651"/>
      <c r="W62" s="1635"/>
      <c r="X62" s="627"/>
      <c r="Y62" s="1592"/>
      <c r="Z62" s="1151"/>
      <c r="AA62" s="1151"/>
      <c r="AB62" s="1593"/>
      <c r="AC62" s="1151"/>
      <c r="AD62" s="1151"/>
      <c r="AE62" s="1151"/>
      <c r="AF62" s="1151"/>
      <c r="AG62" s="1151"/>
      <c r="AH62" s="1151"/>
      <c r="AI62" s="1151"/>
      <c r="AJ62" s="1151"/>
      <c r="AK62" s="1151"/>
      <c r="AL62" s="1151"/>
      <c r="AM62" s="1151"/>
      <c r="AN62" s="1151"/>
      <c r="AO62" s="1151"/>
      <c r="AP62" s="1151"/>
      <c r="AQ62" s="1151"/>
      <c r="AR62" s="1151"/>
    </row>
    <row r="63" spans="1:44" s="1152" customFormat="1" ht="18.75" thickTop="1" x14ac:dyDescent="0.25">
      <c r="A63" s="1230"/>
      <c r="B63" s="1193"/>
      <c r="C63" s="1194"/>
      <c r="D63" s="1174"/>
      <c r="E63" s="754"/>
      <c r="F63" s="754"/>
      <c r="G63" s="1052"/>
      <c r="H63" s="754"/>
      <c r="I63" s="755"/>
      <c r="J63" s="755"/>
      <c r="K63" s="755"/>
      <c r="L63" s="755"/>
      <c r="M63" s="1723"/>
      <c r="N63" s="1700"/>
      <c r="O63" s="1737"/>
      <c r="P63" s="1695"/>
      <c r="Q63" s="1737"/>
      <c r="R63" s="1589"/>
      <c r="S63" s="1589"/>
      <c r="T63" s="1589"/>
      <c r="U63" s="1635"/>
      <c r="V63" s="1651"/>
      <c r="W63" s="1635"/>
      <c r="X63" s="627"/>
      <c r="Y63" s="1592"/>
      <c r="Z63" s="1151"/>
      <c r="AA63" s="1151"/>
      <c r="AB63" s="1593"/>
      <c r="AC63" s="1151"/>
      <c r="AD63" s="1151"/>
      <c r="AE63" s="1151"/>
      <c r="AF63" s="1151"/>
      <c r="AG63" s="1151"/>
      <c r="AH63" s="1151"/>
      <c r="AI63" s="1151"/>
      <c r="AJ63" s="1151"/>
      <c r="AK63" s="1151"/>
      <c r="AL63" s="1151"/>
      <c r="AM63" s="1151"/>
      <c r="AN63" s="1151"/>
      <c r="AO63" s="1151"/>
      <c r="AP63" s="1151"/>
      <c r="AQ63" s="1151"/>
      <c r="AR63" s="1151"/>
    </row>
    <row r="64" spans="1:44" s="1152" customFormat="1" ht="40.5" customHeight="1" x14ac:dyDescent="0.25">
      <c r="A64" s="1247" t="s">
        <v>366</v>
      </c>
      <c r="B64" s="1248"/>
      <c r="C64" s="1249"/>
      <c r="D64" s="1249"/>
      <c r="E64" s="682"/>
      <c r="F64" s="682"/>
      <c r="G64" s="1053"/>
      <c r="H64" s="682"/>
      <c r="I64" s="756"/>
      <c r="J64" s="756"/>
      <c r="K64" s="756"/>
      <c r="L64" s="756"/>
      <c r="M64" s="1720"/>
      <c r="N64" s="1700"/>
      <c r="O64" s="1737"/>
      <c r="P64" s="1695"/>
      <c r="Q64" s="1737"/>
      <c r="R64" s="1589"/>
      <c r="S64" s="1589"/>
      <c r="T64" s="1589"/>
      <c r="U64" s="1649"/>
      <c r="V64" s="1649"/>
      <c r="W64" s="1635"/>
      <c r="X64" s="628"/>
      <c r="Y64" s="1594"/>
      <c r="Z64" s="1595"/>
      <c r="AA64" s="1595"/>
      <c r="AB64" s="1593"/>
      <c r="AC64" s="1151"/>
      <c r="AD64" s="1151"/>
      <c r="AE64" s="1151"/>
      <c r="AF64" s="1151"/>
      <c r="AG64" s="1151"/>
      <c r="AH64" s="1151"/>
      <c r="AI64" s="1151"/>
      <c r="AJ64" s="1151"/>
      <c r="AK64" s="1151"/>
      <c r="AL64" s="1151"/>
      <c r="AM64" s="1151"/>
      <c r="AN64" s="1151"/>
      <c r="AO64" s="1151"/>
      <c r="AP64" s="1151"/>
      <c r="AQ64" s="1151"/>
      <c r="AR64" s="1151"/>
    </row>
    <row r="65" spans="1:44" s="1152" customFormat="1" ht="21" customHeight="1" x14ac:dyDescent="0.25">
      <c r="A65" s="1250"/>
      <c r="B65" s="1251" t="s">
        <v>891</v>
      </c>
      <c r="C65" s="1252"/>
      <c r="D65" s="1253"/>
      <c r="E65" s="680"/>
      <c r="F65" s="989">
        <f>10000+80800</f>
        <v>90800</v>
      </c>
      <c r="G65" s="1054">
        <v>10000</v>
      </c>
      <c r="H65" s="1020">
        <f>+G65</f>
        <v>10000</v>
      </c>
      <c r="I65" s="681">
        <f t="shared" ref="I65:L65" si="23">+H65</f>
        <v>10000</v>
      </c>
      <c r="J65" s="681">
        <f t="shared" si="23"/>
        <v>10000</v>
      </c>
      <c r="K65" s="681">
        <f t="shared" si="23"/>
        <v>10000</v>
      </c>
      <c r="L65" s="681">
        <f t="shared" si="23"/>
        <v>10000</v>
      </c>
      <c r="M65" s="1724"/>
      <c r="N65" s="1700"/>
      <c r="O65" s="1737"/>
      <c r="P65" s="1695"/>
      <c r="Q65" s="1737"/>
      <c r="R65" s="1589"/>
      <c r="S65" s="1589"/>
      <c r="T65" s="1589"/>
      <c r="U65" s="1635"/>
      <c r="V65" s="1651"/>
      <c r="W65" s="1635"/>
      <c r="X65" s="632"/>
      <c r="Y65" s="1596"/>
      <c r="Z65" s="1593"/>
      <c r="AA65" s="1593"/>
      <c r="AB65" s="1593"/>
      <c r="AC65" s="1151"/>
      <c r="AD65" s="1151"/>
      <c r="AE65" s="1151"/>
      <c r="AF65" s="1151"/>
      <c r="AG65" s="1151"/>
      <c r="AH65" s="1151"/>
      <c r="AI65" s="1151"/>
      <c r="AJ65" s="1151"/>
      <c r="AK65" s="1151"/>
      <c r="AL65" s="1151"/>
      <c r="AM65" s="1151"/>
      <c r="AN65" s="1151"/>
      <c r="AO65" s="1151"/>
      <c r="AP65" s="1151"/>
      <c r="AQ65" s="1151"/>
      <c r="AR65" s="1151"/>
    </row>
    <row r="66" spans="1:44" s="1152" customFormat="1" ht="21" customHeight="1" x14ac:dyDescent="0.25">
      <c r="A66" s="742"/>
      <c r="B66" s="709" t="s">
        <v>368</v>
      </c>
      <c r="C66" s="710"/>
      <c r="D66" s="1254"/>
      <c r="E66" s="637"/>
      <c r="F66" s="990">
        <v>0</v>
      </c>
      <c r="G66" s="1055">
        <v>0</v>
      </c>
      <c r="H66" s="1021">
        <v>0</v>
      </c>
      <c r="I66" s="674">
        <v>0</v>
      </c>
      <c r="J66" s="674">
        <v>0</v>
      </c>
      <c r="K66" s="674">
        <v>0</v>
      </c>
      <c r="L66" s="674">
        <v>0</v>
      </c>
      <c r="M66" s="1724"/>
      <c r="N66" s="1700"/>
      <c r="O66" s="1737"/>
      <c r="P66" s="1695"/>
      <c r="Q66" s="1737"/>
      <c r="R66" s="1589"/>
      <c r="S66" s="1589"/>
      <c r="T66" s="1589"/>
      <c r="U66" s="1635"/>
      <c r="V66" s="1635"/>
      <c r="W66" s="1635"/>
      <c r="X66" s="632"/>
      <c r="Y66" s="1596"/>
      <c r="Z66" s="1593"/>
      <c r="AA66" s="1593"/>
      <c r="AB66" s="1593"/>
      <c r="AC66" s="1151"/>
      <c r="AD66" s="1151"/>
      <c r="AE66" s="1151"/>
      <c r="AF66" s="1151"/>
      <c r="AG66" s="1151"/>
      <c r="AH66" s="1151"/>
      <c r="AI66" s="1151"/>
      <c r="AJ66" s="1151"/>
      <c r="AK66" s="1151"/>
      <c r="AL66" s="1151"/>
      <c r="AM66" s="1151"/>
      <c r="AN66" s="1151"/>
      <c r="AO66" s="1151"/>
      <c r="AP66" s="1151"/>
      <c r="AQ66" s="1151"/>
      <c r="AR66" s="1151"/>
    </row>
    <row r="67" spans="1:44" s="1152" customFormat="1" ht="21" customHeight="1" x14ac:dyDescent="0.25">
      <c r="A67" s="742"/>
      <c r="B67" s="709" t="s">
        <v>369</v>
      </c>
      <c r="C67" s="710"/>
      <c r="D67" s="1254"/>
      <c r="E67" s="637"/>
      <c r="F67" s="990">
        <v>0</v>
      </c>
      <c r="G67" s="1055">
        <v>0</v>
      </c>
      <c r="H67" s="1021">
        <v>0</v>
      </c>
      <c r="I67" s="674">
        <v>0</v>
      </c>
      <c r="J67" s="674">
        <v>0</v>
      </c>
      <c r="K67" s="674">
        <v>0</v>
      </c>
      <c r="L67" s="674">
        <v>0</v>
      </c>
      <c r="M67" s="1724"/>
      <c r="N67" s="1700"/>
      <c r="O67" s="1737"/>
      <c r="P67" s="1695"/>
      <c r="Q67" s="1737"/>
      <c r="R67" s="1589"/>
      <c r="S67" s="1589"/>
      <c r="T67" s="1589"/>
      <c r="U67" s="1635"/>
      <c r="V67" s="1635"/>
      <c r="W67" s="1635"/>
      <c r="X67" s="632"/>
      <c r="Y67" s="1596"/>
      <c r="Z67" s="1593"/>
      <c r="AA67" s="1593"/>
      <c r="AB67" s="1593"/>
      <c r="AC67" s="1151"/>
      <c r="AD67" s="1151"/>
      <c r="AE67" s="1151"/>
      <c r="AF67" s="1151"/>
      <c r="AG67" s="1151"/>
      <c r="AH67" s="1151"/>
      <c r="AI67" s="1151"/>
      <c r="AJ67" s="1151"/>
      <c r="AK67" s="1151"/>
      <c r="AL67" s="1151"/>
      <c r="AM67" s="1151"/>
      <c r="AN67" s="1151"/>
      <c r="AO67" s="1151"/>
      <c r="AP67" s="1151"/>
      <c r="AQ67" s="1151"/>
      <c r="AR67" s="1151"/>
    </row>
    <row r="68" spans="1:44" s="1152" customFormat="1" ht="21" customHeight="1" x14ac:dyDescent="0.25">
      <c r="A68" s="742"/>
      <c r="B68" s="709" t="s">
        <v>370</v>
      </c>
      <c r="C68" s="710"/>
      <c r="D68" s="1254"/>
      <c r="E68" s="637">
        <f>+SUM(E69:E74)</f>
        <v>1427000</v>
      </c>
      <c r="F68" s="990">
        <f>+SUM(F69:F74)</f>
        <v>2411131.66</v>
      </c>
      <c r="G68" s="1055">
        <f>+SUM(G69:G74)</f>
        <v>485000</v>
      </c>
      <c r="H68" s="1021">
        <f>+SUM(H69:H74)</f>
        <v>340000</v>
      </c>
      <c r="I68" s="674">
        <f>+SUM(I69:I74)</f>
        <v>200000</v>
      </c>
      <c r="J68" s="674">
        <f t="shared" ref="J68:L68" si="24">+SUM(J69:J74)</f>
        <v>200000</v>
      </c>
      <c r="K68" s="674">
        <f t="shared" si="24"/>
        <v>200000</v>
      </c>
      <c r="L68" s="674">
        <f t="shared" si="24"/>
        <v>200000</v>
      </c>
      <c r="M68" s="1724"/>
      <c r="N68" s="1700"/>
      <c r="O68" s="1737"/>
      <c r="P68" s="1695"/>
      <c r="Q68" s="1737"/>
      <c r="R68" s="1589"/>
      <c r="S68" s="1589"/>
      <c r="T68" s="1589"/>
      <c r="U68" s="1635"/>
      <c r="V68" s="1635"/>
      <c r="W68" s="1635"/>
      <c r="X68" s="632"/>
      <c r="Y68" s="1596"/>
      <c r="Z68" s="1593"/>
      <c r="AA68" s="1593"/>
      <c r="AB68" s="1593"/>
      <c r="AC68" s="1151"/>
      <c r="AD68" s="1151"/>
      <c r="AE68" s="1151"/>
      <c r="AF68" s="1151"/>
      <c r="AG68" s="1151"/>
      <c r="AH68" s="1151"/>
      <c r="AI68" s="1151"/>
      <c r="AJ68" s="1151"/>
      <c r="AK68" s="1151"/>
      <c r="AL68" s="1151"/>
      <c r="AM68" s="1151"/>
      <c r="AN68" s="1151"/>
      <c r="AO68" s="1151"/>
      <c r="AP68" s="1151"/>
      <c r="AQ68" s="1151"/>
      <c r="AR68" s="1151"/>
    </row>
    <row r="69" spans="1:44" ht="18" x14ac:dyDescent="0.25">
      <c r="A69" s="742"/>
      <c r="B69" s="709"/>
      <c r="C69" s="710" t="s">
        <v>371</v>
      </c>
      <c r="D69" s="1254"/>
      <c r="E69" s="638">
        <v>200000</v>
      </c>
      <c r="F69" s="991">
        <v>200000</v>
      </c>
      <c r="G69" s="1056">
        <f t="shared" ref="G69:L72" si="25">+F69</f>
        <v>200000</v>
      </c>
      <c r="H69" s="1022">
        <f t="shared" si="25"/>
        <v>200000</v>
      </c>
      <c r="I69" s="960">
        <f t="shared" si="25"/>
        <v>200000</v>
      </c>
      <c r="J69" s="960">
        <f t="shared" si="25"/>
        <v>200000</v>
      </c>
      <c r="K69" s="960">
        <f t="shared" si="25"/>
        <v>200000</v>
      </c>
      <c r="L69" s="960">
        <f t="shared" si="25"/>
        <v>200000</v>
      </c>
      <c r="M69" s="1725"/>
      <c r="U69" s="1612"/>
      <c r="V69" s="1612"/>
      <c r="W69" s="1612"/>
      <c r="X69" s="633"/>
      <c r="Y69" s="1597"/>
      <c r="Z69" s="1598"/>
      <c r="AA69" s="1598"/>
      <c r="AB69" s="1598"/>
      <c r="AC69" s="1141"/>
      <c r="AD69" s="1141"/>
      <c r="AE69" s="1141"/>
      <c r="AF69" s="1141"/>
      <c r="AG69" s="1141"/>
      <c r="AH69" s="1141"/>
      <c r="AI69" s="1141"/>
      <c r="AJ69" s="1141"/>
      <c r="AK69" s="1141"/>
      <c r="AL69" s="1141"/>
      <c r="AM69" s="1141"/>
      <c r="AN69" s="1141"/>
      <c r="AO69" s="1141"/>
      <c r="AP69" s="1141"/>
      <c r="AQ69" s="1141"/>
      <c r="AR69" s="1141"/>
    </row>
    <row r="70" spans="1:44" s="1158" customFormat="1" ht="18.75" x14ac:dyDescent="0.3">
      <c r="A70" s="742"/>
      <c r="B70" s="709"/>
      <c r="C70" s="710" t="s">
        <v>372</v>
      </c>
      <c r="D70" s="1254"/>
      <c r="E70" s="638">
        <v>425000</v>
      </c>
      <c r="F70" s="991">
        <v>425000</v>
      </c>
      <c r="G70" s="1056">
        <f>425000-140000</f>
        <v>285000</v>
      </c>
      <c r="H70" s="1022">
        <v>140000</v>
      </c>
      <c r="I70" s="960">
        <v>0</v>
      </c>
      <c r="J70" s="960">
        <f t="shared" si="25"/>
        <v>0</v>
      </c>
      <c r="K70" s="960">
        <f t="shared" si="25"/>
        <v>0</v>
      </c>
      <c r="L70" s="960">
        <f t="shared" si="25"/>
        <v>0</v>
      </c>
      <c r="M70" s="1726"/>
      <c r="N70" s="1701"/>
      <c r="O70" s="1738"/>
      <c r="P70" s="1696"/>
      <c r="Q70" s="1738"/>
      <c r="R70" s="1584"/>
      <c r="S70" s="1584"/>
      <c r="T70" s="1584"/>
      <c r="U70" s="1652"/>
      <c r="V70" s="1397"/>
      <c r="W70" s="1397"/>
      <c r="X70" s="634"/>
      <c r="Y70" s="1600"/>
      <c r="Z70" s="1601"/>
      <c r="AA70" s="1601"/>
      <c r="AB70" s="1602"/>
      <c r="AC70" s="1157"/>
      <c r="AD70" s="1157"/>
      <c r="AE70" s="1157"/>
      <c r="AF70" s="1157"/>
      <c r="AG70" s="1157"/>
      <c r="AH70" s="1157"/>
      <c r="AI70" s="1157"/>
      <c r="AJ70" s="1157"/>
      <c r="AK70" s="1157"/>
      <c r="AL70" s="1157"/>
      <c r="AM70" s="1157"/>
      <c r="AN70" s="1157"/>
      <c r="AO70" s="1157"/>
      <c r="AP70" s="1157"/>
      <c r="AQ70" s="1157"/>
      <c r="AR70" s="1157"/>
    </row>
    <row r="71" spans="1:44" s="1158" customFormat="1" ht="18" x14ac:dyDescent="0.25">
      <c r="A71" s="742"/>
      <c r="B71" s="709"/>
      <c r="C71" s="710" t="s">
        <v>892</v>
      </c>
      <c r="D71" s="1254"/>
      <c r="E71" s="638">
        <v>225000</v>
      </c>
      <c r="F71" s="991">
        <v>401134</v>
      </c>
      <c r="G71" s="1056"/>
      <c r="H71" s="1022"/>
      <c r="I71" s="675"/>
      <c r="J71" s="675">
        <f t="shared" si="25"/>
        <v>0</v>
      </c>
      <c r="K71" s="675">
        <f t="shared" si="25"/>
        <v>0</v>
      </c>
      <c r="L71" s="675">
        <f t="shared" si="25"/>
        <v>0</v>
      </c>
      <c r="M71" s="1725"/>
      <c r="N71" s="1702"/>
      <c r="O71" s="1739"/>
      <c r="P71" s="1697"/>
      <c r="Q71" s="1739"/>
      <c r="R71" s="1599"/>
      <c r="S71" s="1599"/>
      <c r="T71" s="1599"/>
      <c r="U71" s="1397"/>
      <c r="V71" s="1397"/>
      <c r="W71" s="1397"/>
      <c r="X71" s="634"/>
      <c r="Y71" s="1600"/>
      <c r="Z71" s="1601"/>
      <c r="AA71" s="1601"/>
      <c r="AB71" s="1602"/>
      <c r="AC71" s="1157"/>
      <c r="AD71" s="1157"/>
      <c r="AE71" s="1157"/>
      <c r="AF71" s="1157"/>
      <c r="AG71" s="1157"/>
      <c r="AH71" s="1157"/>
      <c r="AI71" s="1157"/>
      <c r="AJ71" s="1157"/>
      <c r="AK71" s="1157"/>
      <c r="AL71" s="1157"/>
      <c r="AM71" s="1157"/>
      <c r="AN71" s="1157"/>
      <c r="AO71" s="1157"/>
      <c r="AP71" s="1157"/>
      <c r="AQ71" s="1157"/>
      <c r="AR71" s="1157"/>
    </row>
    <row r="72" spans="1:44" s="1160" customFormat="1" ht="18" x14ac:dyDescent="0.25">
      <c r="A72" s="742"/>
      <c r="B72" s="709"/>
      <c r="C72" s="710" t="s">
        <v>893</v>
      </c>
      <c r="D72" s="1254"/>
      <c r="E72" s="638">
        <v>577000</v>
      </c>
      <c r="F72" s="991">
        <v>816257.51</v>
      </c>
      <c r="G72" s="1056"/>
      <c r="H72" s="1022"/>
      <c r="I72" s="675"/>
      <c r="J72" s="675">
        <f t="shared" si="25"/>
        <v>0</v>
      </c>
      <c r="K72" s="675">
        <f t="shared" si="25"/>
        <v>0</v>
      </c>
      <c r="L72" s="675">
        <f t="shared" si="25"/>
        <v>0</v>
      </c>
      <c r="M72" s="1725"/>
      <c r="N72" s="1703"/>
      <c r="O72" s="1735"/>
      <c r="P72" s="1698"/>
      <c r="Q72" s="1735"/>
      <c r="R72" s="1603"/>
      <c r="S72" s="1603"/>
      <c r="T72" s="1603"/>
      <c r="U72" s="1397"/>
      <c r="V72" s="1397"/>
      <c r="W72" s="1397"/>
      <c r="X72" s="634"/>
      <c r="Y72" s="1600"/>
      <c r="Z72" s="1601"/>
      <c r="AA72" s="1601"/>
      <c r="AB72" s="1598"/>
      <c r="AC72" s="1159"/>
      <c r="AD72" s="1159"/>
      <c r="AE72" s="1159"/>
      <c r="AF72" s="1159"/>
      <c r="AG72" s="1159"/>
      <c r="AH72" s="1159"/>
      <c r="AI72" s="1159"/>
      <c r="AJ72" s="1159"/>
      <c r="AK72" s="1159"/>
      <c r="AL72" s="1159"/>
      <c r="AM72" s="1159"/>
      <c r="AN72" s="1159"/>
      <c r="AO72" s="1159"/>
      <c r="AP72" s="1159"/>
      <c r="AQ72" s="1159"/>
      <c r="AR72" s="1159"/>
    </row>
    <row r="73" spans="1:44" s="1160" customFormat="1" ht="18" x14ac:dyDescent="0.25">
      <c r="A73" s="742"/>
      <c r="B73" s="709"/>
      <c r="C73" s="710" t="s">
        <v>894</v>
      </c>
      <c r="D73" s="1254"/>
      <c r="E73" s="638"/>
      <c r="F73" s="991">
        <v>568740.15</v>
      </c>
      <c r="G73" s="1056"/>
      <c r="H73" s="1022"/>
      <c r="I73" s="675"/>
      <c r="J73" s="675"/>
      <c r="K73" s="675"/>
      <c r="L73" s="675"/>
      <c r="M73" s="1725"/>
      <c r="N73" s="1703"/>
      <c r="O73" s="1735"/>
      <c r="P73" s="1698"/>
      <c r="Q73" s="1735"/>
      <c r="R73" s="1603"/>
      <c r="S73" s="1603"/>
      <c r="T73" s="1603"/>
      <c r="U73" s="1397"/>
      <c r="V73" s="1397"/>
      <c r="W73" s="1397"/>
      <c r="X73" s="634"/>
      <c r="Y73" s="1600"/>
      <c r="Z73" s="1601"/>
      <c r="AA73" s="1601"/>
      <c r="AB73" s="1601"/>
    </row>
    <row r="74" spans="1:44" s="1160" customFormat="1" ht="18" hidden="1" x14ac:dyDescent="0.25">
      <c r="A74" s="742"/>
      <c r="B74" s="709"/>
      <c r="C74" s="710"/>
      <c r="D74" s="1254"/>
      <c r="E74" s="638"/>
      <c r="F74" s="991"/>
      <c r="G74" s="1056">
        <f t="shared" ref="G74:I74" si="26">+F74</f>
        <v>0</v>
      </c>
      <c r="H74" s="1022">
        <f t="shared" si="26"/>
        <v>0</v>
      </c>
      <c r="I74" s="675">
        <f t="shared" si="26"/>
        <v>0</v>
      </c>
      <c r="J74" s="675"/>
      <c r="K74" s="675"/>
      <c r="L74" s="675"/>
      <c r="M74" s="1725"/>
      <c r="N74" s="1703"/>
      <c r="O74" s="1735"/>
      <c r="P74" s="1698"/>
      <c r="Q74" s="1735"/>
      <c r="R74" s="1603"/>
      <c r="S74" s="1603"/>
      <c r="T74" s="1603"/>
      <c r="U74" s="1397"/>
      <c r="V74" s="1397"/>
      <c r="W74" s="1397"/>
      <c r="X74" s="634"/>
      <c r="Y74" s="1600"/>
      <c r="Z74" s="1601"/>
      <c r="AA74" s="1601"/>
      <c r="AB74" s="1601"/>
    </row>
    <row r="75" spans="1:44" s="1160" customFormat="1" ht="33.75" customHeight="1" x14ac:dyDescent="0.25">
      <c r="A75" s="742"/>
      <c r="B75" s="709" t="s">
        <v>373</v>
      </c>
      <c r="C75" s="710"/>
      <c r="D75" s="1254"/>
      <c r="E75" s="639"/>
      <c r="F75" s="992"/>
      <c r="G75" s="1057"/>
      <c r="H75" s="1023"/>
      <c r="I75" s="676"/>
      <c r="J75" s="676"/>
      <c r="K75" s="676"/>
      <c r="L75" s="676"/>
      <c r="M75" s="1727"/>
      <c r="N75" s="1703"/>
      <c r="O75" s="1735"/>
      <c r="P75" s="1698"/>
      <c r="Q75" s="1735"/>
      <c r="R75" s="1603"/>
      <c r="S75" s="1603"/>
      <c r="T75" s="1603"/>
      <c r="U75" s="1397"/>
      <c r="V75" s="1397"/>
      <c r="W75" s="1397"/>
      <c r="X75" s="634"/>
      <c r="Y75" s="1600"/>
      <c r="Z75" s="1601"/>
      <c r="AA75" s="1601"/>
      <c r="AB75" s="1601"/>
    </row>
    <row r="76" spans="1:44" ht="18" x14ac:dyDescent="0.25">
      <c r="A76" s="1255"/>
      <c r="B76" s="1256"/>
      <c r="C76" s="1256" t="s">
        <v>374</v>
      </c>
      <c r="D76" s="1257"/>
      <c r="E76" s="711">
        <f>ROUND((+COMBINED!E51+COMBINED!E54+COMBINED!E55)*0.03,0)</f>
        <v>0</v>
      </c>
      <c r="F76" s="993">
        <f>ROUND(COMBINED!F58*0.03,0)</f>
        <v>2400860</v>
      </c>
      <c r="G76" s="1058">
        <f>ROUND(COMBINED!G58*0.03,0)</f>
        <v>2603840</v>
      </c>
      <c r="H76" s="1024">
        <f>ROUND(COMBINED!H58*0.03,0)</f>
        <v>2612567</v>
      </c>
      <c r="I76" s="712">
        <f>ROUND(COMBINED!I58*0.03,0)</f>
        <v>2596585</v>
      </c>
      <c r="J76" s="712">
        <f>ROUND((+COMBINED!J51+COMBINED!J54+COMBINED!J55)*0.03,0)</f>
        <v>2570321</v>
      </c>
      <c r="K76" s="712" t="e">
        <f>ROUND((+COMBINED!K51+COMBINED!K54+COMBINED!K55)*0.03,0)</f>
        <v>#REF!</v>
      </c>
      <c r="L76" s="712" t="e">
        <f>ROUND((+COMBINED!L51+COMBINED!L54+COMBINED!L55)*0.03,0)</f>
        <v>#REF!</v>
      </c>
      <c r="M76" s="1724"/>
      <c r="U76" s="1397"/>
      <c r="V76" s="1635"/>
      <c r="W76" s="1635"/>
      <c r="X76" s="632"/>
      <c r="Y76" s="1596"/>
      <c r="Z76" s="1593"/>
      <c r="AA76" s="1601"/>
      <c r="AB76" s="1601"/>
    </row>
    <row r="77" spans="1:44" ht="18" x14ac:dyDescent="0.25">
      <c r="A77" s="1258"/>
      <c r="B77" s="1259"/>
      <c r="C77" s="1259"/>
      <c r="D77" s="1260"/>
      <c r="E77" s="705"/>
      <c r="F77" s="994">
        <f>F76/COMBINED!F58</f>
        <v>2.9999996651200359E-2</v>
      </c>
      <c r="G77" s="1059">
        <f>G76/COMBINED!G58</f>
        <v>2.9999995543505638E-2</v>
      </c>
      <c r="H77" s="1025">
        <f>H76/COMBINED!H58</f>
        <v>2.9999994373351099E-2</v>
      </c>
      <c r="I77" s="706">
        <f>I76/COMBINED!I58</f>
        <v>3.0000003928237026E-2</v>
      </c>
      <c r="J77" s="706">
        <f>+J76/(COMBINED!$J$51+COMBINED!$J$54+COMBINED!$J$55)</f>
        <v>2.9999994981172451E-2</v>
      </c>
      <c r="K77" s="706" t="e">
        <f>+K76/(COMBINED!$K$51+COMBINED!$K$54+COMBINED!$K$55)</f>
        <v>#REF!</v>
      </c>
      <c r="L77" s="706" t="e">
        <f>+L76/(COMBINED!$L$51+COMBINED!$L$54+COMBINED!$L$55)</f>
        <v>#REF!</v>
      </c>
      <c r="M77" s="1728"/>
      <c r="U77" s="1636"/>
      <c r="V77" s="1636"/>
      <c r="W77" s="1612"/>
      <c r="X77" s="633"/>
      <c r="Y77" s="1598"/>
      <c r="Z77" s="1601"/>
      <c r="AA77" s="1601"/>
      <c r="AB77" s="1601"/>
    </row>
    <row r="78" spans="1:44" ht="24.75" customHeight="1" x14ac:dyDescent="0.25">
      <c r="A78" s="1261"/>
      <c r="B78" s="1262"/>
      <c r="C78" s="1262" t="s">
        <v>375</v>
      </c>
      <c r="D78" s="1263"/>
      <c r="E78" s="188"/>
      <c r="F78" s="995">
        <f>+F61-SUM(F65:F68,F76)</f>
        <v>2300922.952348005</v>
      </c>
      <c r="G78" s="1060">
        <f t="shared" ref="G78:L78" si="27">+G61-SUM(G65:G68,G76)</f>
        <v>-4778610.2005399968</v>
      </c>
      <c r="H78" s="1026">
        <f t="shared" si="27"/>
        <v>-14187698.301340004</v>
      </c>
      <c r="I78" s="677">
        <f t="shared" si="27"/>
        <v>-27460197.793339998</v>
      </c>
      <c r="J78" s="677" t="e">
        <f t="shared" si="27"/>
        <v>#REF!</v>
      </c>
      <c r="K78" s="677" t="e">
        <f t="shared" si="27"/>
        <v>#REF!</v>
      </c>
      <c r="L78" s="677" t="e">
        <f t="shared" si="27"/>
        <v>#REF!</v>
      </c>
      <c r="M78" s="1729"/>
      <c r="U78" s="1397"/>
      <c r="V78" s="1397"/>
      <c r="X78" s="629"/>
      <c r="Y78" s="1604"/>
      <c r="Z78" s="1160"/>
      <c r="AA78" s="1160"/>
      <c r="AB78" s="1601"/>
    </row>
    <row r="79" spans="1:44" ht="16.5" customHeight="1" x14ac:dyDescent="0.25">
      <c r="A79" s="1215"/>
      <c r="B79" s="1173"/>
      <c r="C79" s="1174"/>
      <c r="D79" s="1264"/>
      <c r="E79" s="189"/>
      <c r="F79" s="996">
        <f>F78/COMBINED!F58</f>
        <v>2.8751231169293581E-2</v>
      </c>
      <c r="G79" s="1061">
        <f>G78/COMBINED!G58</f>
        <v>-5.505648761842144E-2</v>
      </c>
      <c r="H79" s="1027">
        <f>H78/COMBINED!H58</f>
        <v>-0.16291672872351334</v>
      </c>
      <c r="I79" s="678">
        <f>I78/COMBINED!I58</f>
        <v>-0.31726519319427848</v>
      </c>
      <c r="J79" s="678" t="e">
        <f>J78/COMBINED!J58</f>
        <v>#REF!</v>
      </c>
      <c r="K79" s="678" t="e">
        <f>K78/COMBINED!K58</f>
        <v>#REF!</v>
      </c>
      <c r="L79" s="678" t="e">
        <f>L78/COMBINED!L58</f>
        <v>#REF!</v>
      </c>
      <c r="M79" s="1730"/>
      <c r="U79" s="1397"/>
      <c r="V79" s="1635"/>
      <c r="W79" s="1635"/>
      <c r="X79" s="627"/>
      <c r="Y79" s="1592"/>
      <c r="Z79" s="1151"/>
      <c r="AA79" s="1160"/>
      <c r="AB79" s="1601"/>
    </row>
    <row r="80" spans="1:44" ht="35.25" customHeight="1" x14ac:dyDescent="0.25">
      <c r="A80" s="1241" t="s">
        <v>376</v>
      </c>
      <c r="B80" s="1265"/>
      <c r="C80" s="1265"/>
      <c r="D80" s="1265"/>
      <c r="E80" s="643"/>
      <c r="F80" s="987">
        <f>+SUM(F65:F68,F76,F78)</f>
        <v>7203714.6123480052</v>
      </c>
      <c r="G80" s="1050">
        <f>+SUM(G65:G68,G76,G78)</f>
        <v>-1679770.2005399968</v>
      </c>
      <c r="H80" s="1018">
        <f t="shared" ref="H80:L80" si="28">+SUM(H65:H68,H76,H78)</f>
        <v>-11225131.301340004</v>
      </c>
      <c r="I80" s="672">
        <f t="shared" si="28"/>
        <v>-24653612.793339998</v>
      </c>
      <c r="J80" s="672" t="e">
        <f t="shared" si="28"/>
        <v>#REF!</v>
      </c>
      <c r="K80" s="672" t="e">
        <f t="shared" si="28"/>
        <v>#REF!</v>
      </c>
      <c r="L80" s="672" t="e">
        <f t="shared" si="28"/>
        <v>#REF!</v>
      </c>
      <c r="M80" s="1731"/>
      <c r="U80" s="1653"/>
      <c r="V80" s="1653"/>
      <c r="W80" s="1624"/>
      <c r="X80" s="1625"/>
      <c r="Y80" s="1605"/>
    </row>
    <row r="81" spans="1:39" ht="18.75" thickBot="1" x14ac:dyDescent="0.3">
      <c r="A81" s="1266"/>
      <c r="B81" s="1267"/>
      <c r="C81" s="1267"/>
      <c r="D81" s="1267"/>
      <c r="E81" s="644"/>
      <c r="F81" s="997">
        <f>F80/COMBINED!F58</f>
        <v>9.0014167526071179E-2</v>
      </c>
      <c r="G81" s="1062">
        <f>G80/COMBINED!G58</f>
        <v>-1.9353377523316902E-2</v>
      </c>
      <c r="H81" s="1028">
        <f>H80/COMBINED!H58</f>
        <v>-0.1288976994198914</v>
      </c>
      <c r="I81" s="679">
        <f>I80/COMBINED!I58</f>
        <v>-0.28483892522117876</v>
      </c>
      <c r="J81" s="679" t="e">
        <f>+J80/(COMBINED!$J$51+COMBINED!$J$54+COMBINED!$J$55)</f>
        <v>#REF!</v>
      </c>
      <c r="K81" s="679" t="e">
        <f>+K80/(COMBINED!$K$51+COMBINED!$K$54+COMBINED!$K$55)</f>
        <v>#REF!</v>
      </c>
      <c r="L81" s="679" t="e">
        <f>+L80/(COMBINED!$L$51+COMBINED!$L$54+COMBINED!$L$55)</f>
        <v>#REF!</v>
      </c>
      <c r="M81" s="1732"/>
      <c r="U81" s="1653"/>
      <c r="V81" s="1653"/>
      <c r="W81" s="1624"/>
      <c r="X81" s="1625"/>
      <c r="Y81" s="1605"/>
    </row>
    <row r="82" spans="1:39" s="1161" customFormat="1" ht="19.5" thickTop="1" thickBot="1" x14ac:dyDescent="0.3">
      <c r="A82" s="1268"/>
      <c r="B82" s="1269"/>
      <c r="C82" s="1269"/>
      <c r="D82" s="1269"/>
      <c r="E82" s="801"/>
      <c r="F82" s="801"/>
      <c r="G82" s="1063"/>
      <c r="H82" s="187"/>
      <c r="I82" s="187"/>
      <c r="J82" s="187"/>
      <c r="K82" s="187"/>
      <c r="L82" s="187"/>
      <c r="M82" s="1733"/>
      <c r="N82" s="1713"/>
      <c r="O82" s="1740"/>
      <c r="P82" s="1715"/>
      <c r="Q82" s="1740"/>
      <c r="R82" s="1714"/>
      <c r="S82" s="1714"/>
      <c r="T82" s="1714"/>
      <c r="U82" s="1631"/>
      <c r="V82" s="1631"/>
      <c r="W82" s="1397"/>
      <c r="X82" s="795"/>
      <c r="Y82" s="1140"/>
    </row>
    <row r="83" spans="1:39" ht="16.5" hidden="1" thickTop="1" x14ac:dyDescent="0.25">
      <c r="B83" s="1270" t="s">
        <v>719</v>
      </c>
      <c r="G83" s="783"/>
      <c r="N83" s="1713"/>
      <c r="O83" s="1740"/>
      <c r="P83" s="1715"/>
      <c r="Q83" s="1740"/>
      <c r="R83" s="1714"/>
      <c r="S83" s="1714"/>
      <c r="T83" s="1714"/>
      <c r="Z83" s="1161"/>
      <c r="AA83" s="1161"/>
      <c r="AB83" s="1161"/>
      <c r="AC83" s="1161"/>
      <c r="AD83" s="1161"/>
      <c r="AE83" s="1161"/>
      <c r="AF83" s="1161"/>
      <c r="AG83" s="1161"/>
      <c r="AH83" s="1161"/>
      <c r="AI83" s="1161"/>
      <c r="AJ83" s="1161"/>
      <c r="AK83" s="1161"/>
      <c r="AL83" s="1161"/>
      <c r="AM83" s="1161"/>
    </row>
    <row r="84" spans="1:39" ht="16.5" hidden="1" thickTop="1" x14ac:dyDescent="0.25">
      <c r="G84" s="783"/>
      <c r="H84" s="783"/>
      <c r="I84" s="783"/>
      <c r="J84" s="783"/>
      <c r="K84" s="783"/>
      <c r="L84" s="783"/>
      <c r="M84" s="1722"/>
      <c r="N84" s="1716"/>
      <c r="O84" s="1741"/>
      <c r="P84" s="1718"/>
      <c r="Q84" s="1741"/>
      <c r="R84" s="1717"/>
      <c r="S84" s="1717"/>
      <c r="T84" s="1717"/>
      <c r="U84" s="1636"/>
    </row>
    <row r="85" spans="1:39" ht="16.5" hidden="1" thickTop="1" x14ac:dyDescent="0.25">
      <c r="D85" s="1271" t="s">
        <v>714</v>
      </c>
      <c r="E85" s="783"/>
      <c r="F85" s="787" t="s">
        <v>727</v>
      </c>
      <c r="G85" s="788" t="s">
        <v>715</v>
      </c>
      <c r="H85" s="786" t="s">
        <v>716</v>
      </c>
      <c r="I85" s="784"/>
      <c r="J85" s="784"/>
      <c r="K85" s="784"/>
      <c r="L85" s="784"/>
      <c r="M85" s="1722"/>
      <c r="N85" s="1716"/>
      <c r="O85" s="1741"/>
      <c r="P85" s="1718"/>
      <c r="Q85" s="1741"/>
      <c r="R85" s="1717"/>
      <c r="S85" s="1717"/>
      <c r="T85" s="1717"/>
      <c r="U85" s="1636"/>
    </row>
    <row r="86" spans="1:39" ht="16.5" hidden="1" thickTop="1" x14ac:dyDescent="0.25">
      <c r="D86" s="1272" t="s">
        <v>717</v>
      </c>
      <c r="E86" s="783"/>
      <c r="F86" s="784"/>
      <c r="G86" s="785"/>
      <c r="H86" s="789" t="s">
        <v>718</v>
      </c>
      <c r="I86" s="785"/>
      <c r="J86" s="785"/>
      <c r="K86" s="785"/>
      <c r="L86" s="785"/>
      <c r="M86" s="1722"/>
      <c r="N86" s="1716"/>
      <c r="O86" s="1741"/>
      <c r="P86" s="1718"/>
      <c r="Q86" s="1741"/>
      <c r="R86" s="1717"/>
      <c r="S86" s="1717"/>
      <c r="T86" s="1717"/>
      <c r="U86" s="1636"/>
    </row>
    <row r="87" spans="1:39" ht="16.5" hidden="1" thickTop="1" x14ac:dyDescent="0.25">
      <c r="D87" s="1273"/>
      <c r="E87" s="783"/>
      <c r="G87" s="784"/>
      <c r="H87" s="784"/>
      <c r="I87" s="784"/>
      <c r="J87" s="784"/>
      <c r="K87" s="784"/>
      <c r="L87" s="784"/>
      <c r="M87" s="1722"/>
      <c r="N87" s="1716"/>
      <c r="O87" s="1741"/>
      <c r="P87" s="1718"/>
      <c r="Q87" s="1741"/>
      <c r="R87" s="1717"/>
      <c r="S87" s="1717"/>
      <c r="T87" s="1717"/>
      <c r="U87" s="1636"/>
    </row>
    <row r="88" spans="1:39" ht="16.5" hidden="1" thickTop="1" x14ac:dyDescent="0.25">
      <c r="D88" s="1274" t="s">
        <v>725</v>
      </c>
      <c r="E88" s="783"/>
      <c r="I88" s="785"/>
      <c r="J88" s="785"/>
      <c r="K88" s="785"/>
      <c r="L88" s="785"/>
      <c r="M88" s="1722"/>
      <c r="N88" s="1716"/>
      <c r="O88" s="1741"/>
      <c r="P88" s="1718"/>
      <c r="Q88" s="1741"/>
      <c r="R88" s="1717"/>
      <c r="S88" s="1717"/>
      <c r="T88" s="1717"/>
      <c r="U88" s="1636"/>
    </row>
    <row r="89" spans="1:39" ht="16.5" hidden="1" thickTop="1" x14ac:dyDescent="0.25">
      <c r="D89" s="1275" t="s">
        <v>723</v>
      </c>
      <c r="E89" s="799"/>
      <c r="F89" s="800" t="s">
        <v>722</v>
      </c>
      <c r="G89" s="788" t="s">
        <v>852</v>
      </c>
      <c r="H89" s="786" t="s">
        <v>724</v>
      </c>
      <c r="I89" s="785"/>
      <c r="J89" s="785"/>
      <c r="K89" s="785"/>
      <c r="L89" s="785"/>
      <c r="M89" s="1722"/>
      <c r="N89" s="1716"/>
      <c r="O89" s="1741"/>
      <c r="P89" s="1718"/>
      <c r="Q89" s="1741"/>
      <c r="R89" s="1717"/>
      <c r="S89" s="1717"/>
      <c r="T89" s="1717"/>
      <c r="U89" s="1636"/>
    </row>
    <row r="90" spans="1:39" ht="16.5" hidden="1" thickTop="1" x14ac:dyDescent="0.25">
      <c r="D90" s="1273"/>
      <c r="E90" s="783"/>
      <c r="F90" s="783"/>
      <c r="G90" s="783"/>
      <c r="H90" s="783"/>
      <c r="I90" s="783"/>
      <c r="J90" s="783"/>
      <c r="K90" s="783"/>
      <c r="L90" s="783"/>
      <c r="M90" s="1722"/>
      <c r="N90" s="1716"/>
      <c r="O90" s="1741"/>
      <c r="P90" s="1718"/>
      <c r="Q90" s="1741"/>
      <c r="R90" s="1717"/>
      <c r="S90" s="1717"/>
      <c r="T90" s="1717"/>
      <c r="U90" s="1636"/>
    </row>
    <row r="91" spans="1:39" ht="16.5" hidden="1" thickTop="1" x14ac:dyDescent="0.25">
      <c r="D91" s="1273"/>
      <c r="E91" s="783"/>
      <c r="G91" s="785"/>
      <c r="H91" s="785"/>
      <c r="I91" s="785"/>
      <c r="J91" s="785"/>
      <c r="K91" s="785"/>
      <c r="L91" s="785"/>
      <c r="M91" s="1722"/>
      <c r="N91" s="1716"/>
      <c r="O91" s="1741"/>
      <c r="P91" s="1718"/>
      <c r="Q91" s="1741"/>
      <c r="R91" s="1717"/>
      <c r="S91" s="1717"/>
      <c r="T91" s="1717"/>
      <c r="U91" s="1636"/>
    </row>
    <row r="92" spans="1:39" ht="16.5" hidden="1" thickTop="1" x14ac:dyDescent="0.25">
      <c r="D92" s="1276" t="s">
        <v>726</v>
      </c>
      <c r="E92" s="783"/>
      <c r="F92" s="783"/>
      <c r="G92" s="783"/>
      <c r="H92" s="783"/>
      <c r="I92" s="783"/>
      <c r="J92" s="783"/>
      <c r="K92" s="783"/>
      <c r="L92" s="783"/>
      <c r="M92" s="1722"/>
      <c r="N92" s="1716"/>
      <c r="O92" s="1741"/>
      <c r="P92" s="1718"/>
      <c r="Q92" s="1741"/>
      <c r="R92" s="1717"/>
      <c r="S92" s="1717"/>
      <c r="T92" s="1717"/>
      <c r="U92" s="1636"/>
    </row>
    <row r="93" spans="1:39" ht="16.5" hidden="1" thickTop="1" x14ac:dyDescent="0.25">
      <c r="D93" s="1273"/>
      <c r="E93" s="783"/>
      <c r="F93" s="785"/>
      <c r="G93" s="785"/>
      <c r="H93" s="785"/>
      <c r="I93" s="785"/>
      <c r="J93" s="785"/>
      <c r="K93" s="785"/>
      <c r="L93" s="785"/>
      <c r="M93" s="1722"/>
      <c r="N93" s="1716"/>
      <c r="O93" s="1741"/>
      <c r="P93" s="1718"/>
      <c r="Q93" s="1741"/>
      <c r="R93" s="1717"/>
      <c r="S93" s="1717"/>
      <c r="T93" s="1717"/>
      <c r="U93" s="1636"/>
    </row>
    <row r="94" spans="1:39" ht="16.5" hidden="1" thickTop="1" x14ac:dyDescent="0.25"/>
    <row r="95" spans="1:39" ht="16.5" hidden="1" thickTop="1" x14ac:dyDescent="0.25"/>
    <row r="96" spans="1:39" ht="16.5" thickTop="1" x14ac:dyDescent="0.25">
      <c r="G96" s="465"/>
      <c r="H96" s="466"/>
    </row>
    <row r="97" spans="6:8" x14ac:dyDescent="0.25">
      <c r="H97" s="465"/>
    </row>
    <row r="98" spans="6:8" x14ac:dyDescent="0.25">
      <c r="F98" s="775"/>
      <c r="H98" s="464"/>
    </row>
    <row r="99" spans="6:8" x14ac:dyDescent="0.25">
      <c r="F99" s="775"/>
      <c r="G99" s="776"/>
      <c r="H99" s="464"/>
    </row>
    <row r="100" spans="6:8" x14ac:dyDescent="0.25">
      <c r="H100" s="464"/>
    </row>
    <row r="101" spans="6:8" x14ac:dyDescent="0.25">
      <c r="F101" s="775"/>
      <c r="H101" s="464"/>
    </row>
    <row r="102" spans="6:8" x14ac:dyDescent="0.25">
      <c r="F102" s="777"/>
      <c r="G102" s="776"/>
      <c r="H102" s="464"/>
    </row>
    <row r="103" spans="6:8" x14ac:dyDescent="0.25">
      <c r="F103" s="778"/>
      <c r="G103" s="779"/>
      <c r="H103" s="464"/>
    </row>
    <row r="104" spans="6:8" x14ac:dyDescent="0.25">
      <c r="F104" s="778"/>
      <c r="G104" s="779"/>
      <c r="H104" s="464"/>
    </row>
    <row r="105" spans="6:8" x14ac:dyDescent="0.25">
      <c r="F105" s="780"/>
      <c r="G105" s="779"/>
      <c r="H105" s="465"/>
    </row>
    <row r="106" spans="6:8" x14ac:dyDescent="0.25">
      <c r="F106" s="778"/>
      <c r="G106" s="779"/>
      <c r="H106" s="464"/>
    </row>
    <row r="107" spans="6:8" x14ac:dyDescent="0.25">
      <c r="F107" s="781"/>
      <c r="G107" s="782"/>
      <c r="H107" s="466"/>
    </row>
  </sheetData>
  <mergeCells count="1">
    <mergeCell ref="A1:D2"/>
  </mergeCells>
  <printOptions horizontalCentered="1"/>
  <pageMargins left="0.17" right="0.17" top="0.56000000000000005" bottom="0.17" header="0.23" footer="0.17"/>
  <pageSetup paperSize="5" scale="62" fitToWidth="2" pageOrder="overThenDown" orientation="portrait" r:id="rId1"/>
  <headerFooter alignWithMargins="0">
    <oddHeader>&amp;C&amp;"Cambria,Bold"&amp;14Sylvan Union School District
2017-18 Budget</oddHeader>
  </headerFooter>
  <rowBreaks count="1" manualBreakCount="1">
    <brk id="81" max="12"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fitToPage="1"/>
  </sheetPr>
  <dimension ref="A1:AC144"/>
  <sheetViews>
    <sheetView zoomScaleNormal="100" workbookViewId="0">
      <pane xSplit="3" ySplit="6" topLeftCell="H7" activePane="bottomRight" state="frozen"/>
      <selection activeCell="H7" sqref="H7"/>
      <selection pane="topRight" activeCell="H7" sqref="H7"/>
      <selection pane="bottomLeft" activeCell="H7" sqref="H7"/>
      <selection pane="bottomRight" activeCell="H7" sqref="H7"/>
    </sheetView>
  </sheetViews>
  <sheetFormatPr defaultRowHeight="15" x14ac:dyDescent="0.25"/>
  <cols>
    <col min="1" max="1" width="1.7109375" style="143" customWidth="1"/>
    <col min="2" max="2" width="8.5703125" style="2172" customWidth="1"/>
    <col min="3" max="3" width="24.85546875" style="844" customWidth="1"/>
    <col min="4" max="4" width="16" style="2" hidden="1" customWidth="1"/>
    <col min="5" max="5" width="17.7109375" style="844" hidden="1" customWidth="1"/>
    <col min="6" max="6" width="6" style="39" hidden="1" customWidth="1"/>
    <col min="7" max="7" width="10.28515625" style="52" hidden="1" customWidth="1"/>
    <col min="8" max="8" width="13.85546875" style="121" bestFit="1" customWidth="1"/>
    <col min="9" max="9" width="26.42578125" style="853" hidden="1" customWidth="1"/>
    <col min="10" max="10" width="5.7109375" style="59" hidden="1" customWidth="1"/>
    <col min="11" max="11" width="11" style="333" hidden="1" customWidth="1"/>
    <col min="12" max="12" width="14" style="122" bestFit="1" customWidth="1"/>
    <col min="13" max="13" width="26" style="844" hidden="1" customWidth="1"/>
    <col min="14" max="14" width="5.7109375" style="39" hidden="1" customWidth="1"/>
    <col min="15" max="15" width="9.42578125" style="333" hidden="1" customWidth="1"/>
    <col min="16" max="16" width="14" style="2" bestFit="1" customWidth="1"/>
    <col min="17" max="17" width="24.85546875" style="844" hidden="1" customWidth="1"/>
    <col min="18" max="18" width="5.28515625" style="51" hidden="1" customWidth="1"/>
    <col min="19" max="19" width="9.42578125" style="338" hidden="1" customWidth="1"/>
    <col min="20" max="20" width="14" style="39" customWidth="1"/>
    <col min="21" max="21" width="24.85546875" style="39" hidden="1" customWidth="1"/>
    <col min="22" max="22" width="5.7109375" style="109" customWidth="1"/>
    <col min="23" max="23" width="9.42578125" style="2244" hidden="1" customWidth="1"/>
    <col min="24" max="24" width="14" style="39" hidden="1" customWidth="1"/>
    <col min="25" max="25" width="24.85546875" style="39" hidden="1" customWidth="1"/>
    <col min="26" max="26" width="5.7109375" style="39" hidden="1" customWidth="1"/>
    <col min="27" max="27" width="9.42578125" style="333" hidden="1" customWidth="1"/>
    <col min="28" max="28" width="14" style="39" hidden="1" customWidth="1"/>
    <col min="29" max="29" width="24.85546875" style="39" hidden="1" customWidth="1"/>
    <col min="30" max="16384" width="9.140625" style="39"/>
  </cols>
  <sheetData>
    <row r="1" spans="1:29" x14ac:dyDescent="0.25">
      <c r="B1" s="2172" t="s">
        <v>61</v>
      </c>
      <c r="C1" s="873" t="s">
        <v>261</v>
      </c>
      <c r="D1" s="97">
        <v>0</v>
      </c>
      <c r="E1" s="842"/>
      <c r="F1" s="98"/>
      <c r="G1" s="325"/>
      <c r="H1" s="99">
        <v>0</v>
      </c>
      <c r="I1" s="842"/>
      <c r="L1" s="121">
        <v>0</v>
      </c>
      <c r="M1" s="842"/>
      <c r="P1" s="121">
        <v>0</v>
      </c>
      <c r="Q1" s="842"/>
      <c r="T1" s="86">
        <v>0</v>
      </c>
      <c r="U1" s="98"/>
      <c r="X1" s="86">
        <v>0</v>
      </c>
      <c r="Y1" s="98"/>
      <c r="AB1" s="86">
        <v>0</v>
      </c>
      <c r="AC1" s="98"/>
    </row>
    <row r="2" spans="1:29" ht="17.25" x14ac:dyDescent="0.4">
      <c r="B2" s="2173" t="s">
        <v>59</v>
      </c>
      <c r="C2" s="930" t="s">
        <v>573</v>
      </c>
      <c r="D2" s="99">
        <v>0</v>
      </c>
      <c r="E2" s="842"/>
      <c r="F2" s="98"/>
      <c r="G2" s="326"/>
      <c r="H2" s="99">
        <v>0</v>
      </c>
      <c r="I2" s="842"/>
      <c r="L2" s="87">
        <v>0</v>
      </c>
      <c r="M2" s="842"/>
      <c r="P2" s="87">
        <v>0</v>
      </c>
      <c r="Q2" s="842"/>
      <c r="T2" s="87">
        <v>0</v>
      </c>
      <c r="U2" s="98"/>
      <c r="X2" s="87">
        <v>0</v>
      </c>
      <c r="Y2" s="98"/>
      <c r="AB2" s="87">
        <v>0</v>
      </c>
      <c r="AC2" s="98"/>
    </row>
    <row r="3" spans="1:29" x14ac:dyDescent="0.25">
      <c r="D3" s="281">
        <f>+SUM(D1:D2)</f>
        <v>0</v>
      </c>
      <c r="E3" s="843"/>
      <c r="F3" s="100"/>
      <c r="G3" s="83"/>
      <c r="H3" s="281">
        <f>+SUM(H1:H2)</f>
        <v>0</v>
      </c>
      <c r="I3" s="852"/>
      <c r="L3" s="121">
        <f>SUM(L1:L2)</f>
        <v>0</v>
      </c>
      <c r="M3" s="853"/>
      <c r="P3" s="121">
        <f>SUM(P1:P2)</f>
        <v>0</v>
      </c>
      <c r="Q3" s="853"/>
      <c r="T3" s="86">
        <f>SUM(T1:T2)</f>
        <v>0</v>
      </c>
      <c r="U3" s="51"/>
      <c r="X3" s="86">
        <f>SUM(X1:X2)</f>
        <v>0</v>
      </c>
      <c r="Y3" s="51"/>
      <c r="AB3" s="86">
        <f>SUM(AB1:AB2)</f>
        <v>0</v>
      </c>
      <c r="AC3" s="51"/>
    </row>
    <row r="4" spans="1:29" x14ac:dyDescent="0.25">
      <c r="L4" s="121"/>
      <c r="M4" s="853"/>
      <c r="P4" s="121"/>
      <c r="Q4" s="853"/>
      <c r="T4" s="86"/>
      <c r="U4" s="51"/>
      <c r="X4" s="86"/>
      <c r="Y4" s="51"/>
      <c r="AB4" s="86"/>
      <c r="AC4" s="51"/>
    </row>
    <row r="5" spans="1:29" ht="15.75" x14ac:dyDescent="0.25">
      <c r="B5" s="2174" t="s">
        <v>56</v>
      </c>
      <c r="P5" s="122">
        <f>+P107</f>
        <v>4.638422979041934E-11</v>
      </c>
      <c r="T5" s="122">
        <f>+T107</f>
        <v>4.638422979041934E-11</v>
      </c>
      <c r="X5" s="73"/>
      <c r="AB5" s="73"/>
    </row>
    <row r="6" spans="1:29" s="89" customFormat="1" ht="15.75" x14ac:dyDescent="0.25">
      <c r="A6" s="144"/>
      <c r="B6" s="2175"/>
      <c r="C6" s="877"/>
      <c r="D6" s="243" t="s">
        <v>55</v>
      </c>
      <c r="E6" s="845"/>
      <c r="G6" s="327"/>
      <c r="H6" s="282" t="str">
        <f>LEFT(D6,4)+1&amp;"-"&amp;RIGHT(D6,4)+1</f>
        <v>2017-2018</v>
      </c>
      <c r="I6" s="854"/>
      <c r="J6" s="93"/>
      <c r="K6" s="334"/>
      <c r="L6" s="123" t="str">
        <f>LEFT(H6,4)+1&amp;"-"&amp;RIGHT(H6,4)+1</f>
        <v>2018-2019</v>
      </c>
      <c r="M6" s="888"/>
      <c r="N6" s="96"/>
      <c r="O6" s="337"/>
      <c r="P6" s="123" t="str">
        <f>LEFT(L6,4)+1&amp;"-"&amp;RIGHT(L6,4)+1</f>
        <v>2019-2020</v>
      </c>
      <c r="Q6" s="888"/>
      <c r="R6" s="2237"/>
      <c r="S6" s="2242"/>
      <c r="T6" s="95" t="str">
        <f>LEFT(P6,4)+1&amp;"-"&amp;RIGHT(P6,4)+1</f>
        <v>2020-2021</v>
      </c>
      <c r="U6" s="95"/>
      <c r="V6" s="110"/>
      <c r="W6" s="2245"/>
      <c r="X6" s="95" t="str">
        <f>LEFT(T6,4)+1&amp;"-"&amp;RIGHT(T6,4)+1</f>
        <v>2021-2022</v>
      </c>
      <c r="Y6" s="95"/>
      <c r="Z6" s="96"/>
      <c r="AA6" s="337"/>
      <c r="AB6" s="95" t="str">
        <f>LEFT(X6,4)+1&amp;"-"&amp;RIGHT(X6,4)+1</f>
        <v>2022-2023</v>
      </c>
      <c r="AC6" s="95"/>
    </row>
    <row r="7" spans="1:29" s="457" customFormat="1" x14ac:dyDescent="0.25">
      <c r="A7" s="1656"/>
      <c r="B7" s="2337" t="s">
        <v>54</v>
      </c>
      <c r="C7" s="1656"/>
      <c r="D7" s="340">
        <v>2095.1999999999998</v>
      </c>
      <c r="E7" s="1656"/>
      <c r="G7" s="2338"/>
      <c r="H7" s="340">
        <f>D107</f>
        <v>4.638422979041934E-11</v>
      </c>
      <c r="I7" s="1656"/>
      <c r="J7" s="599"/>
      <c r="K7" s="1668"/>
      <c r="L7" s="340">
        <f>H107</f>
        <v>-2200.9999999999536</v>
      </c>
      <c r="M7" s="1656"/>
      <c r="O7" s="1668"/>
      <c r="P7" s="340">
        <f>L107</f>
        <v>-2200.9999999999536</v>
      </c>
      <c r="Q7" s="1656"/>
      <c r="R7" s="592"/>
      <c r="S7" s="2341"/>
      <c r="T7" s="340">
        <f>P107</f>
        <v>4.638422979041934E-11</v>
      </c>
      <c r="V7" s="952"/>
      <c r="W7" s="2343"/>
      <c r="X7" s="340">
        <f>T107</f>
        <v>4.638422979041934E-11</v>
      </c>
      <c r="AA7" s="1668"/>
      <c r="AB7" s="340">
        <f>X107</f>
        <v>-1026851</v>
      </c>
    </row>
    <row r="8" spans="1:29" s="457" customFormat="1" x14ac:dyDescent="0.25">
      <c r="A8" s="1656"/>
      <c r="B8" s="2345"/>
      <c r="C8" s="1656"/>
      <c r="D8" s="340"/>
      <c r="E8" s="1656"/>
      <c r="G8" s="2338"/>
      <c r="H8" s="340"/>
      <c r="I8" s="1656"/>
      <c r="J8" s="592"/>
      <c r="K8" s="1668"/>
      <c r="L8" s="340"/>
      <c r="M8" s="1656"/>
      <c r="O8" s="1668"/>
      <c r="P8" s="340"/>
      <c r="Q8" s="1656"/>
      <c r="R8" s="592"/>
      <c r="S8" s="2341"/>
      <c r="V8" s="952"/>
      <c r="W8" s="2343"/>
      <c r="AA8" s="1668"/>
    </row>
    <row r="9" spans="1:29" s="457" customFormat="1" x14ac:dyDescent="0.25">
      <c r="A9" s="1656"/>
      <c r="B9" s="2345" t="s">
        <v>52</v>
      </c>
      <c r="C9" s="1656" t="s">
        <v>398</v>
      </c>
      <c r="D9" s="340">
        <v>817134.13</v>
      </c>
      <c r="E9" s="1656"/>
      <c r="G9" s="456">
        <f>IF(D9=0,"0.00%",(H9-D9)/D9)</f>
        <v>0.16505719813710387</v>
      </c>
      <c r="H9" s="833">
        <v>952008</v>
      </c>
      <c r="I9" s="1656"/>
      <c r="J9" s="342"/>
      <c r="K9" s="456">
        <f>IF(H9=0,"0.00%",(L9-H9)/H9)</f>
        <v>0.10137729935042562</v>
      </c>
      <c r="L9" s="833">
        <v>1048520</v>
      </c>
      <c r="M9" s="1656"/>
      <c r="O9" s="456">
        <f>IF(L9=0,"0.00%",(P9-L9)/L9)</f>
        <v>4.1950558882996987E-2</v>
      </c>
      <c r="P9" s="833">
        <v>1092506</v>
      </c>
      <c r="Q9" s="1656"/>
      <c r="R9" s="592"/>
      <c r="S9" s="2238">
        <f>IF(P9=0,"0.00%",(T9-P9)/P9)</f>
        <v>3.2730255028347671E-2</v>
      </c>
      <c r="T9" s="833">
        <v>1128264</v>
      </c>
      <c r="V9" s="952"/>
      <c r="W9" s="2241">
        <f>IF(T9=0,"0.00%",(X9-T9)/T9)</f>
        <v>-1</v>
      </c>
      <c r="X9" s="833">
        <f>X3</f>
        <v>0</v>
      </c>
      <c r="AA9" s="456" t="str">
        <f>IF(X9=0,"0.00%",(AB9-X9)/X9)</f>
        <v>0.00%</v>
      </c>
      <c r="AB9" s="833">
        <f>AB3</f>
        <v>0</v>
      </c>
    </row>
    <row r="10" spans="1:29" s="457" customFormat="1" x14ac:dyDescent="0.25">
      <c r="A10" s="1656"/>
      <c r="B10" s="2345"/>
      <c r="C10" s="1656" t="s">
        <v>416</v>
      </c>
      <c r="D10" s="340">
        <v>18346.310000000001</v>
      </c>
      <c r="E10" s="1656"/>
      <c r="G10" s="456">
        <f t="shared" ref="G10:G15" si="0">IF(D10=0,"0.00%",(H10-D10)/D10)</f>
        <v>-0.61845188487494218</v>
      </c>
      <c r="H10" s="833">
        <v>7000</v>
      </c>
      <c r="I10" s="1656"/>
      <c r="J10" s="342"/>
      <c r="K10" s="456">
        <f>IF(H10=0,"0.00%",(L10-H10)/H10)</f>
        <v>1.8571428571428572</v>
      </c>
      <c r="L10" s="833">
        <v>20000</v>
      </c>
      <c r="M10" s="1656"/>
      <c r="O10" s="456">
        <f>IF(L10=0,"0.00%",(P10-L10)/L10)</f>
        <v>2.5700000000000001E-2</v>
      </c>
      <c r="P10" s="833">
        <f>ROUND(+L10*(1+Q10),0)</f>
        <v>20514</v>
      </c>
      <c r="Q10" s="2361">
        <f>+'MYP Assumptions'!G49</f>
        <v>2.5700000000000001E-2</v>
      </c>
      <c r="R10" s="455"/>
      <c r="S10" s="456">
        <f t="shared" ref="S10" si="1">IF(P10=0,"0.00%",(T10-P10)/P10)</f>
        <v>2.6713463975821389E-2</v>
      </c>
      <c r="T10" s="833">
        <f>ROUND(+P10*(1+U10),0)</f>
        <v>21062</v>
      </c>
      <c r="U10" s="2431">
        <f>+'MYP Assumptions'!H49</f>
        <v>2.6700000000000002E-2</v>
      </c>
      <c r="V10" s="952"/>
      <c r="W10" s="2241">
        <f>IF(T10=0,"0.00%",(X10-T10)/T10)</f>
        <v>-1</v>
      </c>
      <c r="X10" s="833">
        <f>-T2</f>
        <v>0</v>
      </c>
      <c r="AA10" s="456" t="str">
        <f>IF(X10=0,"0.00%",(AB10-X10)/X10)</f>
        <v>0.00%</v>
      </c>
      <c r="AB10" s="833">
        <f>-X2</f>
        <v>0</v>
      </c>
    </row>
    <row r="11" spans="1:29" s="457" customFormat="1" x14ac:dyDescent="0.25">
      <c r="A11" s="1656"/>
      <c r="B11" s="2337" t="s">
        <v>137</v>
      </c>
      <c r="C11" s="1656"/>
      <c r="D11" s="458">
        <f>SUM(D9:D10)</f>
        <v>835480.44000000006</v>
      </c>
      <c r="E11" s="1656"/>
      <c r="G11" s="456">
        <f t="shared" si="0"/>
        <v>0.14785212685529769</v>
      </c>
      <c r="H11" s="458">
        <f>SUM(H9:H10)</f>
        <v>959008</v>
      </c>
      <c r="I11" s="2316">
        <f>+H11-D11</f>
        <v>123527.55999999994</v>
      </c>
      <c r="J11" s="601"/>
      <c r="K11" s="456">
        <f>IF(H11=0,"0.00%",(L11-H11)/H11)</f>
        <v>0.11419299943274717</v>
      </c>
      <c r="L11" s="458">
        <f>SUM(L9:L10)</f>
        <v>1068520</v>
      </c>
      <c r="M11" s="2316">
        <f>+L11-H11</f>
        <v>109512</v>
      </c>
      <c r="O11" s="456">
        <f>IF(L11=0,"0.00%",(P11-L11)/L11)</f>
        <v>4.1646389398420247E-2</v>
      </c>
      <c r="P11" s="458">
        <f>SUM(P9:P10)</f>
        <v>1113020</v>
      </c>
      <c r="Q11" s="2316">
        <f>+P11-L11</f>
        <v>44500</v>
      </c>
      <c r="R11" s="592"/>
      <c r="S11" s="2238">
        <f>IF(P11=0,"0.00%",(T11-P11)/P11)</f>
        <v>3.2619359939623727E-2</v>
      </c>
      <c r="T11" s="2353">
        <f>SUM(T9:T10)</f>
        <v>1149326</v>
      </c>
      <c r="V11" s="952"/>
      <c r="W11" s="2241">
        <f>IF(T11=0,"0.00%",(X11-T11)/T11)</f>
        <v>-1</v>
      </c>
      <c r="X11" s="2353">
        <f>SUM(X9:X10)</f>
        <v>0</v>
      </c>
      <c r="AA11" s="456" t="str">
        <f>IF(X11=0,"0.00%",(AB11-X11)/X11)</f>
        <v>0.00%</v>
      </c>
      <c r="AB11" s="2353">
        <f>SUM(AB9:AB10)</f>
        <v>0</v>
      </c>
    </row>
    <row r="12" spans="1:29" s="457" customFormat="1" x14ac:dyDescent="0.25">
      <c r="A12" s="1656"/>
      <c r="B12" s="2345"/>
      <c r="C12" s="1656"/>
      <c r="D12" s="340"/>
      <c r="E12" s="1656"/>
      <c r="G12" s="2338"/>
      <c r="H12" s="833"/>
      <c r="I12" s="1656"/>
      <c r="J12" s="602"/>
      <c r="K12" s="2338"/>
      <c r="L12" s="833"/>
      <c r="M12" s="2316"/>
      <c r="O12" s="2338"/>
      <c r="P12" s="833"/>
      <c r="Q12" s="1656"/>
      <c r="R12" s="592"/>
      <c r="S12" s="2355"/>
      <c r="T12" s="2356"/>
      <c r="V12" s="952"/>
      <c r="W12" s="2357"/>
      <c r="X12" s="2356"/>
      <c r="AA12" s="2338"/>
      <c r="AB12" s="2356"/>
    </row>
    <row r="13" spans="1:29" s="457" customFormat="1" x14ac:dyDescent="0.25">
      <c r="A13" s="1656"/>
      <c r="B13" s="2345"/>
      <c r="C13" s="2384" t="s">
        <v>64</v>
      </c>
      <c r="D13" s="2359">
        <f>ROUND(D11-(D11/(1+E13)),0)</f>
        <v>0</v>
      </c>
      <c r="E13" s="2338">
        <v>0</v>
      </c>
      <c r="G13" s="456" t="str">
        <f t="shared" si="0"/>
        <v>0.00%</v>
      </c>
      <c r="H13" s="2359">
        <f>ROUND(H11-(H11/(1+E13)),0)</f>
        <v>0</v>
      </c>
      <c r="I13" s="1656"/>
      <c r="J13" s="603"/>
      <c r="K13" s="456" t="str">
        <f>IF(H13=0,"0.00%",(L13-H13)/H13)</f>
        <v>0.00%</v>
      </c>
      <c r="L13" s="2359">
        <f>ROUND(L11-(L11/(1+E13)),0)</f>
        <v>0</v>
      </c>
      <c r="M13" s="1656"/>
      <c r="O13" s="456" t="str">
        <f>IF(L13=0,"0.00%",(P13-L13)/L13)</f>
        <v>0.00%</v>
      </c>
      <c r="P13" s="2359">
        <f>ROUND(P11-(P11/(1+E13)),0)</f>
        <v>0</v>
      </c>
      <c r="Q13" s="1656"/>
      <c r="R13" s="592"/>
      <c r="S13" s="2238" t="str">
        <f>IF(P13=0,"0.00%",(T13-P13)/P13)</f>
        <v>0.00%</v>
      </c>
      <c r="T13" s="2362">
        <f>ROUND(T11-(T11/(1+E13)),0)</f>
        <v>0</v>
      </c>
      <c r="V13" s="952"/>
      <c r="W13" s="2241" t="str">
        <f>IF(T13=0,"0.00%",(X13-T13)/T13)</f>
        <v>0.00%</v>
      </c>
      <c r="X13" s="2362">
        <f>ROUND(X11-(X11/(1+E13)),0)</f>
        <v>0</v>
      </c>
      <c r="AA13" s="456" t="str">
        <f>IF(X13=0,"0.00%",(AB13-X13)/X13)</f>
        <v>0.00%</v>
      </c>
      <c r="AB13" s="2362">
        <f>ROUND(AB11-(AB11/(1+G13)),0)</f>
        <v>0</v>
      </c>
    </row>
    <row r="14" spans="1:29" s="457" customFormat="1" x14ac:dyDescent="0.25">
      <c r="A14" s="1656"/>
      <c r="B14" s="2345"/>
      <c r="C14" s="1656"/>
      <c r="D14" s="340"/>
      <c r="E14" s="1656"/>
      <c r="G14" s="2338"/>
      <c r="H14" s="833"/>
      <c r="I14" s="1656"/>
      <c r="J14" s="602"/>
      <c r="K14" s="2338"/>
      <c r="L14" s="833"/>
      <c r="M14" s="1656"/>
      <c r="O14" s="2338"/>
      <c r="P14" s="833"/>
      <c r="Q14" s="1656"/>
      <c r="R14" s="592"/>
      <c r="S14" s="2355"/>
      <c r="T14" s="2356"/>
      <c r="V14" s="952"/>
      <c r="W14" s="2357"/>
      <c r="X14" s="2356"/>
      <c r="AA14" s="2338"/>
      <c r="AB14" s="2356"/>
    </row>
    <row r="15" spans="1:29" s="457" customFormat="1" x14ac:dyDescent="0.25">
      <c r="A15" s="1656"/>
      <c r="B15" s="2337" t="s">
        <v>50</v>
      </c>
      <c r="C15" s="1656"/>
      <c r="D15" s="1866">
        <f>D11-D13+D7</f>
        <v>837575.64</v>
      </c>
      <c r="E15" s="1656"/>
      <c r="G15" s="456">
        <f t="shared" si="0"/>
        <v>0.14498076854288644</v>
      </c>
      <c r="H15" s="1866">
        <f>H11-H13+H7</f>
        <v>959008</v>
      </c>
      <c r="I15" s="2316">
        <f>+H15-D15</f>
        <v>121432.35999999999</v>
      </c>
      <c r="J15" s="601"/>
      <c r="K15" s="456">
        <f>IF(H15=0,"0.00%",(L15-H15)/H15)</f>
        <v>0.11189791951683406</v>
      </c>
      <c r="L15" s="1866">
        <f>L11-L13+L7</f>
        <v>1066319</v>
      </c>
      <c r="M15" s="2316">
        <f>+L15-H15</f>
        <v>107311</v>
      </c>
      <c r="O15" s="456">
        <f>IF(L15=0,"0.00%",(P15-L15)/L15)</f>
        <v>4.173235213852515E-2</v>
      </c>
      <c r="P15" s="1866">
        <f>P11-P13+P7</f>
        <v>1110819</v>
      </c>
      <c r="Q15" s="2316">
        <f>+P15-L15</f>
        <v>44500</v>
      </c>
      <c r="R15" s="592"/>
      <c r="S15" s="2238">
        <f>IF(P15=0,"0.00%",(T15-P15)/P15)</f>
        <v>3.4665413537218935E-2</v>
      </c>
      <c r="T15" s="2366">
        <f>T11-T13</f>
        <v>1149326</v>
      </c>
      <c r="V15" s="952"/>
      <c r="W15" s="2241">
        <f>IF(T15=0,"0.00%",(X15-T15)/T15)</f>
        <v>-1</v>
      </c>
      <c r="X15" s="2366">
        <f>X11-X13</f>
        <v>0</v>
      </c>
      <c r="AA15" s="456" t="str">
        <f>IF(X15=0,"0.00%",(AB15-X15)/X15)</f>
        <v>0.00%</v>
      </c>
      <c r="AB15" s="2366">
        <f>AB11-AB13</f>
        <v>0</v>
      </c>
    </row>
    <row r="16" spans="1:29" s="457" customFormat="1" x14ac:dyDescent="0.25">
      <c r="A16" s="1656"/>
      <c r="B16" s="2345"/>
      <c r="C16" s="1656"/>
      <c r="D16" s="340"/>
      <c r="E16" s="1656"/>
      <c r="G16" s="2338"/>
      <c r="H16" s="833"/>
      <c r="I16" s="1656"/>
      <c r="J16" s="601"/>
      <c r="K16" s="1668"/>
      <c r="L16" s="833"/>
      <c r="M16" s="1656"/>
      <c r="O16" s="1668"/>
      <c r="P16" s="833"/>
      <c r="Q16" s="1656"/>
      <c r="R16" s="592"/>
      <c r="S16" s="2341"/>
      <c r="T16" s="2367"/>
      <c r="V16" s="952"/>
      <c r="W16" s="2343"/>
      <c r="X16" s="2367"/>
      <c r="AA16" s="1668"/>
      <c r="AB16" s="2367"/>
    </row>
    <row r="17" spans="1:29" s="457" customFormat="1" x14ac:dyDescent="0.25">
      <c r="A17" s="1656"/>
      <c r="B17" s="2345"/>
      <c r="C17" s="2432"/>
      <c r="D17" s="340"/>
      <c r="E17" s="1656"/>
      <c r="G17" s="2338"/>
      <c r="H17" s="833"/>
      <c r="I17" s="1656"/>
      <c r="J17" s="602"/>
      <c r="K17" s="1668"/>
      <c r="L17" s="833"/>
      <c r="M17" s="1656"/>
      <c r="O17" s="1668"/>
      <c r="P17" s="833"/>
      <c r="Q17" s="1656"/>
      <c r="R17" s="592"/>
      <c r="S17" s="2341"/>
      <c r="T17" s="2356"/>
      <c r="V17" s="952"/>
      <c r="W17" s="2343"/>
      <c r="X17" s="2356"/>
      <c r="AA17" s="1668"/>
      <c r="AB17" s="2356"/>
    </row>
    <row r="18" spans="1:29" s="457" customFormat="1" x14ac:dyDescent="0.25">
      <c r="A18" s="1867"/>
      <c r="B18" s="2345"/>
      <c r="C18" s="1656"/>
      <c r="D18" s="459" t="s">
        <v>807</v>
      </c>
      <c r="E18" s="1867"/>
      <c r="F18" s="2433"/>
      <c r="G18" s="2338"/>
      <c r="H18" s="459" t="s">
        <v>176</v>
      </c>
      <c r="I18" s="1867"/>
      <c r="J18" s="604"/>
      <c r="K18" s="1668"/>
      <c r="L18" s="2370"/>
      <c r="M18" s="1867"/>
      <c r="O18" s="1668"/>
      <c r="P18" s="340"/>
      <c r="Q18" s="1867"/>
      <c r="R18" s="592"/>
      <c r="S18" s="2341"/>
      <c r="U18" s="2433"/>
      <c r="V18" s="952"/>
      <c r="W18" s="2343"/>
      <c r="Y18" s="2433"/>
      <c r="AA18" s="1668"/>
      <c r="AC18" s="2433"/>
    </row>
    <row r="19" spans="1:29" s="457" customFormat="1" ht="17.25" x14ac:dyDescent="0.4">
      <c r="A19" s="2434"/>
      <c r="B19" s="2345"/>
      <c r="C19" s="1656"/>
      <c r="D19" s="2435" t="s">
        <v>808</v>
      </c>
      <c r="E19" s="2434"/>
      <c r="F19" s="2436"/>
      <c r="G19" s="2338"/>
      <c r="H19" s="2435" t="s">
        <v>48</v>
      </c>
      <c r="I19" s="2371"/>
      <c r="J19" s="459"/>
      <c r="K19" s="1668"/>
      <c r="L19" s="2372" t="s">
        <v>48</v>
      </c>
      <c r="M19" s="2437">
        <v>0.02</v>
      </c>
      <c r="O19" s="1668"/>
      <c r="P19" s="2372" t="s">
        <v>48</v>
      </c>
      <c r="Q19" s="2438">
        <v>1.7500000000000002E-2</v>
      </c>
      <c r="R19" s="592"/>
      <c r="S19" s="2341"/>
      <c r="T19" s="2372" t="s">
        <v>48</v>
      </c>
      <c r="U19" s="2438">
        <v>1.7500000000000002E-2</v>
      </c>
      <c r="V19" s="952"/>
      <c r="W19" s="2343"/>
      <c r="X19" s="2372" t="s">
        <v>48</v>
      </c>
      <c r="Y19" s="2374">
        <v>0.02</v>
      </c>
      <c r="AA19" s="1668"/>
      <c r="AB19" s="2372" t="s">
        <v>48</v>
      </c>
      <c r="AC19" s="2374">
        <v>0.02</v>
      </c>
    </row>
    <row r="20" spans="1:29" s="2378" customFormat="1" hidden="1" x14ac:dyDescent="0.25">
      <c r="A20" s="900"/>
      <c r="B20" s="2337" t="s">
        <v>46</v>
      </c>
      <c r="C20" s="2384"/>
      <c r="D20" s="1866"/>
      <c r="E20" s="2375"/>
      <c r="F20" s="1866"/>
      <c r="G20" s="2376"/>
      <c r="H20" s="1866"/>
      <c r="I20" s="868"/>
      <c r="J20" s="460"/>
      <c r="K20" s="606"/>
      <c r="L20" s="1866"/>
      <c r="M20" s="2379"/>
      <c r="O20" s="606"/>
      <c r="P20" s="1866"/>
      <c r="Q20" s="2379"/>
      <c r="R20" s="461"/>
      <c r="S20" s="1669"/>
      <c r="T20" s="1866"/>
      <c r="U20" s="2383"/>
      <c r="V20" s="2381"/>
      <c r="W20" s="2382"/>
      <c r="X20" s="1866"/>
      <c r="Y20" s="2383"/>
      <c r="AA20" s="606"/>
      <c r="AB20" s="1866"/>
      <c r="AC20" s="2383"/>
    </row>
    <row r="21" spans="1:29" s="457" customFormat="1" hidden="1" x14ac:dyDescent="0.25">
      <c r="A21" s="2439"/>
      <c r="B21" s="2385"/>
      <c r="C21" s="1656"/>
      <c r="D21" s="340">
        <v>0</v>
      </c>
      <c r="E21" s="2386"/>
      <c r="F21" s="340"/>
      <c r="G21" s="456" t="str">
        <f t="shared" ref="G21:G32" si="2">IF(D21=0,"0.00%",(H21-D21)/D21)</f>
        <v>0.00%</v>
      </c>
      <c r="H21" s="340">
        <f t="shared" ref="H21:H27" si="3">ROUND(D21*(1+$I$19),0)</f>
        <v>0</v>
      </c>
      <c r="I21" s="899" t="str">
        <f t="shared" ref="I21:I31" si="4">TEXT($I$19,"0.0%")&amp;" = Est. S &amp; C"</f>
        <v>0.0% = Est. S &amp; C</v>
      </c>
      <c r="J21" s="455"/>
      <c r="K21" s="456" t="str">
        <f t="shared" ref="K21:K27" si="5">IF(H21=0,"0.00%",(L21-H21)/H21)</f>
        <v>0.00%</v>
      </c>
      <c r="L21" s="340">
        <f>ROUND(H21*(1+M19),0)</f>
        <v>0</v>
      </c>
      <c r="M21" s="897" t="str">
        <f>TEXT(M19,"0.0%")&amp;" = Est. S &amp; C"</f>
        <v>2.0% = Est. S &amp; C</v>
      </c>
      <c r="O21" s="456" t="str">
        <f t="shared" ref="O21:O27" si="6">IF(L21=0,"0.00%",(P21-L21)/L21)</f>
        <v>0.00%</v>
      </c>
      <c r="P21" s="340">
        <f>ROUND(L21*(1+Q19),0)</f>
        <v>0</v>
      </c>
      <c r="Q21" s="897" t="str">
        <f>TEXT(Q19,"0.0%")&amp;" = Est. S &amp; C"</f>
        <v>1.8% = Est. S &amp; C</v>
      </c>
      <c r="R21" s="592"/>
      <c r="S21" s="2238" t="str">
        <f t="shared" ref="S21:S27" si="7">IF(P21=0,"0.00%",(T21-P21)/P21)</f>
        <v>0.00%</v>
      </c>
      <c r="T21" s="340">
        <f>ROUND(P21*(1+U19),0)</f>
        <v>0</v>
      </c>
      <c r="U21" s="455" t="str">
        <f>TEXT(U19,"0.0%")&amp;" = Est. S &amp; C"</f>
        <v>1.8% = Est. S &amp; C</v>
      </c>
      <c r="V21" s="952"/>
      <c r="W21" s="2241" t="str">
        <f t="shared" ref="W21:W27" si="8">IF(T21=0,"0.00%",(X21-T21)/T21)</f>
        <v>0.00%</v>
      </c>
      <c r="X21" s="340">
        <f>ROUND(T21*(1+Y19),0)</f>
        <v>0</v>
      </c>
      <c r="Y21" s="455" t="str">
        <f>TEXT(Y19,"0.0%")&amp;" = Est. S &amp; C"</f>
        <v>2.0% = Est. S &amp; C</v>
      </c>
      <c r="AA21" s="456" t="str">
        <f t="shared" ref="AA21:AA27" si="9">IF(X21=0,"0.00%",(AB21-X21)/X21)</f>
        <v>0.00%</v>
      </c>
      <c r="AB21" s="340">
        <f>ROUND(X21*(1+AC19),0)</f>
        <v>0</v>
      </c>
      <c r="AC21" s="455" t="str">
        <f>TEXT(AC19,"0.0%")&amp;" = Est. S &amp; C"</f>
        <v>2.0% = Est. S &amp; C</v>
      </c>
    </row>
    <row r="22" spans="1:29" s="457" customFormat="1" hidden="1" x14ac:dyDescent="0.25">
      <c r="A22" s="897"/>
      <c r="B22" s="2385"/>
      <c r="C22" s="1656"/>
      <c r="D22" s="340">
        <v>0</v>
      </c>
      <c r="E22" s="2386"/>
      <c r="F22" s="340"/>
      <c r="G22" s="456" t="str">
        <f t="shared" si="2"/>
        <v>0.00%</v>
      </c>
      <c r="H22" s="340">
        <f t="shared" si="3"/>
        <v>0</v>
      </c>
      <c r="I22" s="897" t="str">
        <f t="shared" si="4"/>
        <v>0.0% = Est. S &amp; C</v>
      </c>
      <c r="J22" s="455"/>
      <c r="K22" s="456" t="str">
        <f t="shared" si="5"/>
        <v>0.00%</v>
      </c>
      <c r="L22" s="340">
        <f>ROUND(H22*(1+M19),0)</f>
        <v>0</v>
      </c>
      <c r="M22" s="897" t="str">
        <f>TEXT(M19,"0.0%")&amp;" = Est. S &amp; C"</f>
        <v>2.0% = Est. S &amp; C</v>
      </c>
      <c r="O22" s="456" t="str">
        <f t="shared" si="6"/>
        <v>0.00%</v>
      </c>
      <c r="P22" s="340">
        <f>ROUND(L22*(1+Q19),0)</f>
        <v>0</v>
      </c>
      <c r="Q22" s="897" t="str">
        <f>TEXT(Q19,"0.0%")&amp;" = Est. S &amp; C"</f>
        <v>1.8% = Est. S &amp; C</v>
      </c>
      <c r="R22" s="592"/>
      <c r="S22" s="2238" t="str">
        <f t="shared" si="7"/>
        <v>0.00%</v>
      </c>
      <c r="T22" s="340">
        <f>ROUND(P22*(1+U19),0)</f>
        <v>0</v>
      </c>
      <c r="U22" s="455" t="str">
        <f>TEXT(U19,"0.0%")&amp;" = Est. S &amp; C"</f>
        <v>1.8% = Est. S &amp; C</v>
      </c>
      <c r="V22" s="952"/>
      <c r="W22" s="2241" t="str">
        <f t="shared" si="8"/>
        <v>0.00%</v>
      </c>
      <c r="X22" s="340">
        <f>ROUND(T22*(1+Y19),0)</f>
        <v>0</v>
      </c>
      <c r="Y22" s="455" t="str">
        <f>TEXT(Y19,"0.0%")&amp;" = Est. S &amp; C"</f>
        <v>2.0% = Est. S &amp; C</v>
      </c>
      <c r="AA22" s="456" t="str">
        <f t="shared" si="9"/>
        <v>0.00%</v>
      </c>
      <c r="AB22" s="340">
        <f>ROUND(X22*(1+AC19),0)</f>
        <v>0</v>
      </c>
      <c r="AC22" s="455" t="str">
        <f>TEXT(AC19,"0.0%")&amp;" = Est. S &amp; C"</f>
        <v>2.0% = Est. S &amp; C</v>
      </c>
    </row>
    <row r="23" spans="1:29" s="457" customFormat="1" hidden="1" x14ac:dyDescent="0.25">
      <c r="A23" s="897"/>
      <c r="B23" s="2385"/>
      <c r="C23" s="1656"/>
      <c r="D23" s="340">
        <v>0</v>
      </c>
      <c r="E23" s="2386"/>
      <c r="F23" s="340"/>
      <c r="G23" s="456" t="str">
        <f t="shared" si="2"/>
        <v>0.00%</v>
      </c>
      <c r="H23" s="340">
        <f t="shared" si="3"/>
        <v>0</v>
      </c>
      <c r="I23" s="897" t="str">
        <f t="shared" si="4"/>
        <v>0.0% = Est. S &amp; C</v>
      </c>
      <c r="J23" s="455"/>
      <c r="K23" s="456" t="str">
        <f t="shared" si="5"/>
        <v>0.00%</v>
      </c>
      <c r="L23" s="340">
        <f>ROUND(H23*(1+M19),0)</f>
        <v>0</v>
      </c>
      <c r="M23" s="897" t="str">
        <f>TEXT(M19,"0.0%")&amp;" = Est. S &amp; C"</f>
        <v>2.0% = Est. S &amp; C</v>
      </c>
      <c r="O23" s="456" t="str">
        <f t="shared" si="6"/>
        <v>0.00%</v>
      </c>
      <c r="P23" s="340">
        <f>ROUND(L23*(1+Q19),0)</f>
        <v>0</v>
      </c>
      <c r="Q23" s="897" t="str">
        <f>TEXT(Q19,"0.0%")&amp;" = Est. S &amp; C"</f>
        <v>1.8% = Est. S &amp; C</v>
      </c>
      <c r="R23" s="592"/>
      <c r="S23" s="2238" t="str">
        <f t="shared" si="7"/>
        <v>0.00%</v>
      </c>
      <c r="T23" s="340">
        <f>ROUND(P23*(1+U19),0)</f>
        <v>0</v>
      </c>
      <c r="U23" s="455" t="str">
        <f>TEXT(U19,"0.0%")&amp;" = Est. S &amp; C"</f>
        <v>1.8% = Est. S &amp; C</v>
      </c>
      <c r="V23" s="952"/>
      <c r="W23" s="2241" t="str">
        <f t="shared" si="8"/>
        <v>0.00%</v>
      </c>
      <c r="X23" s="340">
        <f>ROUND(T23*(1+Y19),0)</f>
        <v>0</v>
      </c>
      <c r="Y23" s="455" t="str">
        <f>TEXT(Y19,"0.0%")&amp;" = Est. S &amp; C"</f>
        <v>2.0% = Est. S &amp; C</v>
      </c>
      <c r="AA23" s="456" t="str">
        <f t="shared" si="9"/>
        <v>0.00%</v>
      </c>
      <c r="AB23" s="340">
        <f>ROUND(X23*(1+AC19),0)</f>
        <v>0</v>
      </c>
      <c r="AC23" s="455" t="str">
        <f>TEXT(AC19,"0.0%")&amp;" = Est. S &amp; C"</f>
        <v>2.0% = Est. S &amp; C</v>
      </c>
    </row>
    <row r="24" spans="1:29" s="457" customFormat="1" hidden="1" x14ac:dyDescent="0.25">
      <c r="A24" s="897"/>
      <c r="B24" s="2385"/>
      <c r="C24" s="1656"/>
      <c r="D24" s="340">
        <v>0</v>
      </c>
      <c r="E24" s="2386"/>
      <c r="F24" s="340"/>
      <c r="G24" s="456" t="str">
        <f t="shared" si="2"/>
        <v>0.00%</v>
      </c>
      <c r="H24" s="340">
        <f t="shared" si="3"/>
        <v>0</v>
      </c>
      <c r="I24" s="897" t="str">
        <f t="shared" si="4"/>
        <v>0.0% = Est. S &amp; C</v>
      </c>
      <c r="J24" s="455"/>
      <c r="K24" s="456" t="str">
        <f t="shared" si="5"/>
        <v>0.00%</v>
      </c>
      <c r="L24" s="340">
        <f>ROUND(H24*(1+M19),0)</f>
        <v>0</v>
      </c>
      <c r="M24" s="897" t="str">
        <f>TEXT(M19,"0.0%")&amp;" = Est. S &amp; C"</f>
        <v>2.0% = Est. S &amp; C</v>
      </c>
      <c r="O24" s="456" t="str">
        <f t="shared" si="6"/>
        <v>0.00%</v>
      </c>
      <c r="P24" s="340">
        <f>ROUND(L24*(1+Q19),0)</f>
        <v>0</v>
      </c>
      <c r="Q24" s="897" t="str">
        <f>TEXT(Q19,"0.0%")&amp;" = Est. S &amp; C"</f>
        <v>1.8% = Est. S &amp; C</v>
      </c>
      <c r="R24" s="592"/>
      <c r="S24" s="2238" t="str">
        <f t="shared" si="7"/>
        <v>0.00%</v>
      </c>
      <c r="T24" s="340">
        <f>ROUND(P24*(1+U19),0)</f>
        <v>0</v>
      </c>
      <c r="U24" s="455" t="str">
        <f>TEXT(U19,"0.0%")&amp;" = Est. S &amp; C"</f>
        <v>1.8% = Est. S &amp; C</v>
      </c>
      <c r="V24" s="952"/>
      <c r="W24" s="2241" t="str">
        <f t="shared" si="8"/>
        <v>0.00%</v>
      </c>
      <c r="X24" s="340">
        <f>ROUND(T24*(1+Y19),0)</f>
        <v>0</v>
      </c>
      <c r="Y24" s="455" t="str">
        <f>TEXT(Y19,"0.0%")&amp;" = Est. S &amp; C"</f>
        <v>2.0% = Est. S &amp; C</v>
      </c>
      <c r="AA24" s="456" t="str">
        <f t="shared" si="9"/>
        <v>0.00%</v>
      </c>
      <c r="AB24" s="340">
        <f>ROUND(X24*(1+AC19),0)</f>
        <v>0</v>
      </c>
      <c r="AC24" s="455" t="str">
        <f>TEXT(AC19,"0.0%")&amp;" = Est. S &amp; C"</f>
        <v>2.0% = Est. S &amp; C</v>
      </c>
    </row>
    <row r="25" spans="1:29" s="457" customFormat="1" hidden="1" x14ac:dyDescent="0.25">
      <c r="A25" s="897"/>
      <c r="B25" s="2385"/>
      <c r="C25" s="1656"/>
      <c r="D25" s="340">
        <v>0</v>
      </c>
      <c r="E25" s="2386"/>
      <c r="F25" s="340"/>
      <c r="G25" s="456" t="str">
        <f t="shared" si="2"/>
        <v>0.00%</v>
      </c>
      <c r="H25" s="340">
        <f>ROUND(D25*(1+$I$19),0)</f>
        <v>0</v>
      </c>
      <c r="I25" s="897" t="str">
        <f t="shared" si="4"/>
        <v>0.0% = Est. S &amp; C</v>
      </c>
      <c r="J25" s="455"/>
      <c r="K25" s="456" t="str">
        <f t="shared" si="5"/>
        <v>0.00%</v>
      </c>
      <c r="L25" s="340">
        <f>ROUND(H25*(1+M19),0)</f>
        <v>0</v>
      </c>
      <c r="M25" s="897" t="str">
        <f>TEXT(M19,"0.0%")&amp;" = Est. S &amp; C"</f>
        <v>2.0% = Est. S &amp; C</v>
      </c>
      <c r="O25" s="456" t="str">
        <f t="shared" si="6"/>
        <v>0.00%</v>
      </c>
      <c r="P25" s="340">
        <f>ROUND(L25*(1+Q19),0)</f>
        <v>0</v>
      </c>
      <c r="Q25" s="897" t="str">
        <f>TEXT(Q19,"0.0%")&amp;" = Est. S &amp; C"</f>
        <v>1.8% = Est. S &amp; C</v>
      </c>
      <c r="R25" s="592"/>
      <c r="S25" s="2238" t="str">
        <f t="shared" si="7"/>
        <v>0.00%</v>
      </c>
      <c r="T25" s="340">
        <f>ROUND(P25*(1+U19),0)</f>
        <v>0</v>
      </c>
      <c r="U25" s="455" t="str">
        <f>TEXT(U19,"0.0%")&amp;" = Est. S &amp; C"</f>
        <v>1.8% = Est. S &amp; C</v>
      </c>
      <c r="V25" s="952"/>
      <c r="W25" s="2241" t="str">
        <f t="shared" si="8"/>
        <v>0.00%</v>
      </c>
      <c r="X25" s="340">
        <f>ROUND(T25*(1+Y19),0)</f>
        <v>0</v>
      </c>
      <c r="Y25" s="455" t="str">
        <f>TEXT(Y19,"0.0%")&amp;" = Est. S &amp; C"</f>
        <v>2.0% = Est. S &amp; C</v>
      </c>
      <c r="AA25" s="456" t="str">
        <f t="shared" si="9"/>
        <v>0.00%</v>
      </c>
      <c r="AB25" s="340">
        <f>ROUND(X25*(1+AC19),0)</f>
        <v>0</v>
      </c>
      <c r="AC25" s="455" t="str">
        <f>TEXT(AC19,"0.0%")&amp;" = Est. S &amp; C"</f>
        <v>2.0% = Est. S &amp; C</v>
      </c>
    </row>
    <row r="26" spans="1:29" s="457" customFormat="1" hidden="1" x14ac:dyDescent="0.25">
      <c r="A26" s="897"/>
      <c r="B26" s="2385"/>
      <c r="C26" s="1656"/>
      <c r="D26" s="340">
        <v>0</v>
      </c>
      <c r="E26" s="2386"/>
      <c r="F26" s="340"/>
      <c r="G26" s="456" t="str">
        <f t="shared" si="2"/>
        <v>0.00%</v>
      </c>
      <c r="H26" s="340">
        <f t="shared" si="3"/>
        <v>0</v>
      </c>
      <c r="I26" s="897" t="str">
        <f t="shared" si="4"/>
        <v>0.0% = Est. S &amp; C</v>
      </c>
      <c r="J26" s="455"/>
      <c r="K26" s="456" t="str">
        <f t="shared" si="5"/>
        <v>0.00%</v>
      </c>
      <c r="L26" s="340">
        <f>ROUND(H26*(1+M19),0)</f>
        <v>0</v>
      </c>
      <c r="M26" s="2341" t="str">
        <f>TEXT(M19,"0.0%")&amp;" = Est. S &amp; C"</f>
        <v>2.0% = Est. S &amp; C</v>
      </c>
      <c r="O26" s="456" t="str">
        <f t="shared" si="6"/>
        <v>0.00%</v>
      </c>
      <c r="P26" s="340">
        <f>ROUND(L26*(1+Q19),0)</f>
        <v>0</v>
      </c>
      <c r="Q26" s="897" t="str">
        <f>TEXT(Q19,"0.0%")&amp;" = Est. S &amp; C"</f>
        <v>1.8% = Est. S &amp; C</v>
      </c>
      <c r="R26" s="592"/>
      <c r="S26" s="2238" t="str">
        <f t="shared" si="7"/>
        <v>0.00%</v>
      </c>
      <c r="T26" s="340">
        <f>ROUND(P26*(1+U19),0)</f>
        <v>0</v>
      </c>
      <c r="U26" s="455" t="str">
        <f>TEXT(U19,"0.0%")&amp;" = Est. S &amp; C"</f>
        <v>1.8% = Est. S &amp; C</v>
      </c>
      <c r="V26" s="952"/>
      <c r="W26" s="2241" t="str">
        <f t="shared" si="8"/>
        <v>0.00%</v>
      </c>
      <c r="X26" s="340">
        <f>ROUND(T26*(1+Y19),0)</f>
        <v>0</v>
      </c>
      <c r="Y26" s="455" t="str">
        <f>TEXT(Y19,"0.0%")&amp;" = Est. S &amp; C"</f>
        <v>2.0% = Est. S &amp; C</v>
      </c>
      <c r="AA26" s="456" t="str">
        <f t="shared" si="9"/>
        <v>0.00%</v>
      </c>
      <c r="AB26" s="340">
        <f>ROUND(X26*(1+AC19),0)</f>
        <v>0</v>
      </c>
      <c r="AC26" s="455" t="str">
        <f>TEXT(AC19,"0.0%")&amp;" = Est. S &amp; C"</f>
        <v>2.0% = Est. S &amp; C</v>
      </c>
    </row>
    <row r="27" spans="1:29" s="457" customFormat="1" hidden="1" x14ac:dyDescent="0.25">
      <c r="A27" s="897"/>
      <c r="B27" s="2385"/>
      <c r="C27" s="1656"/>
      <c r="D27" s="340">
        <v>0</v>
      </c>
      <c r="E27" s="2386"/>
      <c r="F27" s="340"/>
      <c r="G27" s="456" t="str">
        <f t="shared" si="2"/>
        <v>0.00%</v>
      </c>
      <c r="H27" s="340">
        <f t="shared" si="3"/>
        <v>0</v>
      </c>
      <c r="I27" s="897" t="str">
        <f t="shared" si="4"/>
        <v>0.0% = Est. S &amp; C</v>
      </c>
      <c r="J27" s="455"/>
      <c r="K27" s="456" t="str">
        <f t="shared" si="5"/>
        <v>0.00%</v>
      </c>
      <c r="L27" s="340">
        <f>ROUND(H27*(1+$M$19),0)</f>
        <v>0</v>
      </c>
      <c r="M27" s="897" t="str">
        <f>TEXT(M19,"0.0%")&amp;" = Est. S &amp; C"</f>
        <v>2.0% = Est. S &amp; C</v>
      </c>
      <c r="O27" s="456" t="str">
        <f t="shared" si="6"/>
        <v>0.00%</v>
      </c>
      <c r="P27" s="340">
        <f>ROUND(L27*(1+$Q$19),0)</f>
        <v>0</v>
      </c>
      <c r="Q27" s="897" t="str">
        <f>TEXT($Q$19,"0.0%")&amp;" = Est. S &amp; C"</f>
        <v>1.8% = Est. S &amp; C</v>
      </c>
      <c r="R27" s="592"/>
      <c r="S27" s="2238" t="str">
        <f t="shared" si="7"/>
        <v>0.00%</v>
      </c>
      <c r="T27" s="340">
        <f>ROUND(P27*(1+U19),0)</f>
        <v>0</v>
      </c>
      <c r="U27" s="455" t="str">
        <f>TEXT(U19,"0.0%")&amp;" = Est. S &amp; C"</f>
        <v>1.8% = Est. S &amp; C</v>
      </c>
      <c r="V27" s="952"/>
      <c r="W27" s="2241" t="str">
        <f t="shared" si="8"/>
        <v>0.00%</v>
      </c>
      <c r="X27" s="340">
        <f>ROUND(T27*(1+Y19),0)</f>
        <v>0</v>
      </c>
      <c r="Y27" s="455" t="str">
        <f>TEXT(Y19,"0.0%")&amp;" = Est. S &amp; C"</f>
        <v>2.0% = Est. S &amp; C</v>
      </c>
      <c r="AA27" s="456" t="str">
        <f t="shared" si="9"/>
        <v>0.00%</v>
      </c>
      <c r="AB27" s="340">
        <f>ROUND(X27*(1+AC19),0)</f>
        <v>0</v>
      </c>
      <c r="AC27" s="455" t="str">
        <f>TEXT(AC19,"0.0%")&amp;" = Est. S &amp; C"</f>
        <v>2.0% = Est. S &amp; C</v>
      </c>
    </row>
    <row r="28" spans="1:29" s="457" customFormat="1" hidden="1" x14ac:dyDescent="0.25">
      <c r="A28" s="897"/>
      <c r="B28" s="2385"/>
      <c r="C28" s="1656"/>
      <c r="D28" s="340">
        <v>0</v>
      </c>
      <c r="E28" s="2386"/>
      <c r="F28" s="340"/>
      <c r="G28" s="456" t="str">
        <f>IF(D28=0,"0.00%",(H28-D28)/D28)</f>
        <v>0.00%</v>
      </c>
      <c r="H28" s="340">
        <f>ROUND(D28*(1+$I$19),0)</f>
        <v>0</v>
      </c>
      <c r="I28" s="897" t="str">
        <f t="shared" si="4"/>
        <v>0.0% = Est. S &amp; C</v>
      </c>
      <c r="J28" s="455"/>
      <c r="K28" s="456" t="str">
        <f>IF(H28=0,"0.00%",(L28-H28)/H28)</f>
        <v>0.00%</v>
      </c>
      <c r="L28" s="340">
        <f t="shared" ref="L28:L30" si="10">ROUND(H28*(1+$M$19),0)</f>
        <v>0</v>
      </c>
      <c r="M28" s="897" t="str">
        <f>TEXT($M$19,"0.0%")&amp;" = Est. S &amp; C"</f>
        <v>2.0% = Est. S &amp; C</v>
      </c>
      <c r="O28" s="456" t="str">
        <f>IF(L28=0,"0.00%",(P28-L28)/L28)</f>
        <v>0.00%</v>
      </c>
      <c r="P28" s="340">
        <f t="shared" ref="P28:P30" si="11">ROUND(L28*(1+$Q$19),0)</f>
        <v>0</v>
      </c>
      <c r="Q28" s="897" t="str">
        <f t="shared" ref="Q28:Q30" si="12">TEXT($Q$19,"0.0%")&amp;" = Est. S &amp; C"</f>
        <v>1.8% = Est. S &amp; C</v>
      </c>
      <c r="R28" s="592"/>
      <c r="S28" s="2238" t="str">
        <f>IF(P28=0,"0.00%",(T28-P28)/P28)</f>
        <v>0.00%</v>
      </c>
      <c r="T28" s="340">
        <f>ROUND(P28*(1+U20),0)</f>
        <v>0</v>
      </c>
      <c r="U28" s="455" t="str">
        <f>TEXT(U20,"0.0%")&amp;" = Est. S &amp; C"</f>
        <v>0.0% = Est. S &amp; C</v>
      </c>
      <c r="V28" s="952"/>
      <c r="W28" s="2241" t="str">
        <f>IF(T28=0,"0.00%",(X28-T28)/T28)</f>
        <v>0.00%</v>
      </c>
      <c r="X28" s="340">
        <f>ROUND(T28*(1+Y20),0)</f>
        <v>0</v>
      </c>
      <c r="Y28" s="455" t="str">
        <f>TEXT(Y20,"0.0%")&amp;" = Est. S &amp; C"</f>
        <v>0.0% = Est. S &amp; C</v>
      </c>
      <c r="AA28" s="456" t="str">
        <f>IF(X28=0,"0.00%",(AB28-X28)/X28)</f>
        <v>0.00%</v>
      </c>
      <c r="AB28" s="340">
        <f>ROUND(X28*(1+AC20),0)</f>
        <v>0</v>
      </c>
      <c r="AC28" s="455" t="str">
        <f>TEXT(AC20,"0.0%")&amp;" = Est. S &amp; C"</f>
        <v>0.0% = Est. S &amp; C</v>
      </c>
    </row>
    <row r="29" spans="1:29" s="457" customFormat="1" hidden="1" x14ac:dyDescent="0.25">
      <c r="A29" s="897"/>
      <c r="B29" s="2385"/>
      <c r="C29" s="1656"/>
      <c r="D29" s="340">
        <v>0</v>
      </c>
      <c r="E29" s="2386"/>
      <c r="F29" s="340"/>
      <c r="G29" s="456" t="str">
        <f>IF(D29=0,"0.00%",(H29-D29)/D29)</f>
        <v>0.00%</v>
      </c>
      <c r="H29" s="340">
        <f>ROUND(D29*(1+$I$19),0)</f>
        <v>0</v>
      </c>
      <c r="I29" s="897" t="str">
        <f t="shared" si="4"/>
        <v>0.0% = Est. S &amp; C</v>
      </c>
      <c r="J29" s="455"/>
      <c r="K29" s="456" t="str">
        <f t="shared" ref="K29:K31" si="13">IF(H29=0,"0.00%",(L29-H29)/H29)</f>
        <v>0.00%</v>
      </c>
      <c r="L29" s="340">
        <f t="shared" si="10"/>
        <v>0</v>
      </c>
      <c r="M29" s="897" t="str">
        <f t="shared" ref="M29:M30" si="14">TEXT($M$19,"0.0%")&amp;" = Est. S &amp; C"</f>
        <v>2.0% = Est. S &amp; C</v>
      </c>
      <c r="O29" s="456" t="str">
        <f t="shared" ref="O29:O32" si="15">IF(L29=0,"0.00%",(P29-L29)/L29)</f>
        <v>0.00%</v>
      </c>
      <c r="P29" s="340">
        <f t="shared" si="11"/>
        <v>0</v>
      </c>
      <c r="Q29" s="897" t="str">
        <f t="shared" si="12"/>
        <v>1.8% = Est. S &amp; C</v>
      </c>
      <c r="R29" s="592"/>
      <c r="S29" s="2341"/>
      <c r="T29" s="340"/>
      <c r="U29" s="2344"/>
      <c r="V29" s="952"/>
      <c r="W29" s="2343"/>
      <c r="X29" s="340"/>
      <c r="Y29" s="2344"/>
      <c r="AA29" s="1668"/>
      <c r="AB29" s="340"/>
      <c r="AC29" s="2344"/>
    </row>
    <row r="30" spans="1:29" s="457" customFormat="1" hidden="1" x14ac:dyDescent="0.25">
      <c r="A30" s="897"/>
      <c r="B30" s="2385"/>
      <c r="C30" s="1656"/>
      <c r="D30" s="340">
        <v>0</v>
      </c>
      <c r="E30" s="2386"/>
      <c r="F30" s="340"/>
      <c r="G30" s="456" t="str">
        <f>IF(D30=0,"0.00%",(H30-D30)/D30)</f>
        <v>0.00%</v>
      </c>
      <c r="H30" s="340">
        <f>ROUND(D30*(1+$I$19),0)</f>
        <v>0</v>
      </c>
      <c r="I30" s="897" t="str">
        <f t="shared" si="4"/>
        <v>0.0% = Est. S &amp; C</v>
      </c>
      <c r="J30" s="455"/>
      <c r="K30" s="456" t="str">
        <f t="shared" si="13"/>
        <v>0.00%</v>
      </c>
      <c r="L30" s="340">
        <f t="shared" si="10"/>
        <v>0</v>
      </c>
      <c r="M30" s="897" t="str">
        <f t="shared" si="14"/>
        <v>2.0% = Est. S &amp; C</v>
      </c>
      <c r="O30" s="456" t="str">
        <f t="shared" si="15"/>
        <v>0.00%</v>
      </c>
      <c r="P30" s="340">
        <f t="shared" si="11"/>
        <v>0</v>
      </c>
      <c r="Q30" s="897" t="str">
        <f t="shared" si="12"/>
        <v>1.8% = Est. S &amp; C</v>
      </c>
      <c r="R30" s="592"/>
      <c r="S30" s="2341"/>
      <c r="T30" s="340"/>
      <c r="U30" s="2344"/>
      <c r="V30" s="952"/>
      <c r="W30" s="2343"/>
      <c r="X30" s="340"/>
      <c r="Y30" s="2344"/>
      <c r="AA30" s="1668"/>
      <c r="AB30" s="340"/>
      <c r="AC30" s="2344"/>
    </row>
    <row r="31" spans="1:29" s="457" customFormat="1" hidden="1" x14ac:dyDescent="0.25">
      <c r="A31" s="897"/>
      <c r="B31" s="2385"/>
      <c r="C31" s="1656"/>
      <c r="D31" s="340">
        <v>0</v>
      </c>
      <c r="E31" s="2386"/>
      <c r="F31" s="340"/>
      <c r="G31" s="456" t="str">
        <f>IF(D31=0,"0.00%",(H31-D31)/D31)</f>
        <v>0.00%</v>
      </c>
      <c r="H31" s="340">
        <f>ROUND(D31*(1+$I$19),0)</f>
        <v>0</v>
      </c>
      <c r="I31" s="899" t="str">
        <f t="shared" si="4"/>
        <v>0.0% = Est. S &amp; C</v>
      </c>
      <c r="J31" s="455"/>
      <c r="K31" s="456" t="str">
        <f t="shared" si="13"/>
        <v>0.00%</v>
      </c>
      <c r="L31" s="340">
        <v>0</v>
      </c>
      <c r="M31" s="899"/>
      <c r="O31" s="456" t="str">
        <f t="shared" si="15"/>
        <v>0.00%</v>
      </c>
      <c r="P31" s="340">
        <v>0</v>
      </c>
      <c r="Q31" s="899" t="s">
        <v>406</v>
      </c>
      <c r="R31" s="592"/>
      <c r="S31" s="2341"/>
      <c r="T31" s="340"/>
      <c r="U31" s="2344"/>
      <c r="V31" s="952"/>
      <c r="W31" s="2343"/>
      <c r="X31" s="340"/>
      <c r="Y31" s="2344"/>
      <c r="AA31" s="1668"/>
      <c r="AB31" s="340"/>
      <c r="AC31" s="2344"/>
    </row>
    <row r="32" spans="1:29" s="457" customFormat="1" hidden="1" x14ac:dyDescent="0.25">
      <c r="A32" s="898"/>
      <c r="B32" s="2385"/>
      <c r="C32" s="1656"/>
      <c r="D32" s="458">
        <f>SUM(D21:D31)</f>
        <v>0</v>
      </c>
      <c r="E32" s="2386"/>
      <c r="F32" s="340"/>
      <c r="G32" s="456" t="str">
        <f t="shared" si="2"/>
        <v>0.00%</v>
      </c>
      <c r="H32" s="458">
        <f>SUM(H21:H31)</f>
        <v>0</v>
      </c>
      <c r="I32" s="898"/>
      <c r="J32" s="459"/>
      <c r="K32" s="456" t="str">
        <f>IF(H32=0,"0.00%",(L32-H32)/H32)</f>
        <v>0.00%</v>
      </c>
      <c r="L32" s="458">
        <f>SUM(L21:L31)</f>
        <v>0</v>
      </c>
      <c r="M32" s="901"/>
      <c r="O32" s="456" t="str">
        <f t="shared" si="15"/>
        <v>0.00%</v>
      </c>
      <c r="P32" s="458">
        <f>SUM(P21:P31)</f>
        <v>0</v>
      </c>
      <c r="Q32" s="901"/>
      <c r="R32" s="592"/>
      <c r="S32" s="2238" t="str">
        <f>IF(P32=0,"0.00%",(T32-P32)/P32)</f>
        <v>0.00%</v>
      </c>
      <c r="T32" s="458">
        <f>SUM(T21:T29)</f>
        <v>0</v>
      </c>
      <c r="U32" s="2344"/>
      <c r="V32" s="952"/>
      <c r="W32" s="2241" t="str">
        <f>IF(T32=0,"0.00%",(X32-T32)/T32)</f>
        <v>0.00%</v>
      </c>
      <c r="X32" s="458">
        <f>SUM(X21:X29)</f>
        <v>0</v>
      </c>
      <c r="Y32" s="2344"/>
      <c r="AA32" s="456" t="str">
        <f>IF(X32=0,"0.00%",(AB32-X32)/X32)</f>
        <v>0.00%</v>
      </c>
      <c r="AB32" s="458">
        <f>SUM(AB21:AB29)</f>
        <v>0</v>
      </c>
      <c r="AC32" s="2344"/>
    </row>
    <row r="33" spans="1:29" s="457" customFormat="1" x14ac:dyDescent="0.25">
      <c r="A33" s="897"/>
      <c r="B33" s="2345"/>
      <c r="C33" s="1656"/>
      <c r="D33" s="340"/>
      <c r="E33" s="2386"/>
      <c r="F33" s="340"/>
      <c r="G33" s="2338"/>
      <c r="H33" s="340"/>
      <c r="I33" s="897"/>
      <c r="J33" s="455"/>
      <c r="K33" s="1668"/>
      <c r="L33" s="340"/>
      <c r="M33" s="901"/>
      <c r="O33" s="1668"/>
      <c r="P33" s="340"/>
      <c r="Q33" s="901"/>
      <c r="R33" s="592"/>
      <c r="S33" s="2341"/>
      <c r="T33" s="340"/>
      <c r="U33" s="2344"/>
      <c r="V33" s="952"/>
      <c r="W33" s="2343"/>
      <c r="X33" s="340"/>
      <c r="Y33" s="2344"/>
      <c r="AA33" s="1668"/>
      <c r="AB33" s="340"/>
      <c r="AC33" s="2344"/>
    </row>
    <row r="34" spans="1:29" s="461" customFormat="1" x14ac:dyDescent="0.25">
      <c r="A34" s="900"/>
      <c r="B34" s="2440" t="s">
        <v>35</v>
      </c>
      <c r="C34" s="900"/>
      <c r="D34" s="460"/>
      <c r="E34" s="868"/>
      <c r="F34" s="460"/>
      <c r="G34" s="2389"/>
      <c r="H34" s="460"/>
      <c r="I34" s="868"/>
      <c r="J34" s="460"/>
      <c r="K34" s="1669"/>
      <c r="L34" s="460"/>
      <c r="M34" s="902"/>
      <c r="O34" s="1669"/>
      <c r="P34" s="460"/>
      <c r="Q34" s="902"/>
      <c r="S34" s="1669"/>
      <c r="T34" s="460"/>
      <c r="U34" s="2392"/>
      <c r="V34" s="2381"/>
      <c r="W34" s="2382"/>
      <c r="X34" s="460"/>
      <c r="Y34" s="2392"/>
      <c r="AA34" s="1669"/>
      <c r="AB34" s="460"/>
      <c r="AC34" s="2392"/>
    </row>
    <row r="35" spans="1:29" s="457" customFormat="1" x14ac:dyDescent="0.25">
      <c r="A35" s="897"/>
      <c r="B35" s="2385">
        <v>2215</v>
      </c>
      <c r="C35" s="1656" t="s">
        <v>876</v>
      </c>
      <c r="D35" s="340">
        <v>344880.34</v>
      </c>
      <c r="E35" s="2386"/>
      <c r="F35" s="340"/>
      <c r="G35" s="456">
        <f t="shared" ref="G35:G43" si="16">IF(D35=0,"0.00%",(H35-D35)/D35)</f>
        <v>-8.414031370996683E-2</v>
      </c>
      <c r="H35" s="340">
        <v>315862</v>
      </c>
      <c r="I35" s="897"/>
      <c r="J35" s="455"/>
      <c r="K35" s="456">
        <f t="shared" ref="K35:K43" si="17">IF(H35=0,"0.00%",(L35-H35)/H35)</f>
        <v>0.27338837846907826</v>
      </c>
      <c r="L35" s="340">
        <v>402215</v>
      </c>
      <c r="M35" s="897"/>
      <c r="O35" s="456">
        <f t="shared" ref="O35:O43" si="18">IF(L35=0,"0.00%",(P35-L35)/L35)</f>
        <v>1.7500590480215805E-2</v>
      </c>
      <c r="P35" s="340">
        <f>ROUND(L35*(1+Q19),0)</f>
        <v>409254</v>
      </c>
      <c r="Q35" s="897" t="str">
        <f>TEXT(Q19,"0.0%")&amp;" = Est. S &amp; C"</f>
        <v>1.8% = Est. S &amp; C</v>
      </c>
      <c r="R35" s="592"/>
      <c r="S35" s="2238">
        <f t="shared" ref="S35:S43" si="19">IF(P35=0,"0.00%",(T35-P35)/P35)</f>
        <v>1.7500134390867287E-2</v>
      </c>
      <c r="T35" s="340">
        <f>ROUND(P35*(1+U19),0)</f>
        <v>416416</v>
      </c>
      <c r="U35" s="455" t="str">
        <f>TEXT(U19,"0.0%")&amp;" = Est. S &amp; C"</f>
        <v>1.8% = Est. S &amp; C</v>
      </c>
      <c r="V35" s="952"/>
      <c r="W35" s="2241">
        <f t="shared" ref="W35:W43" si="20">IF(T35=0,"0.00%",(X35-T35)/T35)</f>
        <v>1.9999231537693077E-2</v>
      </c>
      <c r="X35" s="340">
        <f>ROUND(T35*(1+Y19),0)</f>
        <v>424744</v>
      </c>
      <c r="Y35" s="455" t="str">
        <f>TEXT(Y19,"0.0%")&amp;" = Est. S &amp; C"</f>
        <v>2.0% = Est. S &amp; C</v>
      </c>
      <c r="AA35" s="456">
        <f t="shared" ref="AA35:AA43" si="21">IF(X35=0,"0.00%",(AB35-X35)/X35)</f>
        <v>2.0000282523119809E-2</v>
      </c>
      <c r="AB35" s="340">
        <f>ROUND(X35*(1+AC19),0)</f>
        <v>433239</v>
      </c>
      <c r="AC35" s="455" t="str">
        <f>TEXT(AC19,"0.0%")&amp;" = Est. S &amp; C"</f>
        <v>2.0% = Est. S &amp; C</v>
      </c>
    </row>
    <row r="36" spans="1:29" s="457" customFormat="1" x14ac:dyDescent="0.25">
      <c r="A36" s="897"/>
      <c r="B36" s="2385">
        <v>2216</v>
      </c>
      <c r="C36" s="1656" t="s">
        <v>877</v>
      </c>
      <c r="D36" s="340">
        <v>61368.480000000003</v>
      </c>
      <c r="E36" s="2386"/>
      <c r="F36" s="340"/>
      <c r="G36" s="456">
        <f t="shared" si="16"/>
        <v>4.6432957114140624E-2</v>
      </c>
      <c r="H36" s="340">
        <v>64218</v>
      </c>
      <c r="I36" s="897"/>
      <c r="J36" s="455"/>
      <c r="K36" s="456">
        <f t="shared" si="17"/>
        <v>-1.3360739979445015E-2</v>
      </c>
      <c r="L36" s="340">
        <v>63360</v>
      </c>
      <c r="M36" s="897"/>
      <c r="O36" s="456">
        <f t="shared" si="18"/>
        <v>1.7503156565656566E-2</v>
      </c>
      <c r="P36" s="340">
        <f>ROUND(L36*(1+Q19),0)</f>
        <v>64469</v>
      </c>
      <c r="Q36" s="897" t="str">
        <f>TEXT(Q19,"0.0%")&amp;" = Est. S &amp; C"</f>
        <v>1.8% = Est. S &amp; C</v>
      </c>
      <c r="R36" s="592"/>
      <c r="S36" s="2238">
        <f t="shared" si="19"/>
        <v>1.7496781398811834E-2</v>
      </c>
      <c r="T36" s="340">
        <f>ROUND(P36*(1+U19),0)</f>
        <v>65597</v>
      </c>
      <c r="U36" s="455" t="str">
        <f>TEXT(U19,"0.0%")&amp;" = Est. S &amp; C"</f>
        <v>1.8% = Est. S &amp; C</v>
      </c>
      <c r="V36" s="952"/>
      <c r="W36" s="2241">
        <f t="shared" si="20"/>
        <v>2.0000914675976037E-2</v>
      </c>
      <c r="X36" s="340">
        <f>ROUND(T36*(1+Y19),0)</f>
        <v>66909</v>
      </c>
      <c r="Y36" s="455" t="str">
        <f>TEXT(Y19,"0.0%")&amp;" = Est. S &amp; C"</f>
        <v>2.0% = Est. S &amp; C</v>
      </c>
      <c r="AA36" s="456">
        <f t="shared" si="21"/>
        <v>1.9997309778953504E-2</v>
      </c>
      <c r="AB36" s="340">
        <f>ROUND(X36*(1+AC19),0)</f>
        <v>68247</v>
      </c>
      <c r="AC36" s="455" t="str">
        <f>TEXT(AC19,"0.0%")&amp;" = Est. S &amp; C"</f>
        <v>2.0% = Est. S &amp; C</v>
      </c>
    </row>
    <row r="37" spans="1:29" s="457" customFormat="1" x14ac:dyDescent="0.25">
      <c r="A37" s="897"/>
      <c r="B37" s="2385">
        <v>2217</v>
      </c>
      <c r="C37" s="1656" t="s">
        <v>878</v>
      </c>
      <c r="D37" s="340">
        <v>54580.32</v>
      </c>
      <c r="E37" s="2386"/>
      <c r="F37" s="340"/>
      <c r="G37" s="456">
        <f t="shared" si="16"/>
        <v>4.5999730305721923E-2</v>
      </c>
      <c r="H37" s="340">
        <v>57091</v>
      </c>
      <c r="I37" s="897"/>
      <c r="J37" s="455"/>
      <c r="K37" s="456">
        <f t="shared" si="17"/>
        <v>-1.3382144295948573E-2</v>
      </c>
      <c r="L37" s="340">
        <v>56327</v>
      </c>
      <c r="M37" s="897"/>
      <c r="O37" s="456">
        <f t="shared" si="18"/>
        <v>1.7504926589379872E-2</v>
      </c>
      <c r="P37" s="340">
        <f>ROUND(L37*(1+$Q$19),0)</f>
        <v>57313</v>
      </c>
      <c r="Q37" s="897" t="str">
        <f>TEXT(Q19,"0.0%")&amp;" = Est. S &amp; C"</f>
        <v>1.8% = Est. S &amp; C</v>
      </c>
      <c r="R37" s="592"/>
      <c r="S37" s="2238">
        <f t="shared" si="19"/>
        <v>1.7500392581089805E-2</v>
      </c>
      <c r="T37" s="340">
        <f>ROUND(P37*(1+U19),0)</f>
        <v>58316</v>
      </c>
      <c r="U37" s="455" t="str">
        <f>TEXT(U19,"0.0%")&amp;" = Est. S &amp; C"</f>
        <v>1.8% = Est. S &amp; C</v>
      </c>
      <c r="V37" s="952"/>
      <c r="W37" s="2241">
        <f t="shared" si="20"/>
        <v>1.9994512655188972E-2</v>
      </c>
      <c r="X37" s="340">
        <f>ROUND(T37*(1+Y19),0)</f>
        <v>59482</v>
      </c>
      <c r="Y37" s="455" t="str">
        <f>TEXT(Y19,"0.0%")&amp;" = Est. S &amp; C"</f>
        <v>2.0% = Est. S &amp; C</v>
      </c>
      <c r="AA37" s="456">
        <f t="shared" si="21"/>
        <v>2.0006052251101174E-2</v>
      </c>
      <c r="AB37" s="340">
        <f>ROUND(X37*(1+AC19),0)</f>
        <v>60672</v>
      </c>
      <c r="AC37" s="455" t="str">
        <f>TEXT(AC19,"0.0%")&amp;" = Est. S &amp; C"</f>
        <v>2.0% = Est. S &amp; C</v>
      </c>
    </row>
    <row r="38" spans="1:29" s="457" customFormat="1" x14ac:dyDescent="0.25">
      <c r="A38" s="897"/>
      <c r="B38" s="2385">
        <v>2218</v>
      </c>
      <c r="C38" s="1656" t="s">
        <v>879</v>
      </c>
      <c r="D38" s="340">
        <v>51970.32</v>
      </c>
      <c r="E38" s="2386"/>
      <c r="F38" s="340"/>
      <c r="G38" s="456">
        <f t="shared" si="16"/>
        <v>9.7010755369603269E-2</v>
      </c>
      <c r="H38" s="340">
        <v>57012</v>
      </c>
      <c r="I38" s="897"/>
      <c r="J38" s="455"/>
      <c r="K38" s="456">
        <f t="shared" ref="K38:K39" si="22">IF(H38=0,"0.00%",(L38-H38)/H38)</f>
        <v>-1.2015014382936926E-2</v>
      </c>
      <c r="L38" s="340">
        <v>56327</v>
      </c>
      <c r="M38" s="897"/>
      <c r="O38" s="456">
        <f t="shared" ref="O38:O39" si="23">IF(L38=0,"0.00%",(P38-L38)/L38)</f>
        <v>1.7504926589379872E-2</v>
      </c>
      <c r="P38" s="340">
        <f t="shared" ref="P38" si="24">ROUND(L38*(1+$Q$19),0)</f>
        <v>57313</v>
      </c>
      <c r="Q38" s="897" t="str">
        <f t="shared" ref="Q38" si="25">TEXT(Q20,"0.0%")&amp;" = Est. S &amp; C"</f>
        <v>0.0% = Est. S &amp; C</v>
      </c>
      <c r="R38" s="592"/>
      <c r="S38" s="2238">
        <f t="shared" ref="S38:S39" si="26">IF(P38=0,"0.00%",(T38-P38)/P38)</f>
        <v>1.7500392581089805E-2</v>
      </c>
      <c r="T38" s="340">
        <f>ROUND(P38*(1+U19),0)</f>
        <v>58316</v>
      </c>
      <c r="U38" s="455" t="str">
        <f>TEXT(U19,"0.0%")&amp;" = Est. S &amp; C"</f>
        <v>1.8% = Est. S &amp; C</v>
      </c>
      <c r="V38" s="952"/>
      <c r="W38" s="2241"/>
      <c r="X38" s="340"/>
      <c r="Y38" s="455"/>
      <c r="AA38" s="456"/>
      <c r="AB38" s="340"/>
      <c r="AC38" s="455"/>
    </row>
    <row r="39" spans="1:29" s="457" customFormat="1" x14ac:dyDescent="0.25">
      <c r="A39" s="897"/>
      <c r="B39" s="2385">
        <v>2273</v>
      </c>
      <c r="C39" s="1656" t="s">
        <v>880</v>
      </c>
      <c r="D39" s="340">
        <v>800.9</v>
      </c>
      <c r="E39" s="2386"/>
      <c r="F39" s="340"/>
      <c r="G39" s="456">
        <f t="shared" si="16"/>
        <v>42.200149831439631</v>
      </c>
      <c r="H39" s="340">
        <v>34599</v>
      </c>
      <c r="I39" s="897"/>
      <c r="J39" s="455"/>
      <c r="K39" s="456">
        <f t="shared" si="22"/>
        <v>0.53183618023642298</v>
      </c>
      <c r="L39" s="340">
        <v>53000</v>
      </c>
      <c r="M39" s="897"/>
      <c r="O39" s="456">
        <f t="shared" si="23"/>
        <v>0</v>
      </c>
      <c r="P39" s="340">
        <f>+L39</f>
        <v>53000</v>
      </c>
      <c r="Q39" s="897" t="s">
        <v>173</v>
      </c>
      <c r="R39" s="592"/>
      <c r="S39" s="2238">
        <f t="shared" si="26"/>
        <v>0</v>
      </c>
      <c r="T39" s="340">
        <f>+P39</f>
        <v>53000</v>
      </c>
      <c r="U39" s="897" t="s">
        <v>173</v>
      </c>
      <c r="V39" s="952"/>
      <c r="W39" s="2241"/>
      <c r="X39" s="340"/>
      <c r="Y39" s="455"/>
      <c r="AA39" s="456"/>
      <c r="AB39" s="340"/>
      <c r="AC39" s="455"/>
    </row>
    <row r="40" spans="1:29" s="457" customFormat="1" x14ac:dyDescent="0.25">
      <c r="A40" s="897"/>
      <c r="B40" s="2385">
        <v>2281</v>
      </c>
      <c r="C40" s="1656" t="s">
        <v>881</v>
      </c>
      <c r="D40" s="340">
        <v>0</v>
      </c>
      <c r="E40" s="2386"/>
      <c r="F40" s="340"/>
      <c r="G40" s="456" t="str">
        <f t="shared" si="16"/>
        <v>0.00%</v>
      </c>
      <c r="H40" s="340">
        <v>2500</v>
      </c>
      <c r="I40" s="897"/>
      <c r="J40" s="455"/>
      <c r="K40" s="456">
        <f t="shared" si="17"/>
        <v>-1</v>
      </c>
      <c r="L40" s="340">
        <v>0</v>
      </c>
      <c r="M40" s="897"/>
      <c r="O40" s="456" t="str">
        <f t="shared" si="18"/>
        <v>0.00%</v>
      </c>
      <c r="P40" s="340">
        <f>+L40</f>
        <v>0</v>
      </c>
      <c r="Q40" s="897" t="s">
        <v>173</v>
      </c>
      <c r="R40" s="592"/>
      <c r="S40" s="2238" t="str">
        <f t="shared" si="19"/>
        <v>0.00%</v>
      </c>
      <c r="T40" s="340">
        <f>+P40</f>
        <v>0</v>
      </c>
      <c r="U40" s="897" t="s">
        <v>173</v>
      </c>
      <c r="V40" s="952"/>
      <c r="W40" s="2241" t="str">
        <f t="shared" si="20"/>
        <v>0.00%</v>
      </c>
      <c r="X40" s="340">
        <f>ROUND(T40*(1+Y19),0)</f>
        <v>0</v>
      </c>
      <c r="Y40" s="455" t="str">
        <f>TEXT(Y19,"0.0%")&amp;" = Est. S &amp; C"</f>
        <v>2.0% = Est. S &amp; C</v>
      </c>
      <c r="AA40" s="456" t="str">
        <f t="shared" si="21"/>
        <v>0.00%</v>
      </c>
      <c r="AB40" s="340">
        <f>ROUND(X40*(1+AC19),0)</f>
        <v>0</v>
      </c>
      <c r="AC40" s="455" t="str">
        <f>TEXT(AC19,"0.0%")&amp;" = Est. S &amp; C"</f>
        <v>2.0% = Est. S &amp; C</v>
      </c>
    </row>
    <row r="41" spans="1:29" s="457" customFormat="1" x14ac:dyDescent="0.25">
      <c r="A41" s="897"/>
      <c r="B41" s="2385">
        <v>2309</v>
      </c>
      <c r="C41" s="1656" t="s">
        <v>882</v>
      </c>
      <c r="D41" s="340">
        <v>14975.54</v>
      </c>
      <c r="E41" s="2386"/>
      <c r="F41" s="340"/>
      <c r="G41" s="456">
        <f t="shared" si="16"/>
        <v>-9.5849632133466218E-3</v>
      </c>
      <c r="H41" s="340">
        <v>14832</v>
      </c>
      <c r="I41" s="897"/>
      <c r="J41" s="455"/>
      <c r="K41" s="456">
        <f t="shared" si="17"/>
        <v>1.5574433656957929E-2</v>
      </c>
      <c r="L41" s="340">
        <v>15063</v>
      </c>
      <c r="M41" s="897"/>
      <c r="O41" s="456">
        <f t="shared" si="18"/>
        <v>1.752638916550488E-2</v>
      </c>
      <c r="P41" s="340">
        <f>ROUND(L41*(1+Q19),0)</f>
        <v>15327</v>
      </c>
      <c r="Q41" s="897" t="str">
        <f>TEXT(Q19,"0.0%")&amp;" = Est. S &amp; C"</f>
        <v>1.8% = Est. S &amp; C</v>
      </c>
      <c r="R41" s="592"/>
      <c r="S41" s="2238">
        <f t="shared" si="19"/>
        <v>1.7485483134338096E-2</v>
      </c>
      <c r="T41" s="340">
        <f>ROUND(P41*(1+U19),0)</f>
        <v>15595</v>
      </c>
      <c r="U41" s="455" t="str">
        <f>TEXT(U19,"0.0%")&amp;" = Est. S &amp; C"</f>
        <v>1.8% = Est. S &amp; C</v>
      </c>
      <c r="V41" s="952"/>
      <c r="W41" s="2241">
        <f t="shared" si="20"/>
        <v>2.0006412311638345E-2</v>
      </c>
      <c r="X41" s="340">
        <f>ROUND(T41*(1+Y19),0)</f>
        <v>15907</v>
      </c>
      <c r="Y41" s="455" t="str">
        <f>TEXT(Y19,"0.0%")&amp;" = Est. S &amp; C"</f>
        <v>2.0% = Est. S &amp; C</v>
      </c>
      <c r="AA41" s="456">
        <f t="shared" si="21"/>
        <v>1.9991198843276544E-2</v>
      </c>
      <c r="AB41" s="340">
        <f>ROUND(X41*(1+AC19),0)</f>
        <v>16225</v>
      </c>
      <c r="AC41" s="455" t="str">
        <f>TEXT(AC19,"0.0%")&amp;" = Est. S &amp; C"</f>
        <v>2.0% = Est. S &amp; C</v>
      </c>
    </row>
    <row r="42" spans="1:29" s="457" customFormat="1" x14ac:dyDescent="0.25">
      <c r="A42" s="897"/>
      <c r="B42" s="2385">
        <v>2310</v>
      </c>
      <c r="C42" s="1656" t="s">
        <v>883</v>
      </c>
      <c r="D42" s="340">
        <v>64097.42</v>
      </c>
      <c r="E42" s="2386"/>
      <c r="F42" s="340"/>
      <c r="G42" s="456">
        <f t="shared" si="16"/>
        <v>2.3176907900505226E-2</v>
      </c>
      <c r="H42" s="340">
        <v>65583</v>
      </c>
      <c r="I42" s="897"/>
      <c r="J42" s="455"/>
      <c r="K42" s="456">
        <f t="shared" si="17"/>
        <v>5.2955796471646617E-2</v>
      </c>
      <c r="L42" s="340">
        <v>69056</v>
      </c>
      <c r="M42" s="897"/>
      <c r="O42" s="456">
        <f t="shared" si="18"/>
        <v>1.7493049119555144E-2</v>
      </c>
      <c r="P42" s="340">
        <f>ROUND(L42*(1+Q19),0)</f>
        <v>70264</v>
      </c>
      <c r="Q42" s="897" t="str">
        <f>TEXT(Q19,"0.0%")&amp;" = Est. S &amp; C"</f>
        <v>1.8% = Est. S &amp; C</v>
      </c>
      <c r="R42" s="592"/>
      <c r="S42" s="2238">
        <f t="shared" si="19"/>
        <v>1.7505408174883299E-2</v>
      </c>
      <c r="T42" s="340">
        <f>ROUND(P42*(1+U19),0)</f>
        <v>71494</v>
      </c>
      <c r="U42" s="455" t="str">
        <f>TEXT(U19,"0.0%")&amp;" = Est. S &amp; C"</f>
        <v>1.8% = Est. S &amp; C</v>
      </c>
      <c r="V42" s="952"/>
      <c r="W42" s="2241">
        <f t="shared" si="20"/>
        <v>2.0001678462528323E-2</v>
      </c>
      <c r="X42" s="340">
        <f>ROUND(T42*(1+Y19),0)</f>
        <v>72924</v>
      </c>
      <c r="Y42" s="455" t="str">
        <f>TEXT(Y19,"0.0%")&amp;" = Est. S &amp; C"</f>
        <v>2.0% = Est. S &amp; C</v>
      </c>
      <c r="AA42" s="456">
        <f t="shared" si="21"/>
        <v>1.9993417804837915E-2</v>
      </c>
      <c r="AB42" s="340">
        <f>ROUND(X42*(1+AC19),0)</f>
        <v>74382</v>
      </c>
      <c r="AC42" s="455" t="str">
        <f>TEXT(AC19,"0.0%")&amp;" = Est. S &amp; C"</f>
        <v>2.0% = Est. S &amp; C</v>
      </c>
    </row>
    <row r="43" spans="1:29" s="457" customFormat="1" x14ac:dyDescent="0.25">
      <c r="A43" s="897"/>
      <c r="B43" s="2385">
        <v>2473</v>
      </c>
      <c r="C43" s="1656" t="s">
        <v>884</v>
      </c>
      <c r="D43" s="340">
        <v>0</v>
      </c>
      <c r="E43" s="2386"/>
      <c r="F43" s="340"/>
      <c r="G43" s="456" t="str">
        <f t="shared" si="16"/>
        <v>0.00%</v>
      </c>
      <c r="H43" s="340">
        <v>461</v>
      </c>
      <c r="I43" s="897"/>
      <c r="J43" s="455"/>
      <c r="K43" s="456">
        <f t="shared" si="17"/>
        <v>-1</v>
      </c>
      <c r="L43" s="340">
        <v>0</v>
      </c>
      <c r="M43" s="897"/>
      <c r="O43" s="456" t="str">
        <f t="shared" si="18"/>
        <v>0.00%</v>
      </c>
      <c r="P43" s="340">
        <f>+L43</f>
        <v>0</v>
      </c>
      <c r="Q43" s="897" t="s">
        <v>173</v>
      </c>
      <c r="R43" s="592"/>
      <c r="S43" s="2238" t="str">
        <f t="shared" si="19"/>
        <v>0.00%</v>
      </c>
      <c r="T43" s="340">
        <f>ROUND(P43*(1+U19),0)</f>
        <v>0</v>
      </c>
      <c r="U43" s="455" t="str">
        <f>TEXT(U19,"0.0%")&amp;" = Est. S &amp; C"</f>
        <v>1.8% = Est. S &amp; C</v>
      </c>
      <c r="V43" s="952"/>
      <c r="W43" s="2241" t="str">
        <f t="shared" si="20"/>
        <v>0.00%</v>
      </c>
      <c r="X43" s="340">
        <f>ROUND(T43*(1+Y19),0)</f>
        <v>0</v>
      </c>
      <c r="Y43" s="455" t="str">
        <f>TEXT(Y19,"0.0%")&amp;" = Est. S &amp; C"</f>
        <v>2.0% = Est. S &amp; C</v>
      </c>
      <c r="AA43" s="456" t="str">
        <f t="shared" si="21"/>
        <v>0.00%</v>
      </c>
      <c r="AB43" s="340">
        <f>ROUND(X43*(1+AC19),0)</f>
        <v>0</v>
      </c>
      <c r="AC43" s="455" t="str">
        <f>TEXT(AC19,"0.0%")&amp;" = Est. S &amp; C"</f>
        <v>2.0% = Est. S &amp; C</v>
      </c>
    </row>
    <row r="44" spans="1:29" s="457" customFormat="1" ht="6" customHeight="1" x14ac:dyDescent="0.25">
      <c r="A44" s="897"/>
      <c r="B44" s="2385"/>
      <c r="C44" s="1656"/>
      <c r="D44" s="340"/>
      <c r="E44" s="2386"/>
      <c r="F44" s="340"/>
      <c r="G44" s="2338"/>
      <c r="H44" s="340"/>
      <c r="I44" s="897"/>
      <c r="J44" s="455"/>
      <c r="K44" s="1668"/>
      <c r="L44" s="340"/>
      <c r="M44" s="901"/>
      <c r="O44" s="1668"/>
      <c r="P44" s="340"/>
      <c r="Q44" s="901"/>
      <c r="R44" s="592"/>
      <c r="S44" s="2341"/>
      <c r="T44" s="340"/>
      <c r="U44" s="2344"/>
      <c r="V44" s="952"/>
      <c r="W44" s="2343"/>
      <c r="X44" s="340"/>
      <c r="Y44" s="2344"/>
      <c r="AA44" s="1668"/>
      <c r="AB44" s="340"/>
      <c r="AC44" s="2344"/>
    </row>
    <row r="45" spans="1:29" s="457" customFormat="1" x14ac:dyDescent="0.25">
      <c r="A45" s="898"/>
      <c r="B45" s="2385"/>
      <c r="C45" s="1656"/>
      <c r="D45" s="458">
        <f>SUM(D35:D44)</f>
        <v>592673.32000000007</v>
      </c>
      <c r="E45" s="2386"/>
      <c r="F45" s="340"/>
      <c r="G45" s="456">
        <f>IF(D45=0,"0.00%",(H45-D45)/D45)</f>
        <v>3.2875918895758513E-2</v>
      </c>
      <c r="H45" s="458">
        <f>SUM(H35:H44)</f>
        <v>612158</v>
      </c>
      <c r="I45" s="2316">
        <f>+H45-D45</f>
        <v>19484.679999999935</v>
      </c>
      <c r="J45" s="459"/>
      <c r="K45" s="456">
        <f>IF(H45=0,"0.00%",(L45-H45)/H45)</f>
        <v>0.16856759202689503</v>
      </c>
      <c r="L45" s="458">
        <f>SUM(L35:L44)</f>
        <v>715348</v>
      </c>
      <c r="M45" s="2316">
        <f>+L45-H45</f>
        <v>103190</v>
      </c>
      <c r="O45" s="456">
        <f>IF(L45=0,"0.00%",(P45-L45)/L45)</f>
        <v>1.6204700369610317E-2</v>
      </c>
      <c r="P45" s="458">
        <f>SUM(P35:P44)</f>
        <v>726940</v>
      </c>
      <c r="Q45" s="2316">
        <f>+P45-L45</f>
        <v>11592</v>
      </c>
      <c r="R45" s="592"/>
      <c r="S45" s="2238">
        <f>IF(P45=0,"0.00%",(T45-P45)/P45)</f>
        <v>1.6224172558945718E-2</v>
      </c>
      <c r="T45" s="458">
        <f>SUM(T35:T44)</f>
        <v>738734</v>
      </c>
      <c r="U45" s="2344"/>
      <c r="V45" s="952"/>
      <c r="W45" s="2241">
        <f>IF(T45=0,"0.00%",(X45-T45)/T45)</f>
        <v>-0.13369900397165962</v>
      </c>
      <c r="X45" s="458">
        <f>SUM(X35:X44)</f>
        <v>639966</v>
      </c>
      <c r="Y45" s="2344"/>
      <c r="AA45" s="456">
        <f>IF(X45=0,"0.00%",(AB45-X45)/X45)</f>
        <v>1.9999499973436089E-2</v>
      </c>
      <c r="AB45" s="458">
        <f>SUM(AB35:AB44)</f>
        <v>652765</v>
      </c>
      <c r="AC45" s="2344"/>
    </row>
    <row r="46" spans="1:29" s="457" customFormat="1" x14ac:dyDescent="0.25">
      <c r="A46" s="897"/>
      <c r="B46" s="2345" t="s">
        <v>28</v>
      </c>
      <c r="C46" s="1656"/>
      <c r="D46" s="340"/>
      <c r="E46" s="2386"/>
      <c r="F46" s="340"/>
      <c r="G46" s="2338"/>
      <c r="H46" s="340"/>
      <c r="I46" s="897"/>
      <c r="J46" s="455"/>
      <c r="K46" s="1668"/>
      <c r="L46" s="340"/>
      <c r="M46" s="901"/>
      <c r="O46" s="1668"/>
      <c r="P46" s="340"/>
      <c r="Q46" s="901"/>
      <c r="R46" s="592"/>
      <c r="S46" s="2341"/>
      <c r="T46" s="340"/>
      <c r="U46" s="2344"/>
      <c r="V46" s="952"/>
      <c r="W46" s="2343"/>
      <c r="X46" s="340"/>
      <c r="Y46" s="2344"/>
      <c r="AA46" s="1668"/>
      <c r="AB46" s="340"/>
      <c r="AC46" s="2344"/>
    </row>
    <row r="47" spans="1:29" s="457" customFormat="1" x14ac:dyDescent="0.25">
      <c r="A47" s="868"/>
      <c r="B47" s="2337" t="s">
        <v>27</v>
      </c>
      <c r="C47" s="1656"/>
      <c r="D47" s="340"/>
      <c r="E47" s="2386"/>
      <c r="F47" s="340"/>
      <c r="G47" s="2338"/>
      <c r="H47" s="340"/>
      <c r="I47" s="897"/>
      <c r="J47" s="455"/>
      <c r="K47" s="1668"/>
      <c r="L47" s="340"/>
      <c r="M47" s="901"/>
      <c r="O47" s="1668"/>
      <c r="P47" s="340"/>
      <c r="Q47" s="901"/>
      <c r="R47" s="592"/>
      <c r="S47" s="2341"/>
      <c r="T47" s="340"/>
      <c r="U47" s="2344"/>
      <c r="V47" s="952"/>
      <c r="W47" s="2343"/>
      <c r="X47" s="340"/>
      <c r="Y47" s="2344"/>
      <c r="AA47" s="1668"/>
      <c r="AB47" s="340"/>
      <c r="AC47" s="2344"/>
    </row>
    <row r="48" spans="1:29" s="457" customFormat="1" x14ac:dyDescent="0.25">
      <c r="A48" s="897"/>
      <c r="B48" s="2385" t="s">
        <v>83</v>
      </c>
      <c r="C48" s="1656" t="s">
        <v>76</v>
      </c>
      <c r="D48" s="340">
        <v>0</v>
      </c>
      <c r="E48" s="899" t="str">
        <f>TEXT('MYP Assumptions'!$D$57,"0.00%")&amp;", STRS rate"</f>
        <v>12.58%, STRS rate</v>
      </c>
      <c r="F48" s="340"/>
      <c r="G48" s="456" t="str">
        <f t="shared" ref="G48:G57" si="27">IF(D48=0,"0.00%",(H48-D48)/D48)</f>
        <v>0.00%</v>
      </c>
      <c r="H48" s="340">
        <f>ROUND(H32*LEFT(I48,6),0)</f>
        <v>0</v>
      </c>
      <c r="I48" s="899" t="str">
        <f>TEXT('MYP Assumptions'!E57,"0.00%")&amp;", projected STRS rate"</f>
        <v>14.43%, projected STRS rate</v>
      </c>
      <c r="J48" s="455"/>
      <c r="K48" s="456" t="str">
        <f t="shared" ref="K48:K57" si="28">IF(H48=0,"0.00%",(L48-H48)/H48)</f>
        <v>0.00%</v>
      </c>
      <c r="L48" s="340">
        <f>ROUND(L32*LEFT(M48,6),0)</f>
        <v>0</v>
      </c>
      <c r="M48" s="899" t="str">
        <f>TEXT('MYP Assumptions'!F57,"0.00%")&amp;", projected STRS rate"</f>
        <v>16.28%, projected STRS rate</v>
      </c>
      <c r="O48" s="456" t="str">
        <f t="shared" ref="O48:O57" si="29">IF(L48=0,"0.00%",(P48-L48)/L48)</f>
        <v>0.00%</v>
      </c>
      <c r="P48" s="340">
        <f>ROUND(P32*LEFT(Q48,6),0)</f>
        <v>0</v>
      </c>
      <c r="Q48" s="899" t="str">
        <f>TEXT('MYP Assumptions'!G57,"0.00%")&amp;", projected STRS rate"</f>
        <v>18.13%, projected STRS rate</v>
      </c>
      <c r="R48" s="592"/>
      <c r="S48" s="2238" t="str">
        <f t="shared" ref="S48:S57" si="30">IF(P48=0,"0.00%",(T48-P48)/P48)</f>
        <v>0.00%</v>
      </c>
      <c r="T48" s="340">
        <f>ROUND(T32*LEFT(U48,6),0)</f>
        <v>0</v>
      </c>
      <c r="U48" s="953" t="str">
        <f>TEXT('MYP Assumptions'!H57,"0.00%")&amp;", projected STRS rate"</f>
        <v>19.10%, projected STRS rate</v>
      </c>
      <c r="V48" s="952"/>
      <c r="W48" s="2241" t="str">
        <f t="shared" ref="W48:W57" si="31">IF(T48=0,"0.00%",(X48-T48)/T48)</f>
        <v>0.00%</v>
      </c>
      <c r="X48" s="340">
        <f>ROUND(X32*LEFT(Y48,6),0)</f>
        <v>0</v>
      </c>
      <c r="Y48" s="953" t="str">
        <f>TEXT('MYP Assumptions'!I57,"0.00%")&amp;", projected STRS rate"</f>
        <v>19.10%, projected STRS rate</v>
      </c>
      <c r="AA48" s="456" t="str">
        <f t="shared" ref="AA48:AA57" si="32">IF(X48=0,"0.00%",(AB48-X48)/X48)</f>
        <v>0.00%</v>
      </c>
      <c r="AB48" s="340" t="e">
        <f>ROUND(AB32*LEFT(AC48,6),0)</f>
        <v>#VALUE!</v>
      </c>
      <c r="AC48" s="953" t="str">
        <f>TEXT('MYP Assumptions'!J57,"0.00%")&amp;", projected STRS rate"</f>
        <v>0.00%, projected STRS rate</v>
      </c>
    </row>
    <row r="49" spans="1:29" s="457" customFormat="1" x14ac:dyDescent="0.25">
      <c r="A49" s="897"/>
      <c r="B49" s="2385" t="s">
        <v>84</v>
      </c>
      <c r="C49" s="1656" t="s">
        <v>77</v>
      </c>
      <c r="D49" s="340">
        <v>79049.87</v>
      </c>
      <c r="E49" s="899" t="str">
        <f>TEXT('MYP Assumptions'!$D$58,"0.00%")&amp;", PERS rate"</f>
        <v>13.89%, PERS rate</v>
      </c>
      <c r="F49" s="340"/>
      <c r="G49" s="456">
        <f t="shared" si="27"/>
        <v>0.21790206612610502</v>
      </c>
      <c r="H49" s="340">
        <v>96275</v>
      </c>
      <c r="I49" s="899" t="str">
        <f>TEXT('MYP Assumptions'!E58,"0.00%")&amp;", projected PERS rate"</f>
        <v>15.53%, projected PERS rate</v>
      </c>
      <c r="J49" s="455"/>
      <c r="K49" s="456">
        <f t="shared" si="28"/>
        <v>0.24263827577252661</v>
      </c>
      <c r="L49" s="340">
        <v>119635</v>
      </c>
      <c r="M49" s="899" t="str">
        <f>TEXT('MYP Assumptions'!F58,"0.00%")&amp;", projected PERS rate"</f>
        <v>18.06%, projected PERS rate</v>
      </c>
      <c r="O49" s="456">
        <f t="shared" si="29"/>
        <v>0.26387762778451124</v>
      </c>
      <c r="P49" s="340">
        <f>ROUND(P45*LEFT(Q49,6),0)</f>
        <v>151204</v>
      </c>
      <c r="Q49" s="899" t="str">
        <f>TEXT('MYP Assumptions'!G58,"0.00%")&amp;", projected PERS rate"</f>
        <v>20.80%, projected PERS rate</v>
      </c>
      <c r="R49" s="592"/>
      <c r="S49" s="2238">
        <f t="shared" si="30"/>
        <v>0.14813100182534852</v>
      </c>
      <c r="T49" s="340">
        <f>ROUND(T45*LEFT(U49,6),0)</f>
        <v>173602</v>
      </c>
      <c r="U49" s="953" t="str">
        <f>TEXT('MYP Assumptions'!H58,"0.00%")&amp;", projected PERS rate"</f>
        <v>23.50%, projected PERS rate</v>
      </c>
      <c r="V49" s="952"/>
      <c r="W49" s="2241">
        <f t="shared" si="31"/>
        <v>-9.3144088201748826E-2</v>
      </c>
      <c r="X49" s="340">
        <f>ROUND(X45*LEFT(Y49,6),0)</f>
        <v>157432</v>
      </c>
      <c r="Y49" s="953" t="str">
        <f>TEXT('MYP Assumptions'!I58,"0.00%")&amp;", projected PERS rate"</f>
        <v>24.60%, projected PERS rate</v>
      </c>
      <c r="AA49" s="456" t="e">
        <f t="shared" si="32"/>
        <v>#VALUE!</v>
      </c>
      <c r="AB49" s="340" t="e">
        <f>ROUND(AB45*LEFT(AC49,6),0)</f>
        <v>#VALUE!</v>
      </c>
      <c r="AC49" s="953" t="str">
        <f>TEXT('MYP Assumptions'!J58,"0.00%")&amp;", projected PERS rate"</f>
        <v>0.00%, projected PERS rate</v>
      </c>
    </row>
    <row r="50" spans="1:29" s="457" customFormat="1" x14ac:dyDescent="0.25">
      <c r="A50" s="897"/>
      <c r="B50" s="2385" t="s">
        <v>85</v>
      </c>
      <c r="C50" s="1656" t="s">
        <v>78</v>
      </c>
      <c r="D50" s="340">
        <v>34232.31</v>
      </c>
      <c r="E50" s="899" t="str">
        <f>TEXT('MYP Assumptions'!$D$60,"0.00%")&amp;", SS rate"</f>
        <v>6.20%, SS rate</v>
      </c>
      <c r="F50" s="340"/>
      <c r="G50" s="456">
        <f t="shared" si="27"/>
        <v>0.12633357199674819</v>
      </c>
      <c r="H50" s="340">
        <v>38557</v>
      </c>
      <c r="I50" s="899" t="str">
        <f>TEXT('MYP Assumptions'!E60,"0.00%")&amp;", no rate change"</f>
        <v>6.20%, no rate change</v>
      </c>
      <c r="J50" s="455"/>
      <c r="K50" s="456">
        <f t="shared" si="28"/>
        <v>0.15024509168244418</v>
      </c>
      <c r="L50" s="340">
        <v>44350</v>
      </c>
      <c r="M50" s="899" t="str">
        <f>TEXT('MYP Assumptions'!F60,"0.00%")&amp;", no rate change"</f>
        <v>6.20%, no rate change</v>
      </c>
      <c r="O50" s="456">
        <f t="shared" si="29"/>
        <v>1.6234498308906425E-2</v>
      </c>
      <c r="P50" s="340">
        <f>ROUND(P45*LEFT(Q50,5),0)</f>
        <v>45070</v>
      </c>
      <c r="Q50" s="899" t="str">
        <f>TEXT('MYP Assumptions'!G60,"0.00%")&amp;", no rate change"</f>
        <v>6.20%, no rate change</v>
      </c>
      <c r="R50" s="592"/>
      <c r="S50" s="2238">
        <f t="shared" si="30"/>
        <v>1.6241402263146219E-2</v>
      </c>
      <c r="T50" s="340">
        <f>ROUND(T45*LEFT(U50,5),0)</f>
        <v>45802</v>
      </c>
      <c r="U50" s="953" t="str">
        <f>TEXT('MYP Assumptions'!H60,"0.00%")&amp;", no rate change"</f>
        <v>6.20%, no rate change</v>
      </c>
      <c r="V50" s="952"/>
      <c r="W50" s="2241">
        <f t="shared" si="31"/>
        <v>-0.13370595170516572</v>
      </c>
      <c r="X50" s="340">
        <f>ROUND(X45*LEFT(Y50,5),0)</f>
        <v>39678</v>
      </c>
      <c r="Y50" s="953" t="str">
        <f>TEXT('MYP Assumptions'!I60,"0.00%")&amp;", no rate change"</f>
        <v>6.20%, no rate change</v>
      </c>
      <c r="AA50" s="456">
        <f t="shared" si="32"/>
        <v>-1</v>
      </c>
      <c r="AB50" s="340">
        <f>ROUND(AB45*LEFT(AC50,5),0)</f>
        <v>0</v>
      </c>
      <c r="AC50" s="953" t="str">
        <f>TEXT('MYP Assumptions'!J60,"0.00%")&amp;", no rate change"</f>
        <v>0.00%, no rate change</v>
      </c>
    </row>
    <row r="51" spans="1:29" s="457" customFormat="1" x14ac:dyDescent="0.25">
      <c r="A51" s="897"/>
      <c r="B51" s="2385" t="s">
        <v>86</v>
      </c>
      <c r="C51" s="1656" t="s">
        <v>79</v>
      </c>
      <c r="D51" s="340">
        <v>8040.39</v>
      </c>
      <c r="E51" s="899" t="str">
        <f>TEXT('MYP Assumptions'!$D$61,"0.00%")&amp;", Medicare rate"</f>
        <v>1.45%, Medicare rate</v>
      </c>
      <c r="F51" s="340"/>
      <c r="G51" s="456">
        <f t="shared" si="27"/>
        <v>0.12457231552200822</v>
      </c>
      <c r="H51" s="340">
        <v>9042</v>
      </c>
      <c r="I51" s="899" t="str">
        <f>TEXT('MYP Assumptions'!E61,"0.00%")&amp;", no rate change"</f>
        <v>1.45%, no rate change</v>
      </c>
      <c r="J51" s="455"/>
      <c r="K51" s="456">
        <f t="shared" si="28"/>
        <v>0.14736783897367839</v>
      </c>
      <c r="L51" s="340">
        <v>10374.5</v>
      </c>
      <c r="M51" s="899" t="str">
        <f>TEXT('MYP Assumptions'!F61,"0.00%")&amp;", no rate change"</f>
        <v>1.45%, no rate change</v>
      </c>
      <c r="O51" s="456">
        <f t="shared" si="29"/>
        <v>1.604896621523929E-2</v>
      </c>
      <c r="P51" s="340">
        <f>ROUND((P45+P32)*LEFT(Q51,5),0)</f>
        <v>10541</v>
      </c>
      <c r="Q51" s="899" t="str">
        <f>TEXT('MYP Assumptions'!G61,"0.00%")&amp;", no rate change"</f>
        <v>1.45%, no rate change</v>
      </c>
      <c r="R51" s="592"/>
      <c r="S51" s="2238">
        <f t="shared" si="30"/>
        <v>1.622236979413718E-2</v>
      </c>
      <c r="T51" s="340">
        <f>ROUND((T45+T32)*LEFT(U51,5),0)</f>
        <v>10712</v>
      </c>
      <c r="U51" s="953" t="str">
        <f>TEXT('MYP Assumptions'!H61,"0.00%")&amp;", no rate change"</f>
        <v>1.45%, no rate change</v>
      </c>
      <c r="V51" s="952"/>
      <c r="W51" s="2241">
        <f t="shared" si="31"/>
        <v>-0.13368185212845407</v>
      </c>
      <c r="X51" s="340">
        <f>ROUND((X45+X32)*LEFT(Y51,5),0)</f>
        <v>9280</v>
      </c>
      <c r="Y51" s="953" t="str">
        <f>TEXT('MYP Assumptions'!I61,"0.00%")&amp;", no rate change"</f>
        <v>1.45%, no rate change</v>
      </c>
      <c r="AA51" s="456">
        <f t="shared" si="32"/>
        <v>-1</v>
      </c>
      <c r="AB51" s="340">
        <f>ROUND((AB45+AB32)*LEFT(AC51,5),0)</f>
        <v>0</v>
      </c>
      <c r="AC51" s="953" t="str">
        <f>TEXT('MYP Assumptions'!J61,"0.00%")&amp;", no rate change"</f>
        <v>0.00%, no rate change</v>
      </c>
    </row>
    <row r="52" spans="1:29" s="457" customFormat="1" x14ac:dyDescent="0.25">
      <c r="A52" s="897"/>
      <c r="B52" s="2385" t="s">
        <v>87</v>
      </c>
      <c r="C52" s="1656" t="s">
        <v>80</v>
      </c>
      <c r="D52" s="340">
        <v>57482.99</v>
      </c>
      <c r="E52" s="899"/>
      <c r="F52" s="340"/>
      <c r="G52" s="456">
        <f t="shared" si="27"/>
        <v>5.2467869190520572E-2</v>
      </c>
      <c r="H52" s="340">
        <v>60499</v>
      </c>
      <c r="I52" s="899"/>
      <c r="J52" s="455"/>
      <c r="K52" s="456">
        <f t="shared" si="28"/>
        <v>4.2694920577199626E-2</v>
      </c>
      <c r="L52" s="340">
        <v>63082</v>
      </c>
      <c r="M52" s="899" t="str">
        <f>TEXT('MYP Assumptions'!$I$68,"0.00%")&amp;", projected increase"</f>
        <v>5.00%, projected increase</v>
      </c>
      <c r="O52" s="456">
        <f t="shared" si="29"/>
        <v>4.9998414761738691E-2</v>
      </c>
      <c r="P52" s="340">
        <f>ROUND((L52)*(LEFT(Q52,5)+1),0)</f>
        <v>66236</v>
      </c>
      <c r="Q52" s="899" t="str">
        <f>TEXT('MYP Assumptions'!$I$68,"0.00%")&amp;", projected increase"</f>
        <v>5.00%, projected increase</v>
      </c>
      <c r="R52" s="592"/>
      <c r="S52" s="2238">
        <f t="shared" si="30"/>
        <v>5.0003019506008814E-2</v>
      </c>
      <c r="T52" s="340">
        <f>ROUND((P52)*(LEFT(U52,5)+1),0)</f>
        <v>69548</v>
      </c>
      <c r="U52" s="953" t="str">
        <f>TEXT('MYP Assumptions'!$I$68,"0.00%")&amp;", projected increase"</f>
        <v>5.00%, projected increase</v>
      </c>
      <c r="V52" s="952"/>
      <c r="W52" s="2241">
        <f t="shared" si="31"/>
        <v>4.9994248576522689E-2</v>
      </c>
      <c r="X52" s="340">
        <f>ROUND((T52)*(LEFT(Y52,5)+1),0)</f>
        <v>73025</v>
      </c>
      <c r="Y52" s="953" t="str">
        <f>TEXT('MYP Assumptions'!$I$68,"0.00%")&amp;", projected increase"</f>
        <v>5.00%, projected increase</v>
      </c>
      <c r="AA52" s="456">
        <f t="shared" si="32"/>
        <v>4.9996576514892158E-2</v>
      </c>
      <c r="AB52" s="340">
        <f>ROUND((X52)*(LEFT(AC52,5)+1),0)</f>
        <v>76676</v>
      </c>
      <c r="AC52" s="953" t="str">
        <f>TEXT('MYP Assumptions'!$I$68,"0.00%")&amp;", projected increase"</f>
        <v>5.00%, projected increase</v>
      </c>
    </row>
    <row r="53" spans="1:29" s="457" customFormat="1" x14ac:dyDescent="0.25">
      <c r="A53" s="897"/>
      <c r="B53" s="2385" t="s">
        <v>88</v>
      </c>
      <c r="C53" s="1656" t="s">
        <v>81</v>
      </c>
      <c r="D53" s="340">
        <v>277.55</v>
      </c>
      <c r="E53" s="899" t="str">
        <f>TEXT('MYP Assumptions'!$D$62,"0.00%")&amp;", SUI rate"</f>
        <v>0.05%, SUI rate</v>
      </c>
      <c r="F53" s="340"/>
      <c r="G53" s="456">
        <f t="shared" si="27"/>
        <v>0.14934246081787061</v>
      </c>
      <c r="H53" s="340">
        <v>319</v>
      </c>
      <c r="I53" s="899" t="str">
        <f>TEXT('MYP Assumptions'!E62,"0.00%")&amp;", no rate change"</f>
        <v>0.05%, no rate change</v>
      </c>
      <c r="J53" s="455"/>
      <c r="K53" s="456">
        <f t="shared" si="28"/>
        <v>0.1206896551724138</v>
      </c>
      <c r="L53" s="340">
        <v>357.5</v>
      </c>
      <c r="M53" s="899" t="str">
        <f>TEXT('MYP Assumptions'!F62,"0.00%")&amp;", no rate change"</f>
        <v>0.05%, no rate change</v>
      </c>
      <c r="O53" s="456">
        <f t="shared" si="29"/>
        <v>1.5384615384615385E-2</v>
      </c>
      <c r="P53" s="340">
        <f>ROUND((P45+P32)*LEFT(Q53,5),0)</f>
        <v>363</v>
      </c>
      <c r="Q53" s="899" t="str">
        <f>TEXT('MYP Assumptions'!G62,"0.00%")&amp;", no rate change"</f>
        <v>0.05%, no rate change</v>
      </c>
      <c r="R53" s="592"/>
      <c r="S53" s="2238">
        <f t="shared" si="30"/>
        <v>1.6528925619834711E-2</v>
      </c>
      <c r="T53" s="340">
        <f>ROUND((T45+T32)*LEFT(U53,5),0)</f>
        <v>369</v>
      </c>
      <c r="U53" s="953" t="str">
        <f>TEXT('MYP Assumptions'!H62,"0.00%")&amp;", no rate change"</f>
        <v>0.05%, no rate change</v>
      </c>
      <c r="V53" s="952"/>
      <c r="W53" s="2241">
        <f t="shared" si="31"/>
        <v>-0.13279132791327913</v>
      </c>
      <c r="X53" s="340">
        <f>ROUND((X45+X32)*LEFT(Y53,5),0)</f>
        <v>320</v>
      </c>
      <c r="Y53" s="953" t="str">
        <f>TEXT('MYP Assumptions'!I62,"0.00%")&amp;", no rate change"</f>
        <v>0.05%, no rate change</v>
      </c>
      <c r="AA53" s="456">
        <f t="shared" si="32"/>
        <v>-1</v>
      </c>
      <c r="AB53" s="340">
        <f>ROUND((AB45+AB32)*LEFT(AC53,5),0)</f>
        <v>0</v>
      </c>
      <c r="AC53" s="953" t="str">
        <f>TEXT('MYP Assumptions'!J62,"0.00%")&amp;", no rate change"</f>
        <v>0.00%, no rate change</v>
      </c>
    </row>
    <row r="54" spans="1:29" s="457" customFormat="1" x14ac:dyDescent="0.25">
      <c r="A54" s="897"/>
      <c r="B54" s="2385" t="s">
        <v>89</v>
      </c>
      <c r="C54" s="1656" t="s">
        <v>82</v>
      </c>
      <c r="D54" s="340">
        <v>6109.59</v>
      </c>
      <c r="E54" s="899" t="str">
        <f>TEXT('MYP Assumptions'!$D$63,"0.00%")&amp;", W/C rate"</f>
        <v>1.10%, W/C rate</v>
      </c>
      <c r="F54" s="340"/>
      <c r="G54" s="456">
        <f t="shared" si="27"/>
        <v>6.2868375782990111E-3</v>
      </c>
      <c r="H54" s="340">
        <v>6148</v>
      </c>
      <c r="I54" s="899" t="str">
        <f>TEXT('MYP Assumptions'!E63,"0.00%")&amp;", no rate change"</f>
        <v>0.80%, no rate change</v>
      </c>
      <c r="J54" s="455"/>
      <c r="K54" s="456">
        <f t="shared" si="28"/>
        <v>-6.8965517241379309E-2</v>
      </c>
      <c r="L54" s="340">
        <v>5724</v>
      </c>
      <c r="M54" s="899" t="str">
        <f>TEXT('MYP Assumptions'!F63,"0.00%")&amp;", no rate change"</f>
        <v>0.80%, no rate change</v>
      </c>
      <c r="O54" s="456">
        <f t="shared" si="29"/>
        <v>1.6072676450034941E-2</v>
      </c>
      <c r="P54" s="340">
        <f>ROUND((P45+P32)*LEFT(Q54,5),0)</f>
        <v>5816</v>
      </c>
      <c r="Q54" s="899" t="str">
        <f>TEXT('MYP Assumptions'!G63,"0.00%")&amp;", no rate change"</f>
        <v>0.80%, no rate change</v>
      </c>
      <c r="R54" s="592"/>
      <c r="S54" s="2238">
        <f t="shared" si="30"/>
        <v>1.6162310866574967E-2</v>
      </c>
      <c r="T54" s="340">
        <f>ROUND((T45+T32)*LEFT(U54,5),0)</f>
        <v>5910</v>
      </c>
      <c r="U54" s="953" t="str">
        <f>TEXT('MYP Assumptions'!H63,"0.00%")&amp;", no rate change"</f>
        <v>0.80%, no rate change</v>
      </c>
      <c r="V54" s="952"/>
      <c r="W54" s="2241">
        <f t="shared" si="31"/>
        <v>-0.13367174280879865</v>
      </c>
      <c r="X54" s="340">
        <f>ROUND((X45+X32)*LEFT(Y54,5),0)</f>
        <v>5120</v>
      </c>
      <c r="Y54" s="953" t="str">
        <f>TEXT('MYP Assumptions'!I63,"0.00%")&amp;", no rate change"</f>
        <v>0.80%, no rate change</v>
      </c>
      <c r="AA54" s="456">
        <f t="shared" si="32"/>
        <v>-1</v>
      </c>
      <c r="AB54" s="340">
        <f>ROUND((AB45+AB32)*LEFT(AC54,5),0)</f>
        <v>0</v>
      </c>
      <c r="AC54" s="953" t="str">
        <f>TEXT('MYP Assumptions'!J63,"0.00%")&amp;", no rate change"</f>
        <v>0.00%, no rate change</v>
      </c>
    </row>
    <row r="55" spans="1:29" s="457" customFormat="1" x14ac:dyDescent="0.25">
      <c r="A55" s="897"/>
      <c r="B55" s="2441" t="s">
        <v>469</v>
      </c>
      <c r="C55" s="2386" t="s">
        <v>470</v>
      </c>
      <c r="D55" s="340">
        <v>0</v>
      </c>
      <c r="E55" s="2386"/>
      <c r="F55" s="340"/>
      <c r="G55" s="456" t="str">
        <f t="shared" si="27"/>
        <v>0.00%</v>
      </c>
      <c r="H55" s="340">
        <v>0</v>
      </c>
      <c r="I55" s="899"/>
      <c r="J55" s="455"/>
      <c r="K55" s="456" t="str">
        <f t="shared" si="28"/>
        <v>0.00%</v>
      </c>
      <c r="L55" s="340">
        <v>0</v>
      </c>
      <c r="M55" s="899"/>
      <c r="O55" s="456" t="str">
        <f t="shared" si="29"/>
        <v>0.00%</v>
      </c>
      <c r="P55" s="340">
        <f>L55</f>
        <v>0</v>
      </c>
      <c r="Q55" s="899"/>
      <c r="R55" s="592"/>
      <c r="S55" s="456" t="str">
        <f t="shared" si="30"/>
        <v>0.00%</v>
      </c>
      <c r="T55" s="340">
        <f>P55</f>
        <v>0</v>
      </c>
      <c r="U55" s="899"/>
      <c r="V55" s="952"/>
      <c r="W55" s="2241" t="str">
        <f t="shared" si="31"/>
        <v>0.00%</v>
      </c>
      <c r="X55" s="340">
        <f>T55</f>
        <v>0</v>
      </c>
      <c r="Y55" s="953" t="s">
        <v>165</v>
      </c>
      <c r="AA55" s="456" t="str">
        <f t="shared" si="32"/>
        <v>0.00%</v>
      </c>
      <c r="AB55" s="340">
        <f>X55</f>
        <v>0</v>
      </c>
      <c r="AC55" s="953" t="s">
        <v>165</v>
      </c>
    </row>
    <row r="56" spans="1:29" s="457" customFormat="1" x14ac:dyDescent="0.25">
      <c r="A56" s="897"/>
      <c r="B56" s="2441" t="s">
        <v>91</v>
      </c>
      <c r="C56" s="2386" t="s">
        <v>93</v>
      </c>
      <c r="D56" s="340">
        <v>1980</v>
      </c>
      <c r="E56" s="2386"/>
      <c r="F56" s="340"/>
      <c r="G56" s="456">
        <f t="shared" ref="G56" si="33">IF(D56=0,"0.00%",(H56-D56)/D56)</f>
        <v>0</v>
      </c>
      <c r="H56" s="340">
        <f>1500+480</f>
        <v>1980</v>
      </c>
      <c r="I56" s="899" t="s">
        <v>165</v>
      </c>
      <c r="J56" s="455"/>
      <c r="K56" s="456">
        <f t="shared" ref="K56" si="34">IF(H56=0,"0.00%",(L56-H56)/H56)</f>
        <v>0</v>
      </c>
      <c r="L56" s="340">
        <f>1500+480</f>
        <v>1980</v>
      </c>
      <c r="M56" s="899" t="s">
        <v>165</v>
      </c>
      <c r="O56" s="456">
        <f t="shared" ref="O56" si="35">IF(L56=0,"0.00%",(P56-L56)/L56)</f>
        <v>0</v>
      </c>
      <c r="P56" s="340">
        <f>L56</f>
        <v>1980</v>
      </c>
      <c r="Q56" s="899" t="s">
        <v>165</v>
      </c>
      <c r="R56" s="592"/>
      <c r="S56" s="456">
        <f t="shared" si="30"/>
        <v>0</v>
      </c>
      <c r="T56" s="340">
        <f>P56</f>
        <v>1980</v>
      </c>
      <c r="U56" s="899" t="s">
        <v>165</v>
      </c>
      <c r="V56" s="952"/>
      <c r="W56" s="2241"/>
      <c r="X56" s="340"/>
      <c r="Y56" s="953"/>
      <c r="AA56" s="456"/>
      <c r="AB56" s="340"/>
      <c r="AC56" s="953"/>
    </row>
    <row r="57" spans="1:29" s="457" customFormat="1" x14ac:dyDescent="0.25">
      <c r="A57" s="898"/>
      <c r="B57" s="2385"/>
      <c r="C57" s="1656"/>
      <c r="D57" s="458">
        <f>SUM(D48:D56)</f>
        <v>187172.69999999998</v>
      </c>
      <c r="E57" s="2386"/>
      <c r="F57" s="340"/>
      <c r="G57" s="456">
        <f t="shared" si="27"/>
        <v>0.13702479047425195</v>
      </c>
      <c r="H57" s="458">
        <f>SUM(H48:H56)</f>
        <v>212820</v>
      </c>
      <c r="I57" s="2316">
        <f>+H57-D57</f>
        <v>25647.300000000017</v>
      </c>
      <c r="J57" s="459"/>
      <c r="K57" s="456">
        <f t="shared" si="28"/>
        <v>0.15357109294239263</v>
      </c>
      <c r="L57" s="458">
        <f>SUM(L48:L56)</f>
        <v>245503</v>
      </c>
      <c r="M57" s="2316">
        <f>+L57-H57</f>
        <v>32683</v>
      </c>
      <c r="O57" s="456">
        <f t="shared" si="29"/>
        <v>0.14544425119041315</v>
      </c>
      <c r="P57" s="458">
        <f>SUM(P48:P56)</f>
        <v>281210</v>
      </c>
      <c r="Q57" s="2316">
        <f>+P57-L57</f>
        <v>35707</v>
      </c>
      <c r="R57" s="592"/>
      <c r="S57" s="2238">
        <f t="shared" si="30"/>
        <v>9.4993065680452335E-2</v>
      </c>
      <c r="T57" s="458">
        <f>SUM(T48:T56)</f>
        <v>307923</v>
      </c>
      <c r="U57" s="2316">
        <f>+T57-P57</f>
        <v>26713</v>
      </c>
      <c r="V57" s="952"/>
      <c r="W57" s="2241">
        <f t="shared" si="31"/>
        <v>-7.4914832604254966E-2</v>
      </c>
      <c r="X57" s="458">
        <f>SUM(X48:X56)</f>
        <v>284855</v>
      </c>
      <c r="Y57" s="2344"/>
      <c r="AA57" s="456" t="e">
        <f t="shared" si="32"/>
        <v>#VALUE!</v>
      </c>
      <c r="AB57" s="458" t="e">
        <f>SUM(AB48:AB56)</f>
        <v>#VALUE!</v>
      </c>
      <c r="AC57" s="2344"/>
    </row>
    <row r="58" spans="1:29" s="457" customFormat="1" x14ac:dyDescent="0.25">
      <c r="A58" s="868"/>
      <c r="B58" s="2385"/>
      <c r="C58" s="1656"/>
      <c r="D58" s="340"/>
      <c r="E58" s="2386"/>
      <c r="F58" s="340"/>
      <c r="G58" s="2338"/>
      <c r="H58" s="340"/>
      <c r="I58" s="897"/>
      <c r="J58" s="455"/>
      <c r="K58" s="1668"/>
      <c r="L58" s="340"/>
      <c r="M58" s="901"/>
      <c r="O58" s="1668"/>
      <c r="P58" s="340"/>
      <c r="Q58" s="901"/>
      <c r="R58" s="592"/>
      <c r="S58" s="2341"/>
      <c r="T58" s="340"/>
      <c r="U58" s="901"/>
      <c r="V58" s="952"/>
      <c r="W58" s="2343"/>
      <c r="X58" s="340"/>
      <c r="Y58" s="2344"/>
      <c r="AA58" s="1668"/>
      <c r="AB58" s="340"/>
      <c r="AC58" s="2344"/>
    </row>
    <row r="59" spans="1:29" s="457" customFormat="1" x14ac:dyDescent="0.25">
      <c r="A59" s="898"/>
      <c r="B59" s="2337" t="s">
        <v>26</v>
      </c>
      <c r="C59" s="1656"/>
      <c r="D59" s="458">
        <f>SUM(D57,D45,D32)</f>
        <v>779846.02</v>
      </c>
      <c r="E59" s="2386"/>
      <c r="F59" s="340"/>
      <c r="G59" s="456">
        <f>IF(D59=0,"0.00%",(H59-D59)/D59)</f>
        <v>5.7872937531950192E-2</v>
      </c>
      <c r="H59" s="458">
        <f>SUM(H57,H45,H32)</f>
        <v>824978</v>
      </c>
      <c r="I59" s="2316">
        <f>+H59-D59</f>
        <v>45131.979999999981</v>
      </c>
      <c r="J59" s="459"/>
      <c r="K59" s="456">
        <f>IF(H59=0,"0.00%",(L59-H59)/H59)</f>
        <v>0.16469893742621014</v>
      </c>
      <c r="L59" s="458">
        <f>SUM(L57,L45,L32)</f>
        <v>960851</v>
      </c>
      <c r="M59" s="2316">
        <f>+L59-H59</f>
        <v>135873</v>
      </c>
      <c r="O59" s="456">
        <f>IF(L59=0,"0.00%",(P59-L59)/L59)</f>
        <v>4.9226154731586896E-2</v>
      </c>
      <c r="P59" s="458">
        <f>SUM(P57,P45,P32)</f>
        <v>1008150</v>
      </c>
      <c r="Q59" s="2316">
        <f>+P59-L59</f>
        <v>47299</v>
      </c>
      <c r="R59" s="592"/>
      <c r="S59" s="2238">
        <f>IF(P59=0,"0.00%",(T59-P59)/P59)</f>
        <v>3.8195705004215645E-2</v>
      </c>
      <c r="T59" s="458">
        <f>SUM(T57,T45,T32)</f>
        <v>1046657</v>
      </c>
      <c r="U59" s="2316">
        <f>+T59-P59</f>
        <v>38507</v>
      </c>
      <c r="V59" s="952"/>
      <c r="W59" s="2241">
        <f>IF(T59=0,"0.00%",(X59-T59)/T59)</f>
        <v>-0.1164048967331227</v>
      </c>
      <c r="X59" s="458">
        <f>SUM(X57,X45,X32)</f>
        <v>924821</v>
      </c>
      <c r="Y59" s="2344"/>
      <c r="AA59" s="456" t="e">
        <f>IF(X59=0,"0.00%",(AB59-X59)/X59)</f>
        <v>#VALUE!</v>
      </c>
      <c r="AB59" s="458" t="e">
        <f>SUM(AB57,AB45,AB32)</f>
        <v>#VALUE!</v>
      </c>
      <c r="AC59" s="2344"/>
    </row>
    <row r="60" spans="1:29" s="457" customFormat="1" x14ac:dyDescent="0.25">
      <c r="A60" s="2339"/>
      <c r="B60" s="2345"/>
      <c r="C60" s="1656"/>
      <c r="D60" s="340"/>
      <c r="E60" s="2386"/>
      <c r="F60" s="340"/>
      <c r="G60" s="2338"/>
      <c r="H60" s="340"/>
      <c r="I60" s="897"/>
      <c r="J60" s="455"/>
      <c r="K60" s="1668"/>
      <c r="L60" s="340"/>
      <c r="M60" s="901"/>
      <c r="O60" s="1668"/>
      <c r="P60" s="340"/>
      <c r="Q60" s="901"/>
      <c r="R60" s="592"/>
      <c r="S60" s="2341"/>
      <c r="T60" s="340"/>
      <c r="U60" s="2344"/>
      <c r="V60" s="952"/>
      <c r="W60" s="2343"/>
      <c r="X60" s="340"/>
      <c r="Y60" s="2344"/>
      <c r="AA60" s="1668"/>
      <c r="AB60" s="340"/>
      <c r="AC60" s="2344"/>
    </row>
    <row r="61" spans="1:29" s="457" customFormat="1" x14ac:dyDescent="0.25">
      <c r="A61" s="897"/>
      <c r="B61" s="2345"/>
      <c r="C61" s="1656"/>
      <c r="D61" s="340"/>
      <c r="E61" s="2386"/>
      <c r="F61" s="340"/>
      <c r="G61" s="2338"/>
      <c r="H61" s="340"/>
      <c r="I61" s="897"/>
      <c r="J61" s="455"/>
      <c r="K61" s="1668"/>
      <c r="L61" s="340"/>
      <c r="M61" s="901"/>
      <c r="O61" s="1668"/>
      <c r="P61" s="340"/>
      <c r="Q61" s="901"/>
      <c r="R61" s="592"/>
      <c r="S61" s="2341"/>
      <c r="T61" s="340"/>
      <c r="U61" s="2344"/>
      <c r="V61" s="952"/>
      <c r="W61" s="2343"/>
      <c r="X61" s="340"/>
      <c r="Y61" s="2344"/>
      <c r="AA61" s="1668"/>
      <c r="AB61" s="340"/>
      <c r="AC61" s="2344"/>
    </row>
    <row r="62" spans="1:29" s="457" customFormat="1" x14ac:dyDescent="0.25">
      <c r="A62" s="2339"/>
      <c r="B62" s="2440" t="s">
        <v>25</v>
      </c>
      <c r="C62" s="900"/>
      <c r="D62" s="340"/>
      <c r="E62" s="2386"/>
      <c r="F62" s="340"/>
      <c r="G62" s="2338"/>
      <c r="H62" s="606"/>
      <c r="I62" s="897"/>
      <c r="J62" s="455"/>
      <c r="K62" s="1668"/>
      <c r="L62" s="606"/>
      <c r="M62" s="897"/>
      <c r="O62" s="1668"/>
      <c r="P62" s="606"/>
      <c r="Q62" s="897"/>
      <c r="R62" s="592"/>
      <c r="S62" s="2341"/>
      <c r="T62" s="340"/>
      <c r="U62" s="2344"/>
      <c r="V62" s="952"/>
      <c r="W62" s="2343"/>
      <c r="X62" s="340"/>
      <c r="Y62" s="2344"/>
      <c r="AA62" s="1668"/>
      <c r="AB62" s="340"/>
      <c r="AC62" s="2344"/>
    </row>
    <row r="63" spans="1:29" s="457" customFormat="1" x14ac:dyDescent="0.25">
      <c r="A63" s="897"/>
      <c r="B63" s="2385">
        <v>4349</v>
      </c>
      <c r="C63" s="1656" t="s">
        <v>313</v>
      </c>
      <c r="D63" s="340">
        <v>26969.08</v>
      </c>
      <c r="E63" s="2386"/>
      <c r="F63" s="340"/>
      <c r="G63" s="456">
        <f t="shared" ref="G63:G73" si="36">IF(D63=0,"0.00%",(H63-D63)/D63)</f>
        <v>0.82431139660678066</v>
      </c>
      <c r="H63" s="340">
        <v>49200</v>
      </c>
      <c r="I63" s="897"/>
      <c r="J63" s="455"/>
      <c r="K63" s="456">
        <f t="shared" ref="K63:K73" si="37">IF(H63=0,"0.00%",(L63-H63)/H63)</f>
        <v>-8.5365853658536592E-2</v>
      </c>
      <c r="L63" s="340">
        <v>45000</v>
      </c>
      <c r="M63" s="897"/>
      <c r="O63" s="456">
        <f t="shared" ref="O63:O73" si="38">IF(L63=0,"0.00%",(P63-L63)/L63)</f>
        <v>-0.1111111111111111</v>
      </c>
      <c r="P63" s="340">
        <v>40000</v>
      </c>
      <c r="Q63" s="897"/>
      <c r="R63" s="592"/>
      <c r="S63" s="2238">
        <f t="shared" ref="S63:S73" si="39">IF(P63=0,"0.00%",(T63-P63)/P63)</f>
        <v>0</v>
      </c>
      <c r="T63" s="340">
        <f>P63</f>
        <v>40000</v>
      </c>
      <c r="U63" s="953"/>
      <c r="V63" s="952"/>
      <c r="W63" s="2241">
        <f t="shared" ref="W63:W73" si="40">IF(T63=0,"0.00%",(X63-T63)/T63)</f>
        <v>2.7300000000000001E-2</v>
      </c>
      <c r="X63" s="340">
        <f>ROUND(T63*(LEFT(Y63,5)+1),0)</f>
        <v>41092</v>
      </c>
      <c r="Y63" s="953" t="str">
        <f>TEXT('MYP Assumptions'!I78,"0.00%")&amp;", CPI"</f>
        <v>2.73%, CPI</v>
      </c>
      <c r="AA63" s="456">
        <f t="shared" ref="AA63:AA73" si="41">IF(X63=0,"0.00%",(AB63-X63)/X63)</f>
        <v>2.7304584834030955E-2</v>
      </c>
      <c r="AB63" s="340">
        <f>ROUND(X63*(LEFT(AC63,5)+1),0)</f>
        <v>42214</v>
      </c>
      <c r="AC63" s="953" t="str">
        <f>TEXT('MYP Assumptions'!J78,"0.00%")&amp;", CPI"</f>
        <v>2.73%, CPI</v>
      </c>
    </row>
    <row r="64" spans="1:29" s="457" customFormat="1" x14ac:dyDescent="0.25">
      <c r="A64" s="897"/>
      <c r="B64" s="2385">
        <v>4352</v>
      </c>
      <c r="C64" s="1656" t="s">
        <v>314</v>
      </c>
      <c r="D64" s="340">
        <v>972.09</v>
      </c>
      <c r="E64" s="2386"/>
      <c r="F64" s="340"/>
      <c r="G64" s="456">
        <f t="shared" si="36"/>
        <v>2.8711333312759074E-2</v>
      </c>
      <c r="H64" s="340">
        <v>1000</v>
      </c>
      <c r="I64" s="897"/>
      <c r="J64" s="455"/>
      <c r="K64" s="456">
        <f t="shared" si="37"/>
        <v>0</v>
      </c>
      <c r="L64" s="340">
        <v>1000</v>
      </c>
      <c r="M64" s="897"/>
      <c r="O64" s="456">
        <f t="shared" si="38"/>
        <v>0</v>
      </c>
      <c r="P64" s="340">
        <f t="shared" ref="P64:P69" si="42">+L64*(1-$P$62)</f>
        <v>1000</v>
      </c>
      <c r="Q64" s="897"/>
      <c r="R64" s="592"/>
      <c r="S64" s="2238">
        <f t="shared" si="39"/>
        <v>0</v>
      </c>
      <c r="T64" s="340">
        <f t="shared" ref="T64:T70" si="43">P64</f>
        <v>1000</v>
      </c>
      <c r="U64" s="953"/>
      <c r="V64" s="952"/>
      <c r="W64" s="2241">
        <f t="shared" si="40"/>
        <v>2.7E-2</v>
      </c>
      <c r="X64" s="340">
        <f t="shared" ref="X64:X72" si="44">ROUND(T64*(LEFT(Y64,5)+1),0)</f>
        <v>1027</v>
      </c>
      <c r="Y64" s="953" t="str">
        <f>TEXT('MYP Assumptions'!I78,"0.00%")&amp;", CPI"</f>
        <v>2.73%, CPI</v>
      </c>
      <c r="AA64" s="456">
        <f t="shared" si="41"/>
        <v>2.7263875365141188E-2</v>
      </c>
      <c r="AB64" s="340">
        <f t="shared" ref="AB64:AB72" si="45">ROUND(X64*(LEFT(AC64,5)+1),0)</f>
        <v>1055</v>
      </c>
      <c r="AC64" s="953" t="str">
        <f>TEXT('MYP Assumptions'!J78,"0.00%")&amp;", CPI"</f>
        <v>2.73%, CPI</v>
      </c>
    </row>
    <row r="65" spans="1:29" s="457" customFormat="1" x14ac:dyDescent="0.25">
      <c r="A65" s="897"/>
      <c r="B65" s="2385">
        <v>4353</v>
      </c>
      <c r="C65" s="1656" t="s">
        <v>417</v>
      </c>
      <c r="D65" s="340">
        <v>87.14</v>
      </c>
      <c r="E65" s="2386"/>
      <c r="F65" s="340"/>
      <c r="G65" s="456">
        <f t="shared" si="36"/>
        <v>10.475786091347258</v>
      </c>
      <c r="H65" s="340">
        <v>1000</v>
      </c>
      <c r="I65" s="897"/>
      <c r="J65" s="455"/>
      <c r="K65" s="456">
        <f t="shared" si="37"/>
        <v>0</v>
      </c>
      <c r="L65" s="340">
        <v>1000</v>
      </c>
      <c r="M65" s="897"/>
      <c r="O65" s="456">
        <f t="shared" si="38"/>
        <v>0</v>
      </c>
      <c r="P65" s="340">
        <f t="shared" si="42"/>
        <v>1000</v>
      </c>
      <c r="Q65" s="897"/>
      <c r="R65" s="592"/>
      <c r="S65" s="2238">
        <f t="shared" si="39"/>
        <v>0</v>
      </c>
      <c r="T65" s="340">
        <f t="shared" si="43"/>
        <v>1000</v>
      </c>
      <c r="U65" s="953"/>
      <c r="V65" s="952"/>
      <c r="W65" s="2241">
        <f t="shared" si="40"/>
        <v>2.7E-2</v>
      </c>
      <c r="X65" s="340">
        <f t="shared" si="44"/>
        <v>1027</v>
      </c>
      <c r="Y65" s="953" t="str">
        <f>TEXT('MYP Assumptions'!I78,"0.00%")&amp;", CPI"</f>
        <v>2.73%, CPI</v>
      </c>
      <c r="AA65" s="456">
        <f t="shared" si="41"/>
        <v>2.7263875365141188E-2</v>
      </c>
      <c r="AB65" s="340">
        <f t="shared" si="45"/>
        <v>1055</v>
      </c>
      <c r="AC65" s="953" t="str">
        <f>TEXT('MYP Assumptions'!J78,"0.00%")&amp;", CPI"</f>
        <v>2.73%, CPI</v>
      </c>
    </row>
    <row r="66" spans="1:29" s="457" customFormat="1" x14ac:dyDescent="0.25">
      <c r="A66" s="897"/>
      <c r="B66" s="2385">
        <v>4373</v>
      </c>
      <c r="C66" s="1656" t="s">
        <v>418</v>
      </c>
      <c r="D66" s="340">
        <v>0</v>
      </c>
      <c r="E66" s="2386"/>
      <c r="F66" s="340"/>
      <c r="G66" s="456" t="str">
        <f t="shared" si="36"/>
        <v>0.00%</v>
      </c>
      <c r="H66" s="340">
        <v>3000</v>
      </c>
      <c r="I66" s="897"/>
      <c r="J66" s="455"/>
      <c r="K66" s="456">
        <f t="shared" si="37"/>
        <v>0.33333333333333331</v>
      </c>
      <c r="L66" s="340">
        <v>4000</v>
      </c>
      <c r="M66" s="897"/>
      <c r="O66" s="456">
        <f t="shared" si="38"/>
        <v>0</v>
      </c>
      <c r="P66" s="340">
        <f t="shared" si="42"/>
        <v>4000</v>
      </c>
      <c r="Q66" s="897"/>
      <c r="R66" s="592"/>
      <c r="S66" s="2238">
        <f t="shared" si="39"/>
        <v>0</v>
      </c>
      <c r="T66" s="340">
        <f t="shared" si="43"/>
        <v>4000</v>
      </c>
      <c r="U66" s="953"/>
      <c r="V66" s="952"/>
      <c r="W66" s="2241">
        <f t="shared" si="40"/>
        <v>2.725E-2</v>
      </c>
      <c r="X66" s="340">
        <f t="shared" si="44"/>
        <v>4109</v>
      </c>
      <c r="Y66" s="953" t="str">
        <f>TEXT('MYP Assumptions'!I78,"0.00%")&amp;", CPI"</f>
        <v>2.73%, CPI</v>
      </c>
      <c r="AA66" s="456">
        <f t="shared" si="41"/>
        <v>2.7257240204429302E-2</v>
      </c>
      <c r="AB66" s="340">
        <f t="shared" si="45"/>
        <v>4221</v>
      </c>
      <c r="AC66" s="953" t="str">
        <f>TEXT('MYP Assumptions'!J78,"0.00%")&amp;", CPI"</f>
        <v>2.73%, CPI</v>
      </c>
    </row>
    <row r="67" spans="1:29" s="457" customFormat="1" x14ac:dyDescent="0.25">
      <c r="A67" s="897"/>
      <c r="B67" s="2385">
        <v>4385</v>
      </c>
      <c r="C67" s="1656" t="s">
        <v>419</v>
      </c>
      <c r="D67" s="340">
        <v>4096.3</v>
      </c>
      <c r="E67" s="2386"/>
      <c r="F67" s="340"/>
      <c r="G67" s="456">
        <f t="shared" si="36"/>
        <v>1.6853501940775821</v>
      </c>
      <c r="H67" s="340">
        <v>11000</v>
      </c>
      <c r="I67" s="897"/>
      <c r="J67" s="455"/>
      <c r="K67" s="456">
        <f t="shared" si="37"/>
        <v>-0.18181818181818182</v>
      </c>
      <c r="L67" s="340">
        <v>9000</v>
      </c>
      <c r="M67" s="897"/>
      <c r="O67" s="456">
        <f t="shared" si="38"/>
        <v>0</v>
      </c>
      <c r="P67" s="340">
        <f t="shared" si="42"/>
        <v>9000</v>
      </c>
      <c r="Q67" s="897"/>
      <c r="R67" s="592"/>
      <c r="S67" s="2238">
        <f t="shared" si="39"/>
        <v>0</v>
      </c>
      <c r="T67" s="340">
        <f t="shared" si="43"/>
        <v>9000</v>
      </c>
      <c r="U67" s="953"/>
      <c r="V67" s="952"/>
      <c r="W67" s="2241">
        <f t="shared" si="40"/>
        <v>2.7333333333333334E-2</v>
      </c>
      <c r="X67" s="340">
        <f t="shared" si="44"/>
        <v>9246</v>
      </c>
      <c r="Y67" s="953" t="str">
        <f>TEXT('MYP Assumptions'!I78,"0.00%")&amp;", CPI"</f>
        <v>2.73%, CPI</v>
      </c>
      <c r="AA67" s="456">
        <f t="shared" si="41"/>
        <v>2.7255029201817001E-2</v>
      </c>
      <c r="AB67" s="340">
        <f t="shared" si="45"/>
        <v>9498</v>
      </c>
      <c r="AC67" s="953" t="str">
        <f>TEXT('MYP Assumptions'!J78,"0.00%")&amp;", CPI"</f>
        <v>2.73%, CPI</v>
      </c>
    </row>
    <row r="68" spans="1:29" s="457" customFormat="1" x14ac:dyDescent="0.25">
      <c r="A68" s="897"/>
      <c r="B68" s="2385">
        <v>4387</v>
      </c>
      <c r="C68" s="1656" t="s">
        <v>420</v>
      </c>
      <c r="D68" s="340">
        <v>51515.65</v>
      </c>
      <c r="E68" s="2386"/>
      <c r="F68" s="340"/>
      <c r="G68" s="456">
        <f t="shared" si="36"/>
        <v>0.71792455302417801</v>
      </c>
      <c r="H68" s="340">
        <v>88500</v>
      </c>
      <c r="I68" s="897"/>
      <c r="J68" s="455"/>
      <c r="K68" s="456">
        <f t="shared" si="37"/>
        <v>-9.6045197740112997E-2</v>
      </c>
      <c r="L68" s="340">
        <v>80000</v>
      </c>
      <c r="M68" s="897"/>
      <c r="O68" s="456">
        <f t="shared" si="38"/>
        <v>0</v>
      </c>
      <c r="P68" s="340">
        <f t="shared" si="42"/>
        <v>80000</v>
      </c>
      <c r="Q68" s="897"/>
      <c r="R68" s="592"/>
      <c r="S68" s="2238">
        <f t="shared" si="39"/>
        <v>0</v>
      </c>
      <c r="T68" s="340">
        <f t="shared" si="43"/>
        <v>80000</v>
      </c>
      <c r="U68" s="953"/>
      <c r="V68" s="952"/>
      <c r="W68" s="2241">
        <f t="shared" si="40"/>
        <v>2.7300000000000001E-2</v>
      </c>
      <c r="X68" s="340">
        <f t="shared" si="44"/>
        <v>82184</v>
      </c>
      <c r="Y68" s="953" t="str">
        <f>TEXT('MYP Assumptions'!I78,"0.00%")&amp;", CPI"</f>
        <v>2.73%, CPI</v>
      </c>
      <c r="AA68" s="456">
        <f t="shared" si="41"/>
        <v>2.7304584834030955E-2</v>
      </c>
      <c r="AB68" s="340">
        <f t="shared" si="45"/>
        <v>84428</v>
      </c>
      <c r="AC68" s="953" t="str">
        <f>TEXT('MYP Assumptions'!J78,"0.00%")&amp;", CPI"</f>
        <v>2.73%, CPI</v>
      </c>
    </row>
    <row r="69" spans="1:29" s="457" customFormat="1" x14ac:dyDescent="0.25">
      <c r="A69" s="897"/>
      <c r="B69" s="2385">
        <v>4400</v>
      </c>
      <c r="C69" s="1656" t="s">
        <v>421</v>
      </c>
      <c r="D69" s="340">
        <v>10625.82</v>
      </c>
      <c r="E69" s="2386"/>
      <c r="F69" s="340"/>
      <c r="G69" s="456">
        <f t="shared" si="36"/>
        <v>-0.57650327221804998</v>
      </c>
      <c r="H69" s="340">
        <v>4500</v>
      </c>
      <c r="I69" s="897"/>
      <c r="J69" s="455"/>
      <c r="K69" s="456">
        <f t="shared" si="37"/>
        <v>-0.1111111111111111</v>
      </c>
      <c r="L69" s="340">
        <v>4000</v>
      </c>
      <c r="M69" s="897"/>
      <c r="O69" s="456">
        <f t="shared" si="38"/>
        <v>0</v>
      </c>
      <c r="P69" s="340">
        <f t="shared" si="42"/>
        <v>4000</v>
      </c>
      <c r="Q69" s="897"/>
      <c r="R69" s="592"/>
      <c r="S69" s="2238">
        <f t="shared" ref="S69:S70" si="46">IF(P69=0,"0.00%",(T69-P69)/P69)</f>
        <v>0</v>
      </c>
      <c r="T69" s="340">
        <f t="shared" si="43"/>
        <v>4000</v>
      </c>
      <c r="U69" s="953"/>
      <c r="V69" s="952"/>
      <c r="W69" s="2241"/>
      <c r="X69" s="340"/>
      <c r="Y69" s="953"/>
      <c r="AA69" s="456"/>
      <c r="AB69" s="340"/>
      <c r="AC69" s="953"/>
    </row>
    <row r="70" spans="1:29" s="457" customFormat="1" x14ac:dyDescent="0.25">
      <c r="A70" s="897"/>
      <c r="B70" s="2385"/>
      <c r="C70" s="1656"/>
      <c r="D70" s="340"/>
      <c r="E70" s="2386"/>
      <c r="F70" s="340"/>
      <c r="G70" s="456"/>
      <c r="H70" s="340"/>
      <c r="I70" s="899"/>
      <c r="J70" s="455"/>
      <c r="K70" s="456"/>
      <c r="L70" s="340"/>
      <c r="M70" s="899"/>
      <c r="O70" s="456"/>
      <c r="P70" s="340"/>
      <c r="Q70" s="899"/>
      <c r="R70" s="592"/>
      <c r="S70" s="2238" t="str">
        <f t="shared" si="46"/>
        <v>0.00%</v>
      </c>
      <c r="T70" s="340">
        <f t="shared" si="43"/>
        <v>0</v>
      </c>
      <c r="U70" s="953"/>
      <c r="V70" s="952"/>
      <c r="W70" s="2241"/>
      <c r="X70" s="340"/>
      <c r="Y70" s="953"/>
      <c r="AA70" s="456"/>
      <c r="AB70" s="340"/>
      <c r="AC70" s="953"/>
    </row>
    <row r="71" spans="1:29" s="457" customFormat="1" hidden="1" x14ac:dyDescent="0.25">
      <c r="A71" s="897"/>
      <c r="B71" s="2385"/>
      <c r="C71" s="1656"/>
      <c r="D71" s="340"/>
      <c r="E71" s="2386"/>
      <c r="F71" s="340"/>
      <c r="G71" s="456" t="str">
        <f t="shared" si="36"/>
        <v>0.00%</v>
      </c>
      <c r="H71" s="340">
        <f t="shared" ref="H71:H72" si="47">ROUND(D71*(LEFT(I71,5)+1),0)</f>
        <v>0</v>
      </c>
      <c r="I71" s="899" t="str">
        <f>TEXT('MYP Assumptions'!$E$78,"0.00%")&amp;", CPI"</f>
        <v>3.37%, CPI</v>
      </c>
      <c r="J71" s="455"/>
      <c r="K71" s="456" t="str">
        <f t="shared" si="37"/>
        <v>0.00%</v>
      </c>
      <c r="L71" s="340">
        <f t="shared" ref="L71:L72" si="48">ROUND(H71*(LEFT(M71,5)+1),0)</f>
        <v>0</v>
      </c>
      <c r="M71" s="899" t="str">
        <f>TEXT('MYP Assumptions'!$F$78,"0.00%")&amp;", CPI"</f>
        <v>3.58%, CPI</v>
      </c>
      <c r="O71" s="456" t="str">
        <f t="shared" si="38"/>
        <v>0.00%</v>
      </c>
      <c r="P71" s="340">
        <f t="shared" ref="P71:P72" si="49">ROUND(L71*(LEFT(Q71,5)+1),0)</f>
        <v>0</v>
      </c>
      <c r="Q71" s="899" t="str">
        <f>TEXT('MYP Assumptions'!$G$78,"0.00%")&amp;", CPI"</f>
        <v>3.36%, CPI</v>
      </c>
      <c r="R71" s="592"/>
      <c r="S71" s="2238"/>
      <c r="T71" s="340"/>
      <c r="U71" s="953"/>
      <c r="V71" s="952"/>
      <c r="W71" s="2241"/>
      <c r="X71" s="340"/>
      <c r="Y71" s="953"/>
      <c r="AA71" s="456"/>
      <c r="AB71" s="340"/>
      <c r="AC71" s="953"/>
    </row>
    <row r="72" spans="1:29" s="457" customFormat="1" hidden="1" x14ac:dyDescent="0.25">
      <c r="A72" s="897"/>
      <c r="B72" s="2385"/>
      <c r="C72" s="1656"/>
      <c r="D72" s="340"/>
      <c r="E72" s="2386"/>
      <c r="F72" s="340"/>
      <c r="G72" s="456" t="str">
        <f t="shared" si="36"/>
        <v>0.00%</v>
      </c>
      <c r="H72" s="340">
        <f t="shared" si="47"/>
        <v>0</v>
      </c>
      <c r="I72" s="899" t="str">
        <f>TEXT('MYP Assumptions'!$E$78,"0.00%")&amp;", CPI"</f>
        <v>3.37%, CPI</v>
      </c>
      <c r="J72" s="455"/>
      <c r="K72" s="456" t="str">
        <f t="shared" si="37"/>
        <v>0.00%</v>
      </c>
      <c r="L72" s="340">
        <f t="shared" si="48"/>
        <v>0</v>
      </c>
      <c r="M72" s="899" t="str">
        <f>TEXT('MYP Assumptions'!$F$78,"0.00%")&amp;", CPI"</f>
        <v>3.58%, CPI</v>
      </c>
      <c r="O72" s="456" t="str">
        <f t="shared" si="38"/>
        <v>0.00%</v>
      </c>
      <c r="P72" s="340">
        <f t="shared" si="49"/>
        <v>0</v>
      </c>
      <c r="Q72" s="899" t="str">
        <f>TEXT('MYP Assumptions'!$G$78,"0.00%")&amp;", CPI"</f>
        <v>3.36%, CPI</v>
      </c>
      <c r="R72" s="592"/>
      <c r="S72" s="2238" t="str">
        <f t="shared" si="39"/>
        <v>0.00%</v>
      </c>
      <c r="T72" s="340">
        <f t="shared" ref="T72" si="50">ROUND(P72*(LEFT(U72,5)+1),0)</f>
        <v>0</v>
      </c>
      <c r="U72" s="953" t="str">
        <f>TEXT('MYP Assumptions'!H78,"0.00%")&amp;", CPI"</f>
        <v>3.23%, CPI</v>
      </c>
      <c r="V72" s="952"/>
      <c r="W72" s="2241" t="str">
        <f t="shared" si="40"/>
        <v>0.00%</v>
      </c>
      <c r="X72" s="340">
        <f t="shared" si="44"/>
        <v>0</v>
      </c>
      <c r="Y72" s="953" t="str">
        <f>TEXT('MYP Assumptions'!I78,"0.00%")&amp;", CPI"</f>
        <v>2.73%, CPI</v>
      </c>
      <c r="AA72" s="456" t="str">
        <f t="shared" si="41"/>
        <v>0.00%</v>
      </c>
      <c r="AB72" s="340">
        <f t="shared" si="45"/>
        <v>0</v>
      </c>
      <c r="AC72" s="953" t="str">
        <f>TEXT('MYP Assumptions'!J78,"0.00%")&amp;", CPI"</f>
        <v>2.73%, CPI</v>
      </c>
    </row>
    <row r="73" spans="1:29" s="457" customFormat="1" x14ac:dyDescent="0.25">
      <c r="A73" s="898"/>
      <c r="B73" s="2215"/>
      <c r="C73" s="1656"/>
      <c r="D73" s="458">
        <f>SUM(D63:D72)</f>
        <v>94266.080000000016</v>
      </c>
      <c r="E73" s="2386"/>
      <c r="F73" s="340"/>
      <c r="G73" s="456">
        <f t="shared" si="36"/>
        <v>0.67822826620137355</v>
      </c>
      <c r="H73" s="458">
        <f>SUM(H63:H72)</f>
        <v>158200</v>
      </c>
      <c r="I73" s="2316">
        <f>+H73-D73</f>
        <v>63933.919999999984</v>
      </c>
      <c r="J73" s="459"/>
      <c r="K73" s="456">
        <f t="shared" si="37"/>
        <v>-8.9759797724399501E-2</v>
      </c>
      <c r="L73" s="458">
        <f>SUM(L63:L72)</f>
        <v>144000</v>
      </c>
      <c r="M73" s="2316">
        <f>+L73-H73</f>
        <v>-14200</v>
      </c>
      <c r="O73" s="456">
        <f t="shared" si="38"/>
        <v>-3.4722222222222224E-2</v>
      </c>
      <c r="P73" s="458">
        <f>SUM(P63:P72)</f>
        <v>139000</v>
      </c>
      <c r="Q73" s="2316">
        <f>+P73-L73</f>
        <v>-5000</v>
      </c>
      <c r="R73" s="592"/>
      <c r="S73" s="2238">
        <f t="shared" si="39"/>
        <v>0</v>
      </c>
      <c r="T73" s="458">
        <f>SUM(T63:T72)</f>
        <v>139000</v>
      </c>
      <c r="U73" s="2316">
        <f>+T73-P73</f>
        <v>0</v>
      </c>
      <c r="V73" s="952"/>
      <c r="W73" s="2241">
        <f t="shared" si="40"/>
        <v>-2.2661870503597123E-3</v>
      </c>
      <c r="X73" s="458">
        <f>SUM(X63:X72)</f>
        <v>138685</v>
      </c>
      <c r="Y73" s="2344"/>
      <c r="AA73" s="456">
        <f t="shared" si="41"/>
        <v>2.7299275336193533E-2</v>
      </c>
      <c r="AB73" s="458">
        <f>SUM(AB63:AB72)</f>
        <v>142471</v>
      </c>
      <c r="AC73" s="2344"/>
    </row>
    <row r="74" spans="1:29" s="457" customFormat="1" x14ac:dyDescent="0.25">
      <c r="A74" s="897"/>
      <c r="B74" s="2345"/>
      <c r="C74" s="1656"/>
      <c r="D74" s="340"/>
      <c r="E74" s="2386"/>
      <c r="F74" s="340"/>
      <c r="G74" s="2338"/>
      <c r="H74" s="340"/>
      <c r="I74" s="897"/>
      <c r="J74" s="455"/>
      <c r="K74" s="1668"/>
      <c r="L74" s="340"/>
      <c r="M74" s="901"/>
      <c r="O74" s="1668"/>
      <c r="P74" s="340"/>
      <c r="Q74" s="901"/>
      <c r="R74" s="592"/>
      <c r="S74" s="2341"/>
      <c r="T74" s="340"/>
      <c r="U74" s="2344"/>
      <c r="V74" s="952"/>
      <c r="W74" s="2343"/>
      <c r="X74" s="340"/>
      <c r="Y74" s="2344"/>
      <c r="AA74" s="1668"/>
      <c r="AB74" s="340"/>
      <c r="AC74" s="2344"/>
    </row>
    <row r="75" spans="1:29" s="461" customFormat="1" x14ac:dyDescent="0.25">
      <c r="A75" s="900"/>
      <c r="B75" s="2337" t="s">
        <v>16</v>
      </c>
      <c r="C75" s="900"/>
      <c r="D75" s="460"/>
      <c r="E75" s="868"/>
      <c r="F75" s="460"/>
      <c r="G75" s="2389"/>
      <c r="H75" s="606"/>
      <c r="I75" s="897"/>
      <c r="K75" s="1669"/>
      <c r="L75" s="606"/>
      <c r="M75" s="897"/>
      <c r="O75" s="1669"/>
      <c r="P75" s="460"/>
      <c r="Q75" s="902"/>
      <c r="S75" s="1669"/>
      <c r="U75" s="2392"/>
      <c r="V75" s="2381"/>
      <c r="W75" s="2382"/>
      <c r="Y75" s="2392"/>
      <c r="AA75" s="1669"/>
      <c r="AC75" s="2392"/>
    </row>
    <row r="76" spans="1:29" s="457" customFormat="1" x14ac:dyDescent="0.25">
      <c r="A76" s="897"/>
      <c r="B76" s="2385">
        <v>5213</v>
      </c>
      <c r="C76" s="1656" t="s">
        <v>886</v>
      </c>
      <c r="D76" s="340">
        <v>4061.89</v>
      </c>
      <c r="E76" s="2386"/>
      <c r="F76" s="340"/>
      <c r="G76" s="456">
        <f t="shared" ref="G76:G84" si="51">IF(D76=0,"0.00%",(H76-D76)/D76)</f>
        <v>-0.22449894014855151</v>
      </c>
      <c r="H76" s="340">
        <v>3150</v>
      </c>
      <c r="I76" s="897"/>
      <c r="J76" s="455"/>
      <c r="K76" s="456">
        <f t="shared" ref="K76:K95" si="52">IF(H76=0,"0.00%",(L76-H76)/H76)</f>
        <v>1.3809523809523809</v>
      </c>
      <c r="L76" s="340">
        <v>7500</v>
      </c>
      <c r="M76" s="897"/>
      <c r="O76" s="456">
        <f t="shared" ref="O76:O95" si="53">IF(L76=0,"0.00%",(P76-L76)/L76)</f>
        <v>0</v>
      </c>
      <c r="P76" s="340">
        <f>+L76</f>
        <v>7500</v>
      </c>
      <c r="Q76" s="899"/>
      <c r="R76" s="592"/>
      <c r="S76" s="2238">
        <f t="shared" ref="S76:S95" si="54">IF(P76=0,"0.00%",(T76-P76)/P76)</f>
        <v>0</v>
      </c>
      <c r="T76" s="340">
        <f>+P76</f>
        <v>7500</v>
      </c>
      <c r="U76" s="899"/>
      <c r="V76" s="952"/>
      <c r="W76" s="2241">
        <f t="shared" ref="W76:W95" si="55">IF(T76=0,"0.00%",(X76-T76)/T76)</f>
        <v>2.7333333333333334E-2</v>
      </c>
      <c r="X76" s="340">
        <f>ROUND(T76*(LEFT(Y76,5)+1),0)</f>
        <v>7705</v>
      </c>
      <c r="Y76" s="953" t="str">
        <f>TEXT('MYP Assumptions'!I78,"0.00%")&amp;", CPI"</f>
        <v>2.73%, CPI</v>
      </c>
      <c r="AA76" s="456">
        <f t="shared" ref="AA76:AA95" si="56">IF(X76=0,"0.00%",(AB76-X76)/X76)</f>
        <v>2.7255029201817001E-2</v>
      </c>
      <c r="AB76" s="340">
        <f>ROUND(X76*(LEFT(AC76,5)+1),0)</f>
        <v>7915</v>
      </c>
      <c r="AC76" s="953" t="str">
        <f>TEXT('MYP Assumptions'!J78,"0.00%")&amp;", CPI"</f>
        <v>2.73%, CPI</v>
      </c>
    </row>
    <row r="77" spans="1:29" s="457" customFormat="1" x14ac:dyDescent="0.25">
      <c r="A77" s="897"/>
      <c r="B77" s="2385">
        <v>5310</v>
      </c>
      <c r="C77" s="1656" t="s">
        <v>885</v>
      </c>
      <c r="D77" s="340">
        <v>183.33</v>
      </c>
      <c r="E77" s="2386"/>
      <c r="F77" s="340"/>
      <c r="G77" s="456">
        <f t="shared" si="51"/>
        <v>9.0928925980472294E-2</v>
      </c>
      <c r="H77" s="340">
        <v>200</v>
      </c>
      <c r="I77" s="897"/>
      <c r="J77" s="455"/>
      <c r="K77" s="456">
        <f>IF(H77=0,"0.00%",(L77-H77)/H77)</f>
        <v>0</v>
      </c>
      <c r="L77" s="340">
        <v>200</v>
      </c>
      <c r="M77" s="897"/>
      <c r="O77" s="456">
        <f t="shared" si="53"/>
        <v>0</v>
      </c>
      <c r="P77" s="340">
        <v>200</v>
      </c>
      <c r="Q77" s="899"/>
      <c r="R77" s="592"/>
      <c r="S77" s="2238"/>
      <c r="T77" s="340">
        <v>200</v>
      </c>
      <c r="U77" s="899"/>
      <c r="V77" s="952"/>
      <c r="W77" s="2241"/>
      <c r="X77" s="340"/>
      <c r="Y77" s="953"/>
      <c r="AA77" s="456"/>
      <c r="AB77" s="340"/>
      <c r="AC77" s="953"/>
    </row>
    <row r="78" spans="1:29" s="457" customFormat="1" x14ac:dyDescent="0.25">
      <c r="A78" s="897"/>
      <c r="B78" s="2385">
        <v>5450</v>
      </c>
      <c r="C78" s="1656" t="s">
        <v>422</v>
      </c>
      <c r="D78" s="340">
        <v>0</v>
      </c>
      <c r="E78" s="2386"/>
      <c r="F78" s="340"/>
      <c r="G78" s="456" t="str">
        <f t="shared" si="51"/>
        <v>0.00%</v>
      </c>
      <c r="H78" s="340">
        <v>0</v>
      </c>
      <c r="I78" s="899"/>
      <c r="J78" s="455"/>
      <c r="K78" s="456" t="str">
        <f t="shared" si="52"/>
        <v>0.00%</v>
      </c>
      <c r="L78" s="340">
        <v>0</v>
      </c>
      <c r="M78" s="899"/>
      <c r="O78" s="456" t="str">
        <f t="shared" si="53"/>
        <v>0.00%</v>
      </c>
      <c r="P78" s="340">
        <f t="shared" ref="P78:P92" si="57">+L78</f>
        <v>0</v>
      </c>
      <c r="Q78" s="899"/>
      <c r="R78" s="592"/>
      <c r="S78" s="2238" t="str">
        <f t="shared" si="54"/>
        <v>0.00%</v>
      </c>
      <c r="T78" s="340">
        <f t="shared" ref="T78:T92" si="58">+P78</f>
        <v>0</v>
      </c>
      <c r="U78" s="899"/>
      <c r="V78" s="952"/>
      <c r="W78" s="2241" t="str">
        <f t="shared" si="55"/>
        <v>0.00%</v>
      </c>
      <c r="X78" s="340">
        <f t="shared" ref="X78:X94" si="59">ROUND(T78*(LEFT(Y78,5)+1),0)</f>
        <v>0</v>
      </c>
      <c r="Y78" s="953" t="str">
        <f>TEXT('MYP Assumptions'!I78,"0.00%")&amp;", CPI"</f>
        <v>2.73%, CPI</v>
      </c>
      <c r="AA78" s="456" t="str">
        <f t="shared" si="56"/>
        <v>0.00%</v>
      </c>
      <c r="AB78" s="340">
        <f t="shared" ref="AB78:AB94" si="60">ROUND(X78*(LEFT(AC78,5)+1),0)</f>
        <v>0</v>
      </c>
      <c r="AC78" s="953" t="str">
        <f>TEXT('MYP Assumptions'!J78,"0.00%")&amp;", CPI"</f>
        <v>2.73%, CPI</v>
      </c>
    </row>
    <row r="79" spans="1:29" s="457" customFormat="1" x14ac:dyDescent="0.25">
      <c r="A79" s="897"/>
      <c r="B79" s="2385">
        <v>5607</v>
      </c>
      <c r="C79" s="1656" t="s">
        <v>319</v>
      </c>
      <c r="D79" s="340">
        <v>4499.6499999999996</v>
      </c>
      <c r="E79" s="2386"/>
      <c r="F79" s="340"/>
      <c r="G79" s="456">
        <f t="shared" si="51"/>
        <v>1.5259742424410789</v>
      </c>
      <c r="H79" s="340">
        <v>11366</v>
      </c>
      <c r="I79" s="899"/>
      <c r="J79" s="455"/>
      <c r="K79" s="456">
        <f t="shared" si="52"/>
        <v>-3.2201302129157137E-2</v>
      </c>
      <c r="L79" s="340">
        <v>11000</v>
      </c>
      <c r="M79" s="899"/>
      <c r="O79" s="456">
        <f t="shared" si="53"/>
        <v>0</v>
      </c>
      <c r="P79" s="340">
        <f t="shared" si="57"/>
        <v>11000</v>
      </c>
      <c r="Q79" s="899"/>
      <c r="R79" s="592"/>
      <c r="S79" s="2238">
        <f t="shared" si="54"/>
        <v>0</v>
      </c>
      <c r="T79" s="340">
        <f t="shared" si="58"/>
        <v>11000</v>
      </c>
      <c r="U79" s="899"/>
      <c r="V79" s="952"/>
      <c r="W79" s="2241">
        <f t="shared" si="55"/>
        <v>2.7272727272727271E-2</v>
      </c>
      <c r="X79" s="340">
        <f t="shared" si="59"/>
        <v>11300</v>
      </c>
      <c r="Y79" s="953" t="str">
        <f>TEXT('MYP Assumptions'!I78,"0.00%")&amp;", CPI"</f>
        <v>2.73%, CPI</v>
      </c>
      <c r="AA79" s="456">
        <f t="shared" si="56"/>
        <v>2.7256637168141595E-2</v>
      </c>
      <c r="AB79" s="340">
        <f t="shared" si="60"/>
        <v>11608</v>
      </c>
      <c r="AC79" s="953" t="str">
        <f>TEXT('MYP Assumptions'!J78,"0.00%")&amp;", CPI"</f>
        <v>2.73%, CPI</v>
      </c>
    </row>
    <row r="80" spans="1:29" s="457" customFormat="1" x14ac:dyDescent="0.25">
      <c r="A80" s="897"/>
      <c r="B80" s="2385">
        <v>5608</v>
      </c>
      <c r="C80" s="1656" t="s">
        <v>423</v>
      </c>
      <c r="D80" s="340">
        <v>132.79</v>
      </c>
      <c r="E80" s="2386"/>
      <c r="F80" s="340"/>
      <c r="G80" s="456">
        <f t="shared" si="51"/>
        <v>1.8917840198810154</v>
      </c>
      <c r="H80" s="340">
        <v>384</v>
      </c>
      <c r="I80" s="899"/>
      <c r="J80" s="455"/>
      <c r="K80" s="456">
        <f t="shared" si="52"/>
        <v>0</v>
      </c>
      <c r="L80" s="340">
        <f>+H80</f>
        <v>384</v>
      </c>
      <c r="M80" s="899"/>
      <c r="O80" s="456">
        <f t="shared" si="53"/>
        <v>0</v>
      </c>
      <c r="P80" s="340">
        <f t="shared" si="57"/>
        <v>384</v>
      </c>
      <c r="Q80" s="899"/>
      <c r="R80" s="592"/>
      <c r="S80" s="2238">
        <f t="shared" si="54"/>
        <v>0</v>
      </c>
      <c r="T80" s="340">
        <f t="shared" si="58"/>
        <v>384</v>
      </c>
      <c r="U80" s="899"/>
      <c r="V80" s="952"/>
      <c r="W80" s="2241">
        <f t="shared" si="55"/>
        <v>2.6041666666666668E-2</v>
      </c>
      <c r="X80" s="340">
        <f t="shared" si="59"/>
        <v>394</v>
      </c>
      <c r="Y80" s="953" t="str">
        <f>TEXT('MYP Assumptions'!I78,"0.00%")&amp;", CPI"</f>
        <v>2.73%, CPI</v>
      </c>
      <c r="AA80" s="456">
        <f t="shared" si="56"/>
        <v>2.7918781725888325E-2</v>
      </c>
      <c r="AB80" s="340">
        <f t="shared" si="60"/>
        <v>405</v>
      </c>
      <c r="AC80" s="953" t="str">
        <f>TEXT('MYP Assumptions'!J78,"0.00%")&amp;", CPI"</f>
        <v>2.73%, CPI</v>
      </c>
    </row>
    <row r="81" spans="1:29" s="457" customFormat="1" x14ac:dyDescent="0.25">
      <c r="A81" s="897"/>
      <c r="B81" s="2385">
        <v>5725</v>
      </c>
      <c r="C81" s="1656" t="s">
        <v>413</v>
      </c>
      <c r="D81" s="340">
        <v>-28899.55</v>
      </c>
      <c r="E81" s="2386"/>
      <c r="F81" s="340"/>
      <c r="G81" s="456">
        <f t="shared" si="51"/>
        <v>0.47500566617819312</v>
      </c>
      <c r="H81" s="340">
        <v>-42627</v>
      </c>
      <c r="I81" s="899"/>
      <c r="J81" s="455"/>
      <c r="K81" s="456">
        <f t="shared" si="52"/>
        <v>6.8923452272034155E-2</v>
      </c>
      <c r="L81" s="340">
        <v>-45565</v>
      </c>
      <c r="M81" s="899"/>
      <c r="O81" s="456">
        <f t="shared" si="53"/>
        <v>0</v>
      </c>
      <c r="P81" s="340">
        <f t="shared" si="57"/>
        <v>-45565</v>
      </c>
      <c r="Q81" s="899"/>
      <c r="R81" s="592"/>
      <c r="S81" s="2238">
        <f t="shared" si="54"/>
        <v>0</v>
      </c>
      <c r="T81" s="340">
        <f t="shared" si="58"/>
        <v>-45565</v>
      </c>
      <c r="U81" s="899"/>
      <c r="V81" s="952"/>
      <c r="W81" s="2241">
        <f t="shared" si="55"/>
        <v>2.7301656973554262E-2</v>
      </c>
      <c r="X81" s="340">
        <f t="shared" si="59"/>
        <v>-46809</v>
      </c>
      <c r="Y81" s="953" t="str">
        <f>TEXT('MYP Assumptions'!I78,"0.00%")&amp;", CPI"</f>
        <v>2.73%, CPI</v>
      </c>
      <c r="AA81" s="456">
        <f t="shared" si="56"/>
        <v>2.7302441838108055E-2</v>
      </c>
      <c r="AB81" s="340">
        <f t="shared" si="60"/>
        <v>-48087</v>
      </c>
      <c r="AC81" s="953" t="str">
        <f>TEXT('MYP Assumptions'!J78,"0.00%")&amp;", CPI"</f>
        <v>2.73%, CPI</v>
      </c>
    </row>
    <row r="82" spans="1:29" s="457" customFormat="1" x14ac:dyDescent="0.25">
      <c r="A82" s="897"/>
      <c r="B82" s="2385">
        <v>5758</v>
      </c>
      <c r="C82" s="1656" t="s">
        <v>887</v>
      </c>
      <c r="D82" s="340">
        <v>-1801.26</v>
      </c>
      <c r="E82" s="2386"/>
      <c r="F82" s="340"/>
      <c r="G82" s="456">
        <f t="shared" si="51"/>
        <v>-0.9211662947048177</v>
      </c>
      <c r="H82" s="340">
        <v>-142</v>
      </c>
      <c r="I82" s="899"/>
      <c r="J82" s="455"/>
      <c r="K82" s="456">
        <f t="shared" si="52"/>
        <v>34.2112676056338</v>
      </c>
      <c r="L82" s="340">
        <v>-5000</v>
      </c>
      <c r="M82" s="899"/>
      <c r="O82" s="456">
        <f t="shared" si="53"/>
        <v>0</v>
      </c>
      <c r="P82" s="340">
        <f t="shared" si="57"/>
        <v>-5000</v>
      </c>
      <c r="Q82" s="899"/>
      <c r="R82" s="592"/>
      <c r="S82" s="2238"/>
      <c r="T82" s="340">
        <f t="shared" si="58"/>
        <v>-5000</v>
      </c>
      <c r="U82" s="899"/>
      <c r="V82" s="952"/>
      <c r="W82" s="2241"/>
      <c r="X82" s="340"/>
      <c r="Y82" s="953"/>
      <c r="AA82" s="456"/>
      <c r="AB82" s="340"/>
      <c r="AC82" s="953"/>
    </row>
    <row r="83" spans="1:29" s="457" customFormat="1" x14ac:dyDescent="0.25">
      <c r="A83" s="897"/>
      <c r="B83" s="2385">
        <v>5779</v>
      </c>
      <c r="C83" s="1656" t="s">
        <v>424</v>
      </c>
      <c r="D83" s="340">
        <v>-30000</v>
      </c>
      <c r="E83" s="2386"/>
      <c r="F83" s="340"/>
      <c r="G83" s="456">
        <f t="shared" si="51"/>
        <v>0</v>
      </c>
      <c r="H83" s="340">
        <v>-30000</v>
      </c>
      <c r="I83" s="899"/>
      <c r="J83" s="455"/>
      <c r="K83" s="456">
        <f t="shared" si="52"/>
        <v>0</v>
      </c>
      <c r="L83" s="340">
        <f>+H83</f>
        <v>-30000</v>
      </c>
      <c r="M83" s="899"/>
      <c r="O83" s="456">
        <f t="shared" si="53"/>
        <v>0</v>
      </c>
      <c r="P83" s="340">
        <f t="shared" si="57"/>
        <v>-30000</v>
      </c>
      <c r="Q83" s="899"/>
      <c r="R83" s="592"/>
      <c r="S83" s="2238">
        <f t="shared" si="54"/>
        <v>0</v>
      </c>
      <c r="T83" s="340">
        <f t="shared" si="58"/>
        <v>-30000</v>
      </c>
      <c r="U83" s="899"/>
      <c r="V83" s="952"/>
      <c r="W83" s="2241">
        <f t="shared" si="55"/>
        <v>2.7300000000000001E-2</v>
      </c>
      <c r="X83" s="340">
        <f t="shared" si="59"/>
        <v>-30819</v>
      </c>
      <c r="Y83" s="953" t="str">
        <f>TEXT('MYP Assumptions'!I78,"0.00%")&amp;", CPI"</f>
        <v>2.73%, CPI</v>
      </c>
      <c r="AA83" s="456">
        <f t="shared" si="56"/>
        <v>2.7288361075959635E-2</v>
      </c>
      <c r="AB83" s="340">
        <f t="shared" si="60"/>
        <v>-31660</v>
      </c>
      <c r="AC83" s="953" t="str">
        <f>TEXT('MYP Assumptions'!J78,"0.00%")&amp;", CPI"</f>
        <v>2.73%, CPI</v>
      </c>
    </row>
    <row r="84" spans="1:29" s="457" customFormat="1" x14ac:dyDescent="0.25">
      <c r="A84" s="897"/>
      <c r="B84" s="2385">
        <v>5807</v>
      </c>
      <c r="C84" s="1656" t="s">
        <v>8</v>
      </c>
      <c r="D84" s="340">
        <v>1347.5</v>
      </c>
      <c r="E84" s="2386"/>
      <c r="F84" s="340"/>
      <c r="G84" s="456">
        <f t="shared" si="51"/>
        <v>1.0408163265306123</v>
      </c>
      <c r="H84" s="340">
        <v>2750</v>
      </c>
      <c r="I84" s="899"/>
      <c r="J84" s="455"/>
      <c r="K84" s="456">
        <f t="shared" si="52"/>
        <v>0.45454545454545453</v>
      </c>
      <c r="L84" s="340">
        <v>4000</v>
      </c>
      <c r="M84" s="899"/>
      <c r="O84" s="456">
        <f t="shared" si="53"/>
        <v>0</v>
      </c>
      <c r="P84" s="340">
        <f t="shared" si="57"/>
        <v>4000</v>
      </c>
      <c r="Q84" s="899"/>
      <c r="R84" s="592"/>
      <c r="S84" s="2238"/>
      <c r="T84" s="340">
        <f t="shared" si="58"/>
        <v>4000</v>
      </c>
      <c r="U84" s="899"/>
      <c r="V84" s="952"/>
      <c r="W84" s="2241"/>
      <c r="X84" s="340"/>
      <c r="Y84" s="953"/>
      <c r="AA84" s="456"/>
      <c r="AB84" s="340"/>
      <c r="AC84" s="953"/>
    </row>
    <row r="85" spans="1:29" s="457" customFormat="1" x14ac:dyDescent="0.25">
      <c r="A85" s="897"/>
      <c r="B85" s="2385">
        <v>5809</v>
      </c>
      <c r="C85" s="1656" t="s">
        <v>123</v>
      </c>
      <c r="D85" s="340">
        <v>2207.14</v>
      </c>
      <c r="E85" s="2386"/>
      <c r="F85" s="340"/>
      <c r="G85" s="456">
        <f>IF(D85=0,"0.00%",(H85-D85)/D85)</f>
        <v>-0.77346248991908084</v>
      </c>
      <c r="H85" s="340">
        <v>500</v>
      </c>
      <c r="I85" s="899"/>
      <c r="J85" s="455"/>
      <c r="K85" s="456">
        <f t="shared" si="52"/>
        <v>0</v>
      </c>
      <c r="L85" s="340">
        <v>500</v>
      </c>
      <c r="M85" s="899"/>
      <c r="O85" s="456">
        <f t="shared" si="53"/>
        <v>0</v>
      </c>
      <c r="P85" s="340">
        <f t="shared" si="57"/>
        <v>500</v>
      </c>
      <c r="Q85" s="899"/>
      <c r="R85" s="592"/>
      <c r="S85" s="2238">
        <f t="shared" si="54"/>
        <v>0</v>
      </c>
      <c r="T85" s="340">
        <f t="shared" si="58"/>
        <v>500</v>
      </c>
      <c r="U85" s="899"/>
      <c r="V85" s="952"/>
      <c r="W85" s="2241">
        <f t="shared" si="55"/>
        <v>2.8000000000000001E-2</v>
      </c>
      <c r="X85" s="340">
        <f t="shared" si="59"/>
        <v>514</v>
      </c>
      <c r="Y85" s="953" t="str">
        <f>TEXT('MYP Assumptions'!I78,"0.00%")&amp;", CPI"</f>
        <v>2.73%, CPI</v>
      </c>
      <c r="AA85" s="456">
        <f t="shared" si="56"/>
        <v>2.7237354085603113E-2</v>
      </c>
      <c r="AB85" s="340">
        <f t="shared" si="60"/>
        <v>528</v>
      </c>
      <c r="AC85" s="953" t="str">
        <f>TEXT('MYP Assumptions'!J78,"0.00%")&amp;", CPI"</f>
        <v>2.73%, CPI</v>
      </c>
    </row>
    <row r="86" spans="1:29" s="457" customFormat="1" x14ac:dyDescent="0.25">
      <c r="A86" s="897"/>
      <c r="B86" s="2385">
        <v>5810</v>
      </c>
      <c r="C86" s="1656" t="s">
        <v>415</v>
      </c>
      <c r="D86" s="340">
        <v>95</v>
      </c>
      <c r="E86" s="2386"/>
      <c r="F86" s="340"/>
      <c r="G86" s="456">
        <f t="shared" ref="G86:G95" si="61">IF(D86=0,"0.00%",(H86-D86)/D86)</f>
        <v>20.05263157894737</v>
      </c>
      <c r="H86" s="340">
        <v>2000</v>
      </c>
      <c r="I86" s="899"/>
      <c r="J86" s="455"/>
      <c r="K86" s="456">
        <f t="shared" si="52"/>
        <v>0.75</v>
      </c>
      <c r="L86" s="340">
        <v>3500</v>
      </c>
      <c r="M86" s="899"/>
      <c r="O86" s="456">
        <f t="shared" si="53"/>
        <v>0</v>
      </c>
      <c r="P86" s="340">
        <f t="shared" si="57"/>
        <v>3500</v>
      </c>
      <c r="Q86" s="899"/>
      <c r="R86" s="592"/>
      <c r="S86" s="2238">
        <f t="shared" si="54"/>
        <v>0</v>
      </c>
      <c r="T86" s="340">
        <f t="shared" si="58"/>
        <v>3500</v>
      </c>
      <c r="U86" s="899"/>
      <c r="V86" s="952"/>
      <c r="W86" s="2241">
        <f t="shared" si="55"/>
        <v>2.7428571428571427E-2</v>
      </c>
      <c r="X86" s="340">
        <f t="shared" si="59"/>
        <v>3596</v>
      </c>
      <c r="Y86" s="953" t="str">
        <f>TEXT('MYP Assumptions'!I78,"0.00%")&amp;", CPI"</f>
        <v>2.73%, CPI</v>
      </c>
      <c r="AA86" s="456">
        <f t="shared" si="56"/>
        <v>2.7252502780867632E-2</v>
      </c>
      <c r="AB86" s="340">
        <f t="shared" si="60"/>
        <v>3694</v>
      </c>
      <c r="AC86" s="953" t="str">
        <f>TEXT('MYP Assumptions'!J78,"0.00%")&amp;", CPI"</f>
        <v>2.73%, CPI</v>
      </c>
    </row>
    <row r="87" spans="1:29" s="457" customFormat="1" x14ac:dyDescent="0.25">
      <c r="A87" s="897"/>
      <c r="B87" s="2385">
        <v>5813</v>
      </c>
      <c r="C87" s="1656" t="s">
        <v>6</v>
      </c>
      <c r="D87" s="340">
        <v>4811.37</v>
      </c>
      <c r="E87" s="2386"/>
      <c r="F87" s="340"/>
      <c r="G87" s="456">
        <f t="shared" si="61"/>
        <v>-0.37647697017689347</v>
      </c>
      <c r="H87" s="340">
        <v>3000</v>
      </c>
      <c r="I87" s="899"/>
      <c r="J87" s="455"/>
      <c r="K87" s="456">
        <f t="shared" si="52"/>
        <v>0</v>
      </c>
      <c r="L87" s="340">
        <v>3000</v>
      </c>
      <c r="M87" s="899"/>
      <c r="O87" s="456">
        <f t="shared" si="53"/>
        <v>0</v>
      </c>
      <c r="P87" s="340">
        <f t="shared" si="57"/>
        <v>3000</v>
      </c>
      <c r="Q87" s="899"/>
      <c r="R87" s="592"/>
      <c r="S87" s="2238">
        <f t="shared" si="54"/>
        <v>0</v>
      </c>
      <c r="T87" s="340">
        <f t="shared" si="58"/>
        <v>3000</v>
      </c>
      <c r="U87" s="899"/>
      <c r="V87" s="952"/>
      <c r="W87" s="2241">
        <f t="shared" si="55"/>
        <v>2.7333333333333334E-2</v>
      </c>
      <c r="X87" s="340">
        <f t="shared" si="59"/>
        <v>3082</v>
      </c>
      <c r="Y87" s="953" t="str">
        <f>TEXT('MYP Assumptions'!I78,"0.00%")&amp;", CPI"</f>
        <v>2.73%, CPI</v>
      </c>
      <c r="AA87" s="456">
        <f t="shared" si="56"/>
        <v>2.7255029201817001E-2</v>
      </c>
      <c r="AB87" s="340">
        <f t="shared" si="60"/>
        <v>3166</v>
      </c>
      <c r="AC87" s="953" t="str">
        <f>TEXT('MYP Assumptions'!J78,"0.00%")&amp;", CPI"</f>
        <v>2.73%, CPI</v>
      </c>
    </row>
    <row r="88" spans="1:29" s="457" customFormat="1" x14ac:dyDescent="0.25">
      <c r="A88" s="897"/>
      <c r="B88" s="2385">
        <v>5814</v>
      </c>
      <c r="C88" s="1656" t="s">
        <v>4</v>
      </c>
      <c r="D88" s="340">
        <v>6050.93</v>
      </c>
      <c r="E88" s="2386"/>
      <c r="F88" s="340"/>
      <c r="G88" s="456">
        <f t="shared" si="61"/>
        <v>1.4954841652440203</v>
      </c>
      <c r="H88" s="340">
        <v>15100</v>
      </c>
      <c r="I88" s="899"/>
      <c r="J88" s="455"/>
      <c r="K88" s="456">
        <f t="shared" si="52"/>
        <v>-0.27152317880794702</v>
      </c>
      <c r="L88" s="340">
        <v>11000</v>
      </c>
      <c r="M88" s="899"/>
      <c r="O88" s="456">
        <f t="shared" si="53"/>
        <v>0</v>
      </c>
      <c r="P88" s="340">
        <f t="shared" si="57"/>
        <v>11000</v>
      </c>
      <c r="Q88" s="899"/>
      <c r="R88" s="592"/>
      <c r="S88" s="2238">
        <f t="shared" si="54"/>
        <v>0</v>
      </c>
      <c r="T88" s="340">
        <f t="shared" si="58"/>
        <v>11000</v>
      </c>
      <c r="U88" s="899"/>
      <c r="V88" s="952"/>
      <c r="W88" s="2241">
        <f t="shared" si="55"/>
        <v>2.7272727272727271E-2</v>
      </c>
      <c r="X88" s="340">
        <f t="shared" si="59"/>
        <v>11300</v>
      </c>
      <c r="Y88" s="953" t="str">
        <f>TEXT('MYP Assumptions'!I78,"0.00%")&amp;", CPI"</f>
        <v>2.73%, CPI</v>
      </c>
      <c r="AA88" s="456">
        <f t="shared" si="56"/>
        <v>2.7256637168141595E-2</v>
      </c>
      <c r="AB88" s="340">
        <f t="shared" si="60"/>
        <v>11608</v>
      </c>
      <c r="AC88" s="953" t="str">
        <f>TEXT('MYP Assumptions'!J78,"0.00%")&amp;", CPI"</f>
        <v>2.73%, CPI</v>
      </c>
    </row>
    <row r="89" spans="1:29" s="457" customFormat="1" x14ac:dyDescent="0.25">
      <c r="A89" s="897"/>
      <c r="B89" s="2385">
        <v>5817</v>
      </c>
      <c r="C89" s="1656" t="s">
        <v>259</v>
      </c>
      <c r="D89" s="340">
        <v>0</v>
      </c>
      <c r="E89" s="2386"/>
      <c r="F89" s="340"/>
      <c r="G89" s="456" t="str">
        <f t="shared" si="61"/>
        <v>0.00%</v>
      </c>
      <c r="H89" s="340">
        <v>1500</v>
      </c>
      <c r="I89" s="899"/>
      <c r="J89" s="455"/>
      <c r="K89" s="456">
        <f t="shared" si="52"/>
        <v>-0.33333333333333331</v>
      </c>
      <c r="L89" s="340">
        <v>1000</v>
      </c>
      <c r="M89" s="899"/>
      <c r="O89" s="456">
        <f t="shared" si="53"/>
        <v>0</v>
      </c>
      <c r="P89" s="340">
        <f t="shared" si="57"/>
        <v>1000</v>
      </c>
      <c r="Q89" s="899"/>
      <c r="R89" s="592"/>
      <c r="S89" s="2238">
        <f t="shared" si="54"/>
        <v>0</v>
      </c>
      <c r="T89" s="340">
        <f t="shared" si="58"/>
        <v>1000</v>
      </c>
      <c r="U89" s="899"/>
      <c r="V89" s="952"/>
      <c r="W89" s="2241">
        <f t="shared" si="55"/>
        <v>2.7E-2</v>
      </c>
      <c r="X89" s="340">
        <f t="shared" si="59"/>
        <v>1027</v>
      </c>
      <c r="Y89" s="953" t="str">
        <f>TEXT('MYP Assumptions'!I78,"0.00%")&amp;", CPI"</f>
        <v>2.73%, CPI</v>
      </c>
      <c r="AA89" s="456">
        <f t="shared" si="56"/>
        <v>2.7263875365141188E-2</v>
      </c>
      <c r="AB89" s="340">
        <f t="shared" si="60"/>
        <v>1055</v>
      </c>
      <c r="AC89" s="953" t="str">
        <f>TEXT('MYP Assumptions'!J78,"0.00%")&amp;", CPI"</f>
        <v>2.73%, CPI</v>
      </c>
    </row>
    <row r="90" spans="1:29" s="457" customFormat="1" x14ac:dyDescent="0.25">
      <c r="A90" s="897"/>
      <c r="B90" s="2385">
        <v>5845</v>
      </c>
      <c r="C90" s="1656" t="s">
        <v>425</v>
      </c>
      <c r="D90" s="340">
        <v>500</v>
      </c>
      <c r="E90" s="2386"/>
      <c r="F90" s="340"/>
      <c r="G90" s="456">
        <f t="shared" si="61"/>
        <v>3</v>
      </c>
      <c r="H90" s="340">
        <v>2000</v>
      </c>
      <c r="I90" s="899"/>
      <c r="J90" s="455"/>
      <c r="K90" s="456">
        <f t="shared" si="52"/>
        <v>0</v>
      </c>
      <c r="L90" s="340">
        <v>2000</v>
      </c>
      <c r="M90" s="899"/>
      <c r="O90" s="456">
        <f t="shared" si="53"/>
        <v>0</v>
      </c>
      <c r="P90" s="340">
        <f t="shared" si="57"/>
        <v>2000</v>
      </c>
      <c r="Q90" s="899"/>
      <c r="R90" s="592"/>
      <c r="S90" s="2238">
        <f t="shared" si="54"/>
        <v>0</v>
      </c>
      <c r="T90" s="340">
        <f t="shared" si="58"/>
        <v>2000</v>
      </c>
      <c r="U90" s="899"/>
      <c r="V90" s="952"/>
      <c r="W90" s="2241">
        <f t="shared" si="55"/>
        <v>2.75E-2</v>
      </c>
      <c r="X90" s="340">
        <f t="shared" si="59"/>
        <v>2055</v>
      </c>
      <c r="Y90" s="953" t="str">
        <f>TEXT('MYP Assumptions'!I78,"0.00%")&amp;", CPI"</f>
        <v>2.73%, CPI</v>
      </c>
      <c r="AA90" s="456">
        <f t="shared" si="56"/>
        <v>2.7250608272506083E-2</v>
      </c>
      <c r="AB90" s="340">
        <f t="shared" si="60"/>
        <v>2111</v>
      </c>
      <c r="AC90" s="953" t="str">
        <f>TEXT('MYP Assumptions'!J78,"0.00%")&amp;", CPI"</f>
        <v>2.73%, CPI</v>
      </c>
    </row>
    <row r="91" spans="1:29" s="457" customFormat="1" x14ac:dyDescent="0.25">
      <c r="A91" s="897"/>
      <c r="B91" s="2385">
        <v>5902</v>
      </c>
      <c r="C91" s="1656" t="s">
        <v>326</v>
      </c>
      <c r="D91" s="340">
        <v>177.04</v>
      </c>
      <c r="E91" s="2386"/>
      <c r="F91" s="340"/>
      <c r="G91" s="456">
        <f t="shared" si="61"/>
        <v>-1</v>
      </c>
      <c r="H91" s="340">
        <v>0</v>
      </c>
      <c r="I91" s="899"/>
      <c r="J91" s="455"/>
      <c r="K91" s="456" t="str">
        <f t="shared" si="52"/>
        <v>0.00%</v>
      </c>
      <c r="L91" s="340">
        <v>0</v>
      </c>
      <c r="M91" s="899"/>
      <c r="O91" s="456" t="str">
        <f t="shared" si="53"/>
        <v>0.00%</v>
      </c>
      <c r="P91" s="340">
        <f t="shared" si="57"/>
        <v>0</v>
      </c>
      <c r="Q91" s="899"/>
      <c r="R91" s="592"/>
      <c r="S91" s="2238"/>
      <c r="T91" s="340">
        <f t="shared" si="58"/>
        <v>0</v>
      </c>
      <c r="U91" s="899"/>
      <c r="V91" s="952"/>
      <c r="W91" s="2241"/>
      <c r="X91" s="340"/>
      <c r="Y91" s="953"/>
      <c r="AA91" s="456"/>
      <c r="AB91" s="340"/>
      <c r="AC91" s="953"/>
    </row>
    <row r="92" spans="1:29" s="457" customFormat="1" x14ac:dyDescent="0.25">
      <c r="A92" s="897"/>
      <c r="B92" s="2385">
        <v>5908</v>
      </c>
      <c r="C92" s="1656" t="s">
        <v>327</v>
      </c>
      <c r="D92" s="340">
        <v>97.71</v>
      </c>
      <c r="E92" s="2386"/>
      <c r="F92" s="340"/>
      <c r="G92" s="456">
        <f t="shared" si="61"/>
        <v>0.53515505066011682</v>
      </c>
      <c r="H92" s="340">
        <v>150</v>
      </c>
      <c r="I92" s="899"/>
      <c r="J92" s="455"/>
      <c r="K92" s="456">
        <f t="shared" si="52"/>
        <v>0</v>
      </c>
      <c r="L92" s="340">
        <f>+H92</f>
        <v>150</v>
      </c>
      <c r="M92" s="899"/>
      <c r="O92" s="456">
        <f t="shared" si="53"/>
        <v>0</v>
      </c>
      <c r="P92" s="340">
        <f t="shared" si="57"/>
        <v>150</v>
      </c>
      <c r="Q92" s="899"/>
      <c r="R92" s="592"/>
      <c r="S92" s="2238"/>
      <c r="T92" s="340">
        <f t="shared" si="58"/>
        <v>150</v>
      </c>
      <c r="U92" s="899"/>
      <c r="V92" s="952"/>
      <c r="W92" s="2241"/>
      <c r="X92" s="340"/>
      <c r="Y92" s="953"/>
      <c r="AA92" s="456"/>
      <c r="AB92" s="340"/>
      <c r="AC92" s="953"/>
    </row>
    <row r="93" spans="1:29" s="457" customFormat="1" hidden="1" x14ac:dyDescent="0.25">
      <c r="A93" s="897"/>
      <c r="B93" s="2385"/>
      <c r="C93" s="1656"/>
      <c r="D93" s="340"/>
      <c r="E93" s="2386"/>
      <c r="F93" s="340"/>
      <c r="G93" s="456" t="str">
        <f t="shared" si="61"/>
        <v>0.00%</v>
      </c>
      <c r="H93" s="340">
        <f t="shared" ref="H93:H94" si="62">ROUND(D93*(LEFT(I93,5)+1),0)</f>
        <v>0</v>
      </c>
      <c r="I93" s="899" t="str">
        <f>TEXT('MYP Assumptions'!$E$78,"0.00%")&amp;", CPI"</f>
        <v>3.37%, CPI</v>
      </c>
      <c r="J93" s="455"/>
      <c r="K93" s="456" t="str">
        <f t="shared" si="52"/>
        <v>0.00%</v>
      </c>
      <c r="L93" s="340">
        <f t="shared" ref="L93" si="63">ROUND(H93*(LEFT(M93,5)+1),0)</f>
        <v>0</v>
      </c>
      <c r="M93" s="899" t="str">
        <f>TEXT('MYP Assumptions'!$F$78,"0.00%")&amp;", CPI"</f>
        <v>3.58%, CPI</v>
      </c>
      <c r="O93" s="456" t="str">
        <f t="shared" si="53"/>
        <v>0.00%</v>
      </c>
      <c r="P93" s="340">
        <f t="shared" ref="P93" si="64">ROUND(L93*(LEFT(Q93,5)+1),0)</f>
        <v>0</v>
      </c>
      <c r="Q93" s="899" t="str">
        <f>TEXT('MYP Assumptions'!$G$78,"0.00%")&amp;", CPI"</f>
        <v>3.36%, CPI</v>
      </c>
      <c r="R93" s="592"/>
      <c r="S93" s="2238"/>
      <c r="T93" s="340"/>
      <c r="U93" s="953"/>
      <c r="V93" s="952"/>
      <c r="W93" s="2241"/>
      <c r="X93" s="340"/>
      <c r="Y93" s="953"/>
      <c r="AA93" s="456"/>
      <c r="AB93" s="340"/>
      <c r="AC93" s="953"/>
    </row>
    <row r="94" spans="1:29" s="457" customFormat="1" hidden="1" x14ac:dyDescent="0.25">
      <c r="A94" s="897"/>
      <c r="B94" s="2385"/>
      <c r="C94" s="1656"/>
      <c r="D94" s="340">
        <f>'18-19 Budget RS 3010-ALL'!AF80</f>
        <v>0</v>
      </c>
      <c r="E94" s="2386"/>
      <c r="F94" s="340"/>
      <c r="G94" s="456" t="str">
        <f t="shared" si="61"/>
        <v>0.00%</v>
      </c>
      <c r="H94" s="340">
        <f t="shared" si="62"/>
        <v>0</v>
      </c>
      <c r="I94" s="899" t="str">
        <f>TEXT('MYP Assumptions'!$E$78,"0.00%")&amp;", CPI"</f>
        <v>3.37%, CPI</v>
      </c>
      <c r="J94" s="455"/>
      <c r="K94" s="456" t="str">
        <f t="shared" si="52"/>
        <v>0.00%</v>
      </c>
      <c r="L94" s="340">
        <f>ROUND(H94*(LEFT(M94,5)+1),0)</f>
        <v>0</v>
      </c>
      <c r="M94" s="899" t="str">
        <f>TEXT('MYP Assumptions'!$F$78,"0.00%")&amp;", CPI"</f>
        <v>3.58%, CPI</v>
      </c>
      <c r="O94" s="456" t="str">
        <f t="shared" si="53"/>
        <v>0.00%</v>
      </c>
      <c r="P94" s="340">
        <f>ROUND(L94*(LEFT(Q94,5)+1),0)</f>
        <v>0</v>
      </c>
      <c r="Q94" s="899" t="str">
        <f>TEXT('MYP Assumptions'!$G$78,"0.00%")&amp;", CPI"</f>
        <v>3.36%, CPI</v>
      </c>
      <c r="R94" s="592"/>
      <c r="S94" s="2238" t="str">
        <f t="shared" si="54"/>
        <v>0.00%</v>
      </c>
      <c r="T94" s="340">
        <f t="shared" ref="T94" si="65">ROUND(P94*(LEFT(U94,5)+1),0)</f>
        <v>0</v>
      </c>
      <c r="U94" s="953" t="str">
        <f>TEXT('MYP Assumptions'!H78,"0.00%")&amp;", CPI"</f>
        <v>3.23%, CPI</v>
      </c>
      <c r="V94" s="952"/>
      <c r="W94" s="2241" t="str">
        <f t="shared" si="55"/>
        <v>0.00%</v>
      </c>
      <c r="X94" s="340">
        <f t="shared" si="59"/>
        <v>0</v>
      </c>
      <c r="Y94" s="953" t="str">
        <f>TEXT('MYP Assumptions'!I78,"0.00%")&amp;", CPI"</f>
        <v>2.73%, CPI</v>
      </c>
      <c r="AA94" s="456" t="str">
        <f t="shared" si="56"/>
        <v>0.00%</v>
      </c>
      <c r="AB94" s="340">
        <f t="shared" si="60"/>
        <v>0</v>
      </c>
      <c r="AC94" s="953" t="str">
        <f>TEXT('MYP Assumptions'!J78,"0.00%")&amp;", CPI"</f>
        <v>2.73%, CPI</v>
      </c>
    </row>
    <row r="95" spans="1:29" s="457" customFormat="1" x14ac:dyDescent="0.25">
      <c r="A95" s="898"/>
      <c r="B95" s="2345"/>
      <c r="C95" s="1656"/>
      <c r="D95" s="458">
        <f>SUM(D76:D94)</f>
        <v>-36536.459999999992</v>
      </c>
      <c r="E95" s="2386"/>
      <c r="F95" s="340"/>
      <c r="G95" s="456">
        <f t="shared" si="61"/>
        <v>-0.16059191284541505</v>
      </c>
      <c r="H95" s="458">
        <f>SUM(H76:H94)</f>
        <v>-30669</v>
      </c>
      <c r="I95" s="2316">
        <f>+H95-D95</f>
        <v>5867.4599999999919</v>
      </c>
      <c r="J95" s="459"/>
      <c r="K95" s="456">
        <f t="shared" si="52"/>
        <v>0.1846163878835306</v>
      </c>
      <c r="L95" s="458">
        <f>SUM(L76:L94)</f>
        <v>-36331</v>
      </c>
      <c r="M95" s="2316">
        <f>+L95-H95</f>
        <v>-5662</v>
      </c>
      <c r="O95" s="456">
        <f t="shared" si="53"/>
        <v>0</v>
      </c>
      <c r="P95" s="458">
        <f>SUM(P76:P94)</f>
        <v>-36331</v>
      </c>
      <c r="Q95" s="2316">
        <f>+P95-L95</f>
        <v>0</v>
      </c>
      <c r="R95" s="592"/>
      <c r="S95" s="2238">
        <f t="shared" si="54"/>
        <v>0</v>
      </c>
      <c r="T95" s="458">
        <f>SUM(T76:T94)</f>
        <v>-36331</v>
      </c>
      <c r="U95" s="2316">
        <f>+T95-P95</f>
        <v>0</v>
      </c>
      <c r="V95" s="952"/>
      <c r="W95" s="2241">
        <f t="shared" si="55"/>
        <v>8.918003908507886E-3</v>
      </c>
      <c r="X95" s="458">
        <f>SUM(X76:X94)</f>
        <v>-36655</v>
      </c>
      <c r="Y95" s="2344"/>
      <c r="AA95" s="456">
        <f t="shared" si="56"/>
        <v>2.7335970536079661E-2</v>
      </c>
      <c r="AB95" s="458">
        <f>SUM(AB76:AB94)</f>
        <v>-37657</v>
      </c>
      <c r="AC95" s="2344"/>
    </row>
    <row r="96" spans="1:29" s="457" customFormat="1" x14ac:dyDescent="0.25">
      <c r="A96" s="897"/>
      <c r="B96" s="2337"/>
      <c r="C96" s="1656"/>
      <c r="D96" s="340"/>
      <c r="E96" s="2386"/>
      <c r="F96" s="340"/>
      <c r="G96" s="456"/>
      <c r="H96" s="340"/>
      <c r="I96" s="897"/>
      <c r="J96" s="455"/>
      <c r="K96" s="1668"/>
      <c r="L96" s="340"/>
      <c r="M96" s="901"/>
      <c r="O96" s="1668"/>
      <c r="P96" s="340"/>
      <c r="Q96" s="901"/>
      <c r="R96" s="592"/>
      <c r="S96" s="2341"/>
      <c r="T96" s="340"/>
      <c r="U96" s="2344"/>
      <c r="V96" s="952"/>
      <c r="W96" s="2343"/>
      <c r="X96" s="340"/>
      <c r="Y96" s="2344"/>
      <c r="AA96" s="1668"/>
      <c r="AB96" s="340"/>
      <c r="AC96" s="2344"/>
    </row>
    <row r="97" spans="1:29" s="457" customFormat="1" x14ac:dyDescent="0.25">
      <c r="A97" s="897"/>
      <c r="B97" s="2337" t="s">
        <v>328</v>
      </c>
      <c r="C97" s="2215"/>
      <c r="D97" s="340"/>
      <c r="E97" s="2386"/>
      <c r="F97" s="340"/>
      <c r="G97" s="456"/>
      <c r="H97" s="340"/>
      <c r="I97" s="897"/>
      <c r="J97" s="455"/>
      <c r="K97" s="1668"/>
      <c r="L97" s="340"/>
      <c r="M97" s="901"/>
      <c r="O97" s="1668"/>
      <c r="P97" s="340"/>
      <c r="Q97" s="901"/>
      <c r="R97" s="592"/>
      <c r="S97" s="2341"/>
      <c r="T97" s="340"/>
      <c r="U97" s="2344"/>
      <c r="V97" s="952"/>
      <c r="W97" s="2343"/>
      <c r="X97" s="340"/>
      <c r="Y97" s="2344"/>
      <c r="AA97" s="1668"/>
      <c r="AB97" s="340"/>
      <c r="AC97" s="2344"/>
    </row>
    <row r="98" spans="1:29" s="457" customFormat="1" x14ac:dyDescent="0.25">
      <c r="A98" s="897"/>
      <c r="B98" s="2385">
        <v>6400</v>
      </c>
      <c r="C98" s="2215" t="s">
        <v>329</v>
      </c>
      <c r="D98" s="340">
        <v>128790.95</v>
      </c>
      <c r="E98" s="2386"/>
      <c r="F98" s="340"/>
      <c r="G98" s="456"/>
      <c r="H98" s="340">
        <v>8700</v>
      </c>
      <c r="I98" s="897"/>
      <c r="J98" s="455"/>
      <c r="K98" s="456"/>
      <c r="L98" s="340">
        <v>0</v>
      </c>
      <c r="M98" s="901"/>
      <c r="O98" s="456"/>
      <c r="P98" s="340">
        <v>0</v>
      </c>
      <c r="Q98" s="901"/>
      <c r="R98" s="592"/>
      <c r="S98" s="2238"/>
      <c r="T98" s="340">
        <v>0</v>
      </c>
      <c r="U98" s="2344"/>
      <c r="V98" s="952"/>
      <c r="W98" s="2241"/>
      <c r="X98" s="340">
        <v>0</v>
      </c>
      <c r="Y98" s="2344"/>
      <c r="AA98" s="456"/>
      <c r="AB98" s="340">
        <v>0</v>
      </c>
      <c r="AC98" s="2344"/>
    </row>
    <row r="99" spans="1:29" s="457" customFormat="1" x14ac:dyDescent="0.25">
      <c r="A99" s="897"/>
      <c r="B99" s="2385">
        <v>6500</v>
      </c>
      <c r="C99" s="2215" t="s">
        <v>330</v>
      </c>
      <c r="D99" s="340">
        <v>14023.9</v>
      </c>
      <c r="E99" s="2386"/>
      <c r="F99" s="340"/>
      <c r="G99" s="456"/>
      <c r="H99" s="340">
        <v>0</v>
      </c>
      <c r="I99" s="897"/>
      <c r="J99" s="455"/>
      <c r="K99" s="456"/>
      <c r="L99" s="340">
        <v>0</v>
      </c>
      <c r="M99" s="901"/>
      <c r="O99" s="456"/>
      <c r="P99" s="340">
        <v>0</v>
      </c>
      <c r="Q99" s="901"/>
      <c r="R99" s="592"/>
      <c r="S99" s="2238"/>
      <c r="T99" s="340">
        <v>0</v>
      </c>
      <c r="U99" s="2344"/>
      <c r="V99" s="952"/>
      <c r="W99" s="2241"/>
      <c r="X99" s="340">
        <v>0</v>
      </c>
      <c r="Y99" s="2344"/>
      <c r="AA99" s="456"/>
      <c r="AB99" s="340">
        <v>0</v>
      </c>
      <c r="AC99" s="2344"/>
    </row>
    <row r="100" spans="1:29" s="457" customFormat="1" x14ac:dyDescent="0.25">
      <c r="A100" s="897"/>
      <c r="B100" s="2337"/>
      <c r="C100" s="2215"/>
      <c r="D100" s="340">
        <v>0</v>
      </c>
      <c r="E100" s="2386"/>
      <c r="F100" s="340"/>
      <c r="G100" s="456"/>
      <c r="H100" s="340">
        <v>0</v>
      </c>
      <c r="I100" s="897"/>
      <c r="J100" s="455"/>
      <c r="K100" s="456"/>
      <c r="L100" s="340">
        <v>0</v>
      </c>
      <c r="M100" s="901"/>
      <c r="O100" s="456"/>
      <c r="P100" s="340">
        <v>0</v>
      </c>
      <c r="Q100" s="901"/>
      <c r="R100" s="592"/>
      <c r="S100" s="2238"/>
      <c r="T100" s="340">
        <v>0</v>
      </c>
      <c r="U100" s="2344"/>
      <c r="V100" s="952"/>
      <c r="W100" s="2241"/>
      <c r="X100" s="340">
        <v>0</v>
      </c>
      <c r="Y100" s="2344"/>
      <c r="AA100" s="456"/>
      <c r="AB100" s="340">
        <v>0</v>
      </c>
      <c r="AC100" s="2344"/>
    </row>
    <row r="101" spans="1:29" s="457" customFormat="1" x14ac:dyDescent="0.25">
      <c r="A101" s="897"/>
      <c r="B101" s="2337"/>
      <c r="C101" s="2215"/>
      <c r="D101" s="2442">
        <f>SUM(D98:D100)</f>
        <v>142814.85</v>
      </c>
      <c r="E101" s="2386"/>
      <c r="F101" s="340"/>
      <c r="G101" s="456"/>
      <c r="H101" s="2442">
        <f>SUM(H98:H100)</f>
        <v>8700</v>
      </c>
      <c r="I101" s="2316">
        <f>+H101-D101</f>
        <v>-134114.85</v>
      </c>
      <c r="J101" s="455"/>
      <c r="K101" s="456"/>
      <c r="L101" s="2442">
        <f>SUM(L98:L100)</f>
        <v>0</v>
      </c>
      <c r="M101" s="2316">
        <f>+L101-H101</f>
        <v>-8700</v>
      </c>
      <c r="O101" s="456"/>
      <c r="P101" s="2442">
        <f>SUM(P98:P100)</f>
        <v>0</v>
      </c>
      <c r="Q101" s="2316">
        <f>+P101-L101</f>
        <v>0</v>
      </c>
      <c r="R101" s="592"/>
      <c r="S101" s="2238"/>
      <c r="T101" s="2368">
        <f>SUM(T98:T100)</f>
        <v>0</v>
      </c>
      <c r="U101" s="2344"/>
      <c r="V101" s="952"/>
      <c r="W101" s="2241"/>
      <c r="X101" s="2368">
        <f>SUM(X98:X100)</f>
        <v>0</v>
      </c>
      <c r="Y101" s="2344"/>
      <c r="AA101" s="456"/>
      <c r="AB101" s="2368">
        <f>SUM(AB98:AB100)</f>
        <v>0</v>
      </c>
      <c r="AC101" s="2344"/>
    </row>
    <row r="102" spans="1:29" s="457" customFormat="1" x14ac:dyDescent="0.25">
      <c r="A102" s="897"/>
      <c r="B102" s="2345"/>
      <c r="C102" s="1656"/>
      <c r="D102" s="340"/>
      <c r="E102" s="2386"/>
      <c r="F102" s="340"/>
      <c r="G102" s="2338"/>
      <c r="H102" s="340"/>
      <c r="I102" s="897"/>
      <c r="J102" s="455"/>
      <c r="K102" s="1668"/>
      <c r="L102" s="340"/>
      <c r="M102" s="901"/>
      <c r="O102" s="1668"/>
      <c r="P102" s="340"/>
      <c r="Q102" s="901"/>
      <c r="R102" s="592"/>
      <c r="S102" s="2341"/>
      <c r="T102" s="340"/>
      <c r="U102" s="2344"/>
      <c r="V102" s="952"/>
      <c r="W102" s="2343"/>
      <c r="X102" s="340"/>
      <c r="Y102" s="2344"/>
      <c r="AA102" s="1668"/>
      <c r="AB102" s="340"/>
      <c r="AC102" s="2344"/>
    </row>
    <row r="103" spans="1:29" s="457" customFormat="1" x14ac:dyDescent="0.25">
      <c r="A103" s="898"/>
      <c r="B103" s="2337" t="s">
        <v>0</v>
      </c>
      <c r="C103" s="1656"/>
      <c r="D103" s="458">
        <f>SUM(D95,D73,D59,D13)</f>
        <v>837575.64</v>
      </c>
      <c r="E103" s="2386"/>
      <c r="F103" s="340"/>
      <c r="G103" s="456">
        <f>IF(D103=0,"0.00%",(H103-D103)/D103)</f>
        <v>0.14760859090887599</v>
      </c>
      <c r="H103" s="458">
        <f>SUM(H95,H73,H59,H13,H101)</f>
        <v>961209</v>
      </c>
      <c r="I103" s="2316">
        <f>+H103-D103</f>
        <v>123633.35999999999</v>
      </c>
      <c r="J103" s="459"/>
      <c r="K103" s="456">
        <f>IF(H103=0,"0.00%",(L103-H103)/H103)</f>
        <v>0.11164169290965857</v>
      </c>
      <c r="L103" s="458">
        <f>SUM(L95,L73,L59,L13)</f>
        <v>1068520</v>
      </c>
      <c r="M103" s="2316">
        <f>+L103-H103</f>
        <v>107311</v>
      </c>
      <c r="O103" s="456">
        <f>IF(L103=0,"0.00%",(P103-L103)/L103)</f>
        <v>3.9586530902556809E-2</v>
      </c>
      <c r="P103" s="458">
        <f>SUM(P95,P73,P59,P13)</f>
        <v>1110819</v>
      </c>
      <c r="Q103" s="2316">
        <f>+P103-L103</f>
        <v>42299</v>
      </c>
      <c r="R103" s="592"/>
      <c r="S103" s="2238">
        <f>IF(P103=0,"0.00%",(T103-P103)/P103)</f>
        <v>3.4665413537218935E-2</v>
      </c>
      <c r="T103" s="458">
        <f>SUM(T95,T73,T59,T13)</f>
        <v>1149326</v>
      </c>
      <c r="U103" s="2344"/>
      <c r="V103" s="952"/>
      <c r="W103" s="2241">
        <f>IF(T103=0,"0.00%",(X103-T103)/T103)</f>
        <v>-0.10656245486485122</v>
      </c>
      <c r="X103" s="458">
        <f>SUM(X95,X73,X59,X13)</f>
        <v>1026851</v>
      </c>
      <c r="Y103" s="2344"/>
      <c r="AA103" s="456" t="e">
        <f>IF(X103=0,"0.00%",(AB103-X103)/X103)</f>
        <v>#VALUE!</v>
      </c>
      <c r="AB103" s="458" t="e">
        <f>SUM(AB95,AB73,AB59,AB13)</f>
        <v>#VALUE!</v>
      </c>
      <c r="AC103" s="2344"/>
    </row>
    <row r="104" spans="1:29" s="457" customFormat="1" x14ac:dyDescent="0.25">
      <c r="A104" s="897"/>
      <c r="B104" s="2345"/>
      <c r="C104" s="1656"/>
      <c r="D104" s="340"/>
      <c r="E104" s="2386"/>
      <c r="F104" s="340"/>
      <c r="G104" s="2338"/>
      <c r="H104" s="340"/>
      <c r="I104" s="897"/>
      <c r="J104" s="455"/>
      <c r="K104" s="1668"/>
      <c r="L104" s="340"/>
      <c r="M104" s="901"/>
      <c r="O104" s="1668"/>
      <c r="P104" s="340"/>
      <c r="Q104" s="901"/>
      <c r="R104" s="592"/>
      <c r="S104" s="2341"/>
      <c r="T104" s="340"/>
      <c r="U104" s="2344"/>
      <c r="V104" s="952"/>
      <c r="W104" s="2343"/>
      <c r="X104" s="340"/>
      <c r="Y104" s="2344"/>
      <c r="AA104" s="1668"/>
      <c r="AB104" s="340"/>
      <c r="AC104" s="2344"/>
    </row>
    <row r="105" spans="1:29" s="457" customFormat="1" x14ac:dyDescent="0.25">
      <c r="A105" s="897"/>
      <c r="B105" s="2337" t="s">
        <v>138</v>
      </c>
      <c r="C105" s="1656"/>
      <c r="D105" s="833">
        <f>D11-D103</f>
        <v>-2095.1999999999534</v>
      </c>
      <c r="E105" s="1656"/>
      <c r="G105" s="456">
        <f>IF(D105=0,"0.00%",(H105-D105)/D105)</f>
        <v>5.0496372661344463E-2</v>
      </c>
      <c r="H105" s="833">
        <f>H11-H103</f>
        <v>-2201</v>
      </c>
      <c r="I105" s="897"/>
      <c r="J105" s="455"/>
      <c r="K105" s="456">
        <f>IF(H105=0,"0.00%",(L105-H105)/H105)</f>
        <v>-1</v>
      </c>
      <c r="L105" s="833">
        <f>L11-L103</f>
        <v>0</v>
      </c>
      <c r="M105" s="901"/>
      <c r="O105" s="456" t="str">
        <f>IF(L105=0,"0.00%",(P105-L105)/L105)</f>
        <v>0.00%</v>
      </c>
      <c r="P105" s="833">
        <f>P11-P103</f>
        <v>2201</v>
      </c>
      <c r="Q105" s="901"/>
      <c r="R105" s="592"/>
      <c r="S105" s="2238">
        <f>IF(P105=0,"0.00%",(T105-P105)/P105)</f>
        <v>-1</v>
      </c>
      <c r="T105" s="833">
        <f>T11-T103</f>
        <v>0</v>
      </c>
      <c r="U105" s="2344"/>
      <c r="V105" s="952"/>
      <c r="W105" s="2241" t="str">
        <f>IF(T105=0,"0.00%",(X105-T105)/T105)</f>
        <v>0.00%</v>
      </c>
      <c r="X105" s="833">
        <f>X11-X103</f>
        <v>-1026851</v>
      </c>
      <c r="Y105" s="2344"/>
      <c r="AA105" s="456" t="e">
        <f>IF(X105=0,"0.00%",(AB105-X105)/X105)</f>
        <v>#VALUE!</v>
      </c>
      <c r="AB105" s="833" t="e">
        <f>AB11-AB103</f>
        <v>#VALUE!</v>
      </c>
      <c r="AC105" s="2344"/>
    </row>
    <row r="106" spans="1:29" s="457" customFormat="1" x14ac:dyDescent="0.25">
      <c r="A106" s="1656"/>
      <c r="B106" s="2337"/>
      <c r="C106" s="2432"/>
      <c r="D106" s="833"/>
      <c r="E106" s="1656"/>
      <c r="G106" s="2338"/>
      <c r="H106" s="833"/>
      <c r="I106" s="897"/>
      <c r="J106" s="455"/>
      <c r="K106" s="1668"/>
      <c r="L106" s="833"/>
      <c r="M106" s="901"/>
      <c r="O106" s="1668"/>
      <c r="P106" s="833"/>
      <c r="Q106" s="901"/>
      <c r="R106" s="592"/>
      <c r="S106" s="2341"/>
      <c r="T106" s="2356"/>
      <c r="U106" s="2344"/>
      <c r="V106" s="952"/>
      <c r="W106" s="2343"/>
      <c r="X106" s="2356"/>
      <c r="Y106" s="2344"/>
      <c r="AA106" s="1668"/>
      <c r="AB106" s="2356"/>
      <c r="AC106" s="2344"/>
    </row>
    <row r="107" spans="1:29" s="457" customFormat="1" x14ac:dyDescent="0.25">
      <c r="A107" s="1656"/>
      <c r="B107" s="2337" t="s">
        <v>136</v>
      </c>
      <c r="C107" s="2443"/>
      <c r="D107" s="833">
        <f>D7+D105</f>
        <v>4.638422979041934E-11</v>
      </c>
      <c r="E107" s="1656"/>
      <c r="G107" s="456">
        <f>IF(D107=0,"0.00%",(H107-D107)/D107)</f>
        <v>-47451472406568.156</v>
      </c>
      <c r="H107" s="833">
        <f>H7+H105</f>
        <v>-2200.9999999999536</v>
      </c>
      <c r="I107" s="2316">
        <f>+H107-D107</f>
        <v>-2201</v>
      </c>
      <c r="J107" s="455"/>
      <c r="K107" s="456"/>
      <c r="L107" s="833">
        <f>L7+L105</f>
        <v>-2200.9999999999536</v>
      </c>
      <c r="M107" s="2316">
        <f>+L107-H107</f>
        <v>0</v>
      </c>
      <c r="O107" s="456">
        <f>IF(L107=0,"0.00%",(P107-L107)/L107)</f>
        <v>-1.0000000000000211</v>
      </c>
      <c r="P107" s="833">
        <f>P7+P105</f>
        <v>4.638422979041934E-11</v>
      </c>
      <c r="Q107" s="2316">
        <f>+P107-L107</f>
        <v>2201</v>
      </c>
      <c r="R107" s="592"/>
      <c r="S107" s="2238">
        <f>IF(P107=0,"0.00%",(T107-P107)/P107)</f>
        <v>0</v>
      </c>
      <c r="T107" s="2367">
        <f>T7+T105</f>
        <v>4.638422979041934E-11</v>
      </c>
      <c r="U107" s="2344"/>
      <c r="V107" s="952"/>
      <c r="W107" s="2241">
        <f>IF(T107=0,"0.00%",(X107-T107)/T107)</f>
        <v>-2.2137933617517908E+16</v>
      </c>
      <c r="X107" s="2367">
        <f>X7+X105</f>
        <v>-1026851</v>
      </c>
      <c r="Y107" s="2344"/>
      <c r="AA107" s="456" t="e">
        <f>IF(X107=0,"0.00%",(AB107-X107)/X107)</f>
        <v>#VALUE!</v>
      </c>
      <c r="AB107" s="2367" t="e">
        <f>AB7+AB105</f>
        <v>#VALUE!</v>
      </c>
      <c r="AC107" s="2344"/>
    </row>
    <row r="108" spans="1:29" s="457" customFormat="1" x14ac:dyDescent="0.25">
      <c r="A108" s="1656"/>
      <c r="B108" s="2345"/>
      <c r="C108" s="900"/>
      <c r="D108" s="340"/>
      <c r="E108" s="1656"/>
      <c r="G108" s="2355"/>
      <c r="H108" s="459"/>
      <c r="I108" s="898"/>
      <c r="J108" s="459"/>
      <c r="K108" s="1668"/>
      <c r="L108" s="459"/>
      <c r="M108" s="901"/>
      <c r="O108" s="1668"/>
      <c r="P108" s="459"/>
      <c r="Q108" s="901"/>
      <c r="R108" s="592"/>
      <c r="S108" s="2341"/>
      <c r="T108" s="459"/>
      <c r="U108" s="2344"/>
      <c r="V108" s="952"/>
      <c r="W108" s="2343"/>
      <c r="X108" s="459"/>
      <c r="Y108" s="2344"/>
      <c r="AA108" s="1668"/>
      <c r="AB108" s="459"/>
      <c r="AC108" s="2344"/>
    </row>
    <row r="109" spans="1:29" s="457" customFormat="1" x14ac:dyDescent="0.25">
      <c r="A109" s="1656"/>
      <c r="B109" s="2345"/>
      <c r="C109" s="2339"/>
      <c r="D109" s="340"/>
      <c r="E109" s="1656"/>
      <c r="G109" s="2355"/>
      <c r="H109" s="455"/>
      <c r="I109" s="897"/>
      <c r="J109" s="455"/>
      <c r="K109" s="1668"/>
      <c r="L109" s="340"/>
      <c r="M109" s="901"/>
      <c r="O109" s="1668"/>
      <c r="P109" s="340"/>
      <c r="Q109" s="901"/>
      <c r="R109" s="592"/>
      <c r="S109" s="2341"/>
      <c r="T109" s="340"/>
      <c r="U109" s="2344"/>
      <c r="V109" s="952"/>
      <c r="W109" s="2343"/>
      <c r="X109" s="340"/>
      <c r="Y109" s="2344"/>
      <c r="AA109" s="1668"/>
      <c r="AB109" s="340"/>
      <c r="AC109" s="2344"/>
    </row>
    <row r="110" spans="1:29" s="457" customFormat="1" x14ac:dyDescent="0.25">
      <c r="A110" s="1656"/>
      <c r="B110" s="2345"/>
      <c r="C110" s="2339"/>
      <c r="D110" s="340"/>
      <c r="E110" s="1656"/>
      <c r="G110" s="2355"/>
      <c r="H110" s="455"/>
      <c r="I110" s="897"/>
      <c r="J110" s="455"/>
      <c r="K110" s="1668"/>
      <c r="L110" s="340"/>
      <c r="M110" s="901"/>
      <c r="O110" s="1668"/>
      <c r="P110" s="340"/>
      <c r="Q110" s="901"/>
      <c r="R110" s="592"/>
      <c r="S110" s="2341"/>
      <c r="T110" s="340"/>
      <c r="U110" s="2344"/>
      <c r="V110" s="952"/>
      <c r="W110" s="2343"/>
      <c r="X110" s="340"/>
      <c r="Y110" s="2344"/>
      <c r="AA110" s="1668"/>
      <c r="AB110" s="340"/>
      <c r="AC110" s="2344"/>
    </row>
    <row r="111" spans="1:29" s="457" customFormat="1" x14ac:dyDescent="0.25">
      <c r="A111" s="1656"/>
      <c r="B111" s="2345"/>
      <c r="C111" s="2339"/>
      <c r="D111" s="340"/>
      <c r="E111" s="1656"/>
      <c r="G111" s="2355"/>
      <c r="H111" s="455"/>
      <c r="I111" s="897"/>
      <c r="J111" s="455"/>
      <c r="K111" s="1668"/>
      <c r="L111" s="340"/>
      <c r="M111" s="901"/>
      <c r="O111" s="1668"/>
      <c r="P111" s="340"/>
      <c r="Q111" s="901"/>
      <c r="R111" s="592"/>
      <c r="S111" s="2341"/>
      <c r="T111" s="340"/>
      <c r="U111" s="2344"/>
      <c r="V111" s="952"/>
      <c r="W111" s="2343"/>
      <c r="X111" s="340"/>
      <c r="Y111" s="2344"/>
      <c r="AA111" s="1668"/>
      <c r="AB111" s="340"/>
      <c r="AC111" s="2344"/>
    </row>
    <row r="112" spans="1:29" s="457" customFormat="1" x14ac:dyDescent="0.25">
      <c r="A112" s="1656"/>
      <c r="B112" s="2345"/>
      <c r="C112" s="2339"/>
      <c r="D112" s="340"/>
      <c r="E112" s="1656"/>
      <c r="G112" s="2355"/>
      <c r="H112" s="455"/>
      <c r="I112" s="897"/>
      <c r="J112" s="455"/>
      <c r="K112" s="1668"/>
      <c r="L112" s="340"/>
      <c r="M112" s="901"/>
      <c r="O112" s="1668"/>
      <c r="P112" s="340"/>
      <c r="Q112" s="901"/>
      <c r="R112" s="592"/>
      <c r="S112" s="2341"/>
      <c r="T112" s="340"/>
      <c r="U112" s="2344"/>
      <c r="V112" s="952"/>
      <c r="W112" s="2343"/>
      <c r="X112" s="340"/>
      <c r="Y112" s="2344"/>
      <c r="AA112" s="1668"/>
      <c r="AB112" s="340"/>
      <c r="AC112" s="2344"/>
    </row>
    <row r="113" spans="1:29" s="2402" customFormat="1" ht="11.25" x14ac:dyDescent="0.2">
      <c r="A113" s="2363"/>
      <c r="B113" s="2395"/>
      <c r="C113" s="2444" t="s">
        <v>221</v>
      </c>
      <c r="D113" s="2397">
        <f>+D95+D73+D57+D45+D32</f>
        <v>837575.64000000013</v>
      </c>
      <c r="E113" s="2363"/>
      <c r="G113" s="2399" t="s">
        <v>221</v>
      </c>
      <c r="H113" s="2397">
        <f>+H95+H73+H57+H45+H32</f>
        <v>952509</v>
      </c>
      <c r="I113" s="2400"/>
      <c r="J113" s="607"/>
      <c r="K113" s="2399" t="s">
        <v>221</v>
      </c>
      <c r="L113" s="2397">
        <f>+L95+L73+L57+L45+L32</f>
        <v>1068520</v>
      </c>
      <c r="M113" s="2404"/>
      <c r="O113" s="2399" t="s">
        <v>221</v>
      </c>
      <c r="P113" s="2397">
        <f>+P95+P73+P57+P45+P32</f>
        <v>1110819</v>
      </c>
      <c r="Q113" s="2404"/>
      <c r="R113" s="608"/>
      <c r="S113" s="2405" t="s">
        <v>221</v>
      </c>
      <c r="T113" s="2397">
        <f>+T95+T73+T57+T45+T32</f>
        <v>1149326</v>
      </c>
      <c r="U113" s="2409"/>
      <c r="V113" s="2407"/>
      <c r="W113" s="2408" t="s">
        <v>221</v>
      </c>
      <c r="X113" s="2397">
        <f>+X95+X73+X57+X45+X32</f>
        <v>1026851</v>
      </c>
      <c r="Y113" s="2409"/>
      <c r="AA113" s="2399" t="s">
        <v>221</v>
      </c>
      <c r="AB113" s="2397" t="e">
        <f>+AB95+AB73+AB57+AB45+AB32</f>
        <v>#VALUE!</v>
      </c>
      <c r="AC113" s="2409"/>
    </row>
    <row r="114" spans="1:29" s="2402" customFormat="1" ht="11.25" x14ac:dyDescent="0.2">
      <c r="A114" s="2413"/>
      <c r="B114" s="2395"/>
      <c r="C114" s="2445" t="s">
        <v>222</v>
      </c>
      <c r="D114" s="2412">
        <f>+D13</f>
        <v>0</v>
      </c>
      <c r="E114" s="2419"/>
      <c r="F114" s="2410"/>
      <c r="G114" s="2415" t="s">
        <v>222</v>
      </c>
      <c r="H114" s="2412">
        <f>+H13</f>
        <v>0</v>
      </c>
      <c r="I114" s="2398"/>
      <c r="J114" s="608"/>
      <c r="K114" s="2415" t="s">
        <v>222</v>
      </c>
      <c r="L114" s="2412">
        <f>+L13</f>
        <v>0</v>
      </c>
      <c r="M114" s="2404"/>
      <c r="O114" s="2415" t="s">
        <v>222</v>
      </c>
      <c r="P114" s="2412">
        <f>+P13</f>
        <v>0</v>
      </c>
      <c r="Q114" s="2363"/>
      <c r="R114" s="608"/>
      <c r="S114" s="2416" t="s">
        <v>222</v>
      </c>
      <c r="T114" s="2412">
        <f>+T13</f>
        <v>0</v>
      </c>
      <c r="V114" s="2407"/>
      <c r="W114" s="2417" t="s">
        <v>222</v>
      </c>
      <c r="X114" s="2412">
        <f>+X13</f>
        <v>0</v>
      </c>
      <c r="AA114" s="2415" t="s">
        <v>222</v>
      </c>
      <c r="AB114" s="2412">
        <f>+AB13</f>
        <v>0</v>
      </c>
    </row>
    <row r="115" spans="1:29" s="2402" customFormat="1" ht="11.25" x14ac:dyDescent="0.2">
      <c r="A115" s="2413"/>
      <c r="B115" s="2395"/>
      <c r="C115" s="2445"/>
      <c r="D115" s="2418">
        <f>+D113+D114</f>
        <v>837575.64000000013</v>
      </c>
      <c r="E115" s="2419"/>
      <c r="F115" s="2410"/>
      <c r="G115" s="2415"/>
      <c r="H115" s="2418">
        <f>+H113+H114</f>
        <v>952509</v>
      </c>
      <c r="I115" s="2398"/>
      <c r="J115" s="608"/>
      <c r="K115" s="2415"/>
      <c r="L115" s="2418">
        <f>+L113+L114</f>
        <v>1068520</v>
      </c>
      <c r="M115" s="2363"/>
      <c r="O115" s="2415"/>
      <c r="P115" s="2418">
        <f>+P113+P114</f>
        <v>1110819</v>
      </c>
      <c r="Q115" s="2363"/>
      <c r="R115" s="608"/>
      <c r="S115" s="2416"/>
      <c r="T115" s="2418">
        <f>+T113+T114</f>
        <v>1149326</v>
      </c>
      <c r="V115" s="2407"/>
      <c r="W115" s="2417"/>
      <c r="X115" s="2418">
        <f>+X113+X114</f>
        <v>1026851</v>
      </c>
      <c r="AA115" s="2415"/>
      <c r="AB115" s="2418" t="e">
        <f>+AB113+AB114</f>
        <v>#VALUE!</v>
      </c>
    </row>
    <row r="116" spans="1:29" s="457" customFormat="1" ht="15" customHeight="1" x14ac:dyDescent="0.25">
      <c r="A116" s="897"/>
      <c r="B116" s="2422"/>
      <c r="C116" s="2446"/>
      <c r="D116" s="459">
        <f>+D103-D115</f>
        <v>0</v>
      </c>
      <c r="E116" s="2386"/>
      <c r="F116" s="340"/>
      <c r="G116" s="2447"/>
      <c r="H116" s="459">
        <f>+H103-H115</f>
        <v>8700</v>
      </c>
      <c r="I116" s="2339"/>
      <c r="J116" s="592"/>
      <c r="K116" s="2447"/>
      <c r="L116" s="459">
        <f>+L103-L115</f>
        <v>0</v>
      </c>
      <c r="M116" s="1656"/>
      <c r="O116" s="2447"/>
      <c r="P116" s="459">
        <f>+P103-P115</f>
        <v>0</v>
      </c>
      <c r="Q116" s="1656"/>
      <c r="R116" s="592"/>
      <c r="S116" s="2447"/>
      <c r="T116" s="459">
        <f>+T103-T115</f>
        <v>0</v>
      </c>
      <c r="V116" s="952"/>
      <c r="W116" s="2448"/>
      <c r="X116" s="459">
        <f>+X103-X115</f>
        <v>0</v>
      </c>
      <c r="AA116" s="2447"/>
      <c r="AB116" s="459" t="e">
        <f>+AB103-AB115</f>
        <v>#VALUE!</v>
      </c>
    </row>
    <row r="117" spans="1:29" s="457" customFormat="1" x14ac:dyDescent="0.25">
      <c r="A117" s="897"/>
      <c r="B117" s="2422"/>
      <c r="C117" s="2446"/>
      <c r="D117" s="455"/>
      <c r="E117" s="2386"/>
      <c r="F117" s="340"/>
      <c r="G117" s="2338"/>
      <c r="H117" s="2424"/>
      <c r="I117" s="2339"/>
      <c r="J117" s="592"/>
      <c r="K117" s="1668"/>
      <c r="L117" s="2370"/>
      <c r="M117" s="1656"/>
      <c r="O117" s="1668"/>
      <c r="P117" s="340"/>
      <c r="Q117" s="1656"/>
      <c r="R117" s="592"/>
      <c r="S117" s="2341"/>
      <c r="V117" s="952"/>
      <c r="W117" s="2343"/>
      <c r="AA117" s="1668"/>
    </row>
    <row r="118" spans="1:29" s="457" customFormat="1" x14ac:dyDescent="0.25">
      <c r="A118" s="897"/>
      <c r="B118" s="2394"/>
      <c r="C118" s="2339"/>
      <c r="D118" s="342"/>
      <c r="E118" s="2386"/>
      <c r="F118" s="340"/>
      <c r="G118" s="2338"/>
      <c r="H118" s="2424"/>
      <c r="I118" s="2339"/>
      <c r="J118" s="592"/>
      <c r="K118" s="1668"/>
      <c r="L118" s="2370"/>
      <c r="M118" s="1656"/>
      <c r="O118" s="1668"/>
      <c r="P118" s="340"/>
      <c r="Q118" s="1656"/>
      <c r="R118" s="592"/>
      <c r="S118" s="2341"/>
      <c r="V118" s="952"/>
      <c r="W118" s="2343"/>
      <c r="AA118" s="1668"/>
    </row>
    <row r="119" spans="1:29" s="457" customFormat="1" x14ac:dyDescent="0.25">
      <c r="A119" s="1656"/>
      <c r="B119" s="2394"/>
      <c r="C119" s="2339"/>
      <c r="D119" s="455"/>
      <c r="E119" s="1656"/>
      <c r="G119" s="2338"/>
      <c r="H119" s="2424"/>
      <c r="I119" s="2339"/>
      <c r="J119" s="592"/>
      <c r="K119" s="1668"/>
      <c r="L119" s="2370"/>
      <c r="M119" s="1656"/>
      <c r="O119" s="1668"/>
      <c r="P119" s="340"/>
      <c r="Q119" s="1656"/>
      <c r="R119" s="592"/>
      <c r="S119" s="2341"/>
      <c r="V119" s="952"/>
      <c r="W119" s="2343"/>
      <c r="AA119" s="1668"/>
    </row>
    <row r="120" spans="1:29" s="457" customFormat="1" x14ac:dyDescent="0.25">
      <c r="A120" s="1656"/>
      <c r="B120" s="2394"/>
      <c r="C120" s="2339"/>
      <c r="D120" s="455"/>
      <c r="E120" s="1656"/>
      <c r="G120" s="2338"/>
      <c r="H120" s="2424"/>
      <c r="I120" s="2339"/>
      <c r="J120" s="592"/>
      <c r="K120" s="1668"/>
      <c r="L120" s="2370"/>
      <c r="M120" s="1656"/>
      <c r="O120" s="1668"/>
      <c r="P120" s="340"/>
      <c r="Q120" s="1656"/>
      <c r="R120" s="592"/>
      <c r="S120" s="2341"/>
      <c r="V120" s="952"/>
      <c r="W120" s="2343"/>
      <c r="AA120" s="1668"/>
    </row>
    <row r="121" spans="1:29" s="457" customFormat="1" ht="15" customHeight="1" x14ac:dyDescent="0.25">
      <c r="A121" s="1656"/>
      <c r="B121" s="2394"/>
      <c r="C121" s="2339"/>
      <c r="D121" s="455"/>
      <c r="E121" s="1656"/>
      <c r="G121" s="2338"/>
      <c r="H121" s="2424"/>
      <c r="I121" s="2339"/>
      <c r="J121" s="592"/>
      <c r="K121" s="1668"/>
      <c r="L121" s="2370"/>
      <c r="M121" s="1656"/>
      <c r="O121" s="1668"/>
      <c r="P121" s="340"/>
      <c r="Q121" s="1656"/>
      <c r="R121" s="592"/>
      <c r="S121" s="2341"/>
      <c r="V121" s="952"/>
      <c r="W121" s="2343"/>
      <c r="AA121" s="1668"/>
    </row>
    <row r="122" spans="1:29" s="457" customFormat="1" x14ac:dyDescent="0.25">
      <c r="A122" s="1656"/>
      <c r="B122" s="2394"/>
      <c r="C122" s="2339"/>
      <c r="D122" s="455"/>
      <c r="E122" s="1656"/>
      <c r="G122" s="2338"/>
      <c r="H122" s="2424"/>
      <c r="I122" s="2339"/>
      <c r="J122" s="592"/>
      <c r="K122" s="1668"/>
      <c r="L122" s="2370"/>
      <c r="M122" s="1656"/>
      <c r="O122" s="1668"/>
      <c r="P122" s="340"/>
      <c r="Q122" s="1656"/>
      <c r="R122" s="592"/>
      <c r="S122" s="2341"/>
      <c r="V122" s="952"/>
      <c r="W122" s="2343"/>
      <c r="AA122" s="1668"/>
    </row>
    <row r="123" spans="1:29" s="457" customFormat="1" x14ac:dyDescent="0.25">
      <c r="A123" s="1656"/>
      <c r="B123" s="2394"/>
      <c r="C123" s="2339"/>
      <c r="D123" s="455"/>
      <c r="E123" s="1656"/>
      <c r="G123" s="2338"/>
      <c r="H123" s="2424"/>
      <c r="I123" s="2339"/>
      <c r="J123" s="592"/>
      <c r="K123" s="1668"/>
      <c r="L123" s="2370"/>
      <c r="M123" s="1656"/>
      <c r="O123" s="1668"/>
      <c r="P123" s="340"/>
      <c r="Q123" s="1656"/>
      <c r="R123" s="592"/>
      <c r="S123" s="2341"/>
      <c r="V123" s="952"/>
      <c r="W123" s="2343"/>
      <c r="AA123" s="1668"/>
    </row>
    <row r="124" spans="1:29" s="457" customFormat="1" ht="15" customHeight="1" x14ac:dyDescent="0.25">
      <c r="A124" s="1656"/>
      <c r="B124" s="2565"/>
      <c r="C124" s="2565"/>
      <c r="D124" s="455"/>
      <c r="E124" s="1656"/>
      <c r="G124" s="2338"/>
      <c r="H124" s="2424"/>
      <c r="I124" s="2339"/>
      <c r="J124" s="592"/>
      <c r="K124" s="1668"/>
      <c r="L124" s="2370"/>
      <c r="M124" s="1656"/>
      <c r="O124" s="1668"/>
      <c r="P124" s="340"/>
      <c r="Q124" s="1656"/>
      <c r="R124" s="592"/>
      <c r="S124" s="2341"/>
      <c r="V124" s="952"/>
      <c r="W124" s="2343"/>
      <c r="AA124" s="1668"/>
    </row>
    <row r="125" spans="1:29" s="457" customFormat="1" x14ac:dyDescent="0.25">
      <c r="A125" s="1656"/>
      <c r="B125" s="2565"/>
      <c r="C125" s="2565"/>
      <c r="D125" s="455"/>
      <c r="E125" s="1656"/>
      <c r="G125" s="2338"/>
      <c r="H125" s="2424"/>
      <c r="I125" s="2339"/>
      <c r="J125" s="592"/>
      <c r="K125" s="1668"/>
      <c r="L125" s="2370"/>
      <c r="M125" s="1656"/>
      <c r="O125" s="1668"/>
      <c r="P125" s="340"/>
      <c r="Q125" s="1656"/>
      <c r="R125" s="592"/>
      <c r="S125" s="2341"/>
      <c r="V125" s="952"/>
      <c r="W125" s="2343"/>
      <c r="AA125" s="1668"/>
    </row>
    <row r="126" spans="1:29" s="457" customFormat="1" x14ac:dyDescent="0.25">
      <c r="A126" s="1656"/>
      <c r="B126" s="2394"/>
      <c r="C126" s="2339"/>
      <c r="D126" s="460"/>
      <c r="E126" s="1656"/>
      <c r="G126" s="2338"/>
      <c r="H126" s="2424"/>
      <c r="I126" s="2339"/>
      <c r="J126" s="592"/>
      <c r="K126" s="1668"/>
      <c r="L126" s="2370"/>
      <c r="M126" s="1656"/>
      <c r="O126" s="1668"/>
      <c r="P126" s="340"/>
      <c r="Q126" s="1656"/>
      <c r="R126" s="592"/>
      <c r="S126" s="2341"/>
      <c r="V126" s="952"/>
      <c r="W126" s="2343"/>
      <c r="AA126" s="1668"/>
    </row>
    <row r="127" spans="1:29" s="457" customFormat="1" x14ac:dyDescent="0.25">
      <c r="A127" s="1656"/>
      <c r="B127" s="2394"/>
      <c r="C127" s="2339"/>
      <c r="D127" s="455"/>
      <c r="E127" s="1656"/>
      <c r="G127" s="2338"/>
      <c r="H127" s="2424"/>
      <c r="I127" s="2339"/>
      <c r="J127" s="592"/>
      <c r="K127" s="1668"/>
      <c r="L127" s="2370"/>
      <c r="M127" s="1656"/>
      <c r="O127" s="1668"/>
      <c r="P127" s="340"/>
      <c r="Q127" s="1656"/>
      <c r="R127" s="592"/>
      <c r="S127" s="2341"/>
      <c r="V127" s="952"/>
      <c r="W127" s="2343"/>
      <c r="AA127" s="1668"/>
    </row>
    <row r="128" spans="1:29" s="457" customFormat="1" x14ac:dyDescent="0.25">
      <c r="A128" s="1656"/>
      <c r="B128" s="2394"/>
      <c r="C128" s="2339"/>
      <c r="D128" s="455"/>
      <c r="E128" s="1656"/>
      <c r="G128" s="2338"/>
      <c r="H128" s="2424"/>
      <c r="I128" s="2339"/>
      <c r="J128" s="592"/>
      <c r="K128" s="1668"/>
      <c r="L128" s="2370"/>
      <c r="M128" s="1656"/>
      <c r="O128" s="1668"/>
      <c r="P128" s="340"/>
      <c r="Q128" s="1656"/>
      <c r="R128" s="592"/>
      <c r="S128" s="2341"/>
      <c r="V128" s="952"/>
      <c r="W128" s="2343"/>
      <c r="AA128" s="1668"/>
    </row>
    <row r="129" spans="1:27" s="457" customFormat="1" ht="28.5" customHeight="1" x14ac:dyDescent="0.25">
      <c r="A129" s="1656"/>
      <c r="B129" s="2394"/>
      <c r="C129" s="2339"/>
      <c r="D129" s="342"/>
      <c r="E129" s="1656"/>
      <c r="G129" s="2338"/>
      <c r="H129" s="2424"/>
      <c r="I129" s="2339"/>
      <c r="J129" s="592"/>
      <c r="K129" s="1668"/>
      <c r="L129" s="2370"/>
      <c r="M129" s="1656"/>
      <c r="O129" s="1668"/>
      <c r="P129" s="340"/>
      <c r="Q129" s="1656"/>
      <c r="R129" s="592"/>
      <c r="S129" s="2341"/>
      <c r="V129" s="952"/>
      <c r="W129" s="2343"/>
      <c r="AA129" s="1668"/>
    </row>
    <row r="130" spans="1:27" s="457" customFormat="1" x14ac:dyDescent="0.25">
      <c r="A130" s="1656"/>
      <c r="B130" s="2394"/>
      <c r="C130" s="2339"/>
      <c r="D130" s="455"/>
      <c r="E130" s="1656"/>
      <c r="G130" s="2338"/>
      <c r="H130" s="2424"/>
      <c r="I130" s="2339"/>
      <c r="J130" s="592"/>
      <c r="K130" s="1668"/>
      <c r="L130" s="2370"/>
      <c r="M130" s="1656"/>
      <c r="O130" s="1668"/>
      <c r="P130" s="340"/>
      <c r="Q130" s="1656"/>
      <c r="R130" s="592"/>
      <c r="S130" s="2341"/>
      <c r="V130" s="952"/>
      <c r="W130" s="2343"/>
      <c r="AA130" s="1668"/>
    </row>
    <row r="131" spans="1:27" s="457" customFormat="1" x14ac:dyDescent="0.25">
      <c r="A131" s="1656"/>
      <c r="B131" s="2394"/>
      <c r="C131" s="2339"/>
      <c r="D131" s="455"/>
      <c r="E131" s="1656"/>
      <c r="G131" s="2338"/>
      <c r="H131" s="2424"/>
      <c r="I131" s="2339"/>
      <c r="J131" s="592"/>
      <c r="K131" s="1668"/>
      <c r="L131" s="2370"/>
      <c r="M131" s="1656"/>
      <c r="O131" s="1668"/>
      <c r="P131" s="340"/>
      <c r="Q131" s="1656"/>
      <c r="R131" s="592"/>
      <c r="S131" s="2341"/>
      <c r="V131" s="952"/>
      <c r="W131" s="2343"/>
      <c r="AA131" s="1668"/>
    </row>
    <row r="132" spans="1:27" x14ac:dyDescent="0.25">
      <c r="B132" s="2173"/>
      <c r="C132" s="853"/>
      <c r="D132" s="36"/>
    </row>
    <row r="133" spans="1:27" x14ac:dyDescent="0.25">
      <c r="B133" s="2173"/>
      <c r="C133" s="853"/>
      <c r="D133" s="36"/>
    </row>
    <row r="134" spans="1:27" x14ac:dyDescent="0.25">
      <c r="B134" s="2173"/>
      <c r="C134" s="853"/>
      <c r="D134" s="36"/>
    </row>
    <row r="135" spans="1:27" x14ac:dyDescent="0.25">
      <c r="B135" s="2173"/>
      <c r="C135" s="853"/>
      <c r="D135" s="36"/>
    </row>
    <row r="136" spans="1:27" x14ac:dyDescent="0.25">
      <c r="B136" s="2173"/>
      <c r="C136" s="853"/>
      <c r="D136" s="36"/>
    </row>
    <row r="137" spans="1:27" x14ac:dyDescent="0.25">
      <c r="B137" s="2173"/>
      <c r="C137" s="853"/>
      <c r="D137" s="36"/>
    </row>
    <row r="138" spans="1:27" x14ac:dyDescent="0.25">
      <c r="B138" s="2173"/>
      <c r="C138" s="853"/>
      <c r="D138" s="36"/>
    </row>
    <row r="139" spans="1:27" x14ac:dyDescent="0.25">
      <c r="B139" s="2173"/>
      <c r="C139" s="853"/>
      <c r="D139" s="36"/>
    </row>
    <row r="140" spans="1:27" x14ac:dyDescent="0.25">
      <c r="B140" s="2173"/>
      <c r="C140" s="853"/>
      <c r="D140" s="36"/>
    </row>
    <row r="141" spans="1:27" x14ac:dyDescent="0.25">
      <c r="B141" s="2173"/>
      <c r="C141" s="853"/>
      <c r="D141" s="36"/>
    </row>
    <row r="142" spans="1:27" x14ac:dyDescent="0.25">
      <c r="B142" s="2173"/>
      <c r="C142" s="853"/>
      <c r="D142" s="36"/>
    </row>
    <row r="143" spans="1:27" x14ac:dyDescent="0.25">
      <c r="B143" s="2173"/>
      <c r="C143" s="853"/>
      <c r="D143" s="36"/>
    </row>
    <row r="144" spans="1:27" x14ac:dyDescent="0.25">
      <c r="B144" s="2173"/>
      <c r="C144" s="853"/>
      <c r="D144" s="36"/>
    </row>
  </sheetData>
  <sheetProtection password="E247" sheet="1" objects="1" scenarios="1"/>
  <mergeCells count="1">
    <mergeCell ref="B124:C125"/>
  </mergeCells>
  <pageMargins left="0.25" right="0.25" top="0.5" bottom="0.5" header="0.25" footer="0.25"/>
  <pageSetup paperSize="5" scale="64" orientation="portrait" r:id="rId1"/>
  <headerFooter>
    <oddHeader>&amp;L&amp;F</oddHeader>
    <oddFooter>&amp;R&amp;A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fitToPage="1"/>
  </sheetPr>
  <dimension ref="A1:AC131"/>
  <sheetViews>
    <sheetView zoomScaleNormal="100" workbookViewId="0">
      <pane xSplit="3" ySplit="6" topLeftCell="H7" activePane="bottomRight" state="frozen"/>
      <selection activeCell="H7" sqref="H7"/>
      <selection pane="topRight" activeCell="H7" sqref="H7"/>
      <selection pane="bottomLeft" activeCell="H7" sqref="H7"/>
      <selection pane="bottomRight" activeCell="H7" sqref="H7"/>
    </sheetView>
  </sheetViews>
  <sheetFormatPr defaultRowHeight="15" x14ac:dyDescent="0.25"/>
  <cols>
    <col min="1" max="1" width="1.7109375" style="143" customWidth="1"/>
    <col min="2" max="2" width="8.5703125" style="2172" customWidth="1"/>
    <col min="3" max="3" width="24.85546875" style="844" customWidth="1"/>
    <col min="4" max="4" width="16" style="2" hidden="1" customWidth="1"/>
    <col min="5" max="5" width="17.7109375" style="844" hidden="1" customWidth="1"/>
    <col min="6" max="6" width="6" style="39" hidden="1" customWidth="1"/>
    <col min="7" max="7" width="10.7109375" style="52" hidden="1" customWidth="1"/>
    <col min="8" max="8" width="13.85546875" style="121" bestFit="1" customWidth="1"/>
    <col min="9" max="9" width="26" style="853" hidden="1" customWidth="1"/>
    <col min="10" max="10" width="5.7109375" style="59" hidden="1" customWidth="1"/>
    <col min="11" max="11" width="10.7109375" style="333" hidden="1" customWidth="1"/>
    <col min="12" max="12" width="14" style="122" bestFit="1" customWidth="1"/>
    <col min="13" max="13" width="26" style="844" hidden="1" customWidth="1"/>
    <col min="14" max="14" width="5.7109375" style="39" hidden="1" customWidth="1"/>
    <col min="15" max="15" width="9.42578125" style="333" hidden="1" customWidth="1"/>
    <col min="16" max="16" width="14" style="2" bestFit="1" customWidth="1"/>
    <col min="17" max="17" width="26" style="844" hidden="1" customWidth="1"/>
    <col min="18" max="18" width="5.28515625" style="51" hidden="1" customWidth="1"/>
    <col min="19" max="19" width="9.42578125" style="338" hidden="1" customWidth="1"/>
    <col min="20" max="20" width="14" style="39" customWidth="1"/>
    <col min="21" max="21" width="24.85546875" style="39" hidden="1" customWidth="1"/>
    <col min="22" max="22" width="5.7109375" style="109" customWidth="1"/>
    <col min="23" max="23" width="9.42578125" style="2244" hidden="1" customWidth="1"/>
    <col min="24" max="24" width="14" style="39" hidden="1" customWidth="1"/>
    <col min="25" max="25" width="24.85546875" style="39" hidden="1" customWidth="1"/>
    <col min="26" max="26" width="5.7109375" style="39" hidden="1" customWidth="1"/>
    <col min="27" max="27" width="9.42578125" style="333" hidden="1" customWidth="1"/>
    <col min="28" max="28" width="14" style="39" hidden="1" customWidth="1"/>
    <col min="29" max="29" width="24.85546875" style="39" hidden="1" customWidth="1"/>
    <col min="30" max="16384" width="9.140625" style="39"/>
  </cols>
  <sheetData>
    <row r="1" spans="1:29" x14ac:dyDescent="0.25">
      <c r="B1" s="2172" t="s">
        <v>61</v>
      </c>
      <c r="C1" s="873" t="s">
        <v>426</v>
      </c>
      <c r="D1" s="97">
        <v>0</v>
      </c>
      <c r="E1" s="842"/>
      <c r="F1" s="98"/>
      <c r="G1" s="325"/>
      <c r="H1" s="99">
        <v>0</v>
      </c>
      <c r="I1" s="842"/>
      <c r="L1" s="121">
        <v>0</v>
      </c>
      <c r="M1" s="842"/>
      <c r="P1" s="121">
        <v>0</v>
      </c>
      <c r="Q1" s="842"/>
      <c r="T1" s="86">
        <v>0</v>
      </c>
      <c r="U1" s="98"/>
      <c r="X1" s="86">
        <v>0</v>
      </c>
      <c r="Y1" s="98"/>
      <c r="AB1" s="86">
        <v>0</v>
      </c>
      <c r="AC1" s="98"/>
    </row>
    <row r="2" spans="1:29" ht="17.25" x14ac:dyDescent="0.4">
      <c r="B2" s="2173" t="s">
        <v>59</v>
      </c>
      <c r="C2" s="875" t="s">
        <v>617</v>
      </c>
      <c r="D2" s="99">
        <v>0</v>
      </c>
      <c r="E2" s="842"/>
      <c r="F2" s="98"/>
      <c r="G2" s="326"/>
      <c r="H2" s="99">
        <v>0</v>
      </c>
      <c r="I2" s="842"/>
      <c r="L2" s="87">
        <v>0</v>
      </c>
      <c r="M2" s="842"/>
      <c r="P2" s="87">
        <v>0</v>
      </c>
      <c r="Q2" s="842"/>
      <c r="T2" s="87">
        <v>0</v>
      </c>
      <c r="U2" s="98"/>
      <c r="X2" s="87">
        <v>0</v>
      </c>
      <c r="Y2" s="98"/>
      <c r="AB2" s="87">
        <v>0</v>
      </c>
      <c r="AC2" s="98"/>
    </row>
    <row r="3" spans="1:29" x14ac:dyDescent="0.25">
      <c r="D3" s="281">
        <f>+SUM(D1:D2)</f>
        <v>0</v>
      </c>
      <c r="E3" s="843"/>
      <c r="F3" s="100"/>
      <c r="G3" s="83"/>
      <c r="H3" s="281">
        <f>+SUM(H1:H2)</f>
        <v>0</v>
      </c>
      <c r="I3" s="852"/>
      <c r="L3" s="121">
        <f>SUM(L1:L2)</f>
        <v>0</v>
      </c>
      <c r="M3" s="853"/>
      <c r="P3" s="121">
        <f>SUM(P1:P2)</f>
        <v>0</v>
      </c>
      <c r="Q3" s="853"/>
      <c r="T3" s="86">
        <f>SUM(T1:T2)</f>
        <v>0</v>
      </c>
      <c r="U3" s="51"/>
      <c r="X3" s="86">
        <f>SUM(X1:X2)</f>
        <v>0</v>
      </c>
      <c r="Y3" s="51"/>
      <c r="AB3" s="86">
        <f>SUM(AB1:AB2)</f>
        <v>0</v>
      </c>
      <c r="AC3" s="51"/>
    </row>
    <row r="4" spans="1:29" x14ac:dyDescent="0.25">
      <c r="L4" s="121"/>
      <c r="M4" s="853"/>
      <c r="P4" s="121"/>
      <c r="Q4" s="853"/>
      <c r="T4" s="86"/>
      <c r="U4" s="51"/>
      <c r="X4" s="86"/>
      <c r="Y4" s="51"/>
      <c r="AB4" s="86"/>
      <c r="AC4" s="51"/>
    </row>
    <row r="5" spans="1:29" ht="15.75" x14ac:dyDescent="0.25">
      <c r="B5" s="2174" t="s">
        <v>56</v>
      </c>
      <c r="P5" s="122"/>
      <c r="T5" s="73"/>
      <c r="X5" s="73"/>
      <c r="AB5" s="73"/>
    </row>
    <row r="6" spans="1:29" s="89" customFormat="1" ht="15.75" x14ac:dyDescent="0.25">
      <c r="A6" s="144"/>
      <c r="B6" s="2175"/>
      <c r="C6" s="877"/>
      <c r="D6" s="243" t="s">
        <v>55</v>
      </c>
      <c r="E6" s="845"/>
      <c r="G6" s="327"/>
      <c r="H6" s="282" t="str">
        <f>LEFT(D6,4)+1&amp;"-"&amp;RIGHT(D6,4)+1</f>
        <v>2017-2018</v>
      </c>
      <c r="I6" s="854"/>
      <c r="J6" s="93"/>
      <c r="K6" s="334"/>
      <c r="L6" s="123" t="str">
        <f>LEFT(H6,4)+1&amp;"-"&amp;RIGHT(H6,4)+1</f>
        <v>2018-2019</v>
      </c>
      <c r="M6" s="888"/>
      <c r="N6" s="96"/>
      <c r="O6" s="337"/>
      <c r="P6" s="123" t="str">
        <f>LEFT(L6,4)+1&amp;"-"&amp;RIGHT(L6,4)+1</f>
        <v>2019-2020</v>
      </c>
      <c r="Q6" s="888"/>
      <c r="R6" s="2237"/>
      <c r="S6" s="2242"/>
      <c r="T6" s="95" t="str">
        <f>LEFT(P6,4)+1&amp;"-"&amp;RIGHT(P6,4)+1</f>
        <v>2020-2021</v>
      </c>
      <c r="U6" s="95"/>
      <c r="V6" s="110"/>
      <c r="W6" s="2245"/>
      <c r="X6" s="95" t="str">
        <f>LEFT(T6,4)+1&amp;"-"&amp;RIGHT(T6,4)+1</f>
        <v>2021-2022</v>
      </c>
      <c r="Y6" s="95"/>
      <c r="Z6" s="96"/>
      <c r="AA6" s="337"/>
      <c r="AB6" s="95" t="str">
        <f>LEFT(X6,4)+1&amp;"-"&amp;RIGHT(X6,4)+1</f>
        <v>2022-2023</v>
      </c>
      <c r="AC6" s="95"/>
    </row>
    <row r="7" spans="1:29" s="457" customFormat="1" x14ac:dyDescent="0.25">
      <c r="A7" s="1656"/>
      <c r="B7" s="2337" t="s">
        <v>54</v>
      </c>
      <c r="C7" s="1656"/>
      <c r="D7" s="340">
        <v>4894844.17</v>
      </c>
      <c r="E7" s="1656"/>
      <c r="G7" s="2338"/>
      <c r="H7" s="340">
        <f>D89</f>
        <v>5459673.8599999994</v>
      </c>
      <c r="I7" s="1656"/>
      <c r="J7" s="599"/>
      <c r="K7" s="1668"/>
      <c r="L7" s="340">
        <f>H89</f>
        <v>5647534.8599999994</v>
      </c>
      <c r="M7" s="1656"/>
      <c r="O7" s="1668"/>
      <c r="P7" s="340">
        <f>L89</f>
        <v>5804930.8599999994</v>
      </c>
      <c r="Q7" s="1656"/>
      <c r="R7" s="592"/>
      <c r="S7" s="2341"/>
      <c r="T7" s="340">
        <f>P89</f>
        <v>5987682.8599999994</v>
      </c>
      <c r="V7" s="952"/>
      <c r="W7" s="2343"/>
      <c r="X7" s="340">
        <f>T89</f>
        <v>6197890.8599999994</v>
      </c>
      <c r="AA7" s="1668"/>
      <c r="AB7" s="340">
        <f>X89</f>
        <v>5259921.8599999994</v>
      </c>
    </row>
    <row r="8" spans="1:29" s="457" customFormat="1" x14ac:dyDescent="0.25">
      <c r="A8" s="1656"/>
      <c r="B8" s="2345"/>
      <c r="C8" s="1656"/>
      <c r="D8" s="340"/>
      <c r="E8" s="1656"/>
      <c r="G8" s="2338"/>
      <c r="H8" s="340"/>
      <c r="I8" s="340"/>
      <c r="J8" s="592"/>
      <c r="K8" s="1668"/>
      <c r="L8" s="340"/>
      <c r="M8" s="1656"/>
      <c r="O8" s="1668"/>
      <c r="P8" s="340"/>
      <c r="Q8" s="1656"/>
      <c r="R8" s="592"/>
      <c r="S8" s="2341"/>
      <c r="V8" s="952"/>
      <c r="W8" s="2343"/>
      <c r="AA8" s="1668"/>
    </row>
    <row r="9" spans="1:29" s="457" customFormat="1" x14ac:dyDescent="0.25">
      <c r="A9" s="1656"/>
      <c r="B9" s="2345" t="s">
        <v>52</v>
      </c>
      <c r="C9" s="1656" t="s">
        <v>427</v>
      </c>
      <c r="D9" s="340">
        <v>1183769.48</v>
      </c>
      <c r="E9" s="1656"/>
      <c r="G9" s="456">
        <f>IF(D9=0,"0.00%",(H9-D9)/D9)</f>
        <v>-5.1555138927893214E-2</v>
      </c>
      <c r="H9" s="340">
        <v>1122740.08</v>
      </c>
      <c r="I9" s="1656"/>
      <c r="J9" s="342"/>
      <c r="K9" s="456">
        <f>IF(H9=0,"0.00%",(L9-H9)/H9)</f>
        <v>3.5955962309637377E-3</v>
      </c>
      <c r="L9" s="340">
        <v>1126777</v>
      </c>
      <c r="M9" s="899"/>
      <c r="O9" s="456">
        <f>IF(L9=0,"0.00%",(P9-L9)/L9)</f>
        <v>2.5699850103436617E-2</v>
      </c>
      <c r="P9" s="340">
        <f>ROUND(L9*(+LEFT(Q9,5)+1),0)</f>
        <v>1155735</v>
      </c>
      <c r="Q9" s="899" t="str">
        <f>TEXT('MYP Assumptions'!$G$49,"0.00%")&amp;", COLA"</f>
        <v>2.57%, COLA</v>
      </c>
      <c r="R9" s="592"/>
      <c r="S9" s="2238">
        <f>IF(P9=0,"0.00%",(T9-P9)/P9)</f>
        <v>2.6699892276343624E-2</v>
      </c>
      <c r="T9" s="340">
        <f>ROUND(P9*(+LEFT(U9,5)+1),0)</f>
        <v>1186593</v>
      </c>
      <c r="U9" s="899" t="str">
        <f>TEXT('MYP Assumptions'!$H$49,"0.00%")&amp;", COLA"</f>
        <v>2.67%, COLA</v>
      </c>
      <c r="V9" s="952"/>
      <c r="W9" s="2241">
        <f>IF(T9=0,"0.00%",(X9-T9)/T9)</f>
        <v>-1</v>
      </c>
      <c r="X9" s="833">
        <f>X3</f>
        <v>0</v>
      </c>
      <c r="AA9" s="456" t="str">
        <f>IF(X9=0,"0.00%",(AB9-X9)/X9)</f>
        <v>0.00%</v>
      </c>
      <c r="AB9" s="833">
        <f>AB3</f>
        <v>0</v>
      </c>
    </row>
    <row r="10" spans="1:29" s="457" customFormat="1" x14ac:dyDescent="0.25">
      <c r="A10" s="1656"/>
      <c r="B10" s="2345"/>
      <c r="C10" s="1656"/>
      <c r="D10" s="340"/>
      <c r="E10" s="1656"/>
      <c r="G10" s="456" t="str">
        <f t="shared" ref="G10:G15" si="0">IF(D10=0,"0.00%",(H10-D10)/D10)</f>
        <v>0.00%</v>
      </c>
      <c r="H10" s="833">
        <v>26277.919999999998</v>
      </c>
      <c r="I10" s="1656"/>
      <c r="J10" s="342"/>
      <c r="K10" s="456">
        <f>IF(H10=0,"0.00%",(L10-H10)/H10)</f>
        <v>-1</v>
      </c>
      <c r="L10" s="833">
        <f>-H2</f>
        <v>0</v>
      </c>
      <c r="M10" s="1656"/>
      <c r="O10" s="456" t="str">
        <f>IF(L10=0,"0.00%",(P10-L10)/L10)</f>
        <v>0.00%</v>
      </c>
      <c r="P10" s="833">
        <f>-L2</f>
        <v>0</v>
      </c>
      <c r="Q10" s="1656"/>
      <c r="R10" s="592"/>
      <c r="S10" s="2238" t="str">
        <f>IF(P10=0,"0.00%",(T10-P10)/P10)</f>
        <v>0.00%</v>
      </c>
      <c r="T10" s="833">
        <f>-P2</f>
        <v>0</v>
      </c>
      <c r="V10" s="952"/>
      <c r="W10" s="2241" t="str">
        <f>IF(T10=0,"0.00%",(X10-T10)/T10)</f>
        <v>0.00%</v>
      </c>
      <c r="X10" s="833">
        <f>-T2</f>
        <v>0</v>
      </c>
      <c r="AA10" s="456" t="str">
        <f>IF(X10=0,"0.00%",(AB10-X10)/X10)</f>
        <v>0.00%</v>
      </c>
      <c r="AB10" s="833">
        <f>-X2</f>
        <v>0</v>
      </c>
    </row>
    <row r="11" spans="1:29" s="457" customFormat="1" x14ac:dyDescent="0.25">
      <c r="A11" s="1656"/>
      <c r="B11" s="2337" t="s">
        <v>137</v>
      </c>
      <c r="C11" s="1656"/>
      <c r="D11" s="458">
        <f>SUM(D9:D10)</f>
        <v>1183769.48</v>
      </c>
      <c r="E11" s="1656"/>
      <c r="G11" s="456">
        <f t="shared" si="0"/>
        <v>-2.9356627778577279E-2</v>
      </c>
      <c r="H11" s="458">
        <f>SUM(H9:H10)</f>
        <v>1149018</v>
      </c>
      <c r="I11" s="2316">
        <f>+H11-D11</f>
        <v>-34751.479999999981</v>
      </c>
      <c r="J11" s="601"/>
      <c r="K11" s="456">
        <f>IF(H11=0,"0.00%",(L11-H11)/H11)</f>
        <v>-1.9356528792412304E-2</v>
      </c>
      <c r="L11" s="458">
        <f>SUM(L9:L10)</f>
        <v>1126777</v>
      </c>
      <c r="M11" s="2316">
        <f>+L11-H11</f>
        <v>-22241</v>
      </c>
      <c r="O11" s="456">
        <f>IF(L11=0,"0.00%",(P11-L11)/L11)</f>
        <v>2.5699850103436617E-2</v>
      </c>
      <c r="P11" s="458">
        <f>SUM(P9:P10)</f>
        <v>1155735</v>
      </c>
      <c r="Q11" s="2316">
        <f>+P11-L11</f>
        <v>28958</v>
      </c>
      <c r="R11" s="592"/>
      <c r="S11" s="2238">
        <f>IF(P11=0,"0.00%",(T11-P11)/P11)</f>
        <v>2.6699892276343624E-2</v>
      </c>
      <c r="T11" s="2353">
        <f>SUM(T9:T10)</f>
        <v>1186593</v>
      </c>
      <c r="V11" s="952"/>
      <c r="W11" s="2241">
        <f>IF(T11=0,"0.00%",(X11-T11)/T11)</f>
        <v>-1</v>
      </c>
      <c r="X11" s="2353">
        <f>SUM(X9:X10)</f>
        <v>0</v>
      </c>
      <c r="AA11" s="456" t="str">
        <f>IF(X11=0,"0.00%",(AB11-X11)/X11)</f>
        <v>0.00%</v>
      </c>
      <c r="AB11" s="2353">
        <f>SUM(AB9:AB10)</f>
        <v>0</v>
      </c>
    </row>
    <row r="12" spans="1:29" s="457" customFormat="1" x14ac:dyDescent="0.25">
      <c r="A12" s="1656"/>
      <c r="B12" s="2345"/>
      <c r="C12" s="1656"/>
      <c r="D12" s="340"/>
      <c r="E12" s="1656"/>
      <c r="G12" s="2338"/>
      <c r="H12" s="833"/>
      <c r="I12" s="1656"/>
      <c r="J12" s="602"/>
      <c r="K12" s="2338"/>
      <c r="L12" s="833"/>
      <c r="M12" s="1656"/>
      <c r="O12" s="2338"/>
      <c r="P12" s="833"/>
      <c r="Q12" s="1656"/>
      <c r="R12" s="592"/>
      <c r="S12" s="2355"/>
      <c r="T12" s="2356"/>
      <c r="V12" s="952"/>
      <c r="W12" s="2357"/>
      <c r="X12" s="2356"/>
      <c r="AA12" s="2338"/>
      <c r="AB12" s="2356"/>
    </row>
    <row r="13" spans="1:29" s="457" customFormat="1" x14ac:dyDescent="0.25">
      <c r="A13" s="1656"/>
      <c r="B13" s="2449"/>
      <c r="C13" s="2384" t="s">
        <v>64</v>
      </c>
      <c r="D13" s="2359">
        <f>ROUND(D11-(D11/(1+B13)),0)</f>
        <v>0</v>
      </c>
      <c r="E13" s="1656"/>
      <c r="G13" s="456" t="str">
        <f t="shared" si="0"/>
        <v>0.00%</v>
      </c>
      <c r="H13" s="2359">
        <f>ROUND(H11-(H11/(1+B13)),0)</f>
        <v>0</v>
      </c>
      <c r="I13" s="1656"/>
      <c r="J13" s="603"/>
      <c r="K13" s="456" t="str">
        <f>IF(H13=0,"0.00%",(L13-H13)/H13)</f>
        <v>0.00%</v>
      </c>
      <c r="L13" s="2359">
        <f>ROUND(L11-(L11/(1+B13)),0)</f>
        <v>0</v>
      </c>
      <c r="M13" s="1656"/>
      <c r="O13" s="456" t="str">
        <f>IF(L13=0,"0.00%",(P13-L13)/L13)</f>
        <v>0.00%</v>
      </c>
      <c r="P13" s="2359">
        <f>ROUND(P11-(P11/(1+B13)),0)</f>
        <v>0</v>
      </c>
      <c r="Q13" s="1656"/>
      <c r="R13" s="592"/>
      <c r="S13" s="2238" t="str">
        <f>IF(P13=0,"0.00%",(T13-P13)/P13)</f>
        <v>0.00%</v>
      </c>
      <c r="T13" s="2362">
        <f>ROUND(T11-(T11/(1+B13)),0)</f>
        <v>0</v>
      </c>
      <c r="V13" s="952"/>
      <c r="W13" s="2241" t="str">
        <f>IF(T13=0,"0.00%",(X13-T13)/T13)</f>
        <v>0.00%</v>
      </c>
      <c r="X13" s="2362">
        <f>ROUND(X11-(X11/(1+B13)),0)</f>
        <v>0</v>
      </c>
      <c r="AA13" s="456" t="str">
        <f>IF(X13=0,"0.00%",(AB13-X13)/X13)</f>
        <v>0.00%</v>
      </c>
      <c r="AB13" s="2362">
        <f>ROUND(AB11-(AB11/(1+G13)),0)</f>
        <v>0</v>
      </c>
    </row>
    <row r="14" spans="1:29" s="457" customFormat="1" x14ac:dyDescent="0.25">
      <c r="A14" s="1656"/>
      <c r="B14" s="2345"/>
      <c r="C14" s="1656"/>
      <c r="D14" s="340"/>
      <c r="E14" s="1656"/>
      <c r="G14" s="2338"/>
      <c r="H14" s="833"/>
      <c r="I14" s="1656"/>
      <c r="J14" s="602"/>
      <c r="K14" s="2338"/>
      <c r="L14" s="833"/>
      <c r="M14" s="1656"/>
      <c r="O14" s="2338"/>
      <c r="P14" s="833"/>
      <c r="Q14" s="1656"/>
      <c r="R14" s="592"/>
      <c r="S14" s="2355"/>
      <c r="T14" s="2356"/>
      <c r="V14" s="952"/>
      <c r="W14" s="2357"/>
      <c r="X14" s="2356"/>
      <c r="AA14" s="2338"/>
      <c r="AB14" s="2356"/>
    </row>
    <row r="15" spans="1:29" s="457" customFormat="1" x14ac:dyDescent="0.25">
      <c r="A15" s="1656"/>
      <c r="B15" s="2337" t="s">
        <v>50</v>
      </c>
      <c r="C15" s="1656"/>
      <c r="D15" s="1866">
        <f>D11-D13+D7</f>
        <v>6078613.6500000004</v>
      </c>
      <c r="E15" s="1656"/>
      <c r="G15" s="456">
        <f t="shared" si="0"/>
        <v>8.7203800162558284E-2</v>
      </c>
      <c r="H15" s="1866">
        <f>H11-H13+H7</f>
        <v>6608691.8599999994</v>
      </c>
      <c r="I15" s="2316">
        <f>+H15-D15</f>
        <v>530078.20999999903</v>
      </c>
      <c r="J15" s="601"/>
      <c r="K15" s="456">
        <f>IF(H15=0,"0.00%",(L15-H15)/H15)</f>
        <v>2.5060935432992031E-2</v>
      </c>
      <c r="L15" s="1866">
        <f>L11-L13+L7</f>
        <v>6774311.8599999994</v>
      </c>
      <c r="M15" s="2316">
        <f>+L15-H15</f>
        <v>165620</v>
      </c>
      <c r="O15" s="456">
        <f>IF(L15=0,"0.00%",(P15-L15)/L15)</f>
        <v>2.750891955541002E-2</v>
      </c>
      <c r="P15" s="1866">
        <f>P11-P13+P7</f>
        <v>6960665.8599999994</v>
      </c>
      <c r="Q15" s="2316">
        <f>+P15-L15</f>
        <v>186354</v>
      </c>
      <c r="R15" s="592"/>
      <c r="S15" s="2238">
        <f>IF(P15=0,"0.00%",(T15-P15)/P15)</f>
        <v>-0.82952880890047487</v>
      </c>
      <c r="T15" s="2366">
        <f>T11-T13</f>
        <v>1186593</v>
      </c>
      <c r="V15" s="952"/>
      <c r="W15" s="2241">
        <f>IF(T15=0,"0.00%",(X15-T15)/T15)</f>
        <v>-1</v>
      </c>
      <c r="X15" s="2366">
        <f>X11-X13</f>
        <v>0</v>
      </c>
      <c r="AA15" s="456" t="str">
        <f>IF(X15=0,"0.00%",(AB15-X15)/X15)</f>
        <v>0.00%</v>
      </c>
      <c r="AB15" s="2366">
        <f>AB11-AB13</f>
        <v>0</v>
      </c>
    </row>
    <row r="16" spans="1:29" s="457" customFormat="1" x14ac:dyDescent="0.25">
      <c r="A16" s="1656"/>
      <c r="B16" s="2345"/>
      <c r="C16" s="1656"/>
      <c r="D16" s="340"/>
      <c r="E16" s="1656"/>
      <c r="G16" s="2338"/>
      <c r="H16" s="833"/>
      <c r="I16" s="1656"/>
      <c r="J16" s="601"/>
      <c r="K16" s="1668"/>
      <c r="L16" s="833"/>
      <c r="M16" s="1656"/>
      <c r="O16" s="1668"/>
      <c r="P16" s="833"/>
      <c r="Q16" s="1656"/>
      <c r="R16" s="592"/>
      <c r="S16" s="2341"/>
      <c r="T16" s="2367"/>
      <c r="V16" s="952"/>
      <c r="W16" s="2343"/>
      <c r="X16" s="2367"/>
      <c r="AA16" s="1668"/>
      <c r="AB16" s="2367"/>
    </row>
    <row r="17" spans="1:29" s="457" customFormat="1" x14ac:dyDescent="0.25">
      <c r="A17" s="1656"/>
      <c r="B17" s="2345"/>
      <c r="C17" s="2432"/>
      <c r="D17" s="340"/>
      <c r="E17" s="1656"/>
      <c r="G17" s="2338"/>
      <c r="H17" s="833"/>
      <c r="I17" s="1656"/>
      <c r="J17" s="602"/>
      <c r="K17" s="1668"/>
      <c r="L17" s="833"/>
      <c r="M17" s="1656"/>
      <c r="O17" s="1668"/>
      <c r="P17" s="833"/>
      <c r="Q17" s="1656"/>
      <c r="R17" s="592"/>
      <c r="S17" s="2341"/>
      <c r="T17" s="2356"/>
      <c r="V17" s="952"/>
      <c r="W17" s="2343"/>
      <c r="X17" s="2356"/>
      <c r="AA17" s="1668"/>
      <c r="AB17" s="2356"/>
    </row>
    <row r="18" spans="1:29" s="457" customFormat="1" x14ac:dyDescent="0.25">
      <c r="A18" s="1867"/>
      <c r="B18" s="2345"/>
      <c r="C18" s="1656"/>
      <c r="D18" s="459" t="s">
        <v>807</v>
      </c>
      <c r="E18" s="1867"/>
      <c r="F18" s="2433"/>
      <c r="G18" s="2338"/>
      <c r="H18" s="459" t="s">
        <v>176</v>
      </c>
      <c r="I18" s="1867"/>
      <c r="J18" s="604"/>
      <c r="K18" s="1668"/>
      <c r="L18" s="2370"/>
      <c r="M18" s="1867"/>
      <c r="O18" s="1668"/>
      <c r="P18" s="340"/>
      <c r="Q18" s="1867"/>
      <c r="R18" s="592"/>
      <c r="S18" s="2341"/>
      <c r="U18" s="2433"/>
      <c r="V18" s="952"/>
      <c r="W18" s="2343"/>
      <c r="Y18" s="2433"/>
      <c r="AA18" s="1668"/>
      <c r="AC18" s="2433"/>
    </row>
    <row r="19" spans="1:29" s="457" customFormat="1" ht="17.25" x14ac:dyDescent="0.4">
      <c r="A19" s="2434"/>
      <c r="B19" s="2345"/>
      <c r="C19" s="1656"/>
      <c r="D19" s="2435" t="s">
        <v>808</v>
      </c>
      <c r="E19" s="2434"/>
      <c r="F19" s="2436"/>
      <c r="G19" s="2338"/>
      <c r="H19" s="2435" t="s">
        <v>48</v>
      </c>
      <c r="I19" s="2371"/>
      <c r="J19" s="459"/>
      <c r="K19" s="1668"/>
      <c r="L19" s="2372" t="s">
        <v>48</v>
      </c>
      <c r="M19" s="2438">
        <v>0.02</v>
      </c>
      <c r="O19" s="1668"/>
      <c r="P19" s="2372" t="s">
        <v>48</v>
      </c>
      <c r="Q19" s="2438">
        <v>0.02</v>
      </c>
      <c r="R19" s="592"/>
      <c r="S19" s="2341"/>
      <c r="T19" s="2372" t="s">
        <v>48</v>
      </c>
      <c r="U19" s="2374">
        <v>0.02</v>
      </c>
      <c r="V19" s="952"/>
      <c r="W19" s="2343"/>
      <c r="X19" s="2372" t="s">
        <v>48</v>
      </c>
      <c r="Y19" s="2374">
        <v>0.02</v>
      </c>
      <c r="AA19" s="1668"/>
      <c r="AB19" s="2372" t="s">
        <v>48</v>
      </c>
      <c r="AC19" s="2374">
        <v>0.02</v>
      </c>
    </row>
    <row r="20" spans="1:29" s="2378" customFormat="1" x14ac:dyDescent="0.25">
      <c r="A20" s="900"/>
      <c r="B20" s="2337" t="s">
        <v>46</v>
      </c>
      <c r="C20" s="2384"/>
      <c r="D20" s="1866"/>
      <c r="E20" s="2375"/>
      <c r="F20" s="1866"/>
      <c r="G20" s="2376"/>
      <c r="H20" s="1866"/>
      <c r="I20" s="868"/>
      <c r="J20" s="460"/>
      <c r="K20" s="606"/>
      <c r="L20" s="1866"/>
      <c r="M20" s="2379"/>
      <c r="O20" s="606"/>
      <c r="P20" s="1866"/>
      <c r="Q20" s="2379"/>
      <c r="R20" s="461"/>
      <c r="S20" s="1669"/>
      <c r="T20" s="1866"/>
      <c r="U20" s="2383"/>
      <c r="V20" s="2381"/>
      <c r="W20" s="2382"/>
      <c r="X20" s="1866"/>
      <c r="Y20" s="2383"/>
      <c r="AA20" s="606"/>
      <c r="AB20" s="1866"/>
      <c r="AC20" s="2383"/>
    </row>
    <row r="21" spans="1:29" s="457" customFormat="1" x14ac:dyDescent="0.25">
      <c r="A21" s="2439"/>
      <c r="B21" s="2385">
        <v>1110</v>
      </c>
      <c r="C21" s="1656" t="s">
        <v>839</v>
      </c>
      <c r="D21" s="340">
        <v>0</v>
      </c>
      <c r="E21" s="2386"/>
      <c r="F21" s="340"/>
      <c r="G21" s="456" t="str">
        <f t="shared" ref="G21:G24" si="1">IF(D21=0,"0.00%",(H21-D21)/D21)</f>
        <v>0.00%</v>
      </c>
      <c r="H21" s="340">
        <v>0</v>
      </c>
      <c r="I21" s="897"/>
      <c r="J21" s="455"/>
      <c r="K21" s="456" t="str">
        <f t="shared" ref="K21:K23" si="2">IF(H21=0,"0.00%",(L21-H21)/H21)</f>
        <v>0.00%</v>
      </c>
      <c r="L21" s="340">
        <f>ROUND(H21*(1+M19),0)</f>
        <v>0</v>
      </c>
      <c r="M21" s="897"/>
      <c r="O21" s="456" t="str">
        <f t="shared" ref="O21:O23" si="3">IF(L21=0,"0.00%",(P21-L21)/L21)</f>
        <v>0.00%</v>
      </c>
      <c r="P21" s="340">
        <f>ROUND(L21*(1+Q19),0)</f>
        <v>0</v>
      </c>
      <c r="Q21" s="897"/>
      <c r="R21" s="592"/>
      <c r="S21" s="2238" t="str">
        <f t="shared" ref="S21:S23" si="4">IF(P21=0,"0.00%",(T21-P21)/P21)</f>
        <v>0.00%</v>
      </c>
      <c r="T21" s="340">
        <f>ROUND(P21*(1+U19),0)</f>
        <v>0</v>
      </c>
      <c r="U21" s="455"/>
      <c r="V21" s="952"/>
      <c r="W21" s="2241" t="str">
        <f t="shared" ref="W21:W23" si="5">IF(T21=0,"0.00%",(X21-T21)/T21)</f>
        <v>0.00%</v>
      </c>
      <c r="X21" s="340">
        <f>ROUND(T21*(1+Y19),0)</f>
        <v>0</v>
      </c>
      <c r="Y21" s="455" t="str">
        <f>TEXT(Y19,"0.0%")&amp;" = Est. S &amp; C"</f>
        <v>2.0% = Est. S &amp; C</v>
      </c>
      <c r="AA21" s="456" t="str">
        <f t="shared" ref="AA21:AA23" si="6">IF(X21=0,"0.00%",(AB21-X21)/X21)</f>
        <v>0.00%</v>
      </c>
      <c r="AB21" s="340">
        <f>ROUND(X21*(1+AC19),0)</f>
        <v>0</v>
      </c>
      <c r="AC21" s="455" t="str">
        <f>TEXT(AC19,"0.0%")&amp;" = Est. S &amp; C"</f>
        <v>2.0% = Est. S &amp; C</v>
      </c>
    </row>
    <row r="22" spans="1:29" s="457" customFormat="1" x14ac:dyDescent="0.25">
      <c r="A22" s="897"/>
      <c r="B22" s="2385">
        <v>1122</v>
      </c>
      <c r="C22" s="1656" t="s">
        <v>840</v>
      </c>
      <c r="D22" s="340">
        <v>0</v>
      </c>
      <c r="E22" s="2386"/>
      <c r="F22" s="340"/>
      <c r="G22" s="456" t="s">
        <v>930</v>
      </c>
      <c r="H22" s="340">
        <v>16578</v>
      </c>
      <c r="I22" s="897"/>
      <c r="J22" s="455"/>
      <c r="K22" s="456">
        <f t="shared" si="2"/>
        <v>1.5743756786102063E-2</v>
      </c>
      <c r="L22" s="340">
        <v>16839</v>
      </c>
      <c r="M22" s="897"/>
      <c r="O22" s="456">
        <f t="shared" si="3"/>
        <v>0</v>
      </c>
      <c r="P22" s="340">
        <f>+L22</f>
        <v>16839</v>
      </c>
      <c r="Q22" s="897" t="s">
        <v>173</v>
      </c>
      <c r="R22" s="592"/>
      <c r="S22" s="456">
        <f t="shared" si="4"/>
        <v>0</v>
      </c>
      <c r="T22" s="340">
        <f>+P22</f>
        <v>16839</v>
      </c>
      <c r="U22" s="897" t="s">
        <v>173</v>
      </c>
      <c r="V22" s="952"/>
      <c r="W22" s="2241">
        <f t="shared" si="5"/>
        <v>2.0013064908842568E-2</v>
      </c>
      <c r="X22" s="340">
        <f>ROUND(T22*(1+Y19),0)</f>
        <v>17176</v>
      </c>
      <c r="Y22" s="455" t="str">
        <f>TEXT(Y19,"0.0%")&amp;" = Est. S &amp; C"</f>
        <v>2.0% = Est. S &amp; C</v>
      </c>
      <c r="AA22" s="456">
        <f t="shared" si="6"/>
        <v>2.0027945971122497E-2</v>
      </c>
      <c r="AB22" s="340">
        <f>ROUND(X22*(1+AC19),0)</f>
        <v>17520</v>
      </c>
      <c r="AC22" s="455" t="str">
        <f>TEXT(AC19,"0.0%")&amp;" = Est. S &amp; C"</f>
        <v>2.0% = Est. S &amp; C</v>
      </c>
    </row>
    <row r="23" spans="1:29" s="457" customFormat="1" x14ac:dyDescent="0.25">
      <c r="A23" s="897"/>
      <c r="B23" s="2385"/>
      <c r="C23" s="1656"/>
      <c r="D23" s="340"/>
      <c r="E23" s="2386"/>
      <c r="F23" s="340"/>
      <c r="G23" s="456" t="str">
        <f t="shared" si="1"/>
        <v>0.00%</v>
      </c>
      <c r="H23" s="340"/>
      <c r="I23" s="897"/>
      <c r="J23" s="455"/>
      <c r="K23" s="456" t="str">
        <f t="shared" si="2"/>
        <v>0.00%</v>
      </c>
      <c r="L23" s="340"/>
      <c r="M23" s="897"/>
      <c r="O23" s="456" t="str">
        <f t="shared" si="3"/>
        <v>0.00%</v>
      </c>
      <c r="P23" s="340">
        <f>ROUND(L23*(1+Q19),0)</f>
        <v>0</v>
      </c>
      <c r="Q23" s="897"/>
      <c r="R23" s="592"/>
      <c r="S23" s="2238" t="str">
        <f t="shared" si="4"/>
        <v>0.00%</v>
      </c>
      <c r="T23" s="340">
        <f>ROUND(P23*(1+U19),0)</f>
        <v>0</v>
      </c>
      <c r="U23" s="455"/>
      <c r="V23" s="952"/>
      <c r="W23" s="2241" t="str">
        <f t="shared" si="5"/>
        <v>0.00%</v>
      </c>
      <c r="X23" s="340">
        <f>ROUND(T23*(1+Y19),0)</f>
        <v>0</v>
      </c>
      <c r="Y23" s="455" t="str">
        <f>TEXT(Y19,"0.0%")&amp;" = Est. S &amp; C"</f>
        <v>2.0% = Est. S &amp; C</v>
      </c>
      <c r="AA23" s="456" t="str">
        <f t="shared" si="6"/>
        <v>0.00%</v>
      </c>
      <c r="AB23" s="340">
        <f>ROUND(X23*(1+AC19),0)</f>
        <v>0</v>
      </c>
      <c r="AC23" s="455" t="str">
        <f>TEXT(AC19,"0.0%")&amp;" = Est. S &amp; C"</f>
        <v>2.0% = Est. S &amp; C</v>
      </c>
    </row>
    <row r="24" spans="1:29" s="457" customFormat="1" x14ac:dyDescent="0.25">
      <c r="A24" s="898"/>
      <c r="B24" s="2385"/>
      <c r="C24" s="1656"/>
      <c r="D24" s="458">
        <f>SUM(D21:D23)</f>
        <v>0</v>
      </c>
      <c r="E24" s="2386"/>
      <c r="F24" s="340"/>
      <c r="G24" s="456" t="str">
        <f t="shared" si="1"/>
        <v>0.00%</v>
      </c>
      <c r="H24" s="458">
        <f>SUM(H21:H23)</f>
        <v>16578</v>
      </c>
      <c r="I24" s="2316">
        <f>+H24-D24</f>
        <v>16578</v>
      </c>
      <c r="J24" s="459"/>
      <c r="K24" s="456">
        <f>IF(H24=0,"0.00%",(L24-H24)/H24)</f>
        <v>1.5743756786102063E-2</v>
      </c>
      <c r="L24" s="458">
        <f>SUM(L21:L23)</f>
        <v>16839</v>
      </c>
      <c r="M24" s="2316">
        <f>+L24-H24</f>
        <v>261</v>
      </c>
      <c r="O24" s="456">
        <f t="shared" ref="O24" si="7">IF(L24=0,"0.00%",(P24-L24)/L24)</f>
        <v>0</v>
      </c>
      <c r="P24" s="458">
        <f>SUM(P21:P23)</f>
        <v>16839</v>
      </c>
      <c r="Q24" s="2316">
        <f>+P24-L24</f>
        <v>0</v>
      </c>
      <c r="R24" s="592"/>
      <c r="S24" s="2238">
        <f>IF(P24=0,"0.00%",(T24-P24)/P24)</f>
        <v>0</v>
      </c>
      <c r="T24" s="458">
        <f>SUM(T21:T23)</f>
        <v>16839</v>
      </c>
      <c r="U24" s="2344"/>
      <c r="V24" s="952"/>
      <c r="W24" s="2241">
        <f>IF(T24=0,"0.00%",(X24-T24)/T24)</f>
        <v>2.0013064908842568E-2</v>
      </c>
      <c r="X24" s="458">
        <f>SUM(X21:X23)</f>
        <v>17176</v>
      </c>
      <c r="Y24" s="2344"/>
      <c r="AA24" s="456">
        <f>IF(X24=0,"0.00%",(AB24-X24)/X24)</f>
        <v>2.0027945971122497E-2</v>
      </c>
      <c r="AB24" s="458">
        <f>SUM(AB21:AB23)</f>
        <v>17520</v>
      </c>
      <c r="AC24" s="2344"/>
    </row>
    <row r="25" spans="1:29" s="457" customFormat="1" x14ac:dyDescent="0.25">
      <c r="A25" s="897"/>
      <c r="B25" s="2345"/>
      <c r="C25" s="1656"/>
      <c r="D25" s="340"/>
      <c r="E25" s="2386"/>
      <c r="F25" s="340"/>
      <c r="G25" s="2338"/>
      <c r="H25" s="340"/>
      <c r="I25" s="897"/>
      <c r="J25" s="455"/>
      <c r="K25" s="1668"/>
      <c r="L25" s="340"/>
      <c r="M25" s="901"/>
      <c r="O25" s="1668"/>
      <c r="P25" s="340"/>
      <c r="Q25" s="901"/>
      <c r="R25" s="592"/>
      <c r="S25" s="2341"/>
      <c r="T25" s="340"/>
      <c r="U25" s="2344"/>
      <c r="V25" s="952"/>
      <c r="W25" s="2343"/>
      <c r="X25" s="340"/>
      <c r="Y25" s="2344"/>
      <c r="AA25" s="1668"/>
      <c r="AB25" s="340"/>
      <c r="AC25" s="2344"/>
    </row>
    <row r="26" spans="1:29" s="461" customFormat="1" x14ac:dyDescent="0.25">
      <c r="A26" s="900"/>
      <c r="B26" s="2440" t="s">
        <v>35</v>
      </c>
      <c r="C26" s="900"/>
      <c r="D26" s="460"/>
      <c r="E26" s="868"/>
      <c r="F26" s="460"/>
      <c r="G26" s="2389"/>
      <c r="H26" s="460"/>
      <c r="I26" s="868"/>
      <c r="J26" s="460"/>
      <c r="K26" s="1669"/>
      <c r="L26" s="460"/>
      <c r="M26" s="2473"/>
      <c r="O26" s="1669"/>
      <c r="P26" s="460"/>
      <c r="Q26" s="902"/>
      <c r="S26" s="1669"/>
      <c r="T26" s="460"/>
      <c r="U26" s="2392"/>
      <c r="V26" s="2381"/>
      <c r="W26" s="2382"/>
      <c r="X26" s="460"/>
      <c r="Y26" s="2392"/>
      <c r="AA26" s="1669"/>
      <c r="AB26" s="460"/>
      <c r="AC26" s="2392"/>
    </row>
    <row r="27" spans="1:29" s="457" customFormat="1" x14ac:dyDescent="0.25">
      <c r="A27" s="897"/>
      <c r="B27" s="2385">
        <v>2103</v>
      </c>
      <c r="C27" s="1656" t="s">
        <v>841</v>
      </c>
      <c r="D27" s="340">
        <v>0</v>
      </c>
      <c r="E27" s="2386"/>
      <c r="F27" s="340"/>
      <c r="G27" s="456" t="s">
        <v>930</v>
      </c>
      <c r="H27" s="340">
        <v>16576</v>
      </c>
      <c r="I27" s="897" t="s">
        <v>845</v>
      </c>
      <c r="J27" s="455"/>
      <c r="K27" s="456">
        <f t="shared" ref="K27:K30" si="8">IF(H27=0,"0.00%",(L27-H27)/H27)</f>
        <v>1.5625E-2</v>
      </c>
      <c r="L27" s="340">
        <v>16835</v>
      </c>
      <c r="M27" s="897"/>
      <c r="O27" s="456">
        <f t="shared" ref="O27:O30" si="9">IF(L27=0,"0.00%",(P27-L27)/L27)</f>
        <v>0</v>
      </c>
      <c r="P27" s="340">
        <f>+L27</f>
        <v>16835</v>
      </c>
      <c r="Q27" s="897" t="s">
        <v>173</v>
      </c>
      <c r="R27" s="592"/>
      <c r="S27" s="2238">
        <f t="shared" ref="S27:S30" si="10">IF(P27=0,"0.00%",(T27-P27)/P27)</f>
        <v>0</v>
      </c>
      <c r="T27" s="340">
        <f>+P27</f>
        <v>16835</v>
      </c>
      <c r="U27" s="897" t="s">
        <v>173</v>
      </c>
      <c r="V27" s="952"/>
      <c r="W27" s="2241">
        <f t="shared" ref="W27:W30" si="11">IF(T27=0,"0.00%",(X27-T27)/T27)</f>
        <v>2.0017820017820018E-2</v>
      </c>
      <c r="X27" s="340">
        <f>ROUND(T27*(1+Y19),0)</f>
        <v>17172</v>
      </c>
      <c r="Y27" s="455" t="str">
        <f>TEXT(Y19,"0.0%")&amp;" = Est. S &amp; C"</f>
        <v>2.0% = Est. S &amp; C</v>
      </c>
      <c r="AA27" s="456">
        <f t="shared" ref="AA27:AA30" si="12">IF(X27=0,"0.00%",(AB27-X27)/X27)</f>
        <v>1.9974376892615886E-2</v>
      </c>
      <c r="AB27" s="340">
        <f>ROUND(X27*(1+AC19),0)</f>
        <v>17515</v>
      </c>
      <c r="AC27" s="455" t="str">
        <f>TEXT(AC19,"0.0%")&amp;" = Est. S &amp; C"</f>
        <v>2.0% = Est. S &amp; C</v>
      </c>
    </row>
    <row r="28" spans="1:29" s="457" customFormat="1" x14ac:dyDescent="0.25">
      <c r="A28" s="897"/>
      <c r="B28" s="2441" t="s">
        <v>244</v>
      </c>
      <c r="C28" s="2386" t="s">
        <v>805</v>
      </c>
      <c r="D28" s="340">
        <v>0</v>
      </c>
      <c r="E28" s="2386"/>
      <c r="F28" s="340"/>
      <c r="G28" s="456" t="str">
        <f t="shared" ref="G28:G30" si="13">IF(D28=0,"0.00%",(H28-D28)/D28)</f>
        <v>0.00%</v>
      </c>
      <c r="H28" s="340">
        <v>0</v>
      </c>
      <c r="I28" s="897"/>
      <c r="J28" s="455"/>
      <c r="K28" s="456" t="str">
        <f t="shared" si="8"/>
        <v>0.00%</v>
      </c>
      <c r="L28" s="340">
        <v>0</v>
      </c>
      <c r="M28" s="897"/>
      <c r="O28" s="456" t="str">
        <f t="shared" si="9"/>
        <v>0.00%</v>
      </c>
      <c r="P28" s="340">
        <f>ROUND(+L28*(1+Q19),0)</f>
        <v>0</v>
      </c>
      <c r="Q28" s="897"/>
      <c r="R28" s="592"/>
      <c r="S28" s="2238" t="str">
        <f t="shared" ref="S28" si="14">IF(P28=0,"0.00%",(T28-P28)/P28)</f>
        <v>0.00%</v>
      </c>
      <c r="T28" s="340">
        <f>+P28</f>
        <v>0</v>
      </c>
      <c r="U28" s="455"/>
      <c r="V28" s="952"/>
      <c r="W28" s="2241"/>
      <c r="X28" s="340"/>
      <c r="Y28" s="455"/>
      <c r="AA28" s="456"/>
      <c r="AB28" s="340"/>
      <c r="AC28" s="455"/>
    </row>
    <row r="29" spans="1:29" s="457" customFormat="1" x14ac:dyDescent="0.25">
      <c r="A29" s="897"/>
      <c r="B29" s="2385">
        <v>2908</v>
      </c>
      <c r="C29" s="1656" t="s">
        <v>842</v>
      </c>
      <c r="D29" s="340">
        <v>0</v>
      </c>
      <c r="E29" s="2386"/>
      <c r="F29" s="340"/>
      <c r="G29" s="456" t="s">
        <v>930</v>
      </c>
      <c r="H29" s="340">
        <v>101547</v>
      </c>
      <c r="I29" s="897" t="s">
        <v>845</v>
      </c>
      <c r="J29" s="455"/>
      <c r="K29" s="456">
        <f t="shared" si="8"/>
        <v>1.5628231262371117E-2</v>
      </c>
      <c r="L29" s="340">
        <v>103134</v>
      </c>
      <c r="M29" s="897"/>
      <c r="O29" s="456">
        <f t="shared" si="9"/>
        <v>0</v>
      </c>
      <c r="P29" s="340">
        <f>+L29</f>
        <v>103134</v>
      </c>
      <c r="Q29" s="897" t="s">
        <v>173</v>
      </c>
      <c r="R29" s="592"/>
      <c r="S29" s="2238">
        <f t="shared" si="10"/>
        <v>0</v>
      </c>
      <c r="T29" s="340">
        <f>+P29</f>
        <v>103134</v>
      </c>
      <c r="U29" s="897" t="s">
        <v>173</v>
      </c>
      <c r="V29" s="952"/>
      <c r="W29" s="2241">
        <f t="shared" si="11"/>
        <v>2.0003102759516746E-2</v>
      </c>
      <c r="X29" s="340">
        <f>ROUND(T29*(1+Y19),0)</f>
        <v>105197</v>
      </c>
      <c r="Y29" s="455" t="str">
        <f>TEXT(Y19,"0.0%")&amp;" = Est. S &amp; C"</f>
        <v>2.0% = Est. S &amp; C</v>
      </c>
      <c r="AA29" s="456">
        <f t="shared" si="12"/>
        <v>2.0000570358470297E-2</v>
      </c>
      <c r="AB29" s="340">
        <f>ROUND(X29*(1+AC19),0)</f>
        <v>107301</v>
      </c>
      <c r="AC29" s="455" t="str">
        <f>TEXT(AC19,"0.0%")&amp;" = Est. S &amp; C"</f>
        <v>2.0% = Est. S &amp; C</v>
      </c>
    </row>
    <row r="30" spans="1:29" s="457" customFormat="1" x14ac:dyDescent="0.25">
      <c r="A30" s="897"/>
      <c r="B30" s="2441" t="s">
        <v>246</v>
      </c>
      <c r="C30" s="2386" t="s">
        <v>804</v>
      </c>
      <c r="D30" s="340">
        <v>0</v>
      </c>
      <c r="E30" s="2386"/>
      <c r="F30" s="340"/>
      <c r="G30" s="456" t="str">
        <f t="shared" si="13"/>
        <v>0.00%</v>
      </c>
      <c r="H30" s="340"/>
      <c r="I30" s="897"/>
      <c r="J30" s="455"/>
      <c r="K30" s="456" t="str">
        <f t="shared" si="8"/>
        <v>0.00%</v>
      </c>
      <c r="L30" s="340">
        <v>0</v>
      </c>
      <c r="M30" s="897"/>
      <c r="O30" s="456" t="str">
        <f t="shared" si="9"/>
        <v>0.00%</v>
      </c>
      <c r="P30" s="340">
        <f>ROUND(+L30*(1+Q19),0)</f>
        <v>0</v>
      </c>
      <c r="Q30" s="897"/>
      <c r="R30" s="592"/>
      <c r="S30" s="2238" t="str">
        <f t="shared" si="10"/>
        <v>0.00%</v>
      </c>
      <c r="T30" s="340">
        <f>ROUND(P30*(1+U19),0)</f>
        <v>0</v>
      </c>
      <c r="U30" s="455"/>
      <c r="V30" s="952"/>
      <c r="W30" s="2241" t="str">
        <f t="shared" si="11"/>
        <v>0.00%</v>
      </c>
      <c r="X30" s="340">
        <f>ROUND(T30*(1+Y19),0)</f>
        <v>0</v>
      </c>
      <c r="Y30" s="455" t="str">
        <f>TEXT(Y19,"0.0%")&amp;" = Est. S &amp; C"</f>
        <v>2.0% = Est. S &amp; C</v>
      </c>
      <c r="AA30" s="456" t="str">
        <f t="shared" si="12"/>
        <v>0.00%</v>
      </c>
      <c r="AB30" s="340">
        <f>ROUND(X30*(1+AC19),0)</f>
        <v>0</v>
      </c>
      <c r="AC30" s="455" t="str">
        <f>TEXT(AC19,"0.0%")&amp;" = Est. S &amp; C"</f>
        <v>2.0% = Est. S &amp; C</v>
      </c>
    </row>
    <row r="31" spans="1:29" s="457" customFormat="1" x14ac:dyDescent="0.25">
      <c r="A31" s="898"/>
      <c r="B31" s="2385"/>
      <c r="C31" s="1656"/>
      <c r="D31" s="458">
        <f>SUM(D27:D30)</f>
        <v>0</v>
      </c>
      <c r="E31" s="2386"/>
      <c r="F31" s="340"/>
      <c r="G31" s="456" t="s">
        <v>849</v>
      </c>
      <c r="H31" s="458">
        <f>SUM(H27:H30)</f>
        <v>118123</v>
      </c>
      <c r="I31" s="2316">
        <f>+H31-D31</f>
        <v>118123</v>
      </c>
      <c r="J31" s="459"/>
      <c r="K31" s="456">
        <f>IF(H31=0,"0.00%",(L31-H31)/H31)</f>
        <v>1.5627777824809733E-2</v>
      </c>
      <c r="L31" s="458">
        <f>SUM(L27:L30)</f>
        <v>119969</v>
      </c>
      <c r="M31" s="2316">
        <f>+L31-H31</f>
        <v>1846</v>
      </c>
      <c r="O31" s="456">
        <f>IF(L31=0,"0.00%",(P31-L31)/L31)</f>
        <v>0</v>
      </c>
      <c r="P31" s="458">
        <f>SUM(P27:P30)</f>
        <v>119969</v>
      </c>
      <c r="Q31" s="2316">
        <f>+P31-L31</f>
        <v>0</v>
      </c>
      <c r="R31" s="592"/>
      <c r="S31" s="2238">
        <f>IF(P31=0,"0.00%",(T31-P31)/P31)</f>
        <v>0</v>
      </c>
      <c r="T31" s="458">
        <f>SUM(T27:T30)</f>
        <v>119969</v>
      </c>
      <c r="U31" s="2344"/>
      <c r="V31" s="952"/>
      <c r="W31" s="2241">
        <f>IF(T31=0,"0.00%",(X31-T31)/T31)</f>
        <v>2.000516800173378E-2</v>
      </c>
      <c r="X31" s="458">
        <f>SUM(X27:X30)</f>
        <v>122369</v>
      </c>
      <c r="Y31" s="2344"/>
      <c r="AA31" s="456">
        <f>IF(X31=0,"0.00%",(AB31-X31)/X31)</f>
        <v>1.9996894638347949E-2</v>
      </c>
      <c r="AB31" s="458">
        <f>SUM(AB27:AB30)</f>
        <v>124816</v>
      </c>
      <c r="AC31" s="2344"/>
    </row>
    <row r="32" spans="1:29" s="457" customFormat="1" x14ac:dyDescent="0.25">
      <c r="A32" s="897"/>
      <c r="B32" s="2345" t="s">
        <v>28</v>
      </c>
      <c r="C32" s="1656"/>
      <c r="D32" s="340"/>
      <c r="E32" s="2386"/>
      <c r="F32" s="340"/>
      <c r="G32" s="2338"/>
      <c r="H32" s="340"/>
      <c r="I32" s="897"/>
      <c r="J32" s="455"/>
      <c r="K32" s="1668"/>
      <c r="L32" s="340"/>
      <c r="M32" s="901"/>
      <c r="O32" s="1668"/>
      <c r="P32" s="340"/>
      <c r="Q32" s="901"/>
      <c r="R32" s="592"/>
      <c r="S32" s="2341"/>
      <c r="T32" s="340"/>
      <c r="U32" s="2344"/>
      <c r="V32" s="952"/>
      <c r="W32" s="2343"/>
      <c r="X32" s="340"/>
      <c r="Y32" s="2344"/>
      <c r="AA32" s="1668"/>
      <c r="AB32" s="340"/>
      <c r="AC32" s="2344"/>
    </row>
    <row r="33" spans="1:29" s="457" customFormat="1" x14ac:dyDescent="0.25">
      <c r="A33" s="868"/>
      <c r="B33" s="2337" t="s">
        <v>27</v>
      </c>
      <c r="C33" s="1656"/>
      <c r="D33" s="340"/>
      <c r="E33" s="2386"/>
      <c r="F33" s="340"/>
      <c r="G33" s="2338"/>
      <c r="H33" s="340"/>
      <c r="I33" s="897"/>
      <c r="J33" s="455"/>
      <c r="K33" s="1668"/>
      <c r="L33" s="340"/>
      <c r="M33" s="901"/>
      <c r="O33" s="1668"/>
      <c r="P33" s="340"/>
      <c r="Q33" s="901"/>
      <c r="R33" s="592"/>
      <c r="S33" s="2341"/>
      <c r="T33" s="340"/>
      <c r="U33" s="2344"/>
      <c r="V33" s="952"/>
      <c r="W33" s="2343"/>
      <c r="X33" s="340"/>
      <c r="Y33" s="2344"/>
      <c r="AA33" s="1668"/>
      <c r="AB33" s="340"/>
      <c r="AC33" s="2344"/>
    </row>
    <row r="34" spans="1:29" s="457" customFormat="1" x14ac:dyDescent="0.25">
      <c r="A34" s="897"/>
      <c r="B34" s="2385" t="s">
        <v>83</v>
      </c>
      <c r="C34" s="1656" t="s">
        <v>76</v>
      </c>
      <c r="D34" s="340">
        <v>0</v>
      </c>
      <c r="E34" s="899" t="str">
        <f>TEXT('MYP Assumptions'!$D$57,"0.00%")&amp;", STRS rate"</f>
        <v>12.58%, STRS rate</v>
      </c>
      <c r="F34" s="340"/>
      <c r="G34" s="456" t="s">
        <v>849</v>
      </c>
      <c r="H34" s="340">
        <f>2391+3738</f>
        <v>6129</v>
      </c>
      <c r="I34" s="899" t="str">
        <f>TEXT('MYP Assumptions'!E57,"0.00%")&amp;", projected STRS rate"</f>
        <v>14.43%, projected STRS rate</v>
      </c>
      <c r="J34" s="455"/>
      <c r="K34" s="456">
        <f t="shared" ref="K34:K43" si="15">IF(H34=0,"0.00%",(L34-H34)/H34)</f>
        <v>-0.55261869799314733</v>
      </c>
      <c r="L34" s="340">
        <v>2742</v>
      </c>
      <c r="M34" s="899" t="str">
        <f>TEXT('MYP Assumptions'!F57,"0.00%")&amp;", projected STRS rate"</f>
        <v>16.28%, projected STRS rate</v>
      </c>
      <c r="O34" s="456">
        <f t="shared" ref="O34:O43" si="16">IF(L34=0,"0.00%",(P34-L34)/L34)</f>
        <v>0.11342086068563093</v>
      </c>
      <c r="P34" s="340">
        <f>ROUND(P24*LEFT(Q34,6),0)</f>
        <v>3053</v>
      </c>
      <c r="Q34" s="899" t="str">
        <f>TEXT('MYP Assumptions'!G57,"0.00%")&amp;", projected STRS rate"</f>
        <v>18.13%, projected STRS rate</v>
      </c>
      <c r="R34" s="592"/>
      <c r="S34" s="2238">
        <f t="shared" ref="S34:S43" si="17">IF(P34=0,"0.00%",(T34-P34)/P34)</f>
        <v>5.3390108090402885E-2</v>
      </c>
      <c r="T34" s="340">
        <f>ROUND(T24*LEFT(U34,6),0)</f>
        <v>3216</v>
      </c>
      <c r="U34" s="953" t="str">
        <f>TEXT('MYP Assumptions'!H57,"0.00%")&amp;", projected STRS rate"</f>
        <v>19.10%, projected STRS rate</v>
      </c>
      <c r="V34" s="952"/>
      <c r="W34" s="2241">
        <f t="shared" ref="W34:W43" si="18">IF(T34=0,"0.00%",(X34-T34)/T34)</f>
        <v>2.0211442786069653E-2</v>
      </c>
      <c r="X34" s="340">
        <f>ROUND(X24*LEFT(Y34,6),0)</f>
        <v>3281</v>
      </c>
      <c r="Y34" s="953" t="str">
        <f>TEXT('MYP Assumptions'!I57,"0.00%")&amp;", projected STRS rate"</f>
        <v>19.10%, projected STRS rate</v>
      </c>
      <c r="AA34" s="456" t="e">
        <f t="shared" ref="AA34:AA43" si="19">IF(X34=0,"0.00%",(AB34-X34)/X34)</f>
        <v>#VALUE!</v>
      </c>
      <c r="AB34" s="340" t="e">
        <f>ROUND(AB24*LEFT(AC34,6),0)</f>
        <v>#VALUE!</v>
      </c>
      <c r="AC34" s="953" t="str">
        <f>TEXT('MYP Assumptions'!J57,"0.00%")&amp;", projected STRS rate"</f>
        <v>0.00%, projected STRS rate</v>
      </c>
    </row>
    <row r="35" spans="1:29" s="457" customFormat="1" x14ac:dyDescent="0.25">
      <c r="A35" s="897"/>
      <c r="B35" s="2385" t="s">
        <v>84</v>
      </c>
      <c r="C35" s="1656" t="s">
        <v>77</v>
      </c>
      <c r="D35" s="340">
        <v>0</v>
      </c>
      <c r="E35" s="899" t="str">
        <f>TEXT('MYP Assumptions'!$D$58,"0.00%")&amp;", PERS rate"</f>
        <v>13.89%, PERS rate</v>
      </c>
      <c r="F35" s="340"/>
      <c r="G35" s="456" t="s">
        <v>849</v>
      </c>
      <c r="H35" s="340">
        <v>9168</v>
      </c>
      <c r="I35" s="899" t="str">
        <f>TEXT('MYP Assumptions'!E58,"0.00%")&amp;", projected PERS rate"</f>
        <v>15.53%, projected PERS rate</v>
      </c>
      <c r="J35" s="455"/>
      <c r="K35" s="456">
        <f t="shared" si="15"/>
        <v>1.3633289703315881</v>
      </c>
      <c r="L35" s="340">
        <v>21667</v>
      </c>
      <c r="M35" s="899" t="str">
        <f>TEXT('MYP Assumptions'!F58,"0.00%")&amp;", projected PERS rate"</f>
        <v>18.06%, projected PERS rate</v>
      </c>
      <c r="O35" s="456">
        <f t="shared" si="16"/>
        <v>0.15170535837910187</v>
      </c>
      <c r="P35" s="340">
        <f>ROUND(P31*LEFT(Q35,6),0)</f>
        <v>24954</v>
      </c>
      <c r="Q35" s="899" t="str">
        <f>TEXT('MYP Assumptions'!G58,"0.00%")&amp;", projected PERS rate"</f>
        <v>20.80%, projected PERS rate</v>
      </c>
      <c r="R35" s="592"/>
      <c r="S35" s="2238">
        <f t="shared" si="17"/>
        <v>0.12979882984691832</v>
      </c>
      <c r="T35" s="340">
        <f>ROUND(T31*LEFT(U35,6),0)</f>
        <v>28193</v>
      </c>
      <c r="U35" s="953" t="str">
        <f>TEXT('MYP Assumptions'!H58,"0.00%")&amp;", projected PERS rate"</f>
        <v>23.50%, projected PERS rate</v>
      </c>
      <c r="V35" s="952"/>
      <c r="W35" s="2241">
        <f t="shared" si="18"/>
        <v>6.7747313162841841E-2</v>
      </c>
      <c r="X35" s="340">
        <f>ROUND(X31*LEFT(Y35,6),0)</f>
        <v>30103</v>
      </c>
      <c r="Y35" s="953" t="str">
        <f>TEXT('MYP Assumptions'!I58,"0.00%")&amp;", projected PERS rate"</f>
        <v>24.60%, projected PERS rate</v>
      </c>
      <c r="AA35" s="456" t="e">
        <f t="shared" si="19"/>
        <v>#VALUE!</v>
      </c>
      <c r="AB35" s="340" t="e">
        <f>ROUND(AB31*LEFT(AC35,6),0)</f>
        <v>#VALUE!</v>
      </c>
      <c r="AC35" s="953" t="str">
        <f>TEXT('MYP Assumptions'!J58,"0.00%")&amp;", projected PERS rate"</f>
        <v>0.00%, projected PERS rate</v>
      </c>
    </row>
    <row r="36" spans="1:29" s="457" customFormat="1" x14ac:dyDescent="0.25">
      <c r="A36" s="897"/>
      <c r="B36" s="2385" t="s">
        <v>85</v>
      </c>
      <c r="C36" s="1656" t="s">
        <v>78</v>
      </c>
      <c r="D36" s="340">
        <v>0</v>
      </c>
      <c r="E36" s="899" t="str">
        <f>TEXT('MYP Assumptions'!$D$60,"0.00%")&amp;", SS rate"</f>
        <v>6.20%, SS rate</v>
      </c>
      <c r="F36" s="340"/>
      <c r="G36" s="456" t="s">
        <v>849</v>
      </c>
      <c r="H36" s="340">
        <v>7129</v>
      </c>
      <c r="I36" s="899" t="str">
        <f>TEXT('MYP Assumptions'!E60,"0.00%")&amp;", no rate change"</f>
        <v>6.20%, no rate change</v>
      </c>
      <c r="J36" s="455"/>
      <c r="K36" s="456">
        <f t="shared" si="15"/>
        <v>4.3063543273951468E-2</v>
      </c>
      <c r="L36" s="340">
        <v>7436</v>
      </c>
      <c r="M36" s="899" t="str">
        <f>TEXT('MYP Assumptions'!F60,"0.00%")&amp;", no rate change"</f>
        <v>6.20%, no rate change</v>
      </c>
      <c r="O36" s="456">
        <f t="shared" si="16"/>
        <v>2.6896180742334586E-4</v>
      </c>
      <c r="P36" s="340">
        <f>ROUND(P31*LEFT(Q36,5),0)</f>
        <v>7438</v>
      </c>
      <c r="Q36" s="899" t="str">
        <f>TEXT('MYP Assumptions'!G60,"0.00%")&amp;", no rate change"</f>
        <v>6.20%, no rate change</v>
      </c>
      <c r="R36" s="592"/>
      <c r="S36" s="2238">
        <f t="shared" si="17"/>
        <v>0</v>
      </c>
      <c r="T36" s="340">
        <f>ROUND(T31*LEFT(U36,5),0)</f>
        <v>7438</v>
      </c>
      <c r="U36" s="953" t="str">
        <f>TEXT('MYP Assumptions'!H60,"0.00%")&amp;", no rate change"</f>
        <v>6.20%, no rate change</v>
      </c>
      <c r="V36" s="952"/>
      <c r="W36" s="2241">
        <f t="shared" si="18"/>
        <v>2.0032266738370531E-2</v>
      </c>
      <c r="X36" s="340">
        <f>ROUND(X31*LEFT(Y36,5),0)</f>
        <v>7587</v>
      </c>
      <c r="Y36" s="953" t="str">
        <f>TEXT('MYP Assumptions'!I60,"0.00%")&amp;", no rate change"</f>
        <v>6.20%, no rate change</v>
      </c>
      <c r="AA36" s="456">
        <f t="shared" si="19"/>
        <v>-1</v>
      </c>
      <c r="AB36" s="340">
        <f>ROUND(AB31*LEFT(AC36,5),0)</f>
        <v>0</v>
      </c>
      <c r="AC36" s="953" t="str">
        <f>TEXT('MYP Assumptions'!J60,"0.00%")&amp;", no rate change"</f>
        <v>0.00%, no rate change</v>
      </c>
    </row>
    <row r="37" spans="1:29" s="457" customFormat="1" x14ac:dyDescent="0.25">
      <c r="A37" s="897"/>
      <c r="B37" s="2385" t="s">
        <v>86</v>
      </c>
      <c r="C37" s="1656" t="s">
        <v>79</v>
      </c>
      <c r="D37" s="340">
        <v>0</v>
      </c>
      <c r="E37" s="899" t="str">
        <f>TEXT('MYP Assumptions'!$D$61,"0.00%")&amp;", Medicare rate"</f>
        <v>1.45%, Medicare rate</v>
      </c>
      <c r="F37" s="340"/>
      <c r="G37" s="456" t="s">
        <v>849</v>
      </c>
      <c r="H37" s="340">
        <f>240+1668</f>
        <v>1908</v>
      </c>
      <c r="I37" s="899" t="str">
        <f>TEXT('MYP Assumptions'!E61,"0.00%")&amp;", no rate change"</f>
        <v>1.45%, no rate change</v>
      </c>
      <c r="J37" s="455"/>
      <c r="K37" s="456">
        <f t="shared" si="15"/>
        <v>3.7735849056603772E-2</v>
      </c>
      <c r="L37" s="340">
        <f>243+1737</f>
        <v>1980</v>
      </c>
      <c r="M37" s="899" t="str">
        <f>TEXT('MYP Assumptions'!F61,"0.00%")&amp;", no rate change"</f>
        <v>1.45%, no rate change</v>
      </c>
      <c r="O37" s="456">
        <f t="shared" si="16"/>
        <v>2.0202020202020202E-3</v>
      </c>
      <c r="P37" s="340">
        <f>ROUND((P31+P24)*LEFT(Q37,5),0)</f>
        <v>1984</v>
      </c>
      <c r="Q37" s="899" t="str">
        <f>TEXT('MYP Assumptions'!G61,"0.00%")&amp;", no rate change"</f>
        <v>1.45%, no rate change</v>
      </c>
      <c r="R37" s="592"/>
      <c r="S37" s="2238">
        <f t="shared" si="17"/>
        <v>0</v>
      </c>
      <c r="T37" s="340">
        <f>ROUND((T31+T24)*LEFT(U37,5),0)</f>
        <v>1984</v>
      </c>
      <c r="U37" s="953" t="str">
        <f>TEXT('MYP Assumptions'!H61,"0.00%")&amp;", no rate change"</f>
        <v>1.45%, no rate change</v>
      </c>
      <c r="V37" s="952"/>
      <c r="W37" s="2241">
        <f t="shared" si="18"/>
        <v>1.9657258064516129E-2</v>
      </c>
      <c r="X37" s="340">
        <f>ROUND((X31+X24)*LEFT(Y37,5),0)</f>
        <v>2023</v>
      </c>
      <c r="Y37" s="953" t="str">
        <f>TEXT('MYP Assumptions'!I61,"0.00%")&amp;", no rate change"</f>
        <v>1.45%, no rate change</v>
      </c>
      <c r="AA37" s="456">
        <f t="shared" si="19"/>
        <v>-1</v>
      </c>
      <c r="AB37" s="340">
        <f>ROUND((AB31+AB24)*LEFT(AC37,5),0)</f>
        <v>0</v>
      </c>
      <c r="AC37" s="953" t="str">
        <f>TEXT('MYP Assumptions'!J61,"0.00%")&amp;", no rate change"</f>
        <v>0.00%, no rate change</v>
      </c>
    </row>
    <row r="38" spans="1:29" s="457" customFormat="1" x14ac:dyDescent="0.25">
      <c r="A38" s="897"/>
      <c r="B38" s="2385" t="s">
        <v>87</v>
      </c>
      <c r="C38" s="1656" t="s">
        <v>80</v>
      </c>
      <c r="D38" s="340">
        <v>0</v>
      </c>
      <c r="E38" s="899"/>
      <c r="F38" s="340"/>
      <c r="G38" s="456"/>
      <c r="H38" s="340">
        <v>0</v>
      </c>
      <c r="I38" s="899"/>
      <c r="J38" s="455"/>
      <c r="K38" s="456" t="str">
        <f t="shared" si="15"/>
        <v>0.00%</v>
      </c>
      <c r="L38" s="340">
        <v>0</v>
      </c>
      <c r="M38" s="899"/>
      <c r="O38" s="456" t="str">
        <f t="shared" si="16"/>
        <v>0.00%</v>
      </c>
      <c r="P38" s="340">
        <v>0</v>
      </c>
      <c r="Q38" s="899"/>
      <c r="R38" s="592"/>
      <c r="S38" s="2238" t="str">
        <f t="shared" si="17"/>
        <v>0.00%</v>
      </c>
      <c r="T38" s="340">
        <f>ROUND((P38)*(LEFT(U38,5)+1),0)</f>
        <v>0</v>
      </c>
      <c r="U38" s="953" t="str">
        <f>TEXT('MYP Assumptions'!$I$68,"0.00%")&amp;", projected increase"</f>
        <v>5.00%, projected increase</v>
      </c>
      <c r="V38" s="952"/>
      <c r="W38" s="2241" t="str">
        <f t="shared" si="18"/>
        <v>0.00%</v>
      </c>
      <c r="X38" s="340">
        <f>ROUND((T38)*(LEFT(Y38,5)+1),0)</f>
        <v>0</v>
      </c>
      <c r="Y38" s="953" t="str">
        <f>TEXT('MYP Assumptions'!$I$68,"0.00%")&amp;", projected increase"</f>
        <v>5.00%, projected increase</v>
      </c>
      <c r="AA38" s="456" t="str">
        <f t="shared" si="19"/>
        <v>0.00%</v>
      </c>
      <c r="AB38" s="340">
        <f>ROUND((X38)*(LEFT(AC38,5)+1),0)</f>
        <v>0</v>
      </c>
      <c r="AC38" s="953" t="str">
        <f>TEXT('MYP Assumptions'!$I$68,"0.00%")&amp;", projected increase"</f>
        <v>5.00%, projected increase</v>
      </c>
    </row>
    <row r="39" spans="1:29" s="457" customFormat="1" x14ac:dyDescent="0.25">
      <c r="A39" s="897"/>
      <c r="B39" s="2385" t="s">
        <v>88</v>
      </c>
      <c r="C39" s="1656" t="s">
        <v>81</v>
      </c>
      <c r="D39" s="340">
        <v>0</v>
      </c>
      <c r="E39" s="899" t="str">
        <f>TEXT('MYP Assumptions'!$D$62,"0.00%")&amp;", SUI rate"</f>
        <v>0.05%, SUI rate</v>
      </c>
      <c r="F39" s="340"/>
      <c r="G39" s="456" t="s">
        <v>849</v>
      </c>
      <c r="H39" s="340">
        <f>9+64</f>
        <v>73</v>
      </c>
      <c r="I39" s="899" t="str">
        <f>TEXT('MYP Assumptions'!E62,"0.00%")&amp;", no rate change"</f>
        <v>0.05%, no rate change</v>
      </c>
      <c r="J39" s="455"/>
      <c r="K39" s="456">
        <f t="shared" si="15"/>
        <v>0</v>
      </c>
      <c r="L39" s="340">
        <f>9+64</f>
        <v>73</v>
      </c>
      <c r="M39" s="899" t="str">
        <f>TEXT('MYP Assumptions'!F62,"0.00%")&amp;", no rate change"</f>
        <v>0.05%, no rate change</v>
      </c>
      <c r="O39" s="456">
        <f t="shared" si="16"/>
        <v>-6.8493150684931503E-2</v>
      </c>
      <c r="P39" s="340">
        <f>ROUND((P31+P24)*LEFT(Q39,5),0)</f>
        <v>68</v>
      </c>
      <c r="Q39" s="899" t="str">
        <f>TEXT('MYP Assumptions'!G62,"0.00%")&amp;", no rate change"</f>
        <v>0.05%, no rate change</v>
      </c>
      <c r="R39" s="592"/>
      <c r="S39" s="2238">
        <f t="shared" si="17"/>
        <v>0</v>
      </c>
      <c r="T39" s="340">
        <f>ROUND((T31+T24)*LEFT(U39,5),0)</f>
        <v>68</v>
      </c>
      <c r="U39" s="953" t="str">
        <f>TEXT('MYP Assumptions'!H62,"0.00%")&amp;", no rate change"</f>
        <v>0.05%, no rate change</v>
      </c>
      <c r="V39" s="952"/>
      <c r="W39" s="2241">
        <f t="shared" si="18"/>
        <v>2.9411764705882353E-2</v>
      </c>
      <c r="X39" s="340">
        <f>ROUND((X31+X24)*LEFT(Y39,5),0)</f>
        <v>70</v>
      </c>
      <c r="Y39" s="953" t="str">
        <f>TEXT('MYP Assumptions'!I62,"0.00%")&amp;", no rate change"</f>
        <v>0.05%, no rate change</v>
      </c>
      <c r="AA39" s="456">
        <f t="shared" si="19"/>
        <v>-1</v>
      </c>
      <c r="AB39" s="340">
        <f>ROUND((AB31+AB24)*LEFT(AC39,5),0)</f>
        <v>0</v>
      </c>
      <c r="AC39" s="953" t="str">
        <f>TEXT('MYP Assumptions'!J62,"0.00%")&amp;", no rate change"</f>
        <v>0.00%, no rate change</v>
      </c>
    </row>
    <row r="40" spans="1:29" s="457" customFormat="1" x14ac:dyDescent="0.25">
      <c r="A40" s="897"/>
      <c r="B40" s="2385" t="s">
        <v>89</v>
      </c>
      <c r="C40" s="1656" t="s">
        <v>82</v>
      </c>
      <c r="D40" s="340">
        <v>0</v>
      </c>
      <c r="E40" s="899" t="str">
        <f>TEXT('MYP Assumptions'!$D$63,"0.00%")&amp;", W/C rate"</f>
        <v>1.10%, W/C rate</v>
      </c>
      <c r="F40" s="340"/>
      <c r="G40" s="456" t="s">
        <v>849</v>
      </c>
      <c r="H40" s="340">
        <f>183+1259</f>
        <v>1442</v>
      </c>
      <c r="I40" s="899" t="str">
        <f>TEXT('MYP Assumptions'!E63,"0.00%")&amp;", no rate change"</f>
        <v>0.80%, no rate change</v>
      </c>
      <c r="J40" s="455"/>
      <c r="K40" s="456">
        <f t="shared" si="15"/>
        <v>-0.2434119278779473</v>
      </c>
      <c r="L40" s="340">
        <f>135+956</f>
        <v>1091</v>
      </c>
      <c r="M40" s="899" t="str">
        <f>TEXT('MYP Assumptions'!F63,"0.00%")&amp;", no rate change"</f>
        <v>0.80%, no rate change</v>
      </c>
      <c r="O40" s="456">
        <f t="shared" si="16"/>
        <v>2.7497708524289641E-3</v>
      </c>
      <c r="P40" s="340">
        <f>ROUND((P31+P24)*LEFT(Q40,5),0)</f>
        <v>1094</v>
      </c>
      <c r="Q40" s="899" t="str">
        <f>TEXT('MYP Assumptions'!G63,"0.00%")&amp;", no rate change"</f>
        <v>0.80%, no rate change</v>
      </c>
      <c r="R40" s="592"/>
      <c r="S40" s="2238">
        <f t="shared" si="17"/>
        <v>0</v>
      </c>
      <c r="T40" s="340">
        <f>ROUND((T31+T24)*LEFT(U40,5),0)</f>
        <v>1094</v>
      </c>
      <c r="U40" s="953" t="str">
        <f>TEXT('MYP Assumptions'!H63,"0.00%")&amp;", no rate change"</f>
        <v>0.80%, no rate change</v>
      </c>
      <c r="V40" s="952"/>
      <c r="W40" s="2241">
        <f t="shared" si="18"/>
        <v>2.0109689213893969E-2</v>
      </c>
      <c r="X40" s="340">
        <f>ROUND((X31+X24)*LEFT(Y40,5),0)</f>
        <v>1116</v>
      </c>
      <c r="Y40" s="953" t="str">
        <f>TEXT('MYP Assumptions'!I63,"0.00%")&amp;", no rate change"</f>
        <v>0.80%, no rate change</v>
      </c>
      <c r="AA40" s="456">
        <f t="shared" si="19"/>
        <v>-1</v>
      </c>
      <c r="AB40" s="340">
        <f>ROUND((AB31+AB24)*LEFT(AC40,5),0)</f>
        <v>0</v>
      </c>
      <c r="AC40" s="953" t="str">
        <f>TEXT('MYP Assumptions'!J63,"0.00%")&amp;", no rate change"</f>
        <v>0.00%, no rate change</v>
      </c>
    </row>
    <row r="41" spans="1:29" s="457" customFormat="1" x14ac:dyDescent="0.25">
      <c r="A41" s="897"/>
      <c r="B41" s="2441" t="s">
        <v>469</v>
      </c>
      <c r="C41" s="2386" t="s">
        <v>470</v>
      </c>
      <c r="D41" s="340">
        <v>0</v>
      </c>
      <c r="E41" s="2386"/>
      <c r="F41" s="340"/>
      <c r="G41" s="456" t="s">
        <v>849</v>
      </c>
      <c r="H41" s="340">
        <f>D41</f>
        <v>0</v>
      </c>
      <c r="I41" s="899"/>
      <c r="J41" s="455"/>
      <c r="K41" s="456" t="str">
        <f t="shared" si="15"/>
        <v>0.00%</v>
      </c>
      <c r="L41" s="340">
        <f>H41</f>
        <v>0</v>
      </c>
      <c r="M41" s="899"/>
      <c r="O41" s="456" t="str">
        <f t="shared" si="16"/>
        <v>0.00%</v>
      </c>
      <c r="P41" s="340">
        <f>L41</f>
        <v>0</v>
      </c>
      <c r="Q41" s="899"/>
      <c r="R41" s="592"/>
      <c r="S41" s="2238" t="str">
        <f t="shared" si="17"/>
        <v>0.00%</v>
      </c>
      <c r="T41" s="340">
        <f>P41</f>
        <v>0</v>
      </c>
      <c r="U41" s="953" t="s">
        <v>165</v>
      </c>
      <c r="V41" s="952"/>
      <c r="W41" s="2241" t="str">
        <f t="shared" si="18"/>
        <v>0.00%</v>
      </c>
      <c r="X41" s="340">
        <f>T41</f>
        <v>0</v>
      </c>
      <c r="Y41" s="953" t="s">
        <v>165</v>
      </c>
      <c r="AA41" s="456" t="str">
        <f t="shared" si="19"/>
        <v>0.00%</v>
      </c>
      <c r="AB41" s="340">
        <f>X41</f>
        <v>0</v>
      </c>
      <c r="AC41" s="953" t="s">
        <v>165</v>
      </c>
    </row>
    <row r="42" spans="1:29" s="457" customFormat="1" x14ac:dyDescent="0.25">
      <c r="A42" s="897"/>
      <c r="B42" s="2441" t="s">
        <v>91</v>
      </c>
      <c r="C42" s="2386" t="s">
        <v>93</v>
      </c>
      <c r="D42" s="340">
        <v>0</v>
      </c>
      <c r="E42" s="2386"/>
      <c r="F42" s="340"/>
      <c r="G42" s="456"/>
      <c r="H42" s="340">
        <v>0</v>
      </c>
      <c r="I42" s="899"/>
      <c r="J42" s="455"/>
      <c r="K42" s="456"/>
      <c r="L42" s="340">
        <v>0</v>
      </c>
      <c r="M42" s="899"/>
      <c r="O42" s="456"/>
      <c r="P42" s="340">
        <v>0</v>
      </c>
      <c r="Q42" s="899"/>
      <c r="R42" s="592"/>
      <c r="S42" s="2238" t="str">
        <f t="shared" ref="S42" si="20">IF(P42=0,"0.00%",(T42-P42)/P42)</f>
        <v>0.00%</v>
      </c>
      <c r="T42" s="340">
        <f>P42</f>
        <v>0</v>
      </c>
      <c r="U42" s="953" t="s">
        <v>165</v>
      </c>
      <c r="V42" s="952"/>
      <c r="W42" s="2241"/>
      <c r="X42" s="340"/>
      <c r="Y42" s="953"/>
      <c r="AA42" s="456"/>
      <c r="AB42" s="340"/>
      <c r="AC42" s="953"/>
    </row>
    <row r="43" spans="1:29" s="457" customFormat="1" x14ac:dyDescent="0.25">
      <c r="A43" s="898"/>
      <c r="B43" s="2385"/>
      <c r="C43" s="1656"/>
      <c r="D43" s="458">
        <f>SUM(D34:D42)</f>
        <v>0</v>
      </c>
      <c r="E43" s="2386"/>
      <c r="F43" s="340"/>
      <c r="G43" s="456" t="str">
        <f t="shared" ref="G43" si="21">IF(D43=0,"0.00%",(H43-D43)/D43)</f>
        <v>0.00%</v>
      </c>
      <c r="H43" s="458">
        <f>SUM(H34:H42)</f>
        <v>25849</v>
      </c>
      <c r="I43" s="2316">
        <f>+H43-D43</f>
        <v>25849</v>
      </c>
      <c r="J43" s="459"/>
      <c r="K43" s="456">
        <f t="shared" si="15"/>
        <v>0.35359201516499672</v>
      </c>
      <c r="L43" s="458">
        <f>SUM(L34:L42)</f>
        <v>34989</v>
      </c>
      <c r="M43" s="2316">
        <f>+L43-H43</f>
        <v>9140</v>
      </c>
      <c r="O43" s="456">
        <f t="shared" si="16"/>
        <v>0.10294664037268855</v>
      </c>
      <c r="P43" s="458">
        <f>SUM(P34:P42)</f>
        <v>38591</v>
      </c>
      <c r="Q43" s="2316">
        <f>+P43-L43</f>
        <v>3602</v>
      </c>
      <c r="R43" s="592"/>
      <c r="S43" s="2238">
        <f t="shared" si="17"/>
        <v>8.8155269363323061E-2</v>
      </c>
      <c r="T43" s="458">
        <f>SUM(T34:T42)</f>
        <v>41993</v>
      </c>
      <c r="U43" s="2316">
        <f>+T43-P43</f>
        <v>3402</v>
      </c>
      <c r="V43" s="952"/>
      <c r="W43" s="2241">
        <f t="shared" si="18"/>
        <v>5.2080108589526823E-2</v>
      </c>
      <c r="X43" s="458">
        <f>SUM(X34:X42)</f>
        <v>44180</v>
      </c>
      <c r="Y43" s="2344"/>
      <c r="AA43" s="456" t="e">
        <f t="shared" si="19"/>
        <v>#VALUE!</v>
      </c>
      <c r="AB43" s="458" t="e">
        <f>SUM(AB34:AB42)</f>
        <v>#VALUE!</v>
      </c>
      <c r="AC43" s="2344"/>
    </row>
    <row r="44" spans="1:29" s="457" customFormat="1" x14ac:dyDescent="0.25">
      <c r="A44" s="868"/>
      <c r="B44" s="2385"/>
      <c r="C44" s="1656"/>
      <c r="D44" s="340"/>
      <c r="E44" s="2386"/>
      <c r="F44" s="340"/>
      <c r="G44" s="2338"/>
      <c r="H44" s="340"/>
      <c r="I44" s="897"/>
      <c r="J44" s="455"/>
      <c r="K44" s="1668"/>
      <c r="L44" s="340"/>
      <c r="M44" s="901"/>
      <c r="O44" s="1668"/>
      <c r="P44" s="340"/>
      <c r="Q44" s="901"/>
      <c r="R44" s="592"/>
      <c r="S44" s="2341"/>
      <c r="T44" s="340"/>
      <c r="U44" s="901"/>
      <c r="V44" s="952"/>
      <c r="W44" s="2343"/>
      <c r="X44" s="340"/>
      <c r="Y44" s="2344"/>
      <c r="AA44" s="1668"/>
      <c r="AB44" s="340"/>
      <c r="AC44" s="2344"/>
    </row>
    <row r="45" spans="1:29" s="457" customFormat="1" x14ac:dyDescent="0.25">
      <c r="A45" s="898"/>
      <c r="B45" s="2337" t="s">
        <v>26</v>
      </c>
      <c r="C45" s="1656"/>
      <c r="D45" s="458">
        <f>SUM(D43,D31,D24)</f>
        <v>0</v>
      </c>
      <c r="E45" s="2386"/>
      <c r="F45" s="340"/>
      <c r="G45" s="456" t="str">
        <f>IF(D45=0,"0.00%",(H45-D45)/D45)</f>
        <v>0.00%</v>
      </c>
      <c r="H45" s="458">
        <f>SUM(H43,H31,H24)</f>
        <v>160550</v>
      </c>
      <c r="I45" s="2316">
        <f>+H45-D45</f>
        <v>160550</v>
      </c>
      <c r="J45" s="459"/>
      <c r="K45" s="456">
        <f>IF(H45=0,"0.00%",(L45-H45)/H45)</f>
        <v>7.00529430084086E-2</v>
      </c>
      <c r="L45" s="458">
        <f>SUM(L43,L31,L24)</f>
        <v>171797</v>
      </c>
      <c r="M45" s="2316">
        <f>+L45-H45</f>
        <v>11247</v>
      </c>
      <c r="O45" s="456">
        <f>IF(L45=0,"0.00%",(P45-L45)/L45)</f>
        <v>2.0966605936075716E-2</v>
      </c>
      <c r="P45" s="458">
        <f>SUM(P43,P31,P24)</f>
        <v>175399</v>
      </c>
      <c r="Q45" s="2316">
        <f>+P45-L45</f>
        <v>3602</v>
      </c>
      <c r="R45" s="592"/>
      <c r="S45" s="2238">
        <f>IF(P45=0,"0.00%",(T45-P45)/P45)</f>
        <v>1.9395777627010415E-2</v>
      </c>
      <c r="T45" s="458">
        <f>SUM(T43,T31,T24)</f>
        <v>178801</v>
      </c>
      <c r="U45" s="2316">
        <f>+T45-P45</f>
        <v>3402</v>
      </c>
      <c r="V45" s="952"/>
      <c r="W45" s="2241">
        <f>IF(T45=0,"0.00%",(X45-T45)/T45)</f>
        <v>2.7538995866913496E-2</v>
      </c>
      <c r="X45" s="458">
        <f>SUM(X43,X31,X24)</f>
        <v>183725</v>
      </c>
      <c r="Y45" s="2344"/>
      <c r="AA45" s="456" t="e">
        <f>IF(X45=0,"0.00%",(AB45-X45)/X45)</f>
        <v>#VALUE!</v>
      </c>
      <c r="AB45" s="458" t="e">
        <f>SUM(AB43,AB31,AB24)</f>
        <v>#VALUE!</v>
      </c>
      <c r="AC45" s="2344"/>
    </row>
    <row r="46" spans="1:29" s="457" customFormat="1" x14ac:dyDescent="0.25">
      <c r="A46" s="2339"/>
      <c r="B46" s="2345"/>
      <c r="C46" s="1656"/>
      <c r="D46" s="340"/>
      <c r="E46" s="2386"/>
      <c r="F46" s="340"/>
      <c r="G46" s="2338"/>
      <c r="H46" s="340"/>
      <c r="I46" s="897"/>
      <c r="J46" s="455"/>
      <c r="K46" s="1668"/>
      <c r="L46" s="340"/>
      <c r="M46" s="901"/>
      <c r="O46" s="1668"/>
      <c r="P46" s="340"/>
      <c r="Q46" s="901"/>
      <c r="R46" s="592"/>
      <c r="S46" s="2341"/>
      <c r="T46" s="340"/>
      <c r="U46" s="2344"/>
      <c r="V46" s="952"/>
      <c r="W46" s="2343"/>
      <c r="X46" s="340"/>
      <c r="Y46" s="2344"/>
      <c r="AA46" s="1668"/>
      <c r="AB46" s="340"/>
      <c r="AC46" s="2344"/>
    </row>
    <row r="47" spans="1:29" s="457" customFormat="1" x14ac:dyDescent="0.25">
      <c r="A47" s="897"/>
      <c r="B47" s="2345"/>
      <c r="C47" s="1656"/>
      <c r="D47" s="340"/>
      <c r="E47" s="2386"/>
      <c r="F47" s="340"/>
      <c r="G47" s="2338"/>
      <c r="H47" s="340"/>
      <c r="I47" s="897"/>
      <c r="J47" s="455"/>
      <c r="K47" s="1668"/>
      <c r="L47" s="340"/>
      <c r="M47" s="901"/>
      <c r="O47" s="1668"/>
      <c r="P47" s="340"/>
      <c r="Q47" s="901"/>
      <c r="R47" s="592"/>
      <c r="S47" s="2341"/>
      <c r="T47" s="340"/>
      <c r="U47" s="2344"/>
      <c r="V47" s="952"/>
      <c r="W47" s="2343"/>
      <c r="X47" s="340"/>
      <c r="Y47" s="2344"/>
      <c r="AA47" s="1668"/>
      <c r="AB47" s="340"/>
      <c r="AC47" s="2344"/>
    </row>
    <row r="48" spans="1:29" s="457" customFormat="1" x14ac:dyDescent="0.25">
      <c r="A48" s="2339"/>
      <c r="B48" s="2440" t="s">
        <v>25</v>
      </c>
      <c r="C48" s="900"/>
      <c r="D48" s="340"/>
      <c r="E48" s="2386"/>
      <c r="F48" s="340"/>
      <c r="G48" s="2338"/>
      <c r="H48" s="606"/>
      <c r="I48" s="897"/>
      <c r="J48" s="455"/>
      <c r="K48" s="1668"/>
      <c r="L48" s="606"/>
      <c r="M48" s="897"/>
      <c r="O48" s="1668"/>
      <c r="P48" s="606"/>
      <c r="Q48" s="897"/>
      <c r="R48" s="592"/>
      <c r="S48" s="2341"/>
      <c r="T48" s="340"/>
      <c r="U48" s="2344"/>
      <c r="V48" s="952"/>
      <c r="W48" s="2343"/>
      <c r="X48" s="340"/>
      <c r="Y48" s="2344"/>
      <c r="AA48" s="1668"/>
      <c r="AB48" s="340"/>
      <c r="AC48" s="2344"/>
    </row>
    <row r="49" spans="1:29" s="457" customFormat="1" x14ac:dyDescent="0.25">
      <c r="A49" s="897"/>
      <c r="B49" s="2385">
        <v>4212</v>
      </c>
      <c r="C49" s="1656" t="s">
        <v>809</v>
      </c>
      <c r="D49" s="340">
        <v>45192.47</v>
      </c>
      <c r="E49" s="2386"/>
      <c r="F49" s="340"/>
      <c r="G49" s="456">
        <f t="shared" ref="G49:G59" si="22">IF(D49=0,"0.00%",(H49-D49)/D49)</f>
        <v>6.0304294056067048E-3</v>
      </c>
      <c r="H49" s="340">
        <v>45465</v>
      </c>
      <c r="I49" s="897"/>
      <c r="J49" s="455"/>
      <c r="K49" s="456">
        <f t="shared" ref="K49:K59" si="23">IF(H49=0,"0.00%",(L49-H49)/H49)</f>
        <v>0.10553172770262839</v>
      </c>
      <c r="L49" s="340">
        <v>50263</v>
      </c>
      <c r="M49" s="897"/>
      <c r="O49" s="456">
        <f t="shared" ref="O49:O59" si="24">IF(L49=0,"0.00%",(P49-L49)/L49)</f>
        <v>0</v>
      </c>
      <c r="P49" s="340">
        <f>+L49*(1-$P$48)</f>
        <v>50263</v>
      </c>
      <c r="Q49" s="897"/>
      <c r="R49" s="592"/>
      <c r="S49" s="2238">
        <f t="shared" ref="S49:S59" si="25">IF(P49=0,"0.00%",(T49-P49)/P49)</f>
        <v>0</v>
      </c>
      <c r="T49" s="340">
        <f>P49</f>
        <v>50263</v>
      </c>
      <c r="U49" s="953"/>
      <c r="V49" s="952"/>
      <c r="W49" s="2241">
        <f t="shared" ref="W49:W59" si="26">IF(T49=0,"0.00%",(X49-T49)/T49)</f>
        <v>2.7296420826452859E-2</v>
      </c>
      <c r="X49" s="340">
        <f>ROUND(T49*(LEFT(Y49,5)+1),0)</f>
        <v>51635</v>
      </c>
      <c r="Y49" s="953" t="str">
        <f>TEXT('MYP Assumptions'!I78,"0.00%")&amp;", CPI"</f>
        <v>2.73%, CPI</v>
      </c>
      <c r="AA49" s="456">
        <f t="shared" ref="AA49:AA59" si="27">IF(X49=0,"0.00%",(AB49-X49)/X49)</f>
        <v>2.7307059165294859E-2</v>
      </c>
      <c r="AB49" s="340">
        <f>ROUND(X49*(LEFT(AC49,5)+1),0)</f>
        <v>53045</v>
      </c>
      <c r="AC49" s="953" t="str">
        <f>TEXT('MYP Assumptions'!J78,"0.00%")&amp;", CPI"</f>
        <v>2.73%, CPI</v>
      </c>
    </row>
    <row r="50" spans="1:29" s="457" customFormat="1" x14ac:dyDescent="0.25">
      <c r="A50" s="897"/>
      <c r="B50" s="2385">
        <v>4310</v>
      </c>
      <c r="C50" s="1656" t="s">
        <v>863</v>
      </c>
      <c r="D50" s="340">
        <v>201822.27</v>
      </c>
      <c r="E50" s="2386"/>
      <c r="F50" s="340"/>
      <c r="G50" s="456">
        <f t="shared" si="22"/>
        <v>0.13343785103596353</v>
      </c>
      <c r="H50" s="340">
        <v>228753</v>
      </c>
      <c r="I50" s="897"/>
      <c r="J50" s="455"/>
      <c r="K50" s="456">
        <f t="shared" si="23"/>
        <v>-1.9134175289504399E-2</v>
      </c>
      <c r="L50" s="340">
        <v>224376</v>
      </c>
      <c r="M50" s="897"/>
      <c r="O50" s="456">
        <f t="shared" si="24"/>
        <v>0</v>
      </c>
      <c r="P50" s="340">
        <f t="shared" ref="P50:P58" si="28">+L50*(1-$P$48)</f>
        <v>224376</v>
      </c>
      <c r="Q50" s="897"/>
      <c r="R50" s="592"/>
      <c r="S50" s="2238">
        <f t="shared" si="25"/>
        <v>0</v>
      </c>
      <c r="T50" s="340">
        <f t="shared" ref="T50:T55" si="29">P50</f>
        <v>224376</v>
      </c>
      <c r="U50" s="953"/>
      <c r="V50" s="952"/>
      <c r="W50" s="2241">
        <f t="shared" si="26"/>
        <v>2.7297928477198988E-2</v>
      </c>
      <c r="X50" s="340">
        <f t="shared" ref="X50:X58" si="30">ROUND(T50*(LEFT(Y50,5)+1),0)</f>
        <v>230501</v>
      </c>
      <c r="Y50" s="953" t="str">
        <f>TEXT('MYP Assumptions'!I78,"0.00%")&amp;", CPI"</f>
        <v>2.73%, CPI</v>
      </c>
      <c r="AA50" s="456">
        <f t="shared" si="27"/>
        <v>2.7301399993926275E-2</v>
      </c>
      <c r="AB50" s="340">
        <f t="shared" ref="AB50:AB58" si="31">ROUND(X50*(LEFT(AC50,5)+1),0)</f>
        <v>236794</v>
      </c>
      <c r="AC50" s="953" t="str">
        <f>TEXT('MYP Assumptions'!J78,"0.00%")&amp;", CPI"</f>
        <v>2.73%, CPI</v>
      </c>
    </row>
    <row r="51" spans="1:29" s="457" customFormat="1" x14ac:dyDescent="0.25">
      <c r="A51" s="897"/>
      <c r="B51" s="2385">
        <v>4316</v>
      </c>
      <c r="C51" s="1656" t="s">
        <v>1102</v>
      </c>
      <c r="D51" s="340">
        <v>3274.69</v>
      </c>
      <c r="E51" s="2386"/>
      <c r="F51" s="340"/>
      <c r="G51" s="456">
        <f t="shared" si="22"/>
        <v>-2.0365286485132961E-2</v>
      </c>
      <c r="H51" s="340">
        <v>3208</v>
      </c>
      <c r="I51" s="897"/>
      <c r="J51" s="455"/>
      <c r="K51" s="456">
        <f t="shared" si="23"/>
        <v>1.3223192019950125</v>
      </c>
      <c r="L51" s="340">
        <v>7450</v>
      </c>
      <c r="M51" s="897"/>
      <c r="O51" s="456">
        <f t="shared" si="24"/>
        <v>0</v>
      </c>
      <c r="P51" s="340">
        <f t="shared" si="28"/>
        <v>7450</v>
      </c>
      <c r="Q51" s="897"/>
      <c r="R51" s="592"/>
      <c r="S51" s="2238">
        <f t="shared" si="25"/>
        <v>0</v>
      </c>
      <c r="T51" s="340">
        <f t="shared" si="29"/>
        <v>7450</v>
      </c>
      <c r="U51" s="953"/>
      <c r="V51" s="952"/>
      <c r="W51" s="2241">
        <f t="shared" si="26"/>
        <v>2.7248322147651008E-2</v>
      </c>
      <c r="X51" s="340">
        <f t="shared" si="30"/>
        <v>7653</v>
      </c>
      <c r="Y51" s="953" t="str">
        <f>TEXT('MYP Assumptions'!I78,"0.00%")&amp;", CPI"</f>
        <v>2.73%, CPI</v>
      </c>
      <c r="AA51" s="456">
        <f t="shared" si="27"/>
        <v>2.7309551809747812E-2</v>
      </c>
      <c r="AB51" s="340">
        <f t="shared" si="31"/>
        <v>7862</v>
      </c>
      <c r="AC51" s="953" t="str">
        <f>TEXT('MYP Assumptions'!J78,"0.00%")&amp;", CPI"</f>
        <v>2.73%, CPI</v>
      </c>
    </row>
    <row r="52" spans="1:29" s="457" customFormat="1" x14ac:dyDescent="0.25">
      <c r="A52" s="897"/>
      <c r="B52" s="2385">
        <v>4352</v>
      </c>
      <c r="C52" s="1656" t="s">
        <v>314</v>
      </c>
      <c r="D52" s="340">
        <v>2364.7600000000002</v>
      </c>
      <c r="E52" s="2386"/>
      <c r="F52" s="340"/>
      <c r="G52" s="456">
        <f t="shared" si="22"/>
        <v>-0.50819533483313317</v>
      </c>
      <c r="H52" s="340">
        <v>1163</v>
      </c>
      <c r="I52" s="897"/>
      <c r="J52" s="455"/>
      <c r="K52" s="456">
        <f t="shared" si="23"/>
        <v>-1</v>
      </c>
      <c r="L52" s="340">
        <v>0</v>
      </c>
      <c r="M52" s="897"/>
      <c r="O52" s="456" t="str">
        <f t="shared" si="24"/>
        <v>0.00%</v>
      </c>
      <c r="P52" s="340">
        <f t="shared" si="28"/>
        <v>0</v>
      </c>
      <c r="Q52" s="897"/>
      <c r="R52" s="592"/>
      <c r="S52" s="2238" t="str">
        <f t="shared" si="25"/>
        <v>0.00%</v>
      </c>
      <c r="T52" s="340">
        <f t="shared" si="29"/>
        <v>0</v>
      </c>
      <c r="U52" s="953"/>
      <c r="V52" s="952"/>
      <c r="W52" s="2241" t="str">
        <f t="shared" si="26"/>
        <v>0.00%</v>
      </c>
      <c r="X52" s="340">
        <f t="shared" si="30"/>
        <v>0</v>
      </c>
      <c r="Y52" s="953" t="str">
        <f>TEXT('MYP Assumptions'!I78,"0.00%")&amp;", CPI"</f>
        <v>2.73%, CPI</v>
      </c>
      <c r="AA52" s="456" t="str">
        <f t="shared" si="27"/>
        <v>0.00%</v>
      </c>
      <c r="AB52" s="340">
        <f t="shared" si="31"/>
        <v>0</v>
      </c>
      <c r="AC52" s="953" t="str">
        <f>TEXT('MYP Assumptions'!J78,"0.00%")&amp;", CPI"</f>
        <v>2.73%, CPI</v>
      </c>
    </row>
    <row r="53" spans="1:29" s="457" customFormat="1" x14ac:dyDescent="0.25">
      <c r="A53" s="897"/>
      <c r="B53" s="2385">
        <v>4353</v>
      </c>
      <c r="C53" s="1656" t="s">
        <v>864</v>
      </c>
      <c r="D53" s="340">
        <v>44736.22</v>
      </c>
      <c r="E53" s="2386"/>
      <c r="F53" s="340"/>
      <c r="G53" s="456">
        <f t="shared" si="22"/>
        <v>-0.15853418102825856</v>
      </c>
      <c r="H53" s="340">
        <v>37644</v>
      </c>
      <c r="I53" s="897"/>
      <c r="J53" s="455"/>
      <c r="K53" s="456">
        <f t="shared" si="23"/>
        <v>2.3578259483583039</v>
      </c>
      <c r="L53" s="340">
        <v>126402</v>
      </c>
      <c r="M53" s="897"/>
      <c r="O53" s="456">
        <f t="shared" si="24"/>
        <v>0</v>
      </c>
      <c r="P53" s="340">
        <f>+L53*(1-$P$48)</f>
        <v>126402</v>
      </c>
      <c r="Q53" s="897"/>
      <c r="R53" s="592"/>
      <c r="S53" s="2238">
        <f t="shared" si="25"/>
        <v>0</v>
      </c>
      <c r="T53" s="340">
        <f t="shared" si="29"/>
        <v>126402</v>
      </c>
      <c r="U53" s="953"/>
      <c r="V53" s="952"/>
      <c r="W53" s="2241">
        <f t="shared" si="26"/>
        <v>2.7301783199632917E-2</v>
      </c>
      <c r="X53" s="340">
        <f t="shared" si="30"/>
        <v>129853</v>
      </c>
      <c r="Y53" s="953" t="str">
        <f>TEXT('MYP Assumptions'!I78,"0.00%")&amp;", CPI"</f>
        <v>2.73%, CPI</v>
      </c>
      <c r="AA53" s="456">
        <f t="shared" si="27"/>
        <v>2.7300100883306509E-2</v>
      </c>
      <c r="AB53" s="340">
        <f t="shared" si="31"/>
        <v>133398</v>
      </c>
      <c r="AC53" s="953" t="str">
        <f>TEXT('MYP Assumptions'!J78,"0.00%")&amp;", CPI"</f>
        <v>2.73%, CPI</v>
      </c>
    </row>
    <row r="54" spans="1:29" s="457" customFormat="1" x14ac:dyDescent="0.25">
      <c r="A54" s="897"/>
      <c r="B54" s="2385">
        <v>4354</v>
      </c>
      <c r="C54" s="1656" t="s">
        <v>315</v>
      </c>
      <c r="D54" s="340">
        <v>2127.5300000000002</v>
      </c>
      <c r="E54" s="2386"/>
      <c r="F54" s="340"/>
      <c r="G54" s="456">
        <f t="shared" si="22"/>
        <v>3.0784383768971524</v>
      </c>
      <c r="H54" s="340">
        <v>8677</v>
      </c>
      <c r="I54" s="897"/>
      <c r="J54" s="455"/>
      <c r="K54" s="456">
        <f t="shared" si="23"/>
        <v>-0.45430448311628441</v>
      </c>
      <c r="L54" s="340">
        <v>4735</v>
      </c>
      <c r="M54" s="897"/>
      <c r="O54" s="456">
        <f t="shared" si="24"/>
        <v>0</v>
      </c>
      <c r="P54" s="340">
        <f t="shared" si="28"/>
        <v>4735</v>
      </c>
      <c r="Q54" s="897"/>
      <c r="R54" s="592"/>
      <c r="S54" s="2238">
        <f t="shared" si="25"/>
        <v>0</v>
      </c>
      <c r="T54" s="340">
        <f t="shared" si="29"/>
        <v>4735</v>
      </c>
      <c r="U54" s="953"/>
      <c r="V54" s="952"/>
      <c r="W54" s="2241">
        <f t="shared" si="26"/>
        <v>2.7243928194297783E-2</v>
      </c>
      <c r="X54" s="340">
        <f t="shared" si="30"/>
        <v>4864</v>
      </c>
      <c r="Y54" s="953" t="str">
        <f>TEXT('MYP Assumptions'!I78,"0.00%")&amp;", CPI"</f>
        <v>2.73%, CPI</v>
      </c>
      <c r="AA54" s="456">
        <f t="shared" si="27"/>
        <v>2.734375E-2</v>
      </c>
      <c r="AB54" s="340">
        <f t="shared" si="31"/>
        <v>4997</v>
      </c>
      <c r="AC54" s="953" t="str">
        <f>TEXT('MYP Assumptions'!J78,"0.00%")&amp;", CPI"</f>
        <v>2.73%, CPI</v>
      </c>
    </row>
    <row r="55" spans="1:29" s="457" customFormat="1" x14ac:dyDescent="0.25">
      <c r="A55" s="897"/>
      <c r="B55" s="2385">
        <v>4400</v>
      </c>
      <c r="C55" s="1656" t="s">
        <v>888</v>
      </c>
      <c r="D55" s="340">
        <v>40679.54</v>
      </c>
      <c r="E55" s="2386"/>
      <c r="F55" s="340"/>
      <c r="G55" s="456">
        <f t="shared" si="22"/>
        <v>0.25097284777556478</v>
      </c>
      <c r="H55" s="340">
        <v>50889</v>
      </c>
      <c r="I55" s="897"/>
      <c r="J55" s="455"/>
      <c r="K55" s="456">
        <f t="shared" si="23"/>
        <v>-0.16703020299082316</v>
      </c>
      <c r="L55" s="340">
        <v>42389</v>
      </c>
      <c r="M55" s="897"/>
      <c r="O55" s="456">
        <f t="shared" si="24"/>
        <v>0</v>
      </c>
      <c r="P55" s="340">
        <f t="shared" si="28"/>
        <v>42389</v>
      </c>
      <c r="Q55" s="897"/>
      <c r="R55" s="592"/>
      <c r="S55" s="2238"/>
      <c r="T55" s="340">
        <f t="shared" si="29"/>
        <v>42389</v>
      </c>
      <c r="U55" s="953"/>
      <c r="V55" s="952"/>
      <c r="W55" s="2241"/>
      <c r="X55" s="340"/>
      <c r="Y55" s="953"/>
      <c r="AA55" s="456"/>
      <c r="AB55" s="340"/>
      <c r="AC55" s="953"/>
    </row>
    <row r="56" spans="1:29" s="457" customFormat="1" hidden="1" x14ac:dyDescent="0.25">
      <c r="A56" s="897"/>
      <c r="B56" s="2385"/>
      <c r="C56" s="1656"/>
      <c r="D56" s="340"/>
      <c r="E56" s="2386"/>
      <c r="F56" s="340"/>
      <c r="G56" s="456" t="str">
        <f t="shared" si="22"/>
        <v>0.00%</v>
      </c>
      <c r="H56" s="340"/>
      <c r="I56" s="899"/>
      <c r="J56" s="455"/>
      <c r="K56" s="456" t="str">
        <f t="shared" si="23"/>
        <v>0.00%</v>
      </c>
      <c r="L56" s="340">
        <f t="shared" ref="L56:L58" si="32">ROUND(H56*(LEFT(M56,5)+1),0)</f>
        <v>0</v>
      </c>
      <c r="M56" s="899" t="str">
        <f>TEXT('MYP Assumptions'!$E$78,"0.00%")&amp;", CPI"</f>
        <v>3.37%, CPI</v>
      </c>
      <c r="O56" s="456" t="str">
        <f t="shared" si="24"/>
        <v>0.00%</v>
      </c>
      <c r="P56" s="340">
        <f t="shared" si="28"/>
        <v>0</v>
      </c>
      <c r="Q56" s="897" t="str">
        <f t="shared" ref="Q56:Q58" si="33">TEXT($P$48,"0.00%")&amp;"   reduction"</f>
        <v>0.00%   reduction</v>
      </c>
      <c r="R56" s="592"/>
      <c r="S56" s="2238"/>
      <c r="T56" s="340"/>
      <c r="U56" s="953"/>
      <c r="V56" s="952"/>
      <c r="W56" s="2241"/>
      <c r="X56" s="340"/>
      <c r="Y56" s="953"/>
      <c r="AA56" s="456"/>
      <c r="AB56" s="340"/>
      <c r="AC56" s="953"/>
    </row>
    <row r="57" spans="1:29" s="457" customFormat="1" hidden="1" x14ac:dyDescent="0.25">
      <c r="A57" s="897"/>
      <c r="B57" s="2385"/>
      <c r="C57" s="1656"/>
      <c r="D57" s="340"/>
      <c r="E57" s="2386"/>
      <c r="F57" s="340"/>
      <c r="G57" s="456" t="str">
        <f t="shared" si="22"/>
        <v>0.00%</v>
      </c>
      <c r="H57" s="340"/>
      <c r="I57" s="899"/>
      <c r="J57" s="455"/>
      <c r="K57" s="456" t="str">
        <f t="shared" si="23"/>
        <v>0.00%</v>
      </c>
      <c r="L57" s="340">
        <f t="shared" si="32"/>
        <v>0</v>
      </c>
      <c r="M57" s="899" t="str">
        <f>TEXT('MYP Assumptions'!$E$78,"0.00%")&amp;", CPI"</f>
        <v>3.37%, CPI</v>
      </c>
      <c r="O57" s="456" t="str">
        <f t="shared" si="24"/>
        <v>0.00%</v>
      </c>
      <c r="P57" s="340">
        <f t="shared" si="28"/>
        <v>0</v>
      </c>
      <c r="Q57" s="897" t="str">
        <f t="shared" si="33"/>
        <v>0.00%   reduction</v>
      </c>
      <c r="R57" s="592"/>
      <c r="S57" s="2238"/>
      <c r="T57" s="340"/>
      <c r="U57" s="953"/>
      <c r="V57" s="952"/>
      <c r="W57" s="2241"/>
      <c r="X57" s="340"/>
      <c r="Y57" s="953"/>
      <c r="AA57" s="456"/>
      <c r="AB57" s="340"/>
      <c r="AC57" s="953"/>
    </row>
    <row r="58" spans="1:29" s="457" customFormat="1" hidden="1" x14ac:dyDescent="0.25">
      <c r="A58" s="897"/>
      <c r="B58" s="2385"/>
      <c r="C58" s="1656"/>
      <c r="D58" s="340"/>
      <c r="E58" s="2386"/>
      <c r="F58" s="340"/>
      <c r="G58" s="456" t="str">
        <f t="shared" si="22"/>
        <v>0.00%</v>
      </c>
      <c r="H58" s="340"/>
      <c r="I58" s="899"/>
      <c r="J58" s="455"/>
      <c r="K58" s="456" t="str">
        <f t="shared" si="23"/>
        <v>0.00%</v>
      </c>
      <c r="L58" s="340">
        <f t="shared" si="32"/>
        <v>0</v>
      </c>
      <c r="M58" s="899" t="str">
        <f>TEXT('MYP Assumptions'!$E$78,"0.00%")&amp;", CPI"</f>
        <v>3.37%, CPI</v>
      </c>
      <c r="O58" s="456" t="str">
        <f t="shared" si="24"/>
        <v>0.00%</v>
      </c>
      <c r="P58" s="340">
        <f t="shared" si="28"/>
        <v>0</v>
      </c>
      <c r="Q58" s="897" t="str">
        <f t="shared" si="33"/>
        <v>0.00%   reduction</v>
      </c>
      <c r="R58" s="592"/>
      <c r="S58" s="2238" t="str">
        <f t="shared" si="25"/>
        <v>0.00%</v>
      </c>
      <c r="T58" s="340">
        <f t="shared" ref="T58" si="34">ROUND(P58*(LEFT(U58,5)+1),0)</f>
        <v>0</v>
      </c>
      <c r="U58" s="953" t="str">
        <f>TEXT('MYP Assumptions'!H78,"0.00%")&amp;", CPI"</f>
        <v>3.23%, CPI</v>
      </c>
      <c r="V58" s="952"/>
      <c r="W58" s="2241" t="str">
        <f t="shared" si="26"/>
        <v>0.00%</v>
      </c>
      <c r="X58" s="340">
        <f t="shared" si="30"/>
        <v>0</v>
      </c>
      <c r="Y58" s="953" t="str">
        <f>TEXT('MYP Assumptions'!I78,"0.00%")&amp;", CPI"</f>
        <v>2.73%, CPI</v>
      </c>
      <c r="AA58" s="456" t="str">
        <f t="shared" si="27"/>
        <v>0.00%</v>
      </c>
      <c r="AB58" s="340">
        <f t="shared" si="31"/>
        <v>0</v>
      </c>
      <c r="AC58" s="953" t="str">
        <f>TEXT('MYP Assumptions'!J78,"0.00%")&amp;", CPI"</f>
        <v>2.73%, CPI</v>
      </c>
    </row>
    <row r="59" spans="1:29" s="457" customFormat="1" x14ac:dyDescent="0.25">
      <c r="A59" s="898"/>
      <c r="B59" s="2215"/>
      <c r="C59" s="1656"/>
      <c r="D59" s="458">
        <f>SUM(D49:D58)</f>
        <v>340197.48000000004</v>
      </c>
      <c r="E59" s="2386"/>
      <c r="F59" s="340"/>
      <c r="G59" s="456">
        <f t="shared" si="22"/>
        <v>0.10464957000857254</v>
      </c>
      <c r="H59" s="458">
        <f>SUM(H49:H58)</f>
        <v>375799</v>
      </c>
      <c r="I59" s="2316">
        <f>+H59-D59</f>
        <v>35601.51999999996</v>
      </c>
      <c r="J59" s="459"/>
      <c r="K59" s="456">
        <f t="shared" si="23"/>
        <v>0.21239013408763727</v>
      </c>
      <c r="L59" s="458">
        <f>SUM(L49:L58)</f>
        <v>455615</v>
      </c>
      <c r="M59" s="2316">
        <f>+L59-H59</f>
        <v>79816</v>
      </c>
      <c r="O59" s="456">
        <f t="shared" si="24"/>
        <v>0</v>
      </c>
      <c r="P59" s="458">
        <f>SUM(P49:P58)</f>
        <v>455615</v>
      </c>
      <c r="Q59" s="2316">
        <f>+P59-L59</f>
        <v>0</v>
      </c>
      <c r="R59" s="592"/>
      <c r="S59" s="2238">
        <f t="shared" si="25"/>
        <v>0</v>
      </c>
      <c r="T59" s="458">
        <f>SUM(T49:T58)</f>
        <v>455615</v>
      </c>
      <c r="U59" s="2316">
        <f>+T59-P59</f>
        <v>0</v>
      </c>
      <c r="V59" s="952"/>
      <c r="W59" s="2241">
        <f t="shared" si="26"/>
        <v>-6.8279139185496524E-2</v>
      </c>
      <c r="X59" s="458">
        <f>SUM(X49:X58)</f>
        <v>424506</v>
      </c>
      <c r="Y59" s="2344"/>
      <c r="AA59" s="456">
        <f t="shared" si="27"/>
        <v>2.7302323170932803E-2</v>
      </c>
      <c r="AB59" s="458">
        <f>SUM(AB49:AB58)</f>
        <v>436096</v>
      </c>
      <c r="AC59" s="2344"/>
    </row>
    <row r="60" spans="1:29" s="457" customFormat="1" x14ac:dyDescent="0.25">
      <c r="A60" s="897"/>
      <c r="B60" s="2345"/>
      <c r="C60" s="1656"/>
      <c r="D60" s="340"/>
      <c r="E60" s="2386"/>
      <c r="F60" s="340"/>
      <c r="G60" s="2338"/>
      <c r="H60" s="340"/>
      <c r="I60" s="897"/>
      <c r="J60" s="455"/>
      <c r="K60" s="1668"/>
      <c r="L60" s="340"/>
      <c r="M60" s="897"/>
      <c r="O60" s="1668"/>
      <c r="P60" s="340"/>
      <c r="Q60" s="901"/>
      <c r="R60" s="592"/>
      <c r="S60" s="2341"/>
      <c r="T60" s="340"/>
      <c r="U60" s="2344"/>
      <c r="V60" s="952"/>
      <c r="W60" s="2343"/>
      <c r="X60" s="340"/>
      <c r="Y60" s="2344"/>
      <c r="AA60" s="1668"/>
      <c r="AB60" s="340"/>
      <c r="AC60" s="2344"/>
    </row>
    <row r="61" spans="1:29" s="461" customFormat="1" x14ac:dyDescent="0.25">
      <c r="A61" s="900"/>
      <c r="B61" s="2337" t="s">
        <v>16</v>
      </c>
      <c r="C61" s="900"/>
      <c r="D61" s="460"/>
      <c r="E61" s="868"/>
      <c r="F61" s="460"/>
      <c r="G61" s="2389"/>
      <c r="H61" s="606"/>
      <c r="I61" s="897"/>
      <c r="K61" s="1669"/>
      <c r="L61" s="606"/>
      <c r="M61" s="897"/>
      <c r="O61" s="1669"/>
      <c r="P61" s="606"/>
      <c r="Q61" s="897"/>
      <c r="S61" s="1669"/>
      <c r="U61" s="2392"/>
      <c r="V61" s="2381"/>
      <c r="W61" s="2382"/>
      <c r="Y61" s="2392"/>
      <c r="AA61" s="1669"/>
      <c r="AC61" s="2392"/>
    </row>
    <row r="62" spans="1:29" s="457" customFormat="1" x14ac:dyDescent="0.25">
      <c r="A62" s="897"/>
      <c r="B62" s="2385">
        <v>5213</v>
      </c>
      <c r="C62" s="1656" t="s">
        <v>252</v>
      </c>
      <c r="D62" s="340">
        <v>21951.58</v>
      </c>
      <c r="E62" s="2386"/>
      <c r="F62" s="340"/>
      <c r="G62" s="456">
        <f t="shared" ref="G62:G67" si="35">IF(D62=0,"0.00%",(H62-D62)/D62)</f>
        <v>0.86064055525843686</v>
      </c>
      <c r="H62" s="340">
        <v>40844</v>
      </c>
      <c r="I62" s="897"/>
      <c r="J62" s="455"/>
      <c r="K62" s="456">
        <f t="shared" ref="K62:K76" si="36">IF(H62=0,"0.00%",(L62-H62)/H62)</f>
        <v>-0.5715404955440212</v>
      </c>
      <c r="L62" s="340">
        <v>17500</v>
      </c>
      <c r="M62" s="897"/>
      <c r="O62" s="456">
        <f t="shared" ref="O62:O76" si="37">IF(L62=0,"0.00%",(P62-L62)/L62)</f>
        <v>0</v>
      </c>
      <c r="P62" s="340">
        <f>+L62*(1-$P$61)</f>
        <v>17500</v>
      </c>
      <c r="Q62" s="897"/>
      <c r="R62" s="592"/>
      <c r="S62" s="2238">
        <f t="shared" ref="S62:S76" si="38">IF(P62=0,"0.00%",(T62-P62)/P62)</f>
        <v>0</v>
      </c>
      <c r="T62" s="340">
        <f>P62</f>
        <v>17500</v>
      </c>
      <c r="U62" s="953"/>
      <c r="V62" s="952"/>
      <c r="W62" s="2241">
        <f t="shared" ref="W62:W76" si="39">IF(T62=0,"0.00%",(X62-T62)/T62)</f>
        <v>2.7314285714285715E-2</v>
      </c>
      <c r="X62" s="340">
        <f>ROUND(T62*(LEFT(Y62,5)+1),0)</f>
        <v>17978</v>
      </c>
      <c r="Y62" s="953" t="str">
        <f>TEXT('MYP Assumptions'!I78,"0.00%")&amp;", CPI"</f>
        <v>2.73%, CPI</v>
      </c>
      <c r="AA62" s="456">
        <f t="shared" ref="AA62:AA76" si="40">IF(X62=0,"0.00%",(AB62-X62)/X62)</f>
        <v>2.7311158082100346E-2</v>
      </c>
      <c r="AB62" s="340">
        <f>ROUND(X62*(LEFT(AC62,5)+1),0)</f>
        <v>18469</v>
      </c>
      <c r="AC62" s="953" t="str">
        <f>TEXT('MYP Assumptions'!J78,"0.00%")&amp;", CPI"</f>
        <v>2.73%, CPI</v>
      </c>
    </row>
    <row r="63" spans="1:29" s="457" customFormat="1" x14ac:dyDescent="0.25">
      <c r="A63" s="897"/>
      <c r="B63" s="2385">
        <v>5310</v>
      </c>
      <c r="C63" s="1656" t="s">
        <v>12</v>
      </c>
      <c r="D63" s="340">
        <v>16620</v>
      </c>
      <c r="E63" s="2386"/>
      <c r="F63" s="340"/>
      <c r="G63" s="456">
        <f t="shared" si="35"/>
        <v>5.6979542719614924E-2</v>
      </c>
      <c r="H63" s="340">
        <v>17567</v>
      </c>
      <c r="I63" s="899"/>
      <c r="J63" s="455"/>
      <c r="K63" s="456">
        <f t="shared" si="36"/>
        <v>-8.6355097626231003E-2</v>
      </c>
      <c r="L63" s="340">
        <v>16050</v>
      </c>
      <c r="M63" s="897"/>
      <c r="O63" s="456">
        <f t="shared" si="37"/>
        <v>0</v>
      </c>
      <c r="P63" s="340">
        <f t="shared" ref="P63:P74" si="41">+L63*(1-$P$61)</f>
        <v>16050</v>
      </c>
      <c r="Q63" s="897"/>
      <c r="R63" s="592"/>
      <c r="S63" s="2238">
        <f t="shared" si="38"/>
        <v>0</v>
      </c>
      <c r="T63" s="340">
        <f t="shared" ref="T63:T75" si="42">P63</f>
        <v>16050</v>
      </c>
      <c r="U63" s="953"/>
      <c r="V63" s="952"/>
      <c r="W63" s="2241">
        <f t="shared" si="39"/>
        <v>2.7289719626168225E-2</v>
      </c>
      <c r="X63" s="340">
        <f t="shared" ref="X63:X75" si="43">ROUND(T63*(LEFT(Y63,5)+1),0)</f>
        <v>16488</v>
      </c>
      <c r="Y63" s="953" t="str">
        <f>TEXT('MYP Assumptions'!I78,"0.00%")&amp;", CPI"</f>
        <v>2.73%, CPI</v>
      </c>
      <c r="AA63" s="456">
        <f t="shared" si="40"/>
        <v>2.7292576419213975E-2</v>
      </c>
      <c r="AB63" s="340">
        <f t="shared" ref="AB63:AB75" si="44">ROUND(X63*(LEFT(AC63,5)+1),0)</f>
        <v>16938</v>
      </c>
      <c r="AC63" s="953" t="str">
        <f>TEXT('MYP Assumptions'!J78,"0.00%")&amp;", CPI"</f>
        <v>2.73%, CPI</v>
      </c>
    </row>
    <row r="64" spans="1:29" s="457" customFormat="1" x14ac:dyDescent="0.25">
      <c r="A64" s="897"/>
      <c r="B64" s="2385">
        <v>5601</v>
      </c>
      <c r="C64" s="1656" t="s">
        <v>321</v>
      </c>
      <c r="D64" s="340">
        <v>726.84</v>
      </c>
      <c r="E64" s="2386"/>
      <c r="F64" s="340"/>
      <c r="G64" s="456">
        <f t="shared" si="35"/>
        <v>0.3758186120741841</v>
      </c>
      <c r="H64" s="340">
        <v>1000</v>
      </c>
      <c r="I64" s="899"/>
      <c r="J64" s="455"/>
      <c r="K64" s="456">
        <f t="shared" si="36"/>
        <v>0</v>
      </c>
      <c r="L64" s="340">
        <v>1000</v>
      </c>
      <c r="M64" s="897"/>
      <c r="O64" s="456">
        <f t="shared" si="37"/>
        <v>0</v>
      </c>
      <c r="P64" s="340">
        <f t="shared" si="41"/>
        <v>1000</v>
      </c>
      <c r="Q64" s="897"/>
      <c r="R64" s="592"/>
      <c r="S64" s="2238">
        <f t="shared" si="38"/>
        <v>0</v>
      </c>
      <c r="T64" s="340">
        <f t="shared" si="42"/>
        <v>1000</v>
      </c>
      <c r="U64" s="953"/>
      <c r="V64" s="952"/>
      <c r="W64" s="2241">
        <f t="shared" si="39"/>
        <v>2.7E-2</v>
      </c>
      <c r="X64" s="340">
        <f t="shared" si="43"/>
        <v>1027</v>
      </c>
      <c r="Y64" s="953" t="str">
        <f>TEXT('MYP Assumptions'!I78,"0.00%")&amp;", CPI"</f>
        <v>2.73%, CPI</v>
      </c>
      <c r="AA64" s="456">
        <f t="shared" si="40"/>
        <v>2.7263875365141188E-2</v>
      </c>
      <c r="AB64" s="340">
        <f t="shared" si="44"/>
        <v>1055</v>
      </c>
      <c r="AC64" s="953" t="str">
        <f>TEXT('MYP Assumptions'!J78,"0.00%")&amp;", CPI"</f>
        <v>2.73%, CPI</v>
      </c>
    </row>
    <row r="65" spans="1:29" s="457" customFormat="1" x14ac:dyDescent="0.25">
      <c r="A65" s="897"/>
      <c r="B65" s="2385">
        <v>5603</v>
      </c>
      <c r="C65" s="1656" t="s">
        <v>428</v>
      </c>
      <c r="D65" s="340">
        <v>5224</v>
      </c>
      <c r="E65" s="2386"/>
      <c r="F65" s="340"/>
      <c r="G65" s="456">
        <f t="shared" si="35"/>
        <v>0.41271056661562022</v>
      </c>
      <c r="H65" s="340">
        <v>7380</v>
      </c>
      <c r="I65" s="899"/>
      <c r="J65" s="455"/>
      <c r="K65" s="456">
        <f t="shared" si="36"/>
        <v>-0.3902439024390244</v>
      </c>
      <c r="L65" s="340">
        <v>4500</v>
      </c>
      <c r="M65" s="897"/>
      <c r="O65" s="456">
        <f t="shared" si="37"/>
        <v>0</v>
      </c>
      <c r="P65" s="340">
        <f t="shared" si="41"/>
        <v>4500</v>
      </c>
      <c r="Q65" s="897"/>
      <c r="R65" s="592"/>
      <c r="S65" s="2238">
        <f t="shared" si="38"/>
        <v>0</v>
      </c>
      <c r="T65" s="340">
        <f t="shared" si="42"/>
        <v>4500</v>
      </c>
      <c r="U65" s="953"/>
      <c r="V65" s="952"/>
      <c r="W65" s="2241">
        <f t="shared" si="39"/>
        <v>2.7333333333333334E-2</v>
      </c>
      <c r="X65" s="340">
        <f t="shared" si="43"/>
        <v>4623</v>
      </c>
      <c r="Y65" s="953" t="str">
        <f>TEXT('MYP Assumptions'!I78,"0.00%")&amp;", CPI"</f>
        <v>2.73%, CPI</v>
      </c>
      <c r="AA65" s="456">
        <f t="shared" si="40"/>
        <v>2.7255029201817001E-2</v>
      </c>
      <c r="AB65" s="340">
        <f t="shared" si="44"/>
        <v>4749</v>
      </c>
      <c r="AC65" s="953" t="str">
        <f>TEXT('MYP Assumptions'!J78,"0.00%")&amp;", CPI"</f>
        <v>2.73%, CPI</v>
      </c>
    </row>
    <row r="66" spans="1:29" s="457" customFormat="1" x14ac:dyDescent="0.25">
      <c r="A66" s="897"/>
      <c r="B66" s="2385">
        <v>5604</v>
      </c>
      <c r="C66" s="1656" t="s">
        <v>429</v>
      </c>
      <c r="D66" s="340">
        <v>8295.5300000000007</v>
      </c>
      <c r="E66" s="2386"/>
      <c r="F66" s="340"/>
      <c r="G66" s="456">
        <f t="shared" si="35"/>
        <v>0.14519506288326356</v>
      </c>
      <c r="H66" s="340">
        <v>9500</v>
      </c>
      <c r="I66" s="899"/>
      <c r="J66" s="455"/>
      <c r="K66" s="456">
        <f t="shared" si="36"/>
        <v>0</v>
      </c>
      <c r="L66" s="340">
        <v>9500</v>
      </c>
      <c r="M66" s="897"/>
      <c r="O66" s="456">
        <f t="shared" si="37"/>
        <v>0</v>
      </c>
      <c r="P66" s="340">
        <f t="shared" si="41"/>
        <v>9500</v>
      </c>
      <c r="Q66" s="897"/>
      <c r="R66" s="592"/>
      <c r="S66" s="2238">
        <f t="shared" si="38"/>
        <v>0</v>
      </c>
      <c r="T66" s="340">
        <f t="shared" si="42"/>
        <v>9500</v>
      </c>
      <c r="U66" s="953"/>
      <c r="V66" s="952"/>
      <c r="W66" s="2241">
        <f t="shared" si="39"/>
        <v>2.7263157894736843E-2</v>
      </c>
      <c r="X66" s="340">
        <f t="shared" si="43"/>
        <v>9759</v>
      </c>
      <c r="Y66" s="953" t="str">
        <f>TEXT('MYP Assumptions'!I78,"0.00%")&amp;", CPI"</f>
        <v>2.73%, CPI</v>
      </c>
      <c r="AA66" s="456">
        <f t="shared" si="40"/>
        <v>2.7256891074905216E-2</v>
      </c>
      <c r="AB66" s="340">
        <f t="shared" si="44"/>
        <v>10025</v>
      </c>
      <c r="AC66" s="953" t="str">
        <f>TEXT('MYP Assumptions'!J78,"0.00%")&amp;", CPI"</f>
        <v>2.73%, CPI</v>
      </c>
    </row>
    <row r="67" spans="1:29" s="457" customFormat="1" x14ac:dyDescent="0.25">
      <c r="A67" s="897"/>
      <c r="B67" s="2385">
        <v>5608</v>
      </c>
      <c r="C67" s="1656" t="s">
        <v>423</v>
      </c>
      <c r="D67" s="340">
        <v>56437.26</v>
      </c>
      <c r="E67" s="2386"/>
      <c r="F67" s="340"/>
      <c r="G67" s="456">
        <f t="shared" si="35"/>
        <v>0.47344148174450701</v>
      </c>
      <c r="H67" s="340">
        <v>83157</v>
      </c>
      <c r="I67" s="899"/>
      <c r="J67" s="455"/>
      <c r="K67" s="456">
        <f t="shared" si="36"/>
        <v>4.8101783373618577E-5</v>
      </c>
      <c r="L67" s="340">
        <v>83161</v>
      </c>
      <c r="M67" s="897"/>
      <c r="O67" s="456">
        <f t="shared" si="37"/>
        <v>0</v>
      </c>
      <c r="P67" s="340">
        <f t="shared" si="41"/>
        <v>83161</v>
      </c>
      <c r="Q67" s="897"/>
      <c r="R67" s="592"/>
      <c r="S67" s="2238">
        <f t="shared" si="38"/>
        <v>0</v>
      </c>
      <c r="T67" s="340">
        <f t="shared" si="42"/>
        <v>83161</v>
      </c>
      <c r="U67" s="953"/>
      <c r="V67" s="952"/>
      <c r="W67" s="2241">
        <f t="shared" si="39"/>
        <v>2.7296449056649151E-2</v>
      </c>
      <c r="X67" s="340">
        <f t="shared" si="43"/>
        <v>85431</v>
      </c>
      <c r="Y67" s="953" t="str">
        <f>TEXT('MYP Assumptions'!I78,"0.00%")&amp;", CPI"</f>
        <v>2.73%, CPI</v>
      </c>
      <c r="AA67" s="456">
        <f t="shared" si="40"/>
        <v>2.7296882864533953E-2</v>
      </c>
      <c r="AB67" s="340">
        <f t="shared" si="44"/>
        <v>87763</v>
      </c>
      <c r="AC67" s="953" t="str">
        <f>TEXT('MYP Assumptions'!J78,"0.00%")&amp;", CPI"</f>
        <v>2.73%, CPI</v>
      </c>
    </row>
    <row r="68" spans="1:29" s="457" customFormat="1" x14ac:dyDescent="0.25">
      <c r="A68" s="897"/>
      <c r="B68" s="2385">
        <v>5719</v>
      </c>
      <c r="C68" s="1656" t="s">
        <v>430</v>
      </c>
      <c r="D68" s="340">
        <v>144.68</v>
      </c>
      <c r="E68" s="2386"/>
      <c r="F68" s="340"/>
      <c r="G68" s="456">
        <f>IF(D68=0,"0.00%",(H68-D68)/D68)</f>
        <v>-0.58529167818634231</v>
      </c>
      <c r="H68" s="340">
        <v>60</v>
      </c>
      <c r="I68" s="899"/>
      <c r="J68" s="455"/>
      <c r="K68" s="456">
        <f t="shared" si="36"/>
        <v>-1</v>
      </c>
      <c r="L68" s="340">
        <v>0</v>
      </c>
      <c r="M68" s="897"/>
      <c r="O68" s="456" t="str">
        <f t="shared" si="37"/>
        <v>0.00%</v>
      </c>
      <c r="P68" s="340">
        <f t="shared" si="41"/>
        <v>0</v>
      </c>
      <c r="Q68" s="897"/>
      <c r="R68" s="592"/>
      <c r="S68" s="2238" t="str">
        <f t="shared" si="38"/>
        <v>0.00%</v>
      </c>
      <c r="T68" s="340">
        <f t="shared" si="42"/>
        <v>0</v>
      </c>
      <c r="U68" s="953"/>
      <c r="V68" s="952"/>
      <c r="W68" s="2241" t="str">
        <f t="shared" si="39"/>
        <v>0.00%</v>
      </c>
      <c r="X68" s="340">
        <f t="shared" si="43"/>
        <v>0</v>
      </c>
      <c r="Y68" s="953" t="str">
        <f>TEXT('MYP Assumptions'!I78,"0.00%")&amp;", CPI"</f>
        <v>2.73%, CPI</v>
      </c>
      <c r="AA68" s="456" t="str">
        <f t="shared" si="40"/>
        <v>0.00%</v>
      </c>
      <c r="AB68" s="340">
        <f t="shared" si="44"/>
        <v>0</v>
      </c>
      <c r="AC68" s="953" t="str">
        <f>TEXT('MYP Assumptions'!J78,"0.00%")&amp;", CPI"</f>
        <v>2.73%, CPI</v>
      </c>
    </row>
    <row r="69" spans="1:29" s="457" customFormat="1" x14ac:dyDescent="0.25">
      <c r="A69" s="897"/>
      <c r="B69" s="2385">
        <v>5752</v>
      </c>
      <c r="C69" s="1656" t="s">
        <v>414</v>
      </c>
      <c r="D69" s="340">
        <v>310.16000000000003</v>
      </c>
      <c r="E69" s="2386"/>
      <c r="F69" s="340"/>
      <c r="G69" s="456">
        <f t="shared" ref="G69:G76" si="45">IF(D69=0,"0.00%",(H69-D69)/D69)</f>
        <v>1.8856074284240387</v>
      </c>
      <c r="H69" s="340">
        <v>895</v>
      </c>
      <c r="I69" s="899"/>
      <c r="J69" s="455"/>
      <c r="K69" s="456">
        <f t="shared" si="36"/>
        <v>-0.83240223463687146</v>
      </c>
      <c r="L69" s="340">
        <v>150</v>
      </c>
      <c r="M69" s="897"/>
      <c r="O69" s="456">
        <f t="shared" si="37"/>
        <v>0</v>
      </c>
      <c r="P69" s="340">
        <f t="shared" si="41"/>
        <v>150</v>
      </c>
      <c r="Q69" s="897"/>
      <c r="R69" s="592"/>
      <c r="S69" s="2238">
        <f t="shared" si="38"/>
        <v>0</v>
      </c>
      <c r="T69" s="340">
        <f t="shared" si="42"/>
        <v>150</v>
      </c>
      <c r="U69" s="953"/>
      <c r="V69" s="952"/>
      <c r="W69" s="2241">
        <f t="shared" si="39"/>
        <v>2.6666666666666668E-2</v>
      </c>
      <c r="X69" s="340">
        <f t="shared" si="43"/>
        <v>154</v>
      </c>
      <c r="Y69" s="953" t="str">
        <f>TEXT('MYP Assumptions'!I78,"0.00%")&amp;", CPI"</f>
        <v>2.73%, CPI</v>
      </c>
      <c r="AA69" s="456">
        <f t="shared" si="40"/>
        <v>2.5974025974025976E-2</v>
      </c>
      <c r="AB69" s="340">
        <f t="shared" si="44"/>
        <v>158</v>
      </c>
      <c r="AC69" s="953" t="str">
        <f>TEXT('MYP Assumptions'!J78,"0.00%")&amp;", CPI"</f>
        <v>2.73%, CPI</v>
      </c>
    </row>
    <row r="70" spans="1:29" s="457" customFormat="1" x14ac:dyDescent="0.25">
      <c r="A70" s="897"/>
      <c r="B70" s="2385">
        <v>5807</v>
      </c>
      <c r="C70" s="1656" t="s">
        <v>8</v>
      </c>
      <c r="D70" s="340">
        <v>0</v>
      </c>
      <c r="E70" s="2386"/>
      <c r="F70" s="340"/>
      <c r="G70" s="456" t="str">
        <f t="shared" si="45"/>
        <v>0.00%</v>
      </c>
      <c r="H70" s="340">
        <v>23492</v>
      </c>
      <c r="I70" s="899"/>
      <c r="J70" s="455"/>
      <c r="K70" s="456">
        <f t="shared" si="36"/>
        <v>-0.10641920653839605</v>
      </c>
      <c r="L70" s="340">
        <v>20992</v>
      </c>
      <c r="M70" s="897"/>
      <c r="O70" s="456">
        <f t="shared" si="37"/>
        <v>0</v>
      </c>
      <c r="P70" s="340">
        <f t="shared" si="41"/>
        <v>20992</v>
      </c>
      <c r="Q70" s="897"/>
      <c r="R70" s="592"/>
      <c r="S70" s="2238"/>
      <c r="T70" s="340">
        <f t="shared" si="42"/>
        <v>20992</v>
      </c>
      <c r="U70" s="953"/>
      <c r="V70" s="952"/>
      <c r="W70" s="2241"/>
      <c r="X70" s="340"/>
      <c r="Y70" s="953"/>
      <c r="AA70" s="456"/>
      <c r="AB70" s="340"/>
      <c r="AC70" s="953"/>
    </row>
    <row r="71" spans="1:29" s="457" customFormat="1" x14ac:dyDescent="0.25">
      <c r="A71" s="897"/>
      <c r="B71" s="2385">
        <v>5809</v>
      </c>
      <c r="C71" s="1656" t="s">
        <v>123</v>
      </c>
      <c r="D71" s="340">
        <v>949</v>
      </c>
      <c r="E71" s="2386"/>
      <c r="F71" s="340"/>
      <c r="G71" s="456">
        <f t="shared" si="45"/>
        <v>-0.23182297154899895</v>
      </c>
      <c r="H71" s="340">
        <v>729</v>
      </c>
      <c r="I71" s="899"/>
      <c r="J71" s="455"/>
      <c r="K71" s="456">
        <f t="shared" si="36"/>
        <v>-1</v>
      </c>
      <c r="L71" s="340">
        <v>0</v>
      </c>
      <c r="M71" s="897"/>
      <c r="O71" s="456" t="str">
        <f t="shared" si="37"/>
        <v>0.00%</v>
      </c>
      <c r="P71" s="340">
        <f t="shared" si="41"/>
        <v>0</v>
      </c>
      <c r="Q71" s="897"/>
      <c r="R71" s="592"/>
      <c r="S71" s="2238" t="str">
        <f t="shared" si="38"/>
        <v>0.00%</v>
      </c>
      <c r="T71" s="340">
        <f t="shared" si="42"/>
        <v>0</v>
      </c>
      <c r="U71" s="953"/>
      <c r="V71" s="952"/>
      <c r="W71" s="2241" t="str">
        <f t="shared" si="39"/>
        <v>0.00%</v>
      </c>
      <c r="X71" s="340">
        <f t="shared" si="43"/>
        <v>0</v>
      </c>
      <c r="Y71" s="953" t="str">
        <f>TEXT('MYP Assumptions'!I78,"0.00%")&amp;", CPI"</f>
        <v>2.73%, CPI</v>
      </c>
      <c r="AA71" s="456" t="str">
        <f t="shared" si="40"/>
        <v>0.00%</v>
      </c>
      <c r="AB71" s="340">
        <f t="shared" si="44"/>
        <v>0</v>
      </c>
      <c r="AC71" s="953" t="str">
        <f>TEXT('MYP Assumptions'!J78,"0.00%")&amp;", CPI"</f>
        <v>2.73%, CPI</v>
      </c>
    </row>
    <row r="72" spans="1:29" s="457" customFormat="1" x14ac:dyDescent="0.25">
      <c r="A72" s="897"/>
      <c r="B72" s="2385">
        <v>5813</v>
      </c>
      <c r="C72" s="1656" t="s">
        <v>6</v>
      </c>
      <c r="D72" s="340">
        <v>50857.65</v>
      </c>
      <c r="E72" s="2386"/>
      <c r="F72" s="340"/>
      <c r="G72" s="456">
        <f t="shared" si="45"/>
        <v>1.0633867274638131</v>
      </c>
      <c r="H72" s="340">
        <v>104939</v>
      </c>
      <c r="I72" s="899"/>
      <c r="J72" s="455"/>
      <c r="K72" s="456">
        <f t="shared" si="36"/>
        <v>-0.3694717883722925</v>
      </c>
      <c r="L72" s="340">
        <v>66167</v>
      </c>
      <c r="M72" s="897"/>
      <c r="O72" s="456">
        <f t="shared" si="37"/>
        <v>0</v>
      </c>
      <c r="P72" s="340">
        <f t="shared" si="41"/>
        <v>66167</v>
      </c>
      <c r="Q72" s="897"/>
      <c r="R72" s="592"/>
      <c r="S72" s="2238">
        <f t="shared" si="38"/>
        <v>0</v>
      </c>
      <c r="T72" s="340">
        <f t="shared" si="42"/>
        <v>66167</v>
      </c>
      <c r="U72" s="953"/>
      <c r="V72" s="952"/>
      <c r="W72" s="2241">
        <f t="shared" si="39"/>
        <v>2.7294572823310714E-2</v>
      </c>
      <c r="X72" s="340">
        <f t="shared" si="43"/>
        <v>67973</v>
      </c>
      <c r="Y72" s="953" t="str">
        <f>TEXT('MYP Assumptions'!I78,"0.00%")&amp;", CPI"</f>
        <v>2.73%, CPI</v>
      </c>
      <c r="AA72" s="456">
        <f t="shared" si="40"/>
        <v>2.730495932208377E-2</v>
      </c>
      <c r="AB72" s="340">
        <f t="shared" si="44"/>
        <v>69829</v>
      </c>
      <c r="AC72" s="953" t="str">
        <f>TEXT('MYP Assumptions'!J78,"0.00%")&amp;", CPI"</f>
        <v>2.73%, CPI</v>
      </c>
    </row>
    <row r="73" spans="1:29" s="457" customFormat="1" x14ac:dyDescent="0.25">
      <c r="A73" s="897"/>
      <c r="B73" s="2385">
        <v>5814</v>
      </c>
      <c r="C73" s="1656" t="s">
        <v>4</v>
      </c>
      <c r="D73" s="340">
        <v>80985.279999999999</v>
      </c>
      <c r="E73" s="2386"/>
      <c r="F73" s="340"/>
      <c r="G73" s="456">
        <f t="shared" si="45"/>
        <v>0.18440042437341703</v>
      </c>
      <c r="H73" s="340">
        <v>95919</v>
      </c>
      <c r="I73" s="899"/>
      <c r="J73" s="455"/>
      <c r="K73" s="456">
        <f t="shared" si="36"/>
        <v>-9.224449796182195E-2</v>
      </c>
      <c r="L73" s="340">
        <v>87071</v>
      </c>
      <c r="M73" s="897"/>
      <c r="O73" s="456">
        <f t="shared" si="37"/>
        <v>0</v>
      </c>
      <c r="P73" s="340">
        <f t="shared" si="41"/>
        <v>87071</v>
      </c>
      <c r="Q73" s="897"/>
      <c r="R73" s="592"/>
      <c r="S73" s="2238">
        <f t="shared" si="38"/>
        <v>0</v>
      </c>
      <c r="T73" s="340">
        <f t="shared" si="42"/>
        <v>87071</v>
      </c>
      <c r="U73" s="953"/>
      <c r="V73" s="952"/>
      <c r="W73" s="2241">
        <f t="shared" si="39"/>
        <v>2.7299560129090052E-2</v>
      </c>
      <c r="X73" s="340">
        <f t="shared" si="43"/>
        <v>89448</v>
      </c>
      <c r="Y73" s="953" t="str">
        <f>TEXT('MYP Assumptions'!I78,"0.00%")&amp;", CPI"</f>
        <v>2.73%, CPI</v>
      </c>
      <c r="AA73" s="456">
        <f t="shared" si="40"/>
        <v>2.7300778105715053E-2</v>
      </c>
      <c r="AB73" s="340">
        <f t="shared" si="44"/>
        <v>91890</v>
      </c>
      <c r="AC73" s="953" t="str">
        <f>TEXT('MYP Assumptions'!J78,"0.00%")&amp;", CPI"</f>
        <v>2.73%, CPI</v>
      </c>
    </row>
    <row r="74" spans="1:29" s="457" customFormat="1" x14ac:dyDescent="0.25">
      <c r="A74" s="897"/>
      <c r="B74" s="2385">
        <v>5908</v>
      </c>
      <c r="C74" s="1656" t="s">
        <v>431</v>
      </c>
      <c r="D74" s="340">
        <v>36240.33</v>
      </c>
      <c r="E74" s="2386"/>
      <c r="F74" s="340"/>
      <c r="G74" s="456">
        <f t="shared" si="45"/>
        <v>8.5144644102302547E-2</v>
      </c>
      <c r="H74" s="340">
        <v>39326</v>
      </c>
      <c r="I74" s="899"/>
      <c r="J74" s="455"/>
      <c r="K74" s="456">
        <f t="shared" si="36"/>
        <v>-8.7677363576259978E-2</v>
      </c>
      <c r="L74" s="340">
        <v>35878</v>
      </c>
      <c r="M74" s="897"/>
      <c r="O74" s="456">
        <f t="shared" si="37"/>
        <v>0</v>
      </c>
      <c r="P74" s="340">
        <f t="shared" si="41"/>
        <v>35878</v>
      </c>
      <c r="Q74" s="897"/>
      <c r="R74" s="592"/>
      <c r="S74" s="2238">
        <f t="shared" si="38"/>
        <v>0</v>
      </c>
      <c r="T74" s="340">
        <f t="shared" si="42"/>
        <v>35878</v>
      </c>
      <c r="U74" s="953"/>
      <c r="V74" s="952"/>
      <c r="W74" s="2241">
        <f t="shared" si="39"/>
        <v>2.7286916773510229E-2</v>
      </c>
      <c r="X74" s="340">
        <f t="shared" si="43"/>
        <v>36857</v>
      </c>
      <c r="Y74" s="953" t="str">
        <f>TEXT('MYP Assumptions'!I78,"0.00%")&amp;", CPI"</f>
        <v>2.73%, CPI</v>
      </c>
      <c r="AA74" s="456">
        <f t="shared" si="40"/>
        <v>2.7294679436742002E-2</v>
      </c>
      <c r="AB74" s="340">
        <f t="shared" si="44"/>
        <v>37863</v>
      </c>
      <c r="AC74" s="953" t="str">
        <f>TEXT('MYP Assumptions'!J78,"0.00%")&amp;", CPI"</f>
        <v>2.73%, CPI</v>
      </c>
    </row>
    <row r="75" spans="1:29" s="457" customFormat="1" x14ac:dyDescent="0.25">
      <c r="A75" s="897"/>
      <c r="B75" s="2385"/>
      <c r="C75" s="1656"/>
      <c r="D75" s="340">
        <f>'18-19 Budget RS 3010-ALL'!AF80</f>
        <v>0</v>
      </c>
      <c r="E75" s="2386"/>
      <c r="F75" s="340"/>
      <c r="G75" s="456" t="str">
        <f t="shared" si="45"/>
        <v>0.00%</v>
      </c>
      <c r="H75" s="340"/>
      <c r="I75" s="899"/>
      <c r="J75" s="455"/>
      <c r="K75" s="456" t="str">
        <f t="shared" si="36"/>
        <v>0.00%</v>
      </c>
      <c r="L75" s="340"/>
      <c r="M75" s="899"/>
      <c r="O75" s="456" t="str">
        <f t="shared" si="37"/>
        <v>0.00%</v>
      </c>
      <c r="P75" s="340">
        <v>0</v>
      </c>
      <c r="Q75" s="899"/>
      <c r="R75" s="592"/>
      <c r="S75" s="2238" t="str">
        <f t="shared" si="38"/>
        <v>0.00%</v>
      </c>
      <c r="T75" s="340">
        <f t="shared" si="42"/>
        <v>0</v>
      </c>
      <c r="U75" s="953"/>
      <c r="V75" s="952"/>
      <c r="W75" s="2241" t="str">
        <f t="shared" si="39"/>
        <v>0.00%</v>
      </c>
      <c r="X75" s="340">
        <f t="shared" si="43"/>
        <v>0</v>
      </c>
      <c r="Y75" s="953" t="str">
        <f>TEXT('MYP Assumptions'!I78,"0.00%")&amp;", CPI"</f>
        <v>2.73%, CPI</v>
      </c>
      <c r="AA75" s="456" t="str">
        <f t="shared" si="40"/>
        <v>0.00%</v>
      </c>
      <c r="AB75" s="340">
        <f t="shared" si="44"/>
        <v>0</v>
      </c>
      <c r="AC75" s="953" t="str">
        <f>TEXT('MYP Assumptions'!J78,"0.00%")&amp;", CPI"</f>
        <v>2.73%, CPI</v>
      </c>
    </row>
    <row r="76" spans="1:29" s="457" customFormat="1" x14ac:dyDescent="0.25">
      <c r="A76" s="898"/>
      <c r="B76" s="2345"/>
      <c r="C76" s="1656"/>
      <c r="D76" s="458">
        <f>SUM(D62:D75)</f>
        <v>278742.31</v>
      </c>
      <c r="E76" s="2386"/>
      <c r="F76" s="340"/>
      <c r="G76" s="456">
        <f t="shared" si="45"/>
        <v>0.52401693162405094</v>
      </c>
      <c r="H76" s="458">
        <f>SUM(H62:H75)</f>
        <v>424808</v>
      </c>
      <c r="I76" s="2316">
        <f>+H76-D76</f>
        <v>146065.69</v>
      </c>
      <c r="J76" s="459"/>
      <c r="K76" s="456">
        <f t="shared" si="36"/>
        <v>-0.19500338976667106</v>
      </c>
      <c r="L76" s="458">
        <f>SUM(L62:L75)</f>
        <v>341969</v>
      </c>
      <c r="M76" s="2316">
        <f>+L76-H76</f>
        <v>-82839</v>
      </c>
      <c r="O76" s="456">
        <f t="shared" si="37"/>
        <v>0</v>
      </c>
      <c r="P76" s="458">
        <f>SUM(P62:P75)</f>
        <v>341969</v>
      </c>
      <c r="Q76" s="2316">
        <f>+P76-L76</f>
        <v>0</v>
      </c>
      <c r="R76" s="592"/>
      <c r="S76" s="2238">
        <f t="shared" si="38"/>
        <v>0</v>
      </c>
      <c r="T76" s="458">
        <f>SUM(T62:T75)</f>
        <v>341969</v>
      </c>
      <c r="U76" s="2316">
        <f>+T76-P76</f>
        <v>0</v>
      </c>
      <c r="V76" s="952"/>
      <c r="W76" s="2241">
        <f t="shared" si="39"/>
        <v>-3.5766399878351549E-2</v>
      </c>
      <c r="X76" s="458">
        <f>SUM(X62:X75)</f>
        <v>329738</v>
      </c>
      <c r="Y76" s="2344"/>
      <c r="AA76" s="456">
        <f t="shared" si="40"/>
        <v>2.7297430080852069E-2</v>
      </c>
      <c r="AB76" s="458">
        <f>SUM(AB62:AB75)</f>
        <v>338739</v>
      </c>
      <c r="AC76" s="2344"/>
    </row>
    <row r="77" spans="1:29" s="457" customFormat="1" x14ac:dyDescent="0.25">
      <c r="A77" s="897"/>
      <c r="B77" s="2337"/>
      <c r="C77" s="1656"/>
      <c r="D77" s="340"/>
      <c r="E77" s="2386"/>
      <c r="F77" s="340"/>
      <c r="G77" s="456"/>
      <c r="H77" s="340"/>
      <c r="I77" s="897"/>
      <c r="J77" s="455"/>
      <c r="K77" s="1668"/>
      <c r="L77" s="340"/>
      <c r="M77" s="901"/>
      <c r="O77" s="1668"/>
      <c r="P77" s="340"/>
      <c r="Q77" s="901"/>
      <c r="R77" s="592"/>
      <c r="S77" s="2341"/>
      <c r="T77" s="340"/>
      <c r="U77" s="2344"/>
      <c r="V77" s="952"/>
      <c r="W77" s="2343"/>
      <c r="X77" s="340"/>
      <c r="Y77" s="2344"/>
      <c r="AA77" s="1668"/>
      <c r="AB77" s="340"/>
      <c r="AC77" s="2344"/>
    </row>
    <row r="78" spans="1:29" s="457" customFormat="1" x14ac:dyDescent="0.25">
      <c r="A78" s="897"/>
      <c r="B78" s="2337" t="s">
        <v>328</v>
      </c>
      <c r="C78" s="1656"/>
      <c r="D78" s="340"/>
      <c r="E78" s="2386"/>
      <c r="F78" s="340"/>
      <c r="G78" s="456"/>
      <c r="H78" s="340"/>
      <c r="I78" s="897"/>
      <c r="J78" s="455"/>
      <c r="K78" s="1668"/>
      <c r="L78" s="340"/>
      <c r="M78" s="901"/>
      <c r="O78" s="1668"/>
      <c r="P78" s="340"/>
      <c r="Q78" s="901"/>
      <c r="R78" s="592"/>
      <c r="S78" s="2341"/>
      <c r="T78" s="340"/>
      <c r="U78" s="2344"/>
      <c r="V78" s="952"/>
      <c r="W78" s="2343"/>
      <c r="X78" s="340"/>
      <c r="Y78" s="2344"/>
      <c r="AA78" s="1668"/>
      <c r="AB78" s="340"/>
      <c r="AC78" s="2344"/>
    </row>
    <row r="79" spans="1:29" s="457" customFormat="1" x14ac:dyDescent="0.25">
      <c r="A79" s="897"/>
      <c r="B79" s="2385">
        <v>6400</v>
      </c>
      <c r="C79" s="1656" t="s">
        <v>329</v>
      </c>
      <c r="D79" s="340">
        <v>0</v>
      </c>
      <c r="E79" s="2386"/>
      <c r="F79" s="340"/>
      <c r="G79" s="456"/>
      <c r="H79" s="340">
        <v>0</v>
      </c>
      <c r="I79" s="897"/>
      <c r="J79" s="455"/>
      <c r="K79" s="456"/>
      <c r="L79" s="340">
        <v>0</v>
      </c>
      <c r="M79" s="901"/>
      <c r="O79" s="456"/>
      <c r="P79" s="340">
        <v>0</v>
      </c>
      <c r="Q79" s="901"/>
      <c r="R79" s="592"/>
      <c r="S79" s="2238"/>
      <c r="T79" s="340">
        <v>0</v>
      </c>
      <c r="U79" s="2344"/>
      <c r="V79" s="952"/>
      <c r="W79" s="2241"/>
      <c r="X79" s="340">
        <v>0</v>
      </c>
      <c r="Y79" s="2344"/>
      <c r="AA79" s="456"/>
      <c r="AB79" s="340">
        <v>0</v>
      </c>
      <c r="AC79" s="2344"/>
    </row>
    <row r="80" spans="1:29" s="457" customFormat="1" ht="23.25" hidden="1" customHeight="1" x14ac:dyDescent="0.25">
      <c r="A80" s="897"/>
      <c r="B80" s="2385"/>
      <c r="C80" s="1656"/>
      <c r="D80" s="340">
        <v>0</v>
      </c>
      <c r="E80" s="2386"/>
      <c r="F80" s="340"/>
      <c r="G80" s="456"/>
      <c r="H80" s="340">
        <v>0</v>
      </c>
      <c r="I80" s="897"/>
      <c r="J80" s="455"/>
      <c r="K80" s="456"/>
      <c r="L80" s="340">
        <v>0</v>
      </c>
      <c r="M80" s="901"/>
      <c r="O80" s="456"/>
      <c r="P80" s="340">
        <v>0</v>
      </c>
      <c r="Q80" s="901"/>
      <c r="R80" s="592"/>
      <c r="S80" s="2238"/>
      <c r="T80" s="340">
        <v>0</v>
      </c>
      <c r="U80" s="2344"/>
      <c r="V80" s="952"/>
      <c r="W80" s="2241"/>
      <c r="X80" s="340">
        <v>0</v>
      </c>
      <c r="Y80" s="2344"/>
      <c r="AA80" s="456"/>
      <c r="AB80" s="340">
        <v>0</v>
      </c>
      <c r="AC80" s="2344"/>
    </row>
    <row r="81" spans="1:29" s="457" customFormat="1" hidden="1" x14ac:dyDescent="0.25">
      <c r="A81" s="897"/>
      <c r="B81" s="2337"/>
      <c r="C81" s="1656"/>
      <c r="D81" s="340">
        <v>0</v>
      </c>
      <c r="E81" s="2386"/>
      <c r="F81" s="340"/>
      <c r="G81" s="456"/>
      <c r="H81" s="340">
        <v>0</v>
      </c>
      <c r="I81" s="897"/>
      <c r="J81" s="455"/>
      <c r="K81" s="456"/>
      <c r="L81" s="340">
        <v>0</v>
      </c>
      <c r="M81" s="901"/>
      <c r="O81" s="456"/>
      <c r="P81" s="340">
        <v>0</v>
      </c>
      <c r="Q81" s="901"/>
      <c r="R81" s="592"/>
      <c r="S81" s="2238"/>
      <c r="T81" s="340">
        <v>0</v>
      </c>
      <c r="U81" s="2344"/>
      <c r="V81" s="952"/>
      <c r="W81" s="2241"/>
      <c r="X81" s="340">
        <v>0</v>
      </c>
      <c r="Y81" s="2344"/>
      <c r="AA81" s="456"/>
      <c r="AB81" s="340">
        <v>0</v>
      </c>
      <c r="AC81" s="2344"/>
    </row>
    <row r="82" spans="1:29" s="457" customFormat="1" x14ac:dyDescent="0.25">
      <c r="A82" s="897"/>
      <c r="B82" s="2337"/>
      <c r="C82" s="1656"/>
      <c r="D82" s="2368">
        <f>SUM(D79:D81)</f>
        <v>0</v>
      </c>
      <c r="E82" s="2386"/>
      <c r="F82" s="340"/>
      <c r="G82" s="456"/>
      <c r="H82" s="2368">
        <f>SUM(H79:H81)</f>
        <v>0</v>
      </c>
      <c r="I82" s="2316">
        <f>+H82-D82</f>
        <v>0</v>
      </c>
      <c r="J82" s="455"/>
      <c r="K82" s="456"/>
      <c r="L82" s="2368">
        <f>SUM(L79:L81)</f>
        <v>0</v>
      </c>
      <c r="M82" s="2316">
        <f>+L82-H82</f>
        <v>0</v>
      </c>
      <c r="O82" s="456"/>
      <c r="P82" s="2368">
        <f>SUM(P79:P81)</f>
        <v>0</v>
      </c>
      <c r="Q82" s="2316">
        <f>+P82-L82</f>
        <v>0</v>
      </c>
      <c r="R82" s="592"/>
      <c r="S82" s="2238"/>
      <c r="T82" s="2368">
        <f>SUM(T79:T81)</f>
        <v>0</v>
      </c>
      <c r="U82" s="2344"/>
      <c r="V82" s="952"/>
      <c r="W82" s="2241"/>
      <c r="X82" s="2368">
        <f>SUM(X79:X81)</f>
        <v>0</v>
      </c>
      <c r="Y82" s="2344"/>
      <c r="AA82" s="456"/>
      <c r="AB82" s="2368">
        <f>SUM(AB79:AB81)</f>
        <v>0</v>
      </c>
      <c r="AC82" s="2344"/>
    </row>
    <row r="83" spans="1:29" s="457" customFormat="1" x14ac:dyDescent="0.25">
      <c r="A83" s="897"/>
      <c r="B83" s="2337"/>
      <c r="C83" s="1656"/>
      <c r="D83" s="455"/>
      <c r="E83" s="2386"/>
      <c r="F83" s="340"/>
      <c r="G83" s="456"/>
      <c r="H83" s="455"/>
      <c r="I83" s="897"/>
      <c r="J83" s="455"/>
      <c r="K83" s="456"/>
      <c r="L83" s="455"/>
      <c r="M83" s="901"/>
      <c r="O83" s="456"/>
      <c r="P83" s="455"/>
      <c r="Q83" s="901"/>
      <c r="R83" s="592"/>
      <c r="S83" s="2238"/>
      <c r="T83" s="455"/>
      <c r="U83" s="2344"/>
      <c r="V83" s="952"/>
      <c r="W83" s="2241"/>
      <c r="X83" s="455"/>
      <c r="Y83" s="2344"/>
      <c r="AA83" s="456"/>
      <c r="AB83" s="455"/>
      <c r="AC83" s="2344"/>
    </row>
    <row r="84" spans="1:29" s="457" customFormat="1" x14ac:dyDescent="0.25">
      <c r="A84" s="897"/>
      <c r="B84" s="2345"/>
      <c r="C84" s="1656"/>
      <c r="D84" s="340"/>
      <c r="E84" s="2386"/>
      <c r="F84" s="340"/>
      <c r="G84" s="2338"/>
      <c r="H84" s="340"/>
      <c r="I84" s="897"/>
      <c r="J84" s="455"/>
      <c r="K84" s="1668"/>
      <c r="L84" s="340"/>
      <c r="M84" s="901"/>
      <c r="O84" s="1668"/>
      <c r="P84" s="340"/>
      <c r="Q84" s="901"/>
      <c r="R84" s="592"/>
      <c r="S84" s="2341"/>
      <c r="T84" s="340"/>
      <c r="U84" s="2344"/>
      <c r="V84" s="952"/>
      <c r="W84" s="2343"/>
      <c r="X84" s="340"/>
      <c r="Y84" s="2344"/>
      <c r="AA84" s="1668"/>
      <c r="AB84" s="340"/>
      <c r="AC84" s="2344"/>
    </row>
    <row r="85" spans="1:29" s="457" customFormat="1" x14ac:dyDescent="0.25">
      <c r="A85" s="898"/>
      <c r="B85" s="2337" t="s">
        <v>0</v>
      </c>
      <c r="C85" s="1656"/>
      <c r="D85" s="458">
        <f>SUM(D76,D59,D45,D13,D82)</f>
        <v>618939.79</v>
      </c>
      <c r="E85" s="2386"/>
      <c r="F85" s="340"/>
      <c r="G85" s="456">
        <f>IF(D85=0,"0.00%",(H85-D85)/D85)</f>
        <v>0.55290872477272779</v>
      </c>
      <c r="H85" s="458">
        <f>SUM(H76,H59,H45,H13,H82)</f>
        <v>961157</v>
      </c>
      <c r="I85" s="2316">
        <f>+H85-D85</f>
        <v>342217.20999999996</v>
      </c>
      <c r="J85" s="459"/>
      <c r="K85" s="456">
        <f>IF(H85=0,"0.00%",(L85-H85)/H85)</f>
        <v>8.5563544769480943E-3</v>
      </c>
      <c r="L85" s="458">
        <f>SUM(L76,L59,L45,L13,L82)</f>
        <v>969381</v>
      </c>
      <c r="M85" s="2316">
        <f>+L85-H85</f>
        <v>8224</v>
      </c>
      <c r="O85" s="456">
        <f>IF(L85=0,"0.00%",(P85-L85)/L85)</f>
        <v>3.7157732614936747E-3</v>
      </c>
      <c r="P85" s="458">
        <f>SUM(P76,P59,P45,P13,P82)</f>
        <v>972983</v>
      </c>
      <c r="Q85" s="2316">
        <f>+P85-L85</f>
        <v>3602</v>
      </c>
      <c r="R85" s="592"/>
      <c r="S85" s="2238">
        <f>IF(P85=0,"0.00%",(T85-P85)/P85)</f>
        <v>3.4964639669963402E-3</v>
      </c>
      <c r="T85" s="458">
        <f>SUM(T76,T59,T45,T13)</f>
        <v>976385</v>
      </c>
      <c r="U85" s="2344"/>
      <c r="V85" s="952"/>
      <c r="W85" s="2241">
        <f>IF(T85=0,"0.00%",(X85-T85)/T85)</f>
        <v>-3.934513537180518E-2</v>
      </c>
      <c r="X85" s="458">
        <f>SUM(X76,X59,X45,X13)</f>
        <v>937969</v>
      </c>
      <c r="Y85" s="2344"/>
      <c r="AA85" s="456" t="e">
        <f>IF(X85=0,"0.00%",(AB85-X85)/X85)</f>
        <v>#VALUE!</v>
      </c>
      <c r="AB85" s="458" t="e">
        <f>SUM(AB76,AB59,AB45,AB13)</f>
        <v>#VALUE!</v>
      </c>
      <c r="AC85" s="2344"/>
    </row>
    <row r="86" spans="1:29" s="457" customFormat="1" x14ac:dyDescent="0.25">
      <c r="A86" s="897"/>
      <c r="B86" s="2345"/>
      <c r="C86" s="1656"/>
      <c r="D86" s="340"/>
      <c r="E86" s="2386"/>
      <c r="F86" s="340"/>
      <c r="G86" s="2338"/>
      <c r="H86" s="340"/>
      <c r="I86" s="897"/>
      <c r="J86" s="455"/>
      <c r="K86" s="1668"/>
      <c r="L86" s="340"/>
      <c r="M86" s="901"/>
      <c r="O86" s="1668"/>
      <c r="P86" s="340"/>
      <c r="Q86" s="901"/>
      <c r="R86" s="592"/>
      <c r="S86" s="2341"/>
      <c r="T86" s="340"/>
      <c r="U86" s="2344"/>
      <c r="V86" s="952"/>
      <c r="W86" s="2343"/>
      <c r="X86" s="340"/>
      <c r="Y86" s="2344"/>
      <c r="AA86" s="1668"/>
      <c r="AB86" s="340"/>
      <c r="AC86" s="2344"/>
    </row>
    <row r="87" spans="1:29" s="457" customFormat="1" x14ac:dyDescent="0.25">
      <c r="A87" s="897"/>
      <c r="B87" s="2337" t="s">
        <v>138</v>
      </c>
      <c r="C87" s="1656"/>
      <c r="D87" s="833">
        <f>D11-D85</f>
        <v>564829.68999999994</v>
      </c>
      <c r="E87" s="1656"/>
      <c r="G87" s="456">
        <f>IF(D87=0,"0.00%",(H87-D87)/D87)</f>
        <v>-0.66740239876554641</v>
      </c>
      <c r="H87" s="833">
        <f>H11-H85</f>
        <v>187861</v>
      </c>
      <c r="I87" s="897"/>
      <c r="J87" s="455"/>
      <c r="K87" s="456">
        <f>IF(H87=0,"0.00%",(L87-H87)/H87)</f>
        <v>-0.16216777298108709</v>
      </c>
      <c r="L87" s="833">
        <f>L11-L85</f>
        <v>157396</v>
      </c>
      <c r="M87" s="901"/>
      <c r="O87" s="456">
        <f>IF(L87=0,"0.00%",(P87-L87)/L87)</f>
        <v>0.16109685125416148</v>
      </c>
      <c r="P87" s="833">
        <f>P11-P85</f>
        <v>182752</v>
      </c>
      <c r="Q87" s="901"/>
      <c r="R87" s="592"/>
      <c r="S87" s="2238">
        <f>IF(P87=0,"0.00%",(T87-P87)/P87)</f>
        <v>0.15023638592190511</v>
      </c>
      <c r="T87" s="833">
        <f>T11-T85</f>
        <v>210208</v>
      </c>
      <c r="U87" s="2344"/>
      <c r="V87" s="952"/>
      <c r="W87" s="2241">
        <f>IF(T87=0,"0.00%",(X87-T87)/T87)</f>
        <v>-5.4620994443598718</v>
      </c>
      <c r="X87" s="833">
        <f>X11-X85</f>
        <v>-937969</v>
      </c>
      <c r="Y87" s="2344"/>
      <c r="AA87" s="456" t="e">
        <f>IF(X87=0,"0.00%",(AB87-X87)/X87)</f>
        <v>#VALUE!</v>
      </c>
      <c r="AB87" s="833" t="e">
        <f>AB11-AB85</f>
        <v>#VALUE!</v>
      </c>
      <c r="AC87" s="2344"/>
    </row>
    <row r="88" spans="1:29" s="457" customFormat="1" x14ac:dyDescent="0.25">
      <c r="A88" s="1656"/>
      <c r="B88" s="2337"/>
      <c r="C88" s="2432"/>
      <c r="D88" s="833"/>
      <c r="E88" s="1656"/>
      <c r="G88" s="2338"/>
      <c r="H88" s="833"/>
      <c r="I88" s="897"/>
      <c r="J88" s="455"/>
      <c r="K88" s="1668"/>
      <c r="L88" s="833"/>
      <c r="M88" s="901"/>
      <c r="O88" s="1668"/>
      <c r="P88" s="833"/>
      <c r="Q88" s="901"/>
      <c r="R88" s="592"/>
      <c r="S88" s="2341"/>
      <c r="T88" s="2356"/>
      <c r="U88" s="2344"/>
      <c r="V88" s="952"/>
      <c r="W88" s="2343"/>
      <c r="X88" s="2356"/>
      <c r="Y88" s="2344"/>
      <c r="AA88" s="1668"/>
      <c r="AB88" s="2356"/>
      <c r="AC88" s="2344"/>
    </row>
    <row r="89" spans="1:29" s="457" customFormat="1" x14ac:dyDescent="0.25">
      <c r="A89" s="1656"/>
      <c r="B89" s="2337" t="s">
        <v>136</v>
      </c>
      <c r="C89" s="2443"/>
      <c r="D89" s="833">
        <f>D7+D87</f>
        <v>5459673.8599999994</v>
      </c>
      <c r="E89" s="1656"/>
      <c r="G89" s="456">
        <f>IF(D89=0,"0.00%",(H89-D89)/D89)</f>
        <v>3.4408831885793273E-2</v>
      </c>
      <c r="H89" s="833">
        <f>H7+H87</f>
        <v>5647534.8599999994</v>
      </c>
      <c r="I89" s="2316"/>
      <c r="J89" s="455"/>
      <c r="K89" s="456">
        <f>IF(H89=0,"0.00%",(L89-H89)/H89)</f>
        <v>2.7869858956479289E-2</v>
      </c>
      <c r="L89" s="833">
        <f>L7+L87</f>
        <v>5804930.8599999994</v>
      </c>
      <c r="M89" s="2316"/>
      <c r="O89" s="456">
        <f>IF(L89=0,"0.00%",(P89-L89)/L89)</f>
        <v>3.1482200978359284E-2</v>
      </c>
      <c r="P89" s="833">
        <f>P7+P87</f>
        <v>5987682.8599999994</v>
      </c>
      <c r="Q89" s="2316"/>
      <c r="R89" s="592"/>
      <c r="S89" s="2238">
        <f>IF(P89=0,"0.00%",(T89-P89)/P89)</f>
        <v>3.510673576322311E-2</v>
      </c>
      <c r="T89" s="2367">
        <f>T7+T87</f>
        <v>6197890.8599999994</v>
      </c>
      <c r="U89" s="2344"/>
      <c r="V89" s="952"/>
      <c r="W89" s="2241">
        <f>IF(T89=0,"0.00%",(X89-T89)/T89)</f>
        <v>-0.15133680492076301</v>
      </c>
      <c r="X89" s="2367">
        <f>X7+X87</f>
        <v>5259921.8599999994</v>
      </c>
      <c r="Y89" s="2344"/>
      <c r="AA89" s="456" t="e">
        <f>IF(X89=0,"0.00%",(AB89-X89)/X89)</f>
        <v>#VALUE!</v>
      </c>
      <c r="AB89" s="2367" t="e">
        <f>AB7+AB87</f>
        <v>#VALUE!</v>
      </c>
      <c r="AC89" s="2344"/>
    </row>
    <row r="90" spans="1:29" s="457" customFormat="1" x14ac:dyDescent="0.25">
      <c r="A90" s="1656"/>
      <c r="B90" s="2345"/>
      <c r="C90" s="900"/>
      <c r="D90" s="340"/>
      <c r="E90" s="1656"/>
      <c r="G90" s="2355"/>
      <c r="H90" s="459"/>
      <c r="I90" s="898"/>
      <c r="J90" s="459"/>
      <c r="K90" s="1668"/>
      <c r="L90" s="459"/>
      <c r="M90" s="901"/>
      <c r="O90" s="1668"/>
      <c r="P90" s="459"/>
      <c r="Q90" s="901"/>
      <c r="R90" s="592"/>
      <c r="S90" s="2341"/>
      <c r="T90" s="459"/>
      <c r="U90" s="2344"/>
      <c r="V90" s="952"/>
      <c r="W90" s="2343"/>
      <c r="X90" s="459"/>
      <c r="Y90" s="2344"/>
      <c r="AA90" s="1668"/>
      <c r="AB90" s="459"/>
      <c r="AC90" s="2344"/>
    </row>
    <row r="91" spans="1:29" s="457" customFormat="1" x14ac:dyDescent="0.25">
      <c r="A91" s="1656"/>
      <c r="B91" s="2345"/>
      <c r="C91" s="2339"/>
      <c r="D91" s="340"/>
      <c r="E91" s="1656"/>
      <c r="G91" s="2355"/>
      <c r="H91" s="455"/>
      <c r="I91" s="897"/>
      <c r="J91" s="455"/>
      <c r="K91" s="1668"/>
      <c r="L91" s="340"/>
      <c r="M91" s="901"/>
      <c r="O91" s="1668"/>
      <c r="P91" s="340"/>
      <c r="Q91" s="901"/>
      <c r="R91" s="592"/>
      <c r="S91" s="2341"/>
      <c r="T91" s="340"/>
      <c r="U91" s="2344"/>
      <c r="V91" s="952"/>
      <c r="W91" s="2343"/>
      <c r="X91" s="340"/>
      <c r="Y91" s="2344"/>
      <c r="AA91" s="1668"/>
      <c r="AB91" s="340"/>
      <c r="AC91" s="2344"/>
    </row>
    <row r="92" spans="1:29" s="457" customFormat="1" x14ac:dyDescent="0.25">
      <c r="A92" s="1656"/>
      <c r="B92" s="2345"/>
      <c r="C92" s="2339"/>
      <c r="D92" s="340"/>
      <c r="E92" s="1656"/>
      <c r="G92" s="2355"/>
      <c r="H92" s="455"/>
      <c r="I92" s="897"/>
      <c r="J92" s="455"/>
      <c r="K92" s="1668"/>
      <c r="L92" s="340"/>
      <c r="M92" s="901"/>
      <c r="O92" s="1668"/>
      <c r="P92" s="340"/>
      <c r="Q92" s="901"/>
      <c r="R92" s="592"/>
      <c r="S92" s="2341"/>
      <c r="T92" s="340"/>
      <c r="U92" s="2344"/>
      <c r="V92" s="952"/>
      <c r="W92" s="2343"/>
      <c r="X92" s="340"/>
      <c r="Y92" s="2344"/>
      <c r="AA92" s="1668"/>
      <c r="AB92" s="340"/>
      <c r="AC92" s="2344"/>
    </row>
    <row r="93" spans="1:29" s="457" customFormat="1" x14ac:dyDescent="0.25">
      <c r="A93" s="1656"/>
      <c r="B93" s="2345"/>
      <c r="C93" s="2339"/>
      <c r="D93" s="340"/>
      <c r="E93" s="1656"/>
      <c r="G93" s="2355"/>
      <c r="H93" s="455"/>
      <c r="I93" s="897"/>
      <c r="J93" s="455"/>
      <c r="K93" s="1668"/>
      <c r="L93" s="340"/>
      <c r="M93" s="901"/>
      <c r="O93" s="1668"/>
      <c r="P93" s="340"/>
      <c r="Q93" s="901"/>
      <c r="R93" s="592"/>
      <c r="S93" s="2341"/>
      <c r="T93" s="340"/>
      <c r="U93" s="2344"/>
      <c r="V93" s="952"/>
      <c r="W93" s="2343"/>
      <c r="X93" s="340"/>
      <c r="Y93" s="2344"/>
      <c r="AA93" s="1668"/>
      <c r="AB93" s="340"/>
      <c r="AC93" s="2344"/>
    </row>
    <row r="94" spans="1:29" s="457" customFormat="1" x14ac:dyDescent="0.25">
      <c r="A94" s="1656"/>
      <c r="B94" s="2345"/>
      <c r="C94" s="2339"/>
      <c r="D94" s="340"/>
      <c r="E94" s="1656"/>
      <c r="G94" s="2355"/>
      <c r="H94" s="455"/>
      <c r="I94" s="897"/>
      <c r="J94" s="455"/>
      <c r="K94" s="1668"/>
      <c r="L94" s="340"/>
      <c r="M94" s="901"/>
      <c r="O94" s="1668"/>
      <c r="P94" s="340"/>
      <c r="Q94" s="901"/>
      <c r="R94" s="592"/>
      <c r="S94" s="2341"/>
      <c r="T94" s="340"/>
      <c r="U94" s="2344"/>
      <c r="V94" s="952"/>
      <c r="W94" s="2343"/>
      <c r="X94" s="340"/>
      <c r="Y94" s="2344"/>
      <c r="AA94" s="1668"/>
      <c r="AB94" s="340"/>
      <c r="AC94" s="2344"/>
    </row>
    <row r="95" spans="1:29" s="2402" customFormat="1" ht="11.25" x14ac:dyDescent="0.2">
      <c r="A95" s="2363"/>
      <c r="B95" s="2395"/>
      <c r="C95" s="2444" t="s">
        <v>221</v>
      </c>
      <c r="D95" s="2397">
        <f>+D76+D59+D43+D31+D24+D82</f>
        <v>618939.79</v>
      </c>
      <c r="E95" s="2363"/>
      <c r="G95" s="2399" t="s">
        <v>221</v>
      </c>
      <c r="H95" s="2397">
        <f>+H76+H59+H43+H31+H24</f>
        <v>961157</v>
      </c>
      <c r="I95" s="2400"/>
      <c r="J95" s="607"/>
      <c r="K95" s="2399" t="s">
        <v>221</v>
      </c>
      <c r="L95" s="2397">
        <f>+L76+L59+L43+L31+L24</f>
        <v>969381</v>
      </c>
      <c r="M95" s="2404"/>
      <c r="O95" s="2399" t="s">
        <v>221</v>
      </c>
      <c r="P95" s="2397">
        <f>+P76+P59+P43+P31+P24</f>
        <v>972983</v>
      </c>
      <c r="Q95" s="2404"/>
      <c r="R95" s="608"/>
      <c r="S95" s="2405" t="s">
        <v>221</v>
      </c>
      <c r="T95" s="2397">
        <f>+T76+T59+T43+T31+T24</f>
        <v>976385</v>
      </c>
      <c r="U95" s="2409"/>
      <c r="V95" s="2407"/>
      <c r="W95" s="2408" t="s">
        <v>221</v>
      </c>
      <c r="X95" s="2397">
        <f>+X76+X59+X43+X31+X24</f>
        <v>937969</v>
      </c>
      <c r="Y95" s="2409"/>
      <c r="AA95" s="2399" t="s">
        <v>221</v>
      </c>
      <c r="AB95" s="2397" t="e">
        <f>+AB76+AB59+AB43+AB31+AB24</f>
        <v>#VALUE!</v>
      </c>
      <c r="AC95" s="2409"/>
    </row>
    <row r="96" spans="1:29" s="2402" customFormat="1" ht="11.25" x14ac:dyDescent="0.2">
      <c r="A96" s="2413"/>
      <c r="B96" s="2395"/>
      <c r="C96" s="2445" t="s">
        <v>222</v>
      </c>
      <c r="D96" s="2412">
        <f>+D13</f>
        <v>0</v>
      </c>
      <c r="E96" s="2419"/>
      <c r="F96" s="2410"/>
      <c r="G96" s="2415" t="s">
        <v>222</v>
      </c>
      <c r="H96" s="2412">
        <f>+H13</f>
        <v>0</v>
      </c>
      <c r="I96" s="2398"/>
      <c r="J96" s="608"/>
      <c r="K96" s="2415" t="s">
        <v>222</v>
      </c>
      <c r="L96" s="2412">
        <f>+L13</f>
        <v>0</v>
      </c>
      <c r="M96" s="2404"/>
      <c r="O96" s="2415" t="s">
        <v>222</v>
      </c>
      <c r="P96" s="2412">
        <f>+P13</f>
        <v>0</v>
      </c>
      <c r="Q96" s="2363"/>
      <c r="R96" s="608"/>
      <c r="S96" s="2416" t="s">
        <v>222</v>
      </c>
      <c r="T96" s="2412">
        <f>+T13</f>
        <v>0</v>
      </c>
      <c r="V96" s="2407"/>
      <c r="W96" s="2417" t="s">
        <v>222</v>
      </c>
      <c r="X96" s="2412">
        <f>+X13</f>
        <v>0</v>
      </c>
      <c r="AA96" s="2415" t="s">
        <v>222</v>
      </c>
      <c r="AB96" s="2412">
        <f>+AB13</f>
        <v>0</v>
      </c>
    </row>
    <row r="97" spans="1:28" s="2402" customFormat="1" ht="11.25" x14ac:dyDescent="0.2">
      <c r="A97" s="2413"/>
      <c r="B97" s="2395"/>
      <c r="C97" s="2445"/>
      <c r="D97" s="2418">
        <f>+D95+D96</f>
        <v>618939.79</v>
      </c>
      <c r="E97" s="2419"/>
      <c r="F97" s="2410"/>
      <c r="G97" s="2415"/>
      <c r="H97" s="2418">
        <f>+H95+H96</f>
        <v>961157</v>
      </c>
      <c r="I97" s="2398"/>
      <c r="J97" s="608"/>
      <c r="K97" s="2415"/>
      <c r="L97" s="2418">
        <f>+L95+L96</f>
        <v>969381</v>
      </c>
      <c r="M97" s="2363"/>
      <c r="O97" s="2415"/>
      <c r="P97" s="2418">
        <f>+P95+P96</f>
        <v>972983</v>
      </c>
      <c r="Q97" s="2363"/>
      <c r="R97" s="608"/>
      <c r="S97" s="2416"/>
      <c r="T97" s="2418">
        <f>+T95+T96</f>
        <v>976385</v>
      </c>
      <c r="V97" s="2407"/>
      <c r="W97" s="2417"/>
      <c r="X97" s="2418">
        <f>+X95+X96</f>
        <v>937969</v>
      </c>
      <c r="AA97" s="2415"/>
      <c r="AB97" s="2418" t="e">
        <f>+AB95+AB96</f>
        <v>#VALUE!</v>
      </c>
    </row>
    <row r="98" spans="1:28" s="457" customFormat="1" ht="15" customHeight="1" x14ac:dyDescent="0.25">
      <c r="A98" s="897"/>
      <c r="B98" s="2422"/>
      <c r="C98" s="2446"/>
      <c r="D98" s="459">
        <f>+D85-D97</f>
        <v>0</v>
      </c>
      <c r="E98" s="2386"/>
      <c r="F98" s="340"/>
      <c r="G98" s="2447"/>
      <c r="H98" s="459">
        <f>+H85-H97</f>
        <v>0</v>
      </c>
      <c r="I98" s="2339"/>
      <c r="J98" s="592"/>
      <c r="K98" s="2447"/>
      <c r="L98" s="459">
        <f>+L85-L97</f>
        <v>0</v>
      </c>
      <c r="M98" s="1656"/>
      <c r="O98" s="2447"/>
      <c r="P98" s="459">
        <f>+P85-P97</f>
        <v>0</v>
      </c>
      <c r="Q98" s="1656"/>
      <c r="R98" s="592"/>
      <c r="S98" s="2447"/>
      <c r="T98" s="459">
        <f>+T85-T97</f>
        <v>0</v>
      </c>
      <c r="V98" s="952"/>
      <c r="W98" s="2448"/>
      <c r="X98" s="459">
        <f>+X85-X97</f>
        <v>0</v>
      </c>
      <c r="AA98" s="2447"/>
      <c r="AB98" s="459" t="e">
        <f>+AB85-AB97</f>
        <v>#VALUE!</v>
      </c>
    </row>
    <row r="99" spans="1:28" s="457" customFormat="1" x14ac:dyDescent="0.25">
      <c r="A99" s="897"/>
      <c r="B99" s="2422"/>
      <c r="C99" s="2446"/>
      <c r="D99" s="455"/>
      <c r="E99" s="2386"/>
      <c r="F99" s="340"/>
      <c r="G99" s="2338"/>
      <c r="H99" s="2424"/>
      <c r="I99" s="2339"/>
      <c r="J99" s="592"/>
      <c r="K99" s="1668"/>
      <c r="L99" s="2370"/>
      <c r="M99" s="1656"/>
      <c r="O99" s="1668"/>
      <c r="P99" s="340"/>
      <c r="Q99" s="1656"/>
      <c r="R99" s="592"/>
      <c r="S99" s="2341"/>
      <c r="V99" s="952"/>
      <c r="W99" s="2343"/>
      <c r="AA99" s="1668"/>
    </row>
    <row r="100" spans="1:28" s="457" customFormat="1" x14ac:dyDescent="0.25">
      <c r="A100" s="897"/>
      <c r="B100" s="2394"/>
      <c r="C100" s="2339"/>
      <c r="D100" s="342"/>
      <c r="E100" s="2386"/>
      <c r="F100" s="340"/>
      <c r="G100" s="2338"/>
      <c r="H100" s="2424"/>
      <c r="I100" s="2339"/>
      <c r="J100" s="592"/>
      <c r="K100" s="1668"/>
      <c r="L100" s="2370"/>
      <c r="M100" s="1656"/>
      <c r="O100" s="1668"/>
      <c r="P100" s="340"/>
      <c r="Q100" s="1656"/>
      <c r="R100" s="592"/>
      <c r="S100" s="2341"/>
      <c r="V100" s="952"/>
      <c r="W100" s="2343"/>
      <c r="AA100" s="1668"/>
    </row>
    <row r="101" spans="1:28" s="457" customFormat="1" x14ac:dyDescent="0.25">
      <c r="A101" s="1656"/>
      <c r="B101" s="2394"/>
      <c r="C101" s="2339"/>
      <c r="D101" s="455"/>
      <c r="E101" s="1656"/>
      <c r="G101" s="2338"/>
      <c r="H101" s="2424"/>
      <c r="I101" s="2339"/>
      <c r="J101" s="592"/>
      <c r="K101" s="1668"/>
      <c r="L101" s="2370"/>
      <c r="M101" s="1656"/>
      <c r="O101" s="1668"/>
      <c r="P101" s="340"/>
      <c r="Q101" s="1656"/>
      <c r="R101" s="592"/>
      <c r="S101" s="2341"/>
      <c r="V101" s="952"/>
      <c r="W101" s="2343"/>
      <c r="AA101" s="1668"/>
    </row>
    <row r="102" spans="1:28" s="457" customFormat="1" x14ac:dyDescent="0.25">
      <c r="A102" s="1656"/>
      <c r="B102" s="2394"/>
      <c r="C102" s="2339"/>
      <c r="D102" s="455"/>
      <c r="E102" s="1656"/>
      <c r="G102" s="2338"/>
      <c r="H102" s="2424"/>
      <c r="I102" s="2339"/>
      <c r="J102" s="592"/>
      <c r="K102" s="1668"/>
      <c r="L102" s="2370"/>
      <c r="M102" s="1656"/>
      <c r="O102" s="1668"/>
      <c r="P102" s="340"/>
      <c r="Q102" s="1656"/>
      <c r="R102" s="592"/>
      <c r="S102" s="2341"/>
      <c r="V102" s="952"/>
      <c r="W102" s="2343"/>
      <c r="AA102" s="1668"/>
    </row>
    <row r="103" spans="1:28" s="457" customFormat="1" ht="15" customHeight="1" x14ac:dyDescent="0.25">
      <c r="A103" s="1656"/>
      <c r="B103" s="2394"/>
      <c r="C103" s="2339"/>
      <c r="D103" s="455"/>
      <c r="E103" s="1656"/>
      <c r="G103" s="2338"/>
      <c r="H103" s="2424"/>
      <c r="I103" s="2339"/>
      <c r="J103" s="592"/>
      <c r="K103" s="1668"/>
      <c r="L103" s="2370"/>
      <c r="M103" s="1656"/>
      <c r="O103" s="1668"/>
      <c r="P103" s="340"/>
      <c r="Q103" s="1656"/>
      <c r="R103" s="592"/>
      <c r="S103" s="2341"/>
      <c r="V103" s="952"/>
      <c r="W103" s="2343"/>
      <c r="AA103" s="1668"/>
    </row>
    <row r="104" spans="1:28" s="457" customFormat="1" x14ac:dyDescent="0.25">
      <c r="A104" s="1656"/>
      <c r="B104" s="2394"/>
      <c r="C104" s="2339"/>
      <c r="D104" s="455"/>
      <c r="E104" s="1656"/>
      <c r="G104" s="2338"/>
      <c r="H104" s="2424"/>
      <c r="I104" s="2339"/>
      <c r="J104" s="592"/>
      <c r="K104" s="1668"/>
      <c r="L104" s="2370"/>
      <c r="M104" s="1656"/>
      <c r="O104" s="1668"/>
      <c r="P104" s="340"/>
      <c r="Q104" s="1656"/>
      <c r="R104" s="592"/>
      <c r="S104" s="2341"/>
      <c r="V104" s="952"/>
      <c r="W104" s="2343"/>
      <c r="AA104" s="1668"/>
    </row>
    <row r="105" spans="1:28" s="457" customFormat="1" x14ac:dyDescent="0.25">
      <c r="A105" s="1656"/>
      <c r="B105" s="2394"/>
      <c r="C105" s="2339"/>
      <c r="D105" s="455"/>
      <c r="E105" s="1656"/>
      <c r="G105" s="2338"/>
      <c r="H105" s="2424"/>
      <c r="I105" s="2339"/>
      <c r="J105" s="592"/>
      <c r="K105" s="1668"/>
      <c r="L105" s="2370"/>
      <c r="M105" s="1656"/>
      <c r="O105" s="1668"/>
      <c r="P105" s="340"/>
      <c r="Q105" s="1656"/>
      <c r="R105" s="592"/>
      <c r="S105" s="2341"/>
      <c r="V105" s="952"/>
      <c r="W105" s="2343"/>
      <c r="AA105" s="1668"/>
    </row>
    <row r="106" spans="1:28" s="457" customFormat="1" ht="15" customHeight="1" x14ac:dyDescent="0.25">
      <c r="A106" s="1656"/>
      <c r="B106" s="2565"/>
      <c r="C106" s="2565"/>
      <c r="D106" s="455"/>
      <c r="E106" s="1656"/>
      <c r="G106" s="2338"/>
      <c r="H106" s="2424"/>
      <c r="I106" s="2339"/>
      <c r="J106" s="592"/>
      <c r="K106" s="1668"/>
      <c r="L106" s="2370"/>
      <c r="M106" s="1656"/>
      <c r="O106" s="1668"/>
      <c r="P106" s="340"/>
      <c r="Q106" s="1656"/>
      <c r="R106" s="592"/>
      <c r="S106" s="2341"/>
      <c r="V106" s="952"/>
      <c r="W106" s="2343"/>
      <c r="AA106" s="1668"/>
    </row>
    <row r="107" spans="1:28" s="457" customFormat="1" x14ac:dyDescent="0.25">
      <c r="A107" s="1656"/>
      <c r="B107" s="2565"/>
      <c r="C107" s="2565"/>
      <c r="D107" s="455"/>
      <c r="E107" s="1656"/>
      <c r="G107" s="2338"/>
      <c r="H107" s="2424"/>
      <c r="I107" s="2339"/>
      <c r="J107" s="592"/>
      <c r="K107" s="1668"/>
      <c r="L107" s="2370"/>
      <c r="M107" s="1656"/>
      <c r="O107" s="1668"/>
      <c r="P107" s="340"/>
      <c r="Q107" s="1656"/>
      <c r="R107" s="592"/>
      <c r="S107" s="2341"/>
      <c r="V107" s="952"/>
      <c r="W107" s="2343"/>
      <c r="AA107" s="1668"/>
    </row>
    <row r="108" spans="1:28" s="457" customFormat="1" x14ac:dyDescent="0.25">
      <c r="A108" s="1656"/>
      <c r="B108" s="2394"/>
      <c r="C108" s="2339"/>
      <c r="D108" s="460"/>
      <c r="E108" s="1656"/>
      <c r="G108" s="2338"/>
      <c r="H108" s="2424"/>
      <c r="I108" s="2339"/>
      <c r="J108" s="592"/>
      <c r="K108" s="1668"/>
      <c r="L108" s="2370"/>
      <c r="M108" s="1656"/>
      <c r="O108" s="1668"/>
      <c r="P108" s="340"/>
      <c r="Q108" s="1656"/>
      <c r="R108" s="592"/>
      <c r="S108" s="2341"/>
      <c r="V108" s="952"/>
      <c r="W108" s="2343"/>
      <c r="AA108" s="1668"/>
    </row>
    <row r="109" spans="1:28" s="457" customFormat="1" x14ac:dyDescent="0.25">
      <c r="A109" s="1656"/>
      <c r="B109" s="2394"/>
      <c r="C109" s="2339"/>
      <c r="D109" s="455"/>
      <c r="E109" s="1656"/>
      <c r="G109" s="2338"/>
      <c r="H109" s="2424"/>
      <c r="I109" s="2339"/>
      <c r="J109" s="592"/>
      <c r="K109" s="1668"/>
      <c r="L109" s="2370"/>
      <c r="M109" s="1656"/>
      <c r="O109" s="1668"/>
      <c r="P109" s="340"/>
      <c r="Q109" s="1656"/>
      <c r="R109" s="592"/>
      <c r="S109" s="2341"/>
      <c r="V109" s="952"/>
      <c r="W109" s="2343"/>
      <c r="AA109" s="1668"/>
    </row>
    <row r="110" spans="1:28" s="457" customFormat="1" x14ac:dyDescent="0.25">
      <c r="A110" s="1656"/>
      <c r="B110" s="2394"/>
      <c r="C110" s="2339"/>
      <c r="D110" s="455"/>
      <c r="E110" s="1656"/>
      <c r="G110" s="2338"/>
      <c r="H110" s="2424"/>
      <c r="I110" s="2339"/>
      <c r="J110" s="592"/>
      <c r="K110" s="1668"/>
      <c r="L110" s="2370"/>
      <c r="M110" s="1656"/>
      <c r="O110" s="1668"/>
      <c r="P110" s="340"/>
      <c r="Q110" s="1656"/>
      <c r="R110" s="592"/>
      <c r="S110" s="2341"/>
      <c r="V110" s="952"/>
      <c r="W110" s="2343"/>
      <c r="AA110" s="1668"/>
    </row>
    <row r="111" spans="1:28" s="457" customFormat="1" ht="28.5" customHeight="1" x14ac:dyDescent="0.25">
      <c r="A111" s="1656"/>
      <c r="B111" s="2394"/>
      <c r="C111" s="2339"/>
      <c r="D111" s="342"/>
      <c r="E111" s="1656"/>
      <c r="G111" s="2338"/>
      <c r="H111" s="2424"/>
      <c r="I111" s="2339"/>
      <c r="J111" s="592"/>
      <c r="K111" s="1668"/>
      <c r="L111" s="2370"/>
      <c r="M111" s="1656"/>
      <c r="O111" s="1668"/>
      <c r="P111" s="340"/>
      <c r="Q111" s="1656"/>
      <c r="R111" s="592"/>
      <c r="S111" s="2341"/>
      <c r="V111" s="952"/>
      <c r="W111" s="2343"/>
      <c r="AA111" s="1668"/>
    </row>
    <row r="112" spans="1:28" s="457" customFormat="1" x14ac:dyDescent="0.25">
      <c r="A112" s="1656"/>
      <c r="B112" s="2394"/>
      <c r="C112" s="2339"/>
      <c r="D112" s="455"/>
      <c r="E112" s="1656"/>
      <c r="G112" s="2338"/>
      <c r="H112" s="2424"/>
      <c r="I112" s="2339"/>
      <c r="J112" s="592"/>
      <c r="K112" s="1668"/>
      <c r="L112" s="2370"/>
      <c r="M112" s="1656"/>
      <c r="O112" s="1668"/>
      <c r="P112" s="340"/>
      <c r="Q112" s="1656"/>
      <c r="R112" s="592"/>
      <c r="S112" s="2341"/>
      <c r="V112" s="952"/>
      <c r="W112" s="2343"/>
      <c r="AA112" s="1668"/>
    </row>
    <row r="113" spans="1:27" s="457" customFormat="1" x14ac:dyDescent="0.25">
      <c r="A113" s="1656"/>
      <c r="B113" s="2394"/>
      <c r="C113" s="2339"/>
      <c r="D113" s="455"/>
      <c r="E113" s="1656"/>
      <c r="G113" s="2338"/>
      <c r="H113" s="2424"/>
      <c r="I113" s="2339"/>
      <c r="J113" s="592"/>
      <c r="K113" s="1668"/>
      <c r="L113" s="2370"/>
      <c r="M113" s="1656"/>
      <c r="O113" s="1668"/>
      <c r="P113" s="340"/>
      <c r="Q113" s="1656"/>
      <c r="R113" s="592"/>
      <c r="S113" s="2341"/>
      <c r="V113" s="952"/>
      <c r="W113" s="2343"/>
      <c r="AA113" s="1668"/>
    </row>
    <row r="114" spans="1:27" s="457" customFormat="1" x14ac:dyDescent="0.25">
      <c r="A114" s="1656"/>
      <c r="B114" s="2394"/>
      <c r="C114" s="2339"/>
      <c r="D114" s="455"/>
      <c r="E114" s="1656"/>
      <c r="G114" s="2338"/>
      <c r="H114" s="2424"/>
      <c r="I114" s="2339"/>
      <c r="J114" s="592"/>
      <c r="K114" s="1668"/>
      <c r="L114" s="2370"/>
      <c r="M114" s="1656"/>
      <c r="O114" s="1668"/>
      <c r="P114" s="340"/>
      <c r="Q114" s="1656"/>
      <c r="R114" s="592"/>
      <c r="S114" s="2341"/>
      <c r="V114" s="952"/>
      <c r="W114" s="2343"/>
      <c r="AA114" s="1668"/>
    </row>
    <row r="115" spans="1:27" s="457" customFormat="1" x14ac:dyDescent="0.25">
      <c r="A115" s="1656"/>
      <c r="B115" s="2394"/>
      <c r="C115" s="2339"/>
      <c r="D115" s="455"/>
      <c r="E115" s="1656"/>
      <c r="G115" s="2338"/>
      <c r="H115" s="2424"/>
      <c r="I115" s="2339"/>
      <c r="J115" s="592"/>
      <c r="K115" s="1668"/>
      <c r="L115" s="2370"/>
      <c r="M115" s="1656"/>
      <c r="O115" s="1668"/>
      <c r="P115" s="340"/>
      <c r="Q115" s="1656"/>
      <c r="R115" s="592"/>
      <c r="S115" s="2341"/>
      <c r="V115" s="952"/>
      <c r="W115" s="2343"/>
      <c r="AA115" s="1668"/>
    </row>
    <row r="116" spans="1:27" s="457" customFormat="1" x14ac:dyDescent="0.25">
      <c r="A116" s="1656"/>
      <c r="B116" s="2394"/>
      <c r="C116" s="2339"/>
      <c r="D116" s="455"/>
      <c r="E116" s="1656"/>
      <c r="G116" s="2338"/>
      <c r="H116" s="2424"/>
      <c r="I116" s="2339"/>
      <c r="J116" s="592"/>
      <c r="K116" s="1668"/>
      <c r="L116" s="2370"/>
      <c r="M116" s="1656"/>
      <c r="O116" s="1668"/>
      <c r="P116" s="340"/>
      <c r="Q116" s="1656"/>
      <c r="R116" s="592"/>
      <c r="S116" s="2341"/>
      <c r="V116" s="952"/>
      <c r="W116" s="2343"/>
      <c r="AA116" s="1668"/>
    </row>
    <row r="117" spans="1:27" s="457" customFormat="1" x14ac:dyDescent="0.25">
      <c r="A117" s="1656"/>
      <c r="B117" s="2394"/>
      <c r="C117" s="2339"/>
      <c r="D117" s="455"/>
      <c r="E117" s="1656"/>
      <c r="G117" s="2338"/>
      <c r="H117" s="2424"/>
      <c r="I117" s="2339"/>
      <c r="J117" s="592"/>
      <c r="K117" s="1668"/>
      <c r="L117" s="2370"/>
      <c r="M117" s="1656"/>
      <c r="O117" s="1668"/>
      <c r="P117" s="340"/>
      <c r="Q117" s="1656"/>
      <c r="R117" s="592"/>
      <c r="S117" s="2341"/>
      <c r="V117" s="952"/>
      <c r="W117" s="2343"/>
      <c r="AA117" s="1668"/>
    </row>
    <row r="118" spans="1:27" s="457" customFormat="1" x14ac:dyDescent="0.25">
      <c r="A118" s="1656"/>
      <c r="B118" s="2394"/>
      <c r="C118" s="2339"/>
      <c r="D118" s="455"/>
      <c r="E118" s="1656"/>
      <c r="G118" s="2338"/>
      <c r="H118" s="2424"/>
      <c r="I118" s="2339"/>
      <c r="J118" s="592"/>
      <c r="K118" s="1668"/>
      <c r="L118" s="2370"/>
      <c r="M118" s="1656"/>
      <c r="O118" s="1668"/>
      <c r="P118" s="340"/>
      <c r="Q118" s="1656"/>
      <c r="R118" s="592"/>
      <c r="S118" s="2341"/>
      <c r="V118" s="952"/>
      <c r="W118" s="2343"/>
      <c r="AA118" s="1668"/>
    </row>
    <row r="119" spans="1:27" s="457" customFormat="1" x14ac:dyDescent="0.25">
      <c r="A119" s="1656"/>
      <c r="B119" s="2394"/>
      <c r="C119" s="2339"/>
      <c r="D119" s="455"/>
      <c r="E119" s="1656"/>
      <c r="G119" s="2338"/>
      <c r="H119" s="2424"/>
      <c r="I119" s="2339"/>
      <c r="J119" s="592"/>
      <c r="K119" s="1668"/>
      <c r="L119" s="2370"/>
      <c r="M119" s="1656"/>
      <c r="O119" s="1668"/>
      <c r="P119" s="340"/>
      <c r="Q119" s="1656"/>
      <c r="R119" s="592"/>
      <c r="S119" s="2341"/>
      <c r="V119" s="952"/>
      <c r="W119" s="2343"/>
      <c r="AA119" s="1668"/>
    </row>
    <row r="120" spans="1:27" s="457" customFormat="1" x14ac:dyDescent="0.25">
      <c r="A120" s="1656"/>
      <c r="B120" s="2394"/>
      <c r="C120" s="2339"/>
      <c r="D120" s="455"/>
      <c r="E120" s="1656"/>
      <c r="G120" s="2338"/>
      <c r="H120" s="2424"/>
      <c r="I120" s="2339"/>
      <c r="J120" s="592"/>
      <c r="K120" s="1668"/>
      <c r="L120" s="2370"/>
      <c r="M120" s="1656"/>
      <c r="O120" s="1668"/>
      <c r="P120" s="340"/>
      <c r="Q120" s="1656"/>
      <c r="R120" s="592"/>
      <c r="S120" s="2341"/>
      <c r="V120" s="952"/>
      <c r="W120" s="2343"/>
      <c r="AA120" s="1668"/>
    </row>
    <row r="121" spans="1:27" s="457" customFormat="1" x14ac:dyDescent="0.25">
      <c r="A121" s="1656"/>
      <c r="B121" s="2394"/>
      <c r="C121" s="2339"/>
      <c r="D121" s="455"/>
      <c r="E121" s="1656"/>
      <c r="G121" s="2338"/>
      <c r="H121" s="2424"/>
      <c r="I121" s="2339"/>
      <c r="J121" s="592"/>
      <c r="K121" s="1668"/>
      <c r="L121" s="2370"/>
      <c r="M121" s="1656"/>
      <c r="O121" s="1668"/>
      <c r="P121" s="340"/>
      <c r="Q121" s="1656"/>
      <c r="R121" s="592"/>
      <c r="S121" s="2341"/>
      <c r="V121" s="952"/>
      <c r="W121" s="2343"/>
      <c r="AA121" s="1668"/>
    </row>
    <row r="122" spans="1:27" s="457" customFormat="1" x14ac:dyDescent="0.25">
      <c r="A122" s="1656"/>
      <c r="B122" s="2394"/>
      <c r="C122" s="2339"/>
      <c r="D122" s="455"/>
      <c r="E122" s="1656"/>
      <c r="G122" s="2338"/>
      <c r="H122" s="2424"/>
      <c r="I122" s="2339"/>
      <c r="J122" s="592"/>
      <c r="K122" s="1668"/>
      <c r="L122" s="2370"/>
      <c r="M122" s="1656"/>
      <c r="O122" s="1668"/>
      <c r="P122" s="340"/>
      <c r="Q122" s="1656"/>
      <c r="R122" s="592"/>
      <c r="S122" s="2341"/>
      <c r="V122" s="952"/>
      <c r="W122" s="2343"/>
      <c r="AA122" s="1668"/>
    </row>
    <row r="123" spans="1:27" s="457" customFormat="1" x14ac:dyDescent="0.25">
      <c r="A123" s="1656"/>
      <c r="B123" s="2394"/>
      <c r="C123" s="2339"/>
      <c r="D123" s="455"/>
      <c r="E123" s="1656"/>
      <c r="G123" s="2338"/>
      <c r="H123" s="2424"/>
      <c r="I123" s="2339"/>
      <c r="J123" s="592"/>
      <c r="K123" s="1668"/>
      <c r="L123" s="2370"/>
      <c r="M123" s="1656"/>
      <c r="O123" s="1668"/>
      <c r="P123" s="340"/>
      <c r="Q123" s="1656"/>
      <c r="R123" s="592"/>
      <c r="S123" s="2341"/>
      <c r="V123" s="952"/>
      <c r="W123" s="2343"/>
      <c r="AA123" s="1668"/>
    </row>
    <row r="124" spans="1:27" s="457" customFormat="1" x14ac:dyDescent="0.25">
      <c r="A124" s="1656"/>
      <c r="B124" s="2394"/>
      <c r="C124" s="2339"/>
      <c r="D124" s="455"/>
      <c r="E124" s="1656"/>
      <c r="G124" s="2338"/>
      <c r="H124" s="2424"/>
      <c r="I124" s="2339"/>
      <c r="J124" s="592"/>
      <c r="K124" s="1668"/>
      <c r="L124" s="2370"/>
      <c r="M124" s="1656"/>
      <c r="O124" s="1668"/>
      <c r="P124" s="340"/>
      <c r="Q124" s="1656"/>
      <c r="R124" s="592"/>
      <c r="S124" s="2341"/>
      <c r="V124" s="952"/>
      <c r="W124" s="2343"/>
      <c r="AA124" s="1668"/>
    </row>
    <row r="125" spans="1:27" s="457" customFormat="1" x14ac:dyDescent="0.25">
      <c r="A125" s="1656"/>
      <c r="B125" s="2394"/>
      <c r="C125" s="2339"/>
      <c r="D125" s="455"/>
      <c r="E125" s="1656"/>
      <c r="G125" s="2338"/>
      <c r="H125" s="2424"/>
      <c r="I125" s="2339"/>
      <c r="J125" s="592"/>
      <c r="K125" s="1668"/>
      <c r="L125" s="2370"/>
      <c r="M125" s="1656"/>
      <c r="O125" s="1668"/>
      <c r="P125" s="340"/>
      <c r="Q125" s="1656"/>
      <c r="R125" s="592"/>
      <c r="S125" s="2341"/>
      <c r="V125" s="952"/>
      <c r="W125" s="2343"/>
      <c r="AA125" s="1668"/>
    </row>
    <row r="126" spans="1:27" s="457" customFormat="1" x14ac:dyDescent="0.25">
      <c r="A126" s="1656"/>
      <c r="B126" s="2394"/>
      <c r="C126" s="2339"/>
      <c r="D126" s="455"/>
      <c r="E126" s="1656"/>
      <c r="G126" s="2338"/>
      <c r="H126" s="2424"/>
      <c r="I126" s="2339"/>
      <c r="J126" s="592"/>
      <c r="K126" s="1668"/>
      <c r="L126" s="2370"/>
      <c r="M126" s="1656"/>
      <c r="O126" s="1668"/>
      <c r="P126" s="340"/>
      <c r="Q126" s="1656"/>
      <c r="R126" s="592"/>
      <c r="S126" s="2341"/>
      <c r="V126" s="952"/>
      <c r="W126" s="2343"/>
      <c r="AA126" s="1668"/>
    </row>
    <row r="127" spans="1:27" s="457" customFormat="1" x14ac:dyDescent="0.25">
      <c r="A127" s="1656"/>
      <c r="B127" s="2345"/>
      <c r="C127" s="1656"/>
      <c r="D127" s="340"/>
      <c r="E127" s="1656"/>
      <c r="G127" s="2338"/>
      <c r="H127" s="2424"/>
      <c r="I127" s="2339"/>
      <c r="J127" s="592"/>
      <c r="K127" s="1668"/>
      <c r="L127" s="2370"/>
      <c r="M127" s="1656"/>
      <c r="O127" s="1668"/>
      <c r="P127" s="340"/>
      <c r="Q127" s="1656"/>
      <c r="R127" s="592"/>
      <c r="S127" s="2341"/>
      <c r="V127" s="952"/>
      <c r="W127" s="2343"/>
      <c r="AA127" s="1668"/>
    </row>
    <row r="128" spans="1:27" s="457" customFormat="1" x14ac:dyDescent="0.25">
      <c r="A128" s="1656"/>
      <c r="B128" s="2345"/>
      <c r="C128" s="1656"/>
      <c r="D128" s="340"/>
      <c r="E128" s="1656"/>
      <c r="G128" s="2338"/>
      <c r="H128" s="2424"/>
      <c r="I128" s="2339"/>
      <c r="J128" s="592"/>
      <c r="K128" s="1668"/>
      <c r="L128" s="2370"/>
      <c r="M128" s="1656"/>
      <c r="O128" s="1668"/>
      <c r="P128" s="340"/>
      <c r="Q128" s="1656"/>
      <c r="R128" s="592"/>
      <c r="S128" s="2341"/>
      <c r="V128" s="952"/>
      <c r="W128" s="2343"/>
      <c r="AA128" s="1668"/>
    </row>
    <row r="129" spans="1:27" s="457" customFormat="1" x14ac:dyDescent="0.25">
      <c r="A129" s="1656"/>
      <c r="B129" s="2345"/>
      <c r="C129" s="1656"/>
      <c r="D129" s="340"/>
      <c r="E129" s="1656"/>
      <c r="G129" s="2338"/>
      <c r="H129" s="2424"/>
      <c r="I129" s="2339"/>
      <c r="J129" s="592"/>
      <c r="K129" s="1668"/>
      <c r="L129" s="2370"/>
      <c r="M129" s="1656"/>
      <c r="O129" s="1668"/>
      <c r="P129" s="340"/>
      <c r="Q129" s="1656"/>
      <c r="R129" s="592"/>
      <c r="S129" s="2341"/>
      <c r="V129" s="952"/>
      <c r="W129" s="2343"/>
      <c r="AA129" s="1668"/>
    </row>
    <row r="130" spans="1:27" s="457" customFormat="1" x14ac:dyDescent="0.25">
      <c r="A130" s="1656"/>
      <c r="B130" s="2345"/>
      <c r="C130" s="1656"/>
      <c r="D130" s="340"/>
      <c r="E130" s="1656"/>
      <c r="G130" s="2338"/>
      <c r="H130" s="2424"/>
      <c r="I130" s="2339"/>
      <c r="J130" s="592"/>
      <c r="K130" s="1668"/>
      <c r="L130" s="2370"/>
      <c r="M130" s="1656"/>
      <c r="O130" s="1668"/>
      <c r="P130" s="340"/>
      <c r="Q130" s="1656"/>
      <c r="R130" s="592"/>
      <c r="S130" s="2341"/>
      <c r="V130" s="952"/>
      <c r="W130" s="2343"/>
      <c r="AA130" s="1668"/>
    </row>
    <row r="131" spans="1:27" s="457" customFormat="1" x14ac:dyDescent="0.25">
      <c r="A131" s="1656"/>
      <c r="B131" s="2345"/>
      <c r="C131" s="1656"/>
      <c r="D131" s="340"/>
      <c r="E131" s="1656"/>
      <c r="G131" s="2338"/>
      <c r="H131" s="2424"/>
      <c r="I131" s="2339"/>
      <c r="J131" s="592"/>
      <c r="K131" s="1668"/>
      <c r="L131" s="2370"/>
      <c r="M131" s="1656"/>
      <c r="O131" s="1668"/>
      <c r="P131" s="340"/>
      <c r="Q131" s="1656"/>
      <c r="R131" s="592"/>
      <c r="S131" s="2341"/>
      <c r="V131" s="952"/>
      <c r="W131" s="2343"/>
      <c r="AA131" s="1668"/>
    </row>
  </sheetData>
  <sheetProtection password="E247" sheet="1" objects="1" scenarios="1"/>
  <mergeCells count="1">
    <mergeCell ref="B106:C107"/>
  </mergeCells>
  <pageMargins left="0.25" right="0.25" top="0.5" bottom="0.5" header="0.25" footer="0.25"/>
  <pageSetup paperSize="5" scale="69" orientation="portrait" r:id="rId1"/>
  <headerFooter>
    <oddHeader>&amp;L&amp;F</oddHeader>
    <oddFooter>&amp;R&amp;A</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155"/>
  <sheetViews>
    <sheetView topLeftCell="A19" zoomScale="115" zoomScaleNormal="115" workbookViewId="0">
      <pane xSplit="3765" ySplit="1080" activePane="bottomRight"/>
      <selection activeCell="S3" sqref="S3"/>
      <selection pane="topRight" activeCell="S19" sqref="S19"/>
      <selection pane="bottomLeft" activeCell="A92" sqref="A92"/>
      <selection pane="bottomRight" activeCell="D12" sqref="D12"/>
    </sheetView>
  </sheetViews>
  <sheetFormatPr defaultRowHeight="15" x14ac:dyDescent="0.25"/>
  <cols>
    <col min="1" max="1" width="8.5703125" style="37" customWidth="1"/>
    <col min="2" max="2" width="18.42578125" style="2" customWidth="1"/>
    <col min="3" max="3" width="16" style="3" customWidth="1"/>
    <col min="4" max="4" width="53.42578125" style="30" customWidth="1"/>
    <col min="5" max="5" width="16" style="2" customWidth="1"/>
    <col min="6" max="6" width="32.5703125" style="2" customWidth="1"/>
    <col min="7" max="7" width="16" style="2" customWidth="1"/>
    <col min="8" max="8" width="40.42578125" style="2" bestFit="1" customWidth="1"/>
    <col min="9" max="9" width="16" style="156" customWidth="1"/>
    <col min="10" max="10" width="26.7109375" style="2" bestFit="1" customWidth="1"/>
    <col min="11" max="11" width="16" style="2" customWidth="1"/>
    <col min="12" max="12" width="40.42578125" style="2" bestFit="1" customWidth="1"/>
    <col min="13" max="13" width="16" style="2" customWidth="1"/>
    <col min="14" max="14" width="26.7109375" style="2" bestFit="1" customWidth="1"/>
    <col min="15" max="15" width="16" style="2" customWidth="1"/>
    <col min="16" max="16" width="40.42578125" style="2" bestFit="1" customWidth="1"/>
    <col min="17" max="17" width="16" style="2" customWidth="1"/>
    <col min="18" max="18" width="54.140625" style="2" bestFit="1" customWidth="1"/>
    <col min="19" max="19" width="16" style="156" customWidth="1"/>
    <col min="20" max="20" width="47.5703125" style="2" bestFit="1" customWidth="1"/>
    <col min="21" max="21" width="16" style="2" customWidth="1"/>
    <col min="22" max="22" width="47.5703125" style="2" bestFit="1" customWidth="1"/>
    <col min="23" max="23" width="16" style="156" customWidth="1"/>
    <col min="24" max="24" width="47.5703125" style="2" bestFit="1" customWidth="1"/>
    <col min="25" max="25" width="16" style="2" customWidth="1"/>
    <col min="26" max="26" width="26.7109375" style="2" bestFit="1" customWidth="1"/>
    <col min="27" max="27" width="16" style="2" customWidth="1"/>
    <col min="28" max="28" width="47.5703125" style="2" bestFit="1" customWidth="1"/>
    <col min="29" max="29" width="4.140625" style="108" customWidth="1"/>
    <col min="30" max="30" width="8.5703125" style="37" customWidth="1"/>
    <col min="31" max="31" width="18.28515625" style="2" customWidth="1"/>
    <col min="32" max="32" width="16" style="2" customWidth="1"/>
    <col min="33" max="33" width="37.140625" style="2" bestFit="1" customWidth="1"/>
    <col min="34" max="34" width="23.85546875" style="2" bestFit="1" customWidth="1"/>
    <col min="35" max="16384" width="9.140625" style="2"/>
  </cols>
  <sheetData>
    <row r="1" spans="1:32" x14ac:dyDescent="0.25">
      <c r="A1" s="37" t="s">
        <v>61</v>
      </c>
      <c r="B1" s="17" t="s">
        <v>60</v>
      </c>
      <c r="C1" s="237"/>
      <c r="D1" s="238" t="s">
        <v>59</v>
      </c>
      <c r="E1" s="239">
        <v>3010</v>
      </c>
      <c r="AD1" s="240"/>
      <c r="AE1" s="36"/>
    </row>
    <row r="2" spans="1:32" x14ac:dyDescent="0.25">
      <c r="A2" s="37" t="s">
        <v>58</v>
      </c>
      <c r="B2" s="17" t="s">
        <v>57</v>
      </c>
      <c r="C2" s="237"/>
      <c r="AE2" s="36"/>
    </row>
    <row r="3" spans="1:32" ht="5.25" customHeight="1" x14ac:dyDescent="0.25"/>
    <row r="4" spans="1:32" ht="5.25" customHeight="1" x14ac:dyDescent="0.25"/>
    <row r="5" spans="1:32" ht="5.25" customHeight="1" x14ac:dyDescent="0.25"/>
    <row r="6" spans="1:32" s="242" customFormat="1" ht="15.75" x14ac:dyDescent="0.25">
      <c r="A6" s="343" t="s">
        <v>55</v>
      </c>
      <c r="B6" s="343"/>
      <c r="C6" s="343"/>
      <c r="D6" s="343"/>
      <c r="E6" s="343" t="s">
        <v>55</v>
      </c>
      <c r="F6" s="343"/>
      <c r="G6" s="343"/>
      <c r="H6" s="2568" t="s">
        <v>55</v>
      </c>
      <c r="I6" s="2568"/>
      <c r="J6" s="2568"/>
      <c r="K6" s="2568"/>
      <c r="L6" s="2568"/>
      <c r="M6" s="2568"/>
      <c r="N6" s="2568"/>
      <c r="O6" s="2568" t="s">
        <v>55</v>
      </c>
      <c r="P6" s="2568"/>
      <c r="Q6" s="2568"/>
      <c r="R6" s="2568"/>
      <c r="S6" s="2568"/>
      <c r="T6" s="2568"/>
      <c r="U6" s="2568"/>
      <c r="V6" s="2568" t="s">
        <v>55</v>
      </c>
      <c r="W6" s="2568"/>
      <c r="X6" s="2568"/>
      <c r="Y6" s="2568"/>
      <c r="Z6" s="2568"/>
      <c r="AA6" s="2568"/>
      <c r="AB6" s="2568"/>
      <c r="AC6" s="241"/>
      <c r="AF6" s="243" t="s">
        <v>55</v>
      </c>
    </row>
    <row r="7" spans="1:32" x14ac:dyDescent="0.25">
      <c r="A7" s="125" t="s">
        <v>54</v>
      </c>
      <c r="C7" s="3">
        <v>0</v>
      </c>
      <c r="AD7" s="125" t="str">
        <f>A7</f>
        <v>Beginning Balance</v>
      </c>
      <c r="AF7" s="2">
        <f>C7</f>
        <v>0</v>
      </c>
    </row>
    <row r="8" spans="1:32" x14ac:dyDescent="0.25">
      <c r="D8" s="37" t="s">
        <v>113</v>
      </c>
      <c r="E8" s="3">
        <v>1962443</v>
      </c>
      <c r="G8" s="37" t="s">
        <v>112</v>
      </c>
    </row>
    <row r="9" spans="1:32" x14ac:dyDescent="0.25">
      <c r="A9" s="37" t="s">
        <v>52</v>
      </c>
      <c r="B9" s="2" t="s">
        <v>53</v>
      </c>
      <c r="C9" s="3">
        <f>+E10</f>
        <v>1668077</v>
      </c>
      <c r="D9" s="37" t="s">
        <v>111</v>
      </c>
      <c r="E9" s="2">
        <f>ROUND(+E8*0.15,0)</f>
        <v>294366</v>
      </c>
      <c r="F9" s="128" t="s">
        <v>62</v>
      </c>
      <c r="G9" s="2">
        <v>400423.37</v>
      </c>
      <c r="AD9" s="125" t="str">
        <f>A9</f>
        <v>Revenue</v>
      </c>
      <c r="AE9" s="2" t="str">
        <f>B9</f>
        <v xml:space="preserve">Current Year </v>
      </c>
      <c r="AF9" s="2">
        <f>C9</f>
        <v>1668077</v>
      </c>
    </row>
    <row r="10" spans="1:32" x14ac:dyDescent="0.25">
      <c r="B10" s="2" t="s">
        <v>51</v>
      </c>
      <c r="C10" s="3">
        <v>1062358.3700000001</v>
      </c>
      <c r="E10" s="155">
        <f>+E8-E9</f>
        <v>1668077</v>
      </c>
      <c r="F10" s="128" t="s">
        <v>62</v>
      </c>
      <c r="G10" s="2">
        <v>449954</v>
      </c>
      <c r="AE10" s="2" t="str">
        <f>B10</f>
        <v>Prior Carryover</v>
      </c>
      <c r="AF10" s="2">
        <f>C10</f>
        <v>1062358.3700000001</v>
      </c>
    </row>
    <row r="11" spans="1:32" x14ac:dyDescent="0.25">
      <c r="A11" s="125" t="s">
        <v>137</v>
      </c>
      <c r="C11" s="24">
        <f>SUM(C9:C10)</f>
        <v>2730435.37</v>
      </c>
      <c r="F11" s="128" t="s">
        <v>63</v>
      </c>
      <c r="G11" s="17">
        <v>211981</v>
      </c>
      <c r="AD11" s="125" t="str">
        <f>A11</f>
        <v>TOTAL REVENUE</v>
      </c>
      <c r="AF11" s="8">
        <f>SUM(AF9:AF10)</f>
        <v>2730435.37</v>
      </c>
    </row>
    <row r="12" spans="1:32" x14ac:dyDescent="0.25">
      <c r="E12" s="2">
        <f>+E8*0.1</f>
        <v>196244.30000000002</v>
      </c>
      <c r="F12" s="128"/>
      <c r="G12" s="10">
        <f>SUM(G9:G11)</f>
        <v>1062358.3700000001</v>
      </c>
    </row>
    <row r="13" spans="1:32" x14ac:dyDescent="0.25">
      <c r="A13" s="128">
        <v>3.6999999999999998E-2</v>
      </c>
      <c r="B13" s="2" t="s">
        <v>64</v>
      </c>
      <c r="C13" s="3">
        <f>ROUND(C11-(C11/(1+A13)),0)</f>
        <v>97422</v>
      </c>
      <c r="AD13" s="52">
        <f>A13</f>
        <v>3.6999999999999998E-2</v>
      </c>
      <c r="AE13" s="10" t="str">
        <f>B13</f>
        <v>Indirect Costs</v>
      </c>
      <c r="AF13" s="10">
        <f>C13</f>
        <v>97422</v>
      </c>
    </row>
    <row r="15" spans="1:32" x14ac:dyDescent="0.25">
      <c r="A15" s="125" t="s">
        <v>50</v>
      </c>
      <c r="C15" s="9">
        <f>SUM(C7,C11)-C13</f>
        <v>2633013.37</v>
      </c>
      <c r="D15" s="33"/>
      <c r="AD15" s="125" t="str">
        <f>A15</f>
        <v xml:space="preserve">TOTAL AVAILABLE </v>
      </c>
      <c r="AF15" s="10">
        <f>AF11-AF13</f>
        <v>2633013.37</v>
      </c>
    </row>
    <row r="16" spans="1:32" x14ac:dyDescent="0.25">
      <c r="D16" s="244"/>
    </row>
    <row r="17" spans="1:33" x14ac:dyDescent="0.25">
      <c r="B17" s="37" t="s">
        <v>98</v>
      </c>
      <c r="C17" s="279">
        <v>42848</v>
      </c>
      <c r="D17" s="32"/>
      <c r="AE17" s="37"/>
    </row>
    <row r="18" spans="1:33" x14ac:dyDescent="0.25">
      <c r="C18" s="9" t="s">
        <v>710</v>
      </c>
      <c r="D18" s="32"/>
      <c r="E18" s="9" t="s">
        <v>710</v>
      </c>
      <c r="F18" s="32"/>
      <c r="G18" s="9" t="s">
        <v>710</v>
      </c>
      <c r="H18" s="32"/>
      <c r="I18" s="802" t="s">
        <v>710</v>
      </c>
      <c r="J18" s="32"/>
      <c r="K18" s="9" t="s">
        <v>710</v>
      </c>
      <c r="L18" s="32"/>
      <c r="M18" s="9" t="s">
        <v>710</v>
      </c>
      <c r="N18" s="32"/>
      <c r="O18" s="9" t="s">
        <v>710</v>
      </c>
      <c r="P18" s="32"/>
      <c r="Q18" s="9" t="s">
        <v>710</v>
      </c>
      <c r="R18" s="32"/>
      <c r="S18" s="802" t="s">
        <v>710</v>
      </c>
      <c r="T18" s="32"/>
      <c r="U18" s="9" t="s">
        <v>710</v>
      </c>
      <c r="V18" s="32"/>
      <c r="W18" s="802" t="s">
        <v>710</v>
      </c>
      <c r="X18" s="32"/>
      <c r="Y18" s="9" t="s">
        <v>710</v>
      </c>
      <c r="Z18" s="32"/>
      <c r="AA18" s="9" t="s">
        <v>710</v>
      </c>
      <c r="AB18" s="32"/>
      <c r="AC18" s="32"/>
      <c r="AF18" s="32"/>
      <c r="AG18" s="32"/>
    </row>
    <row r="19" spans="1:33" ht="17.25" x14ac:dyDescent="0.4">
      <c r="C19" s="35" t="s">
        <v>75</v>
      </c>
      <c r="D19" s="34" t="s">
        <v>47</v>
      </c>
      <c r="E19" s="35" t="s">
        <v>99</v>
      </c>
      <c r="F19" s="34" t="s">
        <v>47</v>
      </c>
      <c r="G19" s="35" t="s">
        <v>100</v>
      </c>
      <c r="H19" s="34" t="s">
        <v>47</v>
      </c>
      <c r="I19" s="803" t="s">
        <v>101</v>
      </c>
      <c r="J19" s="34" t="s">
        <v>47</v>
      </c>
      <c r="K19" s="35" t="s">
        <v>102</v>
      </c>
      <c r="L19" s="34" t="s">
        <v>47</v>
      </c>
      <c r="M19" s="35" t="s">
        <v>103</v>
      </c>
      <c r="N19" s="34" t="s">
        <v>47</v>
      </c>
      <c r="O19" s="35" t="s">
        <v>200</v>
      </c>
      <c r="P19" s="34" t="s">
        <v>47</v>
      </c>
      <c r="Q19" s="35" t="s">
        <v>201</v>
      </c>
      <c r="R19" s="34" t="s">
        <v>47</v>
      </c>
      <c r="S19" s="803" t="s">
        <v>106</v>
      </c>
      <c r="T19" s="34" t="s">
        <v>47</v>
      </c>
      <c r="U19" s="35" t="s">
        <v>107</v>
      </c>
      <c r="V19" s="34" t="s">
        <v>47</v>
      </c>
      <c r="W19" s="803" t="s">
        <v>108</v>
      </c>
      <c r="X19" s="34" t="s">
        <v>47</v>
      </c>
      <c r="Y19" s="35" t="s">
        <v>109</v>
      </c>
      <c r="Z19" s="34" t="s">
        <v>47</v>
      </c>
      <c r="AA19" s="35" t="s">
        <v>110</v>
      </c>
      <c r="AB19" s="34" t="s">
        <v>47</v>
      </c>
      <c r="AC19" s="79"/>
      <c r="AF19" s="35" t="s">
        <v>118</v>
      </c>
      <c r="AG19" s="34"/>
    </row>
    <row r="20" spans="1:33" s="10" customFormat="1" x14ac:dyDescent="0.25">
      <c r="A20" s="125" t="s">
        <v>46</v>
      </c>
      <c r="D20" s="33"/>
      <c r="F20" s="6"/>
      <c r="H20" s="6"/>
      <c r="I20" s="610"/>
      <c r="J20" s="6"/>
      <c r="L20" s="6"/>
      <c r="N20" s="6"/>
      <c r="P20" s="6"/>
      <c r="R20" s="6"/>
      <c r="S20" s="610"/>
      <c r="T20" s="6"/>
      <c r="V20" s="6"/>
      <c r="W20" s="610"/>
      <c r="X20" s="6"/>
      <c r="Z20" s="6"/>
      <c r="AB20" s="6"/>
      <c r="AC20" s="57"/>
      <c r="AD20" s="125" t="str">
        <f t="shared" ref="AD20:AD28" si="0">A20</f>
        <v xml:space="preserve">Certificated </v>
      </c>
    </row>
    <row r="21" spans="1:33" s="114" customFormat="1" x14ac:dyDescent="0.25">
      <c r="A21" s="245" t="s">
        <v>65</v>
      </c>
      <c r="B21" s="114" t="s">
        <v>66</v>
      </c>
      <c r="C21" s="117">
        <v>0</v>
      </c>
      <c r="D21" s="835" t="s">
        <v>750</v>
      </c>
      <c r="E21" s="117">
        <v>2000</v>
      </c>
      <c r="F21" s="117"/>
      <c r="G21" s="117">
        <v>1000</v>
      </c>
      <c r="H21" s="117"/>
      <c r="I21" s="804">
        <v>7313</v>
      </c>
      <c r="J21" s="117"/>
      <c r="K21" s="117">
        <f>+K138+3657</f>
        <v>11657</v>
      </c>
      <c r="L21" s="117"/>
      <c r="M21" s="117">
        <v>2600</v>
      </c>
      <c r="N21" s="117"/>
      <c r="O21" s="117">
        <v>9657</v>
      </c>
      <c r="P21" s="117"/>
      <c r="Q21" s="117">
        <f>4307+Q138</f>
        <v>7307</v>
      </c>
      <c r="R21" s="117"/>
      <c r="S21" s="804">
        <v>8207</v>
      </c>
      <c r="T21" s="117"/>
      <c r="U21" s="117">
        <v>3605</v>
      </c>
      <c r="V21" s="117"/>
      <c r="W21" s="804">
        <v>4662</v>
      </c>
      <c r="X21" s="117"/>
      <c r="Y21" s="117">
        <v>7800</v>
      </c>
      <c r="Z21" s="117"/>
      <c r="AA21" s="117">
        <v>8778</v>
      </c>
      <c r="AB21" s="117"/>
      <c r="AC21" s="118"/>
      <c r="AD21" s="245" t="str">
        <f t="shared" si="0"/>
        <v>1110</v>
      </c>
      <c r="AE21" s="114" t="str">
        <f t="shared" ref="AE21:AE28" si="1">B21</f>
        <v>Intervention Tchr.</v>
      </c>
      <c r="AF21" s="114">
        <f>SUM(C21,E21,G21,I21,K21,M21,O21,Q21,S21,U21,W21,Y21,AA21)</f>
        <v>74586</v>
      </c>
    </row>
    <row r="22" spans="1:33" s="114" customFormat="1" x14ac:dyDescent="0.25">
      <c r="A22" s="245" t="s">
        <v>45</v>
      </c>
      <c r="B22" s="114" t="s">
        <v>752</v>
      </c>
      <c r="C22" s="113">
        <v>9089</v>
      </c>
      <c r="D22" s="835" t="s">
        <v>751</v>
      </c>
      <c r="E22" s="114">
        <v>0</v>
      </c>
      <c r="F22" s="115"/>
      <c r="G22" s="114">
        <v>0</v>
      </c>
      <c r="H22" s="115"/>
      <c r="I22" s="805">
        <v>0</v>
      </c>
      <c r="J22" s="115"/>
      <c r="K22" s="114">
        <v>0</v>
      </c>
      <c r="L22" s="115"/>
      <c r="M22" s="114">
        <v>1050</v>
      </c>
      <c r="N22" s="115"/>
      <c r="O22" s="114">
        <v>0</v>
      </c>
      <c r="P22" s="115"/>
      <c r="Q22" s="114">
        <v>0</v>
      </c>
      <c r="R22" s="115"/>
      <c r="S22" s="805">
        <v>150</v>
      </c>
      <c r="T22" s="115"/>
      <c r="U22" s="114">
        <v>0</v>
      </c>
      <c r="V22" s="115"/>
      <c r="W22" s="805">
        <v>0</v>
      </c>
      <c r="X22" s="115"/>
      <c r="Y22" s="114">
        <v>0</v>
      </c>
      <c r="Z22" s="115"/>
      <c r="AA22" s="114">
        <v>0</v>
      </c>
      <c r="AB22" s="115"/>
      <c r="AC22" s="116"/>
      <c r="AD22" s="245" t="str">
        <f t="shared" si="0"/>
        <v>1112</v>
      </c>
      <c r="AE22" s="114" t="str">
        <f t="shared" si="1"/>
        <v>Supplemental Tchr./Extra Duty/Training</v>
      </c>
      <c r="AF22" s="114">
        <f t="shared" ref="AF22:AF28" si="2">SUM(C22,E22,G22,I22,K22,M22,O22,Q22,S22,U22,W22,Y22,AA22)</f>
        <v>10289</v>
      </c>
    </row>
    <row r="23" spans="1:33" s="114" customFormat="1" x14ac:dyDescent="0.25">
      <c r="A23" s="245" t="s">
        <v>43</v>
      </c>
      <c r="B23" s="114" t="s">
        <v>42</v>
      </c>
      <c r="C23" s="113">
        <v>69521</v>
      </c>
      <c r="D23" s="246"/>
      <c r="E23" s="114">
        <v>2500</v>
      </c>
      <c r="F23" s="115"/>
      <c r="G23" s="114">
        <v>4175</v>
      </c>
      <c r="H23" s="115"/>
      <c r="I23" s="805">
        <v>12600</v>
      </c>
      <c r="J23" s="115"/>
      <c r="K23" s="114">
        <v>9672</v>
      </c>
      <c r="L23" s="115"/>
      <c r="M23" s="114">
        <v>9310</v>
      </c>
      <c r="N23" s="115"/>
      <c r="O23" s="114">
        <v>1050</v>
      </c>
      <c r="P23" s="115"/>
      <c r="Q23" s="114">
        <v>4340</v>
      </c>
      <c r="R23" s="115"/>
      <c r="S23" s="805">
        <v>6591</v>
      </c>
      <c r="T23" s="115"/>
      <c r="U23" s="114">
        <v>7280</v>
      </c>
      <c r="V23" s="115"/>
      <c r="W23" s="805">
        <v>3310</v>
      </c>
      <c r="X23" s="115"/>
      <c r="Y23" s="114">
        <v>6300</v>
      </c>
      <c r="Z23" s="115"/>
      <c r="AA23" s="114">
        <v>10000</v>
      </c>
      <c r="AB23" s="115"/>
      <c r="AC23" s="116"/>
      <c r="AD23" s="245" t="str">
        <f t="shared" si="0"/>
        <v>1181</v>
      </c>
      <c r="AE23" s="114" t="str">
        <f t="shared" si="1"/>
        <v>Subs</v>
      </c>
      <c r="AF23" s="114">
        <f t="shared" si="2"/>
        <v>146649</v>
      </c>
    </row>
    <row r="24" spans="1:33" s="114" customFormat="1" ht="30" x14ac:dyDescent="0.25">
      <c r="A24" s="245" t="s">
        <v>41</v>
      </c>
      <c r="B24" s="114" t="s">
        <v>40</v>
      </c>
      <c r="C24" s="113">
        <v>250203</v>
      </c>
      <c r="D24" s="247" t="s">
        <v>205</v>
      </c>
      <c r="E24" s="114">
        <v>0</v>
      </c>
      <c r="F24" s="115"/>
      <c r="G24" s="114">
        <v>0</v>
      </c>
      <c r="H24" s="115"/>
      <c r="I24" s="805">
        <v>0</v>
      </c>
      <c r="J24" s="115"/>
      <c r="K24" s="114">
        <v>0</v>
      </c>
      <c r="L24" s="115"/>
      <c r="M24" s="114">
        <v>0</v>
      </c>
      <c r="N24" s="115"/>
      <c r="O24" s="114">
        <v>0</v>
      </c>
      <c r="P24" s="115"/>
      <c r="Q24" s="114">
        <v>0</v>
      </c>
      <c r="R24" s="115"/>
      <c r="S24" s="805">
        <v>0</v>
      </c>
      <c r="T24" s="115"/>
      <c r="U24" s="114">
        <v>0</v>
      </c>
      <c r="V24" s="115"/>
      <c r="W24" s="805">
        <v>0</v>
      </c>
      <c r="X24" s="115"/>
      <c r="Y24" s="114">
        <v>0</v>
      </c>
      <c r="Z24" s="115"/>
      <c r="AA24" s="114">
        <v>0</v>
      </c>
      <c r="AB24" s="115"/>
      <c r="AC24" s="116"/>
      <c r="AD24" s="245" t="str">
        <f t="shared" si="0"/>
        <v>1204</v>
      </c>
      <c r="AE24" s="114" t="str">
        <f t="shared" si="1"/>
        <v>Counselor</v>
      </c>
      <c r="AF24" s="114">
        <f t="shared" si="2"/>
        <v>250203</v>
      </c>
    </row>
    <row r="25" spans="1:33" s="114" customFormat="1" x14ac:dyDescent="0.25">
      <c r="A25" s="245" t="s">
        <v>67</v>
      </c>
      <c r="B25" s="114" t="s">
        <v>68</v>
      </c>
      <c r="C25" s="113">
        <v>0</v>
      </c>
      <c r="E25" s="114">
        <v>500</v>
      </c>
      <c r="F25" s="115"/>
      <c r="G25" s="114">
        <v>0</v>
      </c>
      <c r="H25" s="115"/>
      <c r="I25" s="805">
        <v>457</v>
      </c>
      <c r="J25" s="115"/>
      <c r="K25" s="114">
        <v>0</v>
      </c>
      <c r="L25" s="115"/>
      <c r="M25" s="114">
        <v>0</v>
      </c>
      <c r="N25" s="115"/>
      <c r="O25" s="114">
        <v>0</v>
      </c>
      <c r="P25" s="115"/>
      <c r="Q25" s="114">
        <v>863</v>
      </c>
      <c r="R25" s="115"/>
      <c r="S25" s="805">
        <v>0</v>
      </c>
      <c r="T25" s="115"/>
      <c r="U25" s="114">
        <v>0</v>
      </c>
      <c r="V25" s="115"/>
      <c r="W25" s="805">
        <v>609</v>
      </c>
      <c r="X25" s="115"/>
      <c r="Y25" s="114">
        <v>0</v>
      </c>
      <c r="Z25" s="115"/>
      <c r="AA25" s="114">
        <v>1016</v>
      </c>
      <c r="AB25" s="115"/>
      <c r="AC25" s="116"/>
      <c r="AD25" s="245" t="str">
        <f t="shared" si="0"/>
        <v>1208</v>
      </c>
      <c r="AE25" s="114" t="str">
        <f t="shared" si="1"/>
        <v>Parent Instruction</v>
      </c>
      <c r="AF25" s="114">
        <f t="shared" si="2"/>
        <v>3445</v>
      </c>
    </row>
    <row r="26" spans="1:33" s="114" customFormat="1" x14ac:dyDescent="0.25">
      <c r="A26" s="245" t="s">
        <v>39</v>
      </c>
      <c r="B26" s="114" t="s">
        <v>38</v>
      </c>
      <c r="C26" s="113">
        <v>60345</v>
      </c>
      <c r="D26" s="115" t="s">
        <v>116</v>
      </c>
      <c r="E26" s="114">
        <v>0</v>
      </c>
      <c r="F26" s="115"/>
      <c r="G26" s="114">
        <v>0</v>
      </c>
      <c r="H26" s="115"/>
      <c r="I26" s="805">
        <v>0</v>
      </c>
      <c r="J26" s="115"/>
      <c r="K26" s="114">
        <v>0</v>
      </c>
      <c r="L26" s="115"/>
      <c r="M26" s="114">
        <v>0</v>
      </c>
      <c r="N26" s="115"/>
      <c r="O26" s="114">
        <v>0</v>
      </c>
      <c r="P26" s="115"/>
      <c r="Q26" s="114">
        <v>0</v>
      </c>
      <c r="R26" s="115"/>
      <c r="S26" s="805">
        <v>0</v>
      </c>
      <c r="T26" s="115"/>
      <c r="U26" s="114">
        <v>0</v>
      </c>
      <c r="V26" s="115"/>
      <c r="W26" s="805">
        <v>0</v>
      </c>
      <c r="X26" s="115"/>
      <c r="Y26" s="114">
        <v>0</v>
      </c>
      <c r="Z26" s="115"/>
      <c r="AA26" s="114">
        <v>0</v>
      </c>
      <c r="AB26" s="115"/>
      <c r="AC26" s="116"/>
      <c r="AD26" s="245" t="str">
        <f t="shared" si="0"/>
        <v>1305</v>
      </c>
      <c r="AE26" s="114" t="str">
        <f t="shared" si="1"/>
        <v>Director</v>
      </c>
      <c r="AF26" s="114">
        <f t="shared" si="2"/>
        <v>60345</v>
      </c>
    </row>
    <row r="27" spans="1:33" s="114" customFormat="1" ht="75" x14ac:dyDescent="0.25">
      <c r="A27" s="245" t="s">
        <v>37</v>
      </c>
      <c r="B27" s="114" t="s">
        <v>36</v>
      </c>
      <c r="C27" s="117">
        <v>499600</v>
      </c>
      <c r="D27" s="247" t="s">
        <v>206</v>
      </c>
      <c r="E27" s="115">
        <v>0</v>
      </c>
      <c r="F27" s="115"/>
      <c r="G27" s="115">
        <v>0</v>
      </c>
      <c r="H27" s="115"/>
      <c r="I27" s="806">
        <v>0</v>
      </c>
      <c r="J27" s="115"/>
      <c r="K27" s="115">
        <v>0</v>
      </c>
      <c r="L27" s="115"/>
      <c r="M27" s="115">
        <v>0</v>
      </c>
      <c r="N27" s="115"/>
      <c r="O27" s="115">
        <v>0</v>
      </c>
      <c r="P27" s="115"/>
      <c r="Q27" s="115">
        <v>0</v>
      </c>
      <c r="R27" s="115"/>
      <c r="S27" s="806">
        <v>0</v>
      </c>
      <c r="T27" s="115"/>
      <c r="U27" s="115">
        <v>0</v>
      </c>
      <c r="V27" s="115"/>
      <c r="W27" s="806">
        <v>0</v>
      </c>
      <c r="X27" s="115"/>
      <c r="Y27" s="115">
        <v>0</v>
      </c>
      <c r="Z27" s="115"/>
      <c r="AA27" s="115">
        <v>0</v>
      </c>
      <c r="AB27" s="115"/>
      <c r="AC27" s="116"/>
      <c r="AD27" s="245" t="str">
        <f t="shared" si="0"/>
        <v>1901</v>
      </c>
      <c r="AE27" s="114" t="str">
        <f t="shared" si="1"/>
        <v>Inst. Coaches</v>
      </c>
      <c r="AF27" s="114">
        <f>SUM(C27,E27,G27,I27,K27,M27,O27,Q27,S27,U27,W27,Y27,AA27)</f>
        <v>499600</v>
      </c>
    </row>
    <row r="28" spans="1:33" x14ac:dyDescent="0.25">
      <c r="A28" s="128" t="s">
        <v>203</v>
      </c>
      <c r="B28" s="2" t="s">
        <v>204</v>
      </c>
      <c r="C28" s="25">
        <f>+C132</f>
        <v>10000</v>
      </c>
      <c r="E28" s="36">
        <v>0</v>
      </c>
      <c r="F28" s="36"/>
      <c r="G28" s="36">
        <v>0</v>
      </c>
      <c r="H28" s="36"/>
      <c r="I28" s="807">
        <v>0</v>
      </c>
      <c r="J28" s="36"/>
      <c r="K28" s="36">
        <v>0</v>
      </c>
      <c r="L28" s="36"/>
      <c r="M28" s="36">
        <v>0</v>
      </c>
      <c r="N28" s="36"/>
      <c r="O28" s="36">
        <v>0</v>
      </c>
      <c r="P28" s="36"/>
      <c r="Q28" s="36">
        <v>0</v>
      </c>
      <c r="R28" s="36"/>
      <c r="S28" s="807">
        <v>0</v>
      </c>
      <c r="T28" s="36"/>
      <c r="U28" s="36">
        <v>0</v>
      </c>
      <c r="V28" s="36"/>
      <c r="W28" s="807">
        <v>0</v>
      </c>
      <c r="X28" s="36"/>
      <c r="Y28" s="36">
        <v>0</v>
      </c>
      <c r="Z28" s="36"/>
      <c r="AA28" s="36">
        <v>0</v>
      </c>
      <c r="AB28" s="36"/>
      <c r="AC28" s="66"/>
      <c r="AD28" s="128" t="str">
        <f t="shared" si="0"/>
        <v>1923</v>
      </c>
      <c r="AE28" s="2" t="str">
        <f t="shared" si="1"/>
        <v>Mentors</v>
      </c>
      <c r="AF28" s="2">
        <f t="shared" si="2"/>
        <v>10000</v>
      </c>
    </row>
    <row r="29" spans="1:33" ht="6.75" customHeight="1" x14ac:dyDescent="0.25">
      <c r="A29" s="128"/>
      <c r="C29" s="25"/>
      <c r="E29" s="36"/>
      <c r="F29" s="36"/>
      <c r="G29" s="36"/>
      <c r="H29" s="36"/>
      <c r="I29" s="807"/>
      <c r="J29" s="36"/>
      <c r="K29" s="36"/>
      <c r="L29" s="36"/>
      <c r="M29" s="36"/>
      <c r="N29" s="36"/>
      <c r="O29" s="36"/>
      <c r="P29" s="36"/>
      <c r="Q29" s="36"/>
      <c r="R29" s="36"/>
      <c r="S29" s="807"/>
      <c r="T29" s="36"/>
      <c r="U29" s="36"/>
      <c r="V29" s="36"/>
      <c r="W29" s="807"/>
      <c r="X29" s="36"/>
      <c r="Y29" s="36"/>
      <c r="Z29" s="36"/>
      <c r="AA29" s="36"/>
      <c r="AB29" s="36"/>
      <c r="AC29" s="66"/>
      <c r="AD29" s="128"/>
    </row>
    <row r="30" spans="1:33" x14ac:dyDescent="0.25">
      <c r="A30" s="128"/>
      <c r="C30" s="8">
        <f>SUM(C21:C29)</f>
        <v>898758</v>
      </c>
      <c r="D30" s="2"/>
      <c r="E30" s="8">
        <f>SUM(E21:E29)</f>
        <v>5000</v>
      </c>
      <c r="F30" s="5"/>
      <c r="G30" s="8">
        <f>SUM(G21:G29)</f>
        <v>5175</v>
      </c>
      <c r="H30" s="5"/>
      <c r="I30" s="808">
        <f>SUM(I21:I29)</f>
        <v>20370</v>
      </c>
      <c r="J30" s="5"/>
      <c r="K30" s="8">
        <f>SUM(K21:K29)</f>
        <v>21329</v>
      </c>
      <c r="L30" s="5"/>
      <c r="M30" s="8">
        <f>SUM(M21:M29)</f>
        <v>12960</v>
      </c>
      <c r="N30" s="5"/>
      <c r="O30" s="8">
        <f>SUM(O21:O29)</f>
        <v>10707</v>
      </c>
      <c r="P30" s="5"/>
      <c r="Q30" s="8">
        <f>SUM(Q21:Q29)</f>
        <v>12510</v>
      </c>
      <c r="R30" s="5"/>
      <c r="S30" s="808">
        <f>SUM(S21:S29)</f>
        <v>14948</v>
      </c>
      <c r="T30" s="5"/>
      <c r="U30" s="8">
        <f>SUM(U21:U29)</f>
        <v>10885</v>
      </c>
      <c r="V30" s="5"/>
      <c r="W30" s="808">
        <f>SUM(W21:W29)</f>
        <v>8581</v>
      </c>
      <c r="X30" s="5"/>
      <c r="Y30" s="8">
        <f>SUM(Y21:Y29)</f>
        <v>14100</v>
      </c>
      <c r="Z30" s="5"/>
      <c r="AA30" s="8">
        <f>SUM(AA21:AA29)</f>
        <v>19794</v>
      </c>
      <c r="AB30" s="5"/>
      <c r="AC30" s="29"/>
      <c r="AD30" s="128"/>
      <c r="AF30" s="8">
        <f>SUM(AF21:AF29)</f>
        <v>1055117</v>
      </c>
    </row>
    <row r="31" spans="1:33" x14ac:dyDescent="0.25">
      <c r="D31" s="2"/>
      <c r="F31" s="36"/>
      <c r="H31" s="36"/>
      <c r="J31" s="36"/>
      <c r="L31" s="36"/>
      <c r="N31" s="36"/>
      <c r="P31" s="36"/>
      <c r="R31" s="36"/>
      <c r="T31" s="36"/>
      <c r="V31" s="36"/>
      <c r="X31" s="36"/>
      <c r="Z31" s="36"/>
      <c r="AB31" s="36"/>
      <c r="AC31" s="66"/>
    </row>
    <row r="32" spans="1:33" s="6" customFormat="1" x14ac:dyDescent="0.25">
      <c r="A32" s="33" t="s">
        <v>35</v>
      </c>
      <c r="D32" s="33"/>
      <c r="I32" s="809"/>
      <c r="S32" s="809"/>
      <c r="W32" s="809"/>
      <c r="AC32" s="57"/>
      <c r="AD32" s="33" t="str">
        <f t="shared" ref="AD32:AD39" si="3">A32</f>
        <v>Classified</v>
      </c>
    </row>
    <row r="33" spans="1:32" x14ac:dyDescent="0.25">
      <c r="A33" s="128" t="s">
        <v>69</v>
      </c>
      <c r="B33" s="2" t="s">
        <v>70</v>
      </c>
      <c r="C33" s="3">
        <v>0</v>
      </c>
      <c r="E33" s="2">
        <v>0</v>
      </c>
      <c r="F33" s="36"/>
      <c r="G33" s="2">
        <f>16243+G144</f>
        <v>18243</v>
      </c>
      <c r="H33" s="36"/>
      <c r="I33" s="156">
        <v>28486</v>
      </c>
      <c r="J33" s="36"/>
      <c r="K33" s="2">
        <v>0</v>
      </c>
      <c r="L33" s="36"/>
      <c r="M33" s="2">
        <v>0</v>
      </c>
      <c r="N33" s="36"/>
      <c r="O33" s="2">
        <v>0</v>
      </c>
      <c r="P33" s="36"/>
      <c r="Q33" s="2">
        <v>0</v>
      </c>
      <c r="R33" s="36"/>
      <c r="S33" s="156">
        <v>25204</v>
      </c>
      <c r="T33" s="36"/>
      <c r="U33" s="2">
        <v>0</v>
      </c>
      <c r="V33" s="36"/>
      <c r="W33" s="156">
        <v>27270</v>
      </c>
      <c r="X33" s="36"/>
      <c r="Y33" s="2">
        <v>0</v>
      </c>
      <c r="Z33" s="36"/>
      <c r="AA33" s="2">
        <v>0</v>
      </c>
      <c r="AB33" s="36"/>
      <c r="AC33" s="66"/>
      <c r="AD33" s="128" t="str">
        <f t="shared" si="3"/>
        <v>2101</v>
      </c>
      <c r="AE33" s="2" t="str">
        <f t="shared" ref="AE33:AE39" si="4">B33</f>
        <v>Para Lrning Asstnt</v>
      </c>
      <c r="AF33" s="2">
        <f>SUM(C33,E33,G33,I33,K33,M33,O33,Q33,S33,U33,W33,Y33,AA33)</f>
        <v>99203</v>
      </c>
    </row>
    <row r="34" spans="1:32" x14ac:dyDescent="0.25">
      <c r="A34" s="128" t="s">
        <v>34</v>
      </c>
      <c r="B34" s="2" t="s">
        <v>33</v>
      </c>
      <c r="C34" s="3">
        <v>0</v>
      </c>
      <c r="E34" s="2">
        <v>0</v>
      </c>
      <c r="F34" s="36"/>
      <c r="G34" s="2">
        <v>0</v>
      </c>
      <c r="H34" s="36"/>
      <c r="I34" s="156">
        <v>0</v>
      </c>
      <c r="J34" s="36"/>
      <c r="K34" s="2">
        <v>0</v>
      </c>
      <c r="L34" s="36"/>
      <c r="M34" s="2">
        <v>0</v>
      </c>
      <c r="N34" s="36"/>
      <c r="O34" s="2">
        <v>0</v>
      </c>
      <c r="P34" s="36"/>
      <c r="Q34" s="2">
        <v>0</v>
      </c>
      <c r="R34" s="36"/>
      <c r="S34" s="156">
        <v>0</v>
      </c>
      <c r="T34" s="36"/>
      <c r="U34" s="2">
        <v>0</v>
      </c>
      <c r="V34" s="36"/>
      <c r="W34" s="156">
        <v>0</v>
      </c>
      <c r="X34" s="36"/>
      <c r="Y34" s="2">
        <v>0</v>
      </c>
      <c r="Z34" s="36"/>
      <c r="AA34" s="2">
        <v>0</v>
      </c>
      <c r="AB34" s="36"/>
      <c r="AC34" s="66"/>
      <c r="AD34" s="128" t="str">
        <f t="shared" si="3"/>
        <v>2273</v>
      </c>
      <c r="AE34" s="2" t="str">
        <f t="shared" si="4"/>
        <v>Extra Clss Support</v>
      </c>
      <c r="AF34" s="2">
        <f t="shared" ref="AF34:AF39" si="5">SUM(C34,E34,G34,I34,K34,M34,O34,Q34,S34,U34,W34,Y34,AA34)</f>
        <v>0</v>
      </c>
    </row>
    <row r="35" spans="1:32" x14ac:dyDescent="0.25">
      <c r="A35" s="128" t="s">
        <v>32</v>
      </c>
      <c r="B35" s="2" t="s">
        <v>31</v>
      </c>
      <c r="C35" s="3">
        <v>18222</v>
      </c>
      <c r="D35" s="30" t="s">
        <v>115</v>
      </c>
      <c r="E35" s="2">
        <v>0</v>
      </c>
      <c r="F35" s="36"/>
      <c r="G35" s="2">
        <v>0</v>
      </c>
      <c r="H35" s="36"/>
      <c r="I35" s="156">
        <v>0</v>
      </c>
      <c r="J35" s="36"/>
      <c r="K35" s="2">
        <v>0</v>
      </c>
      <c r="L35" s="36"/>
      <c r="M35" s="2">
        <v>0</v>
      </c>
      <c r="N35" s="36"/>
      <c r="O35" s="2">
        <v>0</v>
      </c>
      <c r="P35" s="36"/>
      <c r="Q35" s="2">
        <v>0</v>
      </c>
      <c r="R35" s="36"/>
      <c r="S35" s="156">
        <v>0</v>
      </c>
      <c r="T35" s="36"/>
      <c r="U35" s="2">
        <v>0</v>
      </c>
      <c r="V35" s="36"/>
      <c r="W35" s="156">
        <v>0</v>
      </c>
      <c r="X35" s="36"/>
      <c r="Y35" s="2">
        <v>0</v>
      </c>
      <c r="Z35" s="36"/>
      <c r="AA35" s="2">
        <v>0</v>
      </c>
      <c r="AB35" s="36"/>
      <c r="AC35" s="66"/>
      <c r="AD35" s="128" t="str">
        <f t="shared" si="3"/>
        <v>2404</v>
      </c>
      <c r="AE35" s="2" t="str">
        <f t="shared" si="4"/>
        <v>Secretary</v>
      </c>
      <c r="AF35" s="2">
        <f t="shared" si="5"/>
        <v>18222</v>
      </c>
    </row>
    <row r="36" spans="1:32" x14ac:dyDescent="0.25">
      <c r="A36" s="128" t="s">
        <v>30</v>
      </c>
      <c r="B36" s="2" t="s">
        <v>29</v>
      </c>
      <c r="C36" s="3">
        <v>1236</v>
      </c>
      <c r="E36" s="2">
        <v>0</v>
      </c>
      <c r="F36" s="36"/>
      <c r="G36" s="2">
        <v>0</v>
      </c>
      <c r="H36" s="36"/>
      <c r="I36" s="156">
        <v>0</v>
      </c>
      <c r="J36" s="36"/>
      <c r="K36" s="2">
        <v>102</v>
      </c>
      <c r="L36" s="36"/>
      <c r="M36" s="2">
        <v>0</v>
      </c>
      <c r="N36" s="36"/>
      <c r="O36" s="2">
        <v>0</v>
      </c>
      <c r="P36" s="36"/>
      <c r="Q36" s="2">
        <v>0</v>
      </c>
      <c r="R36" s="36"/>
      <c r="S36" s="156">
        <v>0</v>
      </c>
      <c r="T36" s="36"/>
      <c r="U36" s="2">
        <v>0</v>
      </c>
      <c r="V36" s="36"/>
      <c r="W36" s="156">
        <v>0</v>
      </c>
      <c r="X36" s="36"/>
      <c r="Y36" s="2">
        <v>0</v>
      </c>
      <c r="Z36" s="36"/>
      <c r="AA36" s="2">
        <v>0</v>
      </c>
      <c r="AB36" s="36"/>
      <c r="AC36" s="66"/>
      <c r="AD36" s="128" t="str">
        <f t="shared" si="3"/>
        <v>2481</v>
      </c>
      <c r="AE36" s="2" t="str">
        <f t="shared" si="4"/>
        <v>Sub. Office</v>
      </c>
      <c r="AF36" s="2">
        <f t="shared" si="5"/>
        <v>1338</v>
      </c>
    </row>
    <row r="37" spans="1:32" x14ac:dyDescent="0.25">
      <c r="A37" s="128" t="s">
        <v>72</v>
      </c>
      <c r="B37" s="2" t="s">
        <v>71</v>
      </c>
      <c r="C37" s="3">
        <v>0</v>
      </c>
      <c r="E37" s="2">
        <v>0</v>
      </c>
      <c r="F37" s="36"/>
      <c r="G37" s="2">
        <v>0</v>
      </c>
      <c r="H37" s="36"/>
      <c r="I37" s="156">
        <v>0</v>
      </c>
      <c r="J37" s="36"/>
      <c r="K37" s="2">
        <v>0</v>
      </c>
      <c r="L37" s="36"/>
      <c r="M37" s="2">
        <v>0</v>
      </c>
      <c r="N37" s="36"/>
      <c r="O37" s="2">
        <v>0</v>
      </c>
      <c r="P37" s="36"/>
      <c r="Q37" s="2">
        <v>407</v>
      </c>
      <c r="R37" s="36"/>
      <c r="S37" s="156">
        <v>0</v>
      </c>
      <c r="T37" s="36"/>
      <c r="U37" s="2">
        <v>167</v>
      </c>
      <c r="V37" s="36"/>
      <c r="W37" s="156">
        <v>370</v>
      </c>
      <c r="X37" s="36"/>
      <c r="Y37" s="2">
        <v>0</v>
      </c>
      <c r="Z37" s="36"/>
      <c r="AA37" s="2">
        <v>556</v>
      </c>
      <c r="AB37" s="36"/>
      <c r="AC37" s="66"/>
      <c r="AD37" s="128" t="str">
        <f t="shared" si="3"/>
        <v>2901</v>
      </c>
      <c r="AE37" s="2" t="str">
        <f t="shared" si="4"/>
        <v>Babysitter</v>
      </c>
      <c r="AF37" s="2">
        <f t="shared" si="5"/>
        <v>1500</v>
      </c>
    </row>
    <row r="38" spans="1:32" x14ac:dyDescent="0.25">
      <c r="A38" s="128" t="s">
        <v>114</v>
      </c>
      <c r="B38" s="2" t="s">
        <v>117</v>
      </c>
      <c r="C38" s="3">
        <v>0</v>
      </c>
      <c r="E38" s="2">
        <v>210</v>
      </c>
      <c r="F38" s="36"/>
      <c r="G38" s="2">
        <v>304</v>
      </c>
      <c r="H38" s="36"/>
      <c r="I38" s="156">
        <v>85</v>
      </c>
      <c r="J38" s="36"/>
      <c r="K38" s="2">
        <v>406</v>
      </c>
      <c r="L38" s="36"/>
      <c r="M38" s="2">
        <v>1388</v>
      </c>
      <c r="N38" s="36"/>
      <c r="O38" s="2">
        <v>793</v>
      </c>
      <c r="P38" s="36"/>
      <c r="Q38" s="2">
        <v>814</v>
      </c>
      <c r="R38" s="36"/>
      <c r="S38" s="156">
        <v>169</v>
      </c>
      <c r="T38" s="36"/>
      <c r="U38" s="2">
        <v>339</v>
      </c>
      <c r="V38" s="36"/>
      <c r="W38" s="156">
        <v>337</v>
      </c>
      <c r="X38" s="36"/>
      <c r="Y38" s="2">
        <v>237</v>
      </c>
      <c r="Z38" s="36"/>
      <c r="AA38" s="2">
        <v>4233</v>
      </c>
      <c r="AB38" s="36"/>
      <c r="AC38" s="66"/>
      <c r="AD38" s="128" t="str">
        <f t="shared" si="3"/>
        <v>2910</v>
      </c>
      <c r="AE38" s="2" t="str">
        <f t="shared" si="4"/>
        <v>Interpreters</v>
      </c>
      <c r="AF38" s="2">
        <f t="shared" si="5"/>
        <v>9315</v>
      </c>
    </row>
    <row r="39" spans="1:32" x14ac:dyDescent="0.25">
      <c r="A39" s="128" t="s">
        <v>73</v>
      </c>
      <c r="B39" s="2" t="s">
        <v>74</v>
      </c>
      <c r="C39" s="3">
        <v>0</v>
      </c>
      <c r="E39" s="2">
        <v>0</v>
      </c>
      <c r="F39" s="36"/>
      <c r="G39" s="2">
        <v>0</v>
      </c>
      <c r="H39" s="36"/>
      <c r="I39" s="156">
        <v>0</v>
      </c>
      <c r="J39" s="36"/>
      <c r="K39" s="2">
        <v>0</v>
      </c>
      <c r="L39" s="36"/>
      <c r="M39" s="2">
        <v>0</v>
      </c>
      <c r="N39" s="36"/>
      <c r="O39" s="2">
        <v>0</v>
      </c>
      <c r="P39" s="36"/>
      <c r="Q39" s="2">
        <v>0</v>
      </c>
      <c r="R39" s="36"/>
      <c r="S39" s="156">
        <v>0</v>
      </c>
      <c r="T39" s="36"/>
      <c r="U39" s="2">
        <v>0</v>
      </c>
      <c r="V39" s="36"/>
      <c r="W39" s="156">
        <v>0</v>
      </c>
      <c r="X39" s="36"/>
      <c r="Y39" s="2">
        <v>0</v>
      </c>
      <c r="Z39" s="36"/>
      <c r="AA39" s="2">
        <v>440</v>
      </c>
      <c r="AB39" s="36"/>
      <c r="AC39" s="66"/>
      <c r="AD39" s="128" t="str">
        <f t="shared" si="3"/>
        <v>2924</v>
      </c>
      <c r="AE39" s="2" t="str">
        <f t="shared" si="4"/>
        <v>Parent Ed. Aide</v>
      </c>
      <c r="AF39" s="2">
        <f t="shared" si="5"/>
        <v>440</v>
      </c>
    </row>
    <row r="40" spans="1:32" ht="6" customHeight="1" x14ac:dyDescent="0.25">
      <c r="A40" s="128"/>
      <c r="F40" s="36"/>
      <c r="H40" s="36"/>
      <c r="J40" s="36"/>
      <c r="L40" s="36"/>
      <c r="N40" s="36"/>
      <c r="P40" s="36"/>
      <c r="R40" s="36"/>
      <c r="T40" s="36"/>
      <c r="V40" s="36"/>
      <c r="X40" s="36"/>
      <c r="Z40" s="36"/>
      <c r="AB40" s="36"/>
      <c r="AC40" s="66"/>
      <c r="AD40" s="128"/>
    </row>
    <row r="41" spans="1:32" x14ac:dyDescent="0.25">
      <c r="A41" s="128"/>
      <c r="C41" s="8">
        <f>SUM(C33:C40)</f>
        <v>19458</v>
      </c>
      <c r="D41" s="33"/>
      <c r="E41" s="8">
        <f>SUM(E33:E40)</f>
        <v>210</v>
      </c>
      <c r="F41" s="5"/>
      <c r="G41" s="8">
        <f>SUM(G33:G40)</f>
        <v>18547</v>
      </c>
      <c r="H41" s="5"/>
      <c r="I41" s="808">
        <f>SUM(I33:I40)</f>
        <v>28571</v>
      </c>
      <c r="J41" s="5"/>
      <c r="K41" s="8">
        <f>SUM(K33:K40)</f>
        <v>508</v>
      </c>
      <c r="L41" s="5"/>
      <c r="M41" s="8">
        <f>SUM(M33:M40)</f>
        <v>1388</v>
      </c>
      <c r="N41" s="5"/>
      <c r="O41" s="8">
        <f>SUM(O33:O40)</f>
        <v>793</v>
      </c>
      <c r="P41" s="5"/>
      <c r="Q41" s="8">
        <f>SUM(Q33:Q40)</f>
        <v>1221</v>
      </c>
      <c r="R41" s="5"/>
      <c r="S41" s="808">
        <f>SUM(S33:S40)</f>
        <v>25373</v>
      </c>
      <c r="T41" s="5"/>
      <c r="U41" s="8">
        <f>SUM(U33:U40)</f>
        <v>506</v>
      </c>
      <c r="V41" s="5"/>
      <c r="W41" s="808">
        <f>SUM(W33:W40)</f>
        <v>27977</v>
      </c>
      <c r="X41" s="5"/>
      <c r="Y41" s="8">
        <f>SUM(Y33:Y40)</f>
        <v>237</v>
      </c>
      <c r="Z41" s="5"/>
      <c r="AA41" s="8">
        <f>SUM(AA33:AA40)</f>
        <v>5229</v>
      </c>
      <c r="AB41" s="5"/>
      <c r="AC41" s="29"/>
      <c r="AD41" s="128"/>
      <c r="AF41" s="8">
        <f>SUM(AF33:AF40)</f>
        <v>130018</v>
      </c>
    </row>
    <row r="42" spans="1:32" x14ac:dyDescent="0.25">
      <c r="A42" s="37" t="s">
        <v>28</v>
      </c>
      <c r="F42" s="36"/>
      <c r="H42" s="36"/>
      <c r="J42" s="36"/>
      <c r="L42" s="36"/>
      <c r="N42" s="36"/>
      <c r="P42" s="36"/>
      <c r="R42" s="36"/>
      <c r="T42" s="36"/>
      <c r="V42" s="36"/>
      <c r="X42" s="36"/>
      <c r="Z42" s="36"/>
      <c r="AB42" s="36"/>
      <c r="AC42" s="66"/>
      <c r="AD42" s="37" t="str">
        <f t="shared" ref="AD42:AD50" si="6">A42</f>
        <v xml:space="preserve">  </v>
      </c>
    </row>
    <row r="43" spans="1:32" x14ac:dyDescent="0.25">
      <c r="A43" s="125" t="s">
        <v>27</v>
      </c>
      <c r="C43" s="9"/>
      <c r="D43" s="33"/>
      <c r="E43" s="10"/>
      <c r="F43" s="6"/>
      <c r="G43" s="10"/>
      <c r="H43" s="6"/>
      <c r="I43" s="610"/>
      <c r="J43" s="6"/>
      <c r="K43" s="10"/>
      <c r="L43" s="6"/>
      <c r="M43" s="10"/>
      <c r="N43" s="6"/>
      <c r="O43" s="10"/>
      <c r="P43" s="6"/>
      <c r="Q43" s="10"/>
      <c r="R43" s="6"/>
      <c r="S43" s="610"/>
      <c r="T43" s="6"/>
      <c r="U43" s="10"/>
      <c r="V43" s="6"/>
      <c r="W43" s="610"/>
      <c r="X43" s="6"/>
      <c r="Y43" s="10"/>
      <c r="Z43" s="6"/>
      <c r="AA43" s="10"/>
      <c r="AB43" s="6"/>
      <c r="AC43" s="57"/>
      <c r="AD43" s="125" t="str">
        <f t="shared" si="6"/>
        <v>Benefits</v>
      </c>
    </row>
    <row r="44" spans="1:32" x14ac:dyDescent="0.25">
      <c r="A44" s="128" t="s">
        <v>83</v>
      </c>
      <c r="B44" s="2" t="s">
        <v>76</v>
      </c>
      <c r="C44" s="3">
        <f>119847-9892+C133</f>
        <v>111213</v>
      </c>
      <c r="E44" s="2">
        <v>2437</v>
      </c>
      <c r="F44" s="36"/>
      <c r="G44" s="2">
        <f>1032+G139</f>
        <v>2290</v>
      </c>
      <c r="H44" s="36"/>
      <c r="I44" s="156">
        <v>1282</v>
      </c>
      <c r="J44" s="36"/>
      <c r="K44" s="2">
        <f>1694+K139</f>
        <v>2700</v>
      </c>
      <c r="L44" s="36"/>
      <c r="M44" s="2">
        <v>1630</v>
      </c>
      <c r="N44" s="36"/>
      <c r="O44" s="2">
        <f>687+O139</f>
        <v>1190</v>
      </c>
      <c r="P44" s="36"/>
      <c r="Q44" s="2">
        <f>1196+Q139</f>
        <v>1573</v>
      </c>
      <c r="R44" s="36"/>
      <c r="S44" s="156">
        <v>1485</v>
      </c>
      <c r="T44" s="36"/>
      <c r="U44" s="2">
        <f>2971+23</f>
        <v>2994</v>
      </c>
      <c r="V44" s="36"/>
      <c r="W44" s="156">
        <v>2425</v>
      </c>
      <c r="X44" s="36"/>
      <c r="Y44" s="2">
        <v>1774</v>
      </c>
      <c r="Z44" s="36"/>
      <c r="AA44" s="2">
        <v>2490</v>
      </c>
      <c r="AB44" s="36"/>
      <c r="AC44" s="66"/>
      <c r="AD44" s="128" t="str">
        <f t="shared" si="6"/>
        <v>310X</v>
      </c>
      <c r="AE44" s="2" t="str">
        <f t="shared" ref="AE44:AE50" si="7">B44</f>
        <v>STRS</v>
      </c>
      <c r="AF44" s="2">
        <f>SUM(C44,E44,G44,I44,K44,M44,O44,Q44,S44,U44,W44,Y44,AA44)</f>
        <v>135483</v>
      </c>
    </row>
    <row r="45" spans="1:32" x14ac:dyDescent="0.25">
      <c r="A45" s="128" t="s">
        <v>84</v>
      </c>
      <c r="B45" s="2" t="s">
        <v>77</v>
      </c>
      <c r="C45" s="3">
        <v>2702</v>
      </c>
      <c r="E45" s="2">
        <v>56</v>
      </c>
      <c r="F45" s="36"/>
      <c r="G45" s="2">
        <f>2303+G145</f>
        <v>2581</v>
      </c>
      <c r="H45" s="36"/>
      <c r="I45" s="156">
        <v>3973</v>
      </c>
      <c r="J45" s="36"/>
      <c r="K45" s="2">
        <v>64</v>
      </c>
      <c r="L45" s="36"/>
      <c r="M45" s="2">
        <v>193</v>
      </c>
      <c r="N45" s="36"/>
      <c r="O45" s="2">
        <v>287</v>
      </c>
      <c r="P45" s="36"/>
      <c r="Q45" s="2">
        <v>169</v>
      </c>
      <c r="R45" s="36"/>
      <c r="S45" s="156">
        <v>3530</v>
      </c>
      <c r="T45" s="36"/>
      <c r="U45" s="2">
        <f>47</f>
        <v>47</v>
      </c>
      <c r="V45" s="36"/>
      <c r="W45" s="156">
        <v>3886</v>
      </c>
      <c r="X45" s="36"/>
      <c r="Y45" s="2">
        <v>33</v>
      </c>
      <c r="Z45" s="36"/>
      <c r="AA45" s="2">
        <v>726</v>
      </c>
      <c r="AB45" s="36"/>
      <c r="AC45" s="66"/>
      <c r="AD45" s="128" t="str">
        <f t="shared" si="6"/>
        <v>320X</v>
      </c>
      <c r="AE45" s="2" t="str">
        <f t="shared" si="7"/>
        <v>PERS</v>
      </c>
      <c r="AF45" s="2">
        <f t="shared" ref="AF45:AF50" si="8">SUM(C45,E45,G45,I45,K45,M45,O45,Q45,S45,U45,W45,Y45,AA45)</f>
        <v>18247</v>
      </c>
    </row>
    <row r="46" spans="1:32" x14ac:dyDescent="0.25">
      <c r="A46" s="128" t="s">
        <v>85</v>
      </c>
      <c r="B46" s="2" t="s">
        <v>78</v>
      </c>
      <c r="C46" s="3">
        <f>223+1207</f>
        <v>1430</v>
      </c>
      <c r="E46" s="2">
        <f>30+25</f>
        <v>55</v>
      </c>
      <c r="F46" s="36"/>
      <c r="G46" s="2">
        <f>960+G146</f>
        <v>1084</v>
      </c>
      <c r="H46" s="36"/>
      <c r="I46" s="156">
        <v>1688</v>
      </c>
      <c r="J46" s="36"/>
      <c r="K46" s="2">
        <f>17+38</f>
        <v>55</v>
      </c>
      <c r="L46" s="36"/>
      <c r="M46" s="2">
        <v>86</v>
      </c>
      <c r="N46" s="36"/>
      <c r="O46" s="2">
        <f>9+128</f>
        <v>137</v>
      </c>
      <c r="P46" s="36"/>
      <c r="Q46" s="2">
        <f>17+77</f>
        <v>94</v>
      </c>
      <c r="R46" s="36"/>
      <c r="S46" s="156">
        <f>5+1568</f>
        <v>1573</v>
      </c>
      <c r="T46" s="36"/>
      <c r="U46" s="2">
        <f>4+30</f>
        <v>34</v>
      </c>
      <c r="V46" s="36"/>
      <c r="W46" s="156">
        <f>9+1735</f>
        <v>1744</v>
      </c>
      <c r="X46" s="36"/>
      <c r="Y46" s="2">
        <f>18+14</f>
        <v>32</v>
      </c>
      <c r="Z46" s="36"/>
      <c r="AA46" s="2">
        <f>9+323</f>
        <v>332</v>
      </c>
      <c r="AB46" s="36"/>
      <c r="AC46" s="66"/>
      <c r="AD46" s="128" t="str">
        <f t="shared" si="6"/>
        <v>330X</v>
      </c>
      <c r="AE46" s="2" t="str">
        <f t="shared" si="7"/>
        <v>SS</v>
      </c>
      <c r="AF46" s="2">
        <f t="shared" si="8"/>
        <v>8344</v>
      </c>
    </row>
    <row r="47" spans="1:32" x14ac:dyDescent="0.25">
      <c r="A47" s="128" t="s">
        <v>86</v>
      </c>
      <c r="B47" s="2" t="s">
        <v>79</v>
      </c>
      <c r="C47" s="3">
        <f>12793+282</f>
        <v>13075</v>
      </c>
      <c r="E47" s="2">
        <f>251+6</f>
        <v>257</v>
      </c>
      <c r="F47" s="36"/>
      <c r="G47" s="2">
        <f>263+270</f>
        <v>533</v>
      </c>
      <c r="H47" s="36"/>
      <c r="I47" s="156">
        <f>296+415</f>
        <v>711</v>
      </c>
      <c r="J47" s="36"/>
      <c r="K47" s="2">
        <f>194+8+K140</f>
        <v>318</v>
      </c>
      <c r="L47" s="36"/>
      <c r="M47" s="2">
        <f>188+20</f>
        <v>208</v>
      </c>
      <c r="N47" s="36"/>
      <c r="O47" s="2">
        <f>136+29</f>
        <v>165</v>
      </c>
      <c r="P47" s="36"/>
      <c r="Q47" s="2">
        <f>182+18</f>
        <v>200</v>
      </c>
      <c r="R47" s="36"/>
      <c r="S47" s="156">
        <f>219+363</f>
        <v>582</v>
      </c>
      <c r="T47" s="36"/>
      <c r="U47" s="2">
        <f>342+7</f>
        <v>349</v>
      </c>
      <c r="V47" s="36"/>
      <c r="W47" s="156">
        <f>280+405</f>
        <v>685</v>
      </c>
      <c r="X47" s="36"/>
      <c r="Y47" s="2">
        <v>210</v>
      </c>
      <c r="Z47" s="36"/>
      <c r="AA47" s="2">
        <f>287+76</f>
        <v>363</v>
      </c>
      <c r="AB47" s="36"/>
      <c r="AC47" s="66"/>
      <c r="AD47" s="128" t="str">
        <f t="shared" si="6"/>
        <v>331X</v>
      </c>
      <c r="AE47" s="2" t="str">
        <f t="shared" si="7"/>
        <v>Medicare</v>
      </c>
      <c r="AF47" s="2">
        <f t="shared" si="8"/>
        <v>17656</v>
      </c>
    </row>
    <row r="48" spans="1:32" x14ac:dyDescent="0.25">
      <c r="A48" s="128" t="s">
        <v>87</v>
      </c>
      <c r="B48" s="2" t="s">
        <v>80</v>
      </c>
      <c r="C48" s="3">
        <f>90288+6504</f>
        <v>96792</v>
      </c>
      <c r="E48" s="2">
        <v>0</v>
      </c>
      <c r="F48" s="36"/>
      <c r="G48" s="2">
        <v>593</v>
      </c>
      <c r="H48" s="36"/>
      <c r="I48" s="156">
        <v>310</v>
      </c>
      <c r="J48" s="36"/>
      <c r="K48" s="2">
        <v>0</v>
      </c>
      <c r="L48" s="36"/>
      <c r="M48" s="2">
        <v>0</v>
      </c>
      <c r="N48" s="36"/>
      <c r="O48" s="2">
        <v>0</v>
      </c>
      <c r="P48" s="36"/>
      <c r="Q48" s="2">
        <v>0</v>
      </c>
      <c r="R48" s="36"/>
      <c r="S48" s="156">
        <v>395</v>
      </c>
      <c r="T48" s="36"/>
      <c r="U48" s="2">
        <v>0</v>
      </c>
      <c r="V48" s="36"/>
      <c r="W48" s="156">
        <v>4848</v>
      </c>
      <c r="X48" s="36"/>
      <c r="Y48" s="2">
        <v>0</v>
      </c>
      <c r="Z48" s="36"/>
      <c r="AA48" s="2">
        <v>0</v>
      </c>
      <c r="AB48" s="36"/>
      <c r="AC48" s="66"/>
      <c r="AD48" s="128" t="str">
        <f t="shared" si="6"/>
        <v>340X</v>
      </c>
      <c r="AE48" s="2" t="str">
        <f t="shared" si="7"/>
        <v>H&amp;W</v>
      </c>
      <c r="AF48" s="2">
        <f t="shared" si="8"/>
        <v>102938</v>
      </c>
    </row>
    <row r="49" spans="1:32" x14ac:dyDescent="0.25">
      <c r="A49" s="128" t="s">
        <v>88</v>
      </c>
      <c r="B49" s="2" t="s">
        <v>81</v>
      </c>
      <c r="C49" s="3">
        <f>456+10</f>
        <v>466</v>
      </c>
      <c r="E49" s="2">
        <f>11+1</f>
        <v>12</v>
      </c>
      <c r="F49" s="36"/>
      <c r="G49" s="2">
        <f>4+8+G141+G148</f>
        <v>18</v>
      </c>
      <c r="H49" s="36"/>
      <c r="I49" s="156">
        <f>10+14</f>
        <v>24</v>
      </c>
      <c r="J49" s="36"/>
      <c r="K49" s="2">
        <f>7+1+K141</f>
        <v>12</v>
      </c>
      <c r="L49" s="36"/>
      <c r="M49" s="2">
        <f>8+1</f>
        <v>9</v>
      </c>
      <c r="N49" s="36"/>
      <c r="O49" s="2">
        <f>2+O141</f>
        <v>4</v>
      </c>
      <c r="P49" s="36"/>
      <c r="Q49" s="2">
        <f>4+Q141</f>
        <v>6</v>
      </c>
      <c r="R49" s="36"/>
      <c r="S49" s="156">
        <f>7+13</f>
        <v>20</v>
      </c>
      <c r="T49" s="36"/>
      <c r="U49" s="2">
        <v>13</v>
      </c>
      <c r="V49" s="36"/>
      <c r="W49" s="156">
        <v>24</v>
      </c>
      <c r="X49" s="36"/>
      <c r="Y49" s="2">
        <v>7</v>
      </c>
      <c r="Z49" s="36"/>
      <c r="AA49" s="2">
        <f>10+2</f>
        <v>12</v>
      </c>
      <c r="AB49" s="36"/>
      <c r="AC49" s="66"/>
      <c r="AD49" s="128" t="str">
        <f t="shared" si="6"/>
        <v>350X</v>
      </c>
      <c r="AE49" s="2" t="str">
        <f t="shared" si="7"/>
        <v>SUI</v>
      </c>
      <c r="AF49" s="2">
        <f t="shared" si="8"/>
        <v>627</v>
      </c>
    </row>
    <row r="50" spans="1:32" x14ac:dyDescent="0.25">
      <c r="A50" s="128" t="s">
        <v>89</v>
      </c>
      <c r="B50" s="2" t="s">
        <v>82</v>
      </c>
      <c r="C50" s="3">
        <f>9157+215</f>
        <v>9372</v>
      </c>
      <c r="E50" s="2">
        <f>212+5</f>
        <v>217</v>
      </c>
      <c r="F50" s="36"/>
      <c r="G50" s="2">
        <f>190+203</f>
        <v>393</v>
      </c>
      <c r="H50" s="36"/>
      <c r="I50" s="156">
        <f>224+314</f>
        <v>538</v>
      </c>
      <c r="J50" s="36"/>
      <c r="K50" s="2">
        <f>149+7+K142</f>
        <v>244</v>
      </c>
      <c r="L50" s="36"/>
      <c r="M50" s="2">
        <f>143+15</f>
        <v>158</v>
      </c>
      <c r="N50" s="36"/>
      <c r="O50" s="2">
        <f>60+22+O142</f>
        <v>126</v>
      </c>
      <c r="P50" s="36"/>
      <c r="Q50" s="2">
        <f>135+14</f>
        <v>149</v>
      </c>
      <c r="R50" s="36"/>
      <c r="S50" s="156">
        <f>166+277</f>
        <v>443</v>
      </c>
      <c r="T50" s="36"/>
      <c r="U50" s="2">
        <f>260+5</f>
        <v>265</v>
      </c>
      <c r="V50" s="36"/>
      <c r="W50" s="156">
        <f>223+308</f>
        <v>531</v>
      </c>
      <c r="X50" s="36"/>
      <c r="Y50" s="2">
        <f>158+3</f>
        <v>161</v>
      </c>
      <c r="Z50" s="36"/>
      <c r="AA50" s="2">
        <f>218+58</f>
        <v>276</v>
      </c>
      <c r="AB50" s="36"/>
      <c r="AC50" s="66"/>
      <c r="AD50" s="128" t="str">
        <f t="shared" si="6"/>
        <v>360X</v>
      </c>
      <c r="AE50" s="2" t="str">
        <f t="shared" si="7"/>
        <v>W/C</v>
      </c>
      <c r="AF50" s="2">
        <f t="shared" si="8"/>
        <v>12873</v>
      </c>
    </row>
    <row r="51" spans="1:32" x14ac:dyDescent="0.25">
      <c r="A51" s="128" t="s">
        <v>91</v>
      </c>
      <c r="B51" s="2" t="s">
        <v>93</v>
      </c>
      <c r="C51" s="3">
        <v>5685</v>
      </c>
      <c r="E51" s="2">
        <v>0</v>
      </c>
      <c r="F51" s="36"/>
      <c r="G51" s="2">
        <v>0</v>
      </c>
      <c r="H51" s="36"/>
      <c r="I51" s="156">
        <v>0</v>
      </c>
      <c r="J51" s="36"/>
      <c r="K51" s="2">
        <v>0</v>
      </c>
      <c r="L51" s="36"/>
      <c r="M51" s="2">
        <v>0</v>
      </c>
      <c r="N51" s="36"/>
      <c r="O51" s="2">
        <v>0</v>
      </c>
      <c r="P51" s="36"/>
      <c r="Q51" s="2">
        <v>0</v>
      </c>
      <c r="R51" s="36"/>
      <c r="S51" s="156">
        <v>0</v>
      </c>
      <c r="T51" s="36"/>
      <c r="U51" s="2">
        <v>0</v>
      </c>
      <c r="V51" s="36"/>
      <c r="W51" s="156">
        <v>0</v>
      </c>
      <c r="X51" s="36"/>
      <c r="Y51" s="2">
        <v>0</v>
      </c>
      <c r="Z51" s="36"/>
      <c r="AA51" s="2">
        <v>0</v>
      </c>
      <c r="AB51" s="36"/>
      <c r="AC51" s="66"/>
      <c r="AD51" s="128" t="str">
        <f t="shared" ref="AD51" si="9">A51</f>
        <v>390X</v>
      </c>
      <c r="AE51" s="2" t="str">
        <f t="shared" ref="AE51" si="10">B51</f>
        <v>Other Benefits</v>
      </c>
      <c r="AF51" s="2">
        <f>SUM(C51,E51,G51,I51,K51,M51,O51,Q51,S51,U51,W51,Y51,AA51)</f>
        <v>5685</v>
      </c>
    </row>
    <row r="52" spans="1:32" x14ac:dyDescent="0.25">
      <c r="A52" s="128"/>
      <c r="F52" s="36"/>
      <c r="H52" s="36"/>
      <c r="J52" s="36"/>
      <c r="L52" s="36"/>
      <c r="N52" s="36"/>
      <c r="P52" s="36"/>
      <c r="R52" s="36"/>
      <c r="T52" s="36"/>
      <c r="V52" s="36"/>
      <c r="X52" s="36"/>
      <c r="Z52" s="36"/>
      <c r="AB52" s="36"/>
      <c r="AC52" s="66"/>
      <c r="AD52" s="128"/>
    </row>
    <row r="53" spans="1:32" x14ac:dyDescent="0.25">
      <c r="A53" s="128"/>
      <c r="C53" s="8">
        <f>SUM(C44:C52)</f>
        <v>240735</v>
      </c>
      <c r="D53" s="33"/>
      <c r="E53" s="8">
        <f>SUM(E44:E52)</f>
        <v>3034</v>
      </c>
      <c r="F53" s="5"/>
      <c r="G53" s="8">
        <f>SUM(G44:G52)</f>
        <v>7492</v>
      </c>
      <c r="H53" s="5"/>
      <c r="I53" s="808">
        <f>SUM(I44:I52)</f>
        <v>8526</v>
      </c>
      <c r="J53" s="5"/>
      <c r="K53" s="8">
        <f>SUM(K44:K52)</f>
        <v>3393</v>
      </c>
      <c r="L53" s="5"/>
      <c r="M53" s="8">
        <f>SUM(M44:M52)</f>
        <v>2284</v>
      </c>
      <c r="N53" s="5"/>
      <c r="O53" s="8">
        <f>SUM(O44:O52)</f>
        <v>1909</v>
      </c>
      <c r="P53" s="5"/>
      <c r="Q53" s="8">
        <f>SUM(Q44:Q52)</f>
        <v>2191</v>
      </c>
      <c r="R53" s="5"/>
      <c r="S53" s="808">
        <f>SUM(S44:S52)</f>
        <v>8028</v>
      </c>
      <c r="T53" s="5"/>
      <c r="U53" s="8">
        <f>SUM(U44:U52)</f>
        <v>3702</v>
      </c>
      <c r="V53" s="5"/>
      <c r="W53" s="808">
        <f>SUM(W44:W52)</f>
        <v>14143</v>
      </c>
      <c r="X53" s="5"/>
      <c r="Y53" s="8">
        <f>SUM(Y44:Y52)</f>
        <v>2217</v>
      </c>
      <c r="Z53" s="5"/>
      <c r="AA53" s="8">
        <f>SUM(AA44:AA52)</f>
        <v>4199</v>
      </c>
      <c r="AB53" s="5"/>
      <c r="AC53" s="29"/>
      <c r="AD53" s="128"/>
      <c r="AF53" s="8">
        <f>SUM(AF44:AF52)</f>
        <v>301853</v>
      </c>
    </row>
    <row r="54" spans="1:32" x14ac:dyDescent="0.25">
      <c r="A54" s="128"/>
      <c r="C54" s="9"/>
      <c r="D54" s="33"/>
      <c r="E54" s="10"/>
      <c r="F54" s="6"/>
      <c r="G54" s="10"/>
      <c r="H54" s="6"/>
      <c r="I54" s="610"/>
      <c r="J54" s="6"/>
      <c r="K54" s="10"/>
      <c r="L54" s="6"/>
      <c r="M54" s="10"/>
      <c r="N54" s="6"/>
      <c r="O54" s="10"/>
      <c r="P54" s="6"/>
      <c r="Q54" s="10"/>
      <c r="R54" s="6"/>
      <c r="S54" s="610"/>
      <c r="T54" s="6"/>
      <c r="U54" s="10"/>
      <c r="V54" s="6"/>
      <c r="W54" s="610"/>
      <c r="X54" s="6"/>
      <c r="Y54" s="10"/>
      <c r="Z54" s="6"/>
      <c r="AA54" s="10"/>
      <c r="AB54" s="6"/>
      <c r="AC54" s="57"/>
      <c r="AD54" s="128"/>
    </row>
    <row r="55" spans="1:32" x14ac:dyDescent="0.25">
      <c r="A55" s="125" t="s">
        <v>26</v>
      </c>
      <c r="C55" s="8">
        <f>SUM(C53,C41,C30)</f>
        <v>1158951</v>
      </c>
      <c r="D55" s="33"/>
      <c r="E55" s="8">
        <f>SUM(E53,E41,E30)</f>
        <v>8244</v>
      </c>
      <c r="F55" s="5"/>
      <c r="G55" s="8">
        <f>SUM(G53,G41,G30)</f>
        <v>31214</v>
      </c>
      <c r="H55" s="5"/>
      <c r="I55" s="808">
        <f>SUM(I53,I41,I30)</f>
        <v>57467</v>
      </c>
      <c r="J55" s="5"/>
      <c r="K55" s="8">
        <f>SUM(K53,K41,K30)</f>
        <v>25230</v>
      </c>
      <c r="L55" s="5"/>
      <c r="M55" s="8">
        <f>SUM(M53,M41,M30)</f>
        <v>16632</v>
      </c>
      <c r="N55" s="5"/>
      <c r="O55" s="8">
        <f>SUM(O53,O41,O30)</f>
        <v>13409</v>
      </c>
      <c r="P55" s="5"/>
      <c r="Q55" s="8">
        <f>SUM(Q53,Q41,Q30)</f>
        <v>15922</v>
      </c>
      <c r="R55" s="5"/>
      <c r="S55" s="808">
        <f>SUM(S53,S41,S30)</f>
        <v>48349</v>
      </c>
      <c r="T55" s="5"/>
      <c r="U55" s="8">
        <f>SUM(U53,U41,U30)</f>
        <v>15093</v>
      </c>
      <c r="V55" s="5"/>
      <c r="W55" s="808">
        <f>SUM(W53,W41,W30)</f>
        <v>50701</v>
      </c>
      <c r="X55" s="5"/>
      <c r="Y55" s="8">
        <f>SUM(Y53,Y41,Y30)</f>
        <v>16554</v>
      </c>
      <c r="Z55" s="5"/>
      <c r="AA55" s="8">
        <f>SUM(AA53,AA41,AA30)</f>
        <v>29222</v>
      </c>
      <c r="AB55" s="5"/>
      <c r="AC55" s="29"/>
      <c r="AD55" s="125" t="str">
        <f>A55</f>
        <v>Total Salaries and Benefits</v>
      </c>
      <c r="AF55" s="8">
        <f>SUM(AF53,AF41,AF30)</f>
        <v>1486988</v>
      </c>
    </row>
    <row r="56" spans="1:32" x14ac:dyDescent="0.25">
      <c r="F56" s="36"/>
      <c r="H56" s="36"/>
      <c r="J56" s="36"/>
      <c r="L56" s="36"/>
      <c r="N56" s="36"/>
      <c r="P56" s="36"/>
      <c r="R56" s="36"/>
      <c r="T56" s="36"/>
      <c r="V56" s="36"/>
      <c r="X56" s="36"/>
      <c r="Z56" s="36"/>
      <c r="AB56" s="36"/>
      <c r="AC56" s="66"/>
    </row>
    <row r="57" spans="1:32" x14ac:dyDescent="0.25">
      <c r="F57" s="36"/>
      <c r="H57" s="36"/>
      <c r="J57" s="36"/>
      <c r="L57" s="36"/>
      <c r="N57" s="36"/>
      <c r="P57" s="36"/>
      <c r="R57" s="36"/>
      <c r="T57" s="36"/>
      <c r="V57" s="36"/>
      <c r="X57" s="36"/>
      <c r="Z57" s="36"/>
      <c r="AB57" s="36"/>
      <c r="AC57" s="66"/>
    </row>
    <row r="58" spans="1:32" x14ac:dyDescent="0.25">
      <c r="A58" s="33" t="s">
        <v>25</v>
      </c>
      <c r="B58" s="6"/>
      <c r="F58" s="36"/>
      <c r="H58" s="36"/>
      <c r="J58" s="36"/>
      <c r="L58" s="36"/>
      <c r="N58" s="36"/>
      <c r="P58" s="36"/>
      <c r="R58" s="36"/>
      <c r="T58" s="36"/>
      <c r="V58" s="36"/>
      <c r="X58" s="36"/>
      <c r="Z58" s="36"/>
      <c r="AB58" s="36"/>
      <c r="AC58" s="66"/>
      <c r="AD58" s="33" t="str">
        <f t="shared" ref="AD58:AD65" si="11">A58</f>
        <v>Supplies</v>
      </c>
      <c r="AE58" s="6"/>
    </row>
    <row r="59" spans="1:32" x14ac:dyDescent="0.25">
      <c r="A59" s="128" t="s">
        <v>24</v>
      </c>
      <c r="B59" s="2" t="s">
        <v>23</v>
      </c>
      <c r="C59" s="3">
        <v>4700</v>
      </c>
      <c r="E59" s="2">
        <v>0</v>
      </c>
      <c r="F59" s="36"/>
      <c r="G59" s="2">
        <v>0</v>
      </c>
      <c r="H59" s="36"/>
      <c r="I59" s="156">
        <v>750</v>
      </c>
      <c r="J59" s="36"/>
      <c r="K59" s="2">
        <v>75</v>
      </c>
      <c r="L59" s="36"/>
      <c r="M59" s="2">
        <v>563</v>
      </c>
      <c r="N59" s="36"/>
      <c r="O59" s="2">
        <v>0</v>
      </c>
      <c r="P59" s="36"/>
      <c r="Q59" s="2">
        <v>999</v>
      </c>
      <c r="R59" s="36"/>
      <c r="S59" s="156">
        <v>0</v>
      </c>
      <c r="T59" s="36"/>
      <c r="U59" s="2">
        <v>691</v>
      </c>
      <c r="V59" s="36"/>
      <c r="W59" s="156">
        <v>335</v>
      </c>
      <c r="X59" s="36"/>
      <c r="Y59" s="2">
        <v>0</v>
      </c>
      <c r="Z59" s="36"/>
      <c r="AA59" s="2">
        <v>800</v>
      </c>
      <c r="AB59" s="36"/>
      <c r="AC59" s="66"/>
      <c r="AD59" s="128" t="str">
        <f t="shared" si="11"/>
        <v>4210</v>
      </c>
      <c r="AE59" s="2" t="str">
        <f t="shared" ref="AE59:AE65" si="12">B59</f>
        <v>Other Books</v>
      </c>
      <c r="AF59" s="2">
        <f>SUM(C59,E59,G59,I59,K59,M59,O59,Q59,S59,U59,W59,Y59,AA59)</f>
        <v>8913</v>
      </c>
    </row>
    <row r="60" spans="1:32" x14ac:dyDescent="0.25">
      <c r="A60" s="128" t="s">
        <v>94</v>
      </c>
      <c r="B60" s="2" t="s">
        <v>96</v>
      </c>
      <c r="C60" s="3">
        <v>0</v>
      </c>
      <c r="E60" s="2">
        <v>0</v>
      </c>
      <c r="F60" s="36"/>
      <c r="G60" s="2">
        <v>160</v>
      </c>
      <c r="H60" s="36"/>
      <c r="I60" s="156">
        <v>0</v>
      </c>
      <c r="J60" s="36"/>
      <c r="K60" s="2">
        <v>0</v>
      </c>
      <c r="L60" s="36"/>
      <c r="M60" s="2">
        <v>31580</v>
      </c>
      <c r="N60" s="36"/>
      <c r="O60" s="2">
        <v>0</v>
      </c>
      <c r="P60" s="36"/>
      <c r="Q60" s="2">
        <v>0</v>
      </c>
      <c r="R60" s="36"/>
      <c r="S60" s="156">
        <v>0</v>
      </c>
      <c r="T60" s="36"/>
      <c r="U60" s="2">
        <v>0</v>
      </c>
      <c r="V60" s="36"/>
      <c r="W60" s="156">
        <v>0</v>
      </c>
      <c r="X60" s="36"/>
      <c r="Y60" s="2">
        <v>0</v>
      </c>
      <c r="Z60" s="36"/>
      <c r="AA60" s="2">
        <v>0</v>
      </c>
      <c r="AB60" s="36"/>
      <c r="AC60" s="66"/>
      <c r="AD60" s="128" t="str">
        <f t="shared" si="11"/>
        <v>4211</v>
      </c>
      <c r="AE60" s="2" t="str">
        <f t="shared" si="12"/>
        <v>Reference Books</v>
      </c>
      <c r="AF60" s="2">
        <f t="shared" ref="AF60:AF65" si="13">SUM(C60,E60,G60,I60,K60,M60,O60,Q60,S60,U60,W60,Y60,AA60)</f>
        <v>31740</v>
      </c>
    </row>
    <row r="61" spans="1:32" x14ac:dyDescent="0.25">
      <c r="A61" s="128" t="s">
        <v>95</v>
      </c>
      <c r="B61" s="2" t="s">
        <v>97</v>
      </c>
      <c r="C61" s="3">
        <v>0</v>
      </c>
      <c r="E61" s="2">
        <v>0</v>
      </c>
      <c r="F61" s="36"/>
      <c r="G61" s="2">
        <v>0</v>
      </c>
      <c r="H61" s="36"/>
      <c r="I61" s="156">
        <v>0</v>
      </c>
      <c r="J61" s="36"/>
      <c r="K61" s="2">
        <v>2747</v>
      </c>
      <c r="L61" s="36"/>
      <c r="M61" s="2">
        <v>0</v>
      </c>
      <c r="N61" s="36"/>
      <c r="O61" s="2">
        <v>0</v>
      </c>
      <c r="P61" s="36"/>
      <c r="Q61" s="2">
        <v>0</v>
      </c>
      <c r="R61" s="36"/>
      <c r="S61" s="156">
        <v>0</v>
      </c>
      <c r="T61" s="36"/>
      <c r="U61" s="2">
        <v>0</v>
      </c>
      <c r="V61" s="36"/>
      <c r="W61" s="156">
        <v>0</v>
      </c>
      <c r="X61" s="36"/>
      <c r="Y61" s="2">
        <v>0</v>
      </c>
      <c r="Z61" s="36"/>
      <c r="AA61" s="2">
        <v>0</v>
      </c>
      <c r="AB61" s="36"/>
      <c r="AC61" s="66"/>
      <c r="AD61" s="128" t="str">
        <f t="shared" si="11"/>
        <v>4212</v>
      </c>
      <c r="AE61" s="2" t="str">
        <f t="shared" si="12"/>
        <v>Library Books</v>
      </c>
      <c r="AF61" s="2">
        <f t="shared" si="13"/>
        <v>2747</v>
      </c>
    </row>
    <row r="62" spans="1:32" x14ac:dyDescent="0.25">
      <c r="A62" s="128" t="s">
        <v>22</v>
      </c>
      <c r="B62" s="2" t="s">
        <v>21</v>
      </c>
      <c r="C62" s="3">
        <v>10944</v>
      </c>
      <c r="E62" s="2">
        <v>27172.23</v>
      </c>
      <c r="F62" s="36"/>
      <c r="G62" s="2">
        <f>28979+G135+G151</f>
        <v>50019</v>
      </c>
      <c r="H62" s="36"/>
      <c r="I62" s="156">
        <v>51238</v>
      </c>
      <c r="J62" s="36"/>
      <c r="K62" s="2">
        <f>23641+K135</f>
        <v>48641</v>
      </c>
      <c r="L62" s="36"/>
      <c r="M62" s="2">
        <v>0</v>
      </c>
      <c r="N62" s="36"/>
      <c r="O62" s="2">
        <v>94881</v>
      </c>
      <c r="P62" s="36"/>
      <c r="Q62" s="2">
        <f>34526+Q135+Q138+Q151</f>
        <v>66426</v>
      </c>
      <c r="R62" s="36"/>
      <c r="S62" s="156">
        <v>32648</v>
      </c>
      <c r="T62" s="36"/>
      <c r="U62" s="2">
        <v>38127</v>
      </c>
      <c r="V62" s="36"/>
      <c r="W62" s="156">
        <v>31924</v>
      </c>
      <c r="X62" s="36"/>
      <c r="Y62" s="2">
        <v>25349</v>
      </c>
      <c r="Z62" s="36"/>
      <c r="AA62" s="2">
        <v>22677</v>
      </c>
      <c r="AB62" s="36"/>
      <c r="AC62" s="66"/>
      <c r="AD62" s="128" t="str">
        <f t="shared" si="11"/>
        <v>4310</v>
      </c>
      <c r="AE62" s="2" t="str">
        <f t="shared" si="12"/>
        <v>Inst. Materials</v>
      </c>
      <c r="AF62" s="2">
        <f t="shared" si="13"/>
        <v>500046.23</v>
      </c>
    </row>
    <row r="63" spans="1:32" x14ac:dyDescent="0.25">
      <c r="A63" s="128" t="s">
        <v>20</v>
      </c>
      <c r="B63" s="2" t="s">
        <v>19</v>
      </c>
      <c r="C63" s="3">
        <v>9400</v>
      </c>
      <c r="E63" s="2">
        <v>0</v>
      </c>
      <c r="F63" s="36"/>
      <c r="G63" s="2">
        <v>255</v>
      </c>
      <c r="H63" s="36"/>
      <c r="I63" s="156">
        <v>653</v>
      </c>
      <c r="J63" s="36"/>
      <c r="K63" s="2">
        <v>0</v>
      </c>
      <c r="L63" s="36"/>
      <c r="M63" s="2">
        <v>100</v>
      </c>
      <c r="N63" s="36"/>
      <c r="O63" s="2">
        <v>0</v>
      </c>
      <c r="P63" s="36"/>
      <c r="Q63" s="2">
        <v>1250</v>
      </c>
      <c r="R63" s="36"/>
      <c r="S63" s="156">
        <v>7996</v>
      </c>
      <c r="T63" s="36"/>
      <c r="U63" s="2">
        <v>245</v>
      </c>
      <c r="V63" s="36"/>
      <c r="W63" s="156">
        <v>2000</v>
      </c>
      <c r="X63" s="36"/>
      <c r="Y63" s="2">
        <v>3642</v>
      </c>
      <c r="Z63" s="36"/>
      <c r="AA63" s="2">
        <v>350</v>
      </c>
      <c r="AB63" s="36"/>
      <c r="AC63" s="66"/>
      <c r="AD63" s="128" t="str">
        <f t="shared" si="11"/>
        <v xml:space="preserve">4353 </v>
      </c>
      <c r="AE63" s="2" t="str">
        <f t="shared" si="12"/>
        <v>Non-Inst. Materials</v>
      </c>
      <c r="AF63" s="2">
        <f t="shared" si="13"/>
        <v>25891</v>
      </c>
    </row>
    <row r="64" spans="1:32" x14ac:dyDescent="0.25">
      <c r="A64" s="128" t="s">
        <v>18</v>
      </c>
      <c r="B64" s="2" t="s">
        <v>17</v>
      </c>
      <c r="C64" s="3">
        <v>785</v>
      </c>
      <c r="E64" s="2">
        <v>4707.72</v>
      </c>
      <c r="F64" s="36"/>
      <c r="G64" s="2">
        <f>7216+G136</f>
        <v>10716</v>
      </c>
      <c r="H64" s="36"/>
      <c r="I64" s="156">
        <v>14879</v>
      </c>
      <c r="J64" s="36"/>
      <c r="K64" s="2">
        <f>+K136</f>
        <v>4794</v>
      </c>
      <c r="L64" s="36"/>
      <c r="M64" s="2">
        <v>6198</v>
      </c>
      <c r="N64" s="36"/>
      <c r="O64" s="2">
        <f>+O136</f>
        <v>4397</v>
      </c>
      <c r="P64" s="36"/>
      <c r="Q64" s="2">
        <f>1573+Q136</f>
        <v>4720</v>
      </c>
      <c r="R64" s="36"/>
      <c r="S64" s="156">
        <v>2737</v>
      </c>
      <c r="T64" s="36"/>
      <c r="U64" s="2">
        <v>4989</v>
      </c>
      <c r="V64" s="36"/>
      <c r="W64" s="156">
        <v>3000</v>
      </c>
      <c r="X64" s="36"/>
      <c r="Y64" s="2">
        <v>0</v>
      </c>
      <c r="Z64" s="36"/>
      <c r="AA64" s="2">
        <v>0</v>
      </c>
      <c r="AB64" s="36"/>
      <c r="AC64" s="66"/>
      <c r="AD64" s="128" t="str">
        <f t="shared" si="11"/>
        <v>4400</v>
      </c>
      <c r="AE64" s="2" t="str">
        <f t="shared" si="12"/>
        <v>Non-cap. Equipment</v>
      </c>
      <c r="AF64" s="2">
        <f t="shared" si="13"/>
        <v>61922.720000000001</v>
      </c>
    </row>
    <row r="65" spans="1:32" x14ac:dyDescent="0.25">
      <c r="A65" s="128"/>
      <c r="B65" s="124"/>
      <c r="C65" s="3">
        <v>0</v>
      </c>
      <c r="E65" s="2">
        <v>0</v>
      </c>
      <c r="F65" s="36"/>
      <c r="G65" s="2">
        <v>0</v>
      </c>
      <c r="H65" s="36"/>
      <c r="I65" s="156">
        <v>0</v>
      </c>
      <c r="J65" s="36"/>
      <c r="K65" s="2">
        <v>0</v>
      </c>
      <c r="L65" s="36"/>
      <c r="M65" s="2">
        <v>0</v>
      </c>
      <c r="N65" s="36"/>
      <c r="O65" s="2">
        <v>0</v>
      </c>
      <c r="P65" s="36"/>
      <c r="Q65" s="2">
        <v>0</v>
      </c>
      <c r="R65" s="36"/>
      <c r="S65" s="156">
        <v>0</v>
      </c>
      <c r="T65" s="36"/>
      <c r="U65" s="2">
        <v>0</v>
      </c>
      <c r="V65" s="36"/>
      <c r="W65" s="156">
        <v>0</v>
      </c>
      <c r="X65" s="36"/>
      <c r="Y65" s="2">
        <v>0</v>
      </c>
      <c r="Z65" s="36"/>
      <c r="AA65" s="2">
        <v>0</v>
      </c>
      <c r="AB65" s="36"/>
      <c r="AC65" s="66"/>
      <c r="AD65" s="128">
        <f t="shared" si="11"/>
        <v>0</v>
      </c>
      <c r="AE65" s="124">
        <f t="shared" si="12"/>
        <v>0</v>
      </c>
      <c r="AF65" s="2">
        <f t="shared" si="13"/>
        <v>0</v>
      </c>
    </row>
    <row r="66" spans="1:32" x14ac:dyDescent="0.25">
      <c r="A66" s="2"/>
      <c r="C66" s="8">
        <f>SUM(C59:C65)</f>
        <v>25829</v>
      </c>
      <c r="D66" s="33"/>
      <c r="E66" s="8">
        <f>SUM(E59:E65)</f>
        <v>31879.95</v>
      </c>
      <c r="F66" s="5"/>
      <c r="G66" s="8">
        <f>SUM(G59:G65)</f>
        <v>61150</v>
      </c>
      <c r="H66" s="5"/>
      <c r="I66" s="808">
        <f>SUM(I59:I65)</f>
        <v>67520</v>
      </c>
      <c r="J66" s="5"/>
      <c r="K66" s="8">
        <f>SUM(K59:K65)</f>
        <v>56257</v>
      </c>
      <c r="L66" s="5"/>
      <c r="M66" s="8">
        <f>SUM(M59:M65)</f>
        <v>38441</v>
      </c>
      <c r="N66" s="5"/>
      <c r="O66" s="8">
        <f>SUM(O59:O65)</f>
        <v>99278</v>
      </c>
      <c r="P66" s="5"/>
      <c r="Q66" s="8">
        <f>SUM(Q59:Q65)</f>
        <v>73395</v>
      </c>
      <c r="R66" s="5"/>
      <c r="S66" s="808">
        <f>SUM(S59:S65)</f>
        <v>43381</v>
      </c>
      <c r="T66" s="5"/>
      <c r="U66" s="8">
        <f>SUM(U59:U65)</f>
        <v>44052</v>
      </c>
      <c r="V66" s="5"/>
      <c r="W66" s="808">
        <f>SUM(W59:W65)</f>
        <v>37259</v>
      </c>
      <c r="X66" s="5"/>
      <c r="Y66" s="8">
        <f>SUM(Y59:Y65)</f>
        <v>28991</v>
      </c>
      <c r="Z66" s="5"/>
      <c r="AA66" s="8">
        <f>SUM(AA59:AA65)</f>
        <v>23827</v>
      </c>
      <c r="AB66" s="5"/>
      <c r="AC66" s="29"/>
      <c r="AD66" s="2"/>
      <c r="AF66" s="8">
        <f>SUM(AF59:AF65)</f>
        <v>631259.94999999995</v>
      </c>
    </row>
    <row r="67" spans="1:32" x14ac:dyDescent="0.25">
      <c r="F67" s="36"/>
      <c r="H67" s="36"/>
      <c r="J67" s="36"/>
      <c r="L67" s="36"/>
      <c r="N67" s="36"/>
      <c r="P67" s="36"/>
      <c r="R67" s="36"/>
      <c r="T67" s="36"/>
      <c r="V67" s="36"/>
      <c r="X67" s="36"/>
      <c r="Z67" s="36"/>
      <c r="AB67" s="36"/>
      <c r="AC67" s="66"/>
    </row>
    <row r="68" spans="1:32" s="6" customFormat="1" x14ac:dyDescent="0.25">
      <c r="A68" s="125" t="s">
        <v>16</v>
      </c>
      <c r="D68" s="33"/>
      <c r="I68" s="809"/>
      <c r="S68" s="809"/>
      <c r="W68" s="809"/>
      <c r="AC68" s="57"/>
      <c r="AD68" s="125" t="str">
        <f t="shared" ref="AD68:AD81" si="14">A68</f>
        <v>Services, Other Oprtng Exp.</v>
      </c>
    </row>
    <row r="69" spans="1:32" x14ac:dyDescent="0.25">
      <c r="A69" s="128" t="s">
        <v>15</v>
      </c>
      <c r="B69" s="2" t="s">
        <v>14</v>
      </c>
      <c r="C69" s="3">
        <v>290288</v>
      </c>
      <c r="E69" s="2">
        <v>775.44</v>
      </c>
      <c r="F69" s="36"/>
      <c r="G69" s="2">
        <v>0</v>
      </c>
      <c r="H69" s="36"/>
      <c r="I69" s="156">
        <v>12000</v>
      </c>
      <c r="J69" s="36"/>
      <c r="K69" s="2">
        <v>9000</v>
      </c>
      <c r="L69" s="36"/>
      <c r="M69" s="2">
        <v>7500</v>
      </c>
      <c r="N69" s="36"/>
      <c r="O69" s="2">
        <v>1971</v>
      </c>
      <c r="P69" s="36"/>
      <c r="Q69" s="2">
        <v>6631</v>
      </c>
      <c r="R69" s="36"/>
      <c r="S69" s="156">
        <v>4000</v>
      </c>
      <c r="T69" s="36"/>
      <c r="U69" s="2">
        <v>3526</v>
      </c>
      <c r="V69" s="36"/>
      <c r="W69" s="156">
        <v>6500</v>
      </c>
      <c r="X69" s="36"/>
      <c r="Y69" s="2">
        <v>800</v>
      </c>
      <c r="Z69" s="36"/>
      <c r="AA69" s="2">
        <v>7000</v>
      </c>
      <c r="AB69" s="36"/>
      <c r="AC69" s="66"/>
      <c r="AD69" s="128" t="str">
        <f t="shared" si="14"/>
        <v>5213</v>
      </c>
      <c r="AE69" s="2" t="str">
        <f t="shared" ref="AE69:AE82" si="15">B69</f>
        <v>Conf. &amp; Travel</v>
      </c>
      <c r="AF69" s="2">
        <f>SUM(C69,E69,G69,I69,K69,M69,O69,Q69,S69,U69,W69,Y69,AA69)</f>
        <v>349991.44</v>
      </c>
    </row>
    <row r="70" spans="1:32" x14ac:dyDescent="0.25">
      <c r="A70" s="128" t="s">
        <v>13</v>
      </c>
      <c r="B70" s="2" t="s">
        <v>12</v>
      </c>
      <c r="C70" s="3">
        <v>800</v>
      </c>
      <c r="E70" s="2">
        <v>0</v>
      </c>
      <c r="F70" s="36"/>
      <c r="G70" s="2">
        <v>0</v>
      </c>
      <c r="H70" s="36"/>
      <c r="I70" s="156">
        <v>0</v>
      </c>
      <c r="J70" s="36"/>
      <c r="K70" s="2">
        <v>0</v>
      </c>
      <c r="L70" s="36"/>
      <c r="M70" s="2">
        <v>0</v>
      </c>
      <c r="N70" s="36"/>
      <c r="O70" s="2">
        <v>0</v>
      </c>
      <c r="P70" s="36"/>
      <c r="Q70" s="2">
        <v>0</v>
      </c>
      <c r="R70" s="36"/>
      <c r="S70" s="156">
        <v>0</v>
      </c>
      <c r="T70" s="36"/>
      <c r="U70" s="2">
        <v>0</v>
      </c>
      <c r="V70" s="36"/>
      <c r="W70" s="156">
        <v>0</v>
      </c>
      <c r="X70" s="36"/>
      <c r="Y70" s="2">
        <v>0</v>
      </c>
      <c r="Z70" s="36"/>
      <c r="AA70" s="2">
        <v>0</v>
      </c>
      <c r="AB70" s="36"/>
      <c r="AC70" s="66"/>
      <c r="AD70" s="128" t="str">
        <f t="shared" si="14"/>
        <v>5310</v>
      </c>
      <c r="AE70" s="2" t="str">
        <f t="shared" si="15"/>
        <v>Membership/Dues</v>
      </c>
      <c r="AF70" s="2">
        <f t="shared" ref="AF70:AF81" si="16">SUM(C70,E70,G70,I70,K70,M70,O70,Q70,S70,U70,W70,Y70,AA70)</f>
        <v>800</v>
      </c>
    </row>
    <row r="71" spans="1:32" x14ac:dyDescent="0.25">
      <c r="A71" s="128" t="s">
        <v>128</v>
      </c>
      <c r="B71" s="2" t="s">
        <v>129</v>
      </c>
      <c r="C71" s="3">
        <v>0</v>
      </c>
      <c r="E71" s="2">
        <v>0</v>
      </c>
      <c r="F71" s="36"/>
      <c r="G71" s="2">
        <v>0</v>
      </c>
      <c r="H71" s="36"/>
      <c r="I71" s="156">
        <v>0</v>
      </c>
      <c r="J71" s="36"/>
      <c r="K71" s="2">
        <v>0</v>
      </c>
      <c r="L71" s="36"/>
      <c r="M71" s="2">
        <v>0</v>
      </c>
      <c r="N71" s="36"/>
      <c r="O71" s="2">
        <v>0</v>
      </c>
      <c r="P71" s="36"/>
      <c r="Q71" s="2">
        <v>0</v>
      </c>
      <c r="R71" s="36"/>
      <c r="S71" s="156">
        <v>0</v>
      </c>
      <c r="T71" s="36"/>
      <c r="U71" s="2">
        <v>0</v>
      </c>
      <c r="V71" s="36"/>
      <c r="W71" s="156">
        <v>1500</v>
      </c>
      <c r="X71" s="36"/>
      <c r="Z71" s="36"/>
      <c r="AB71" s="36"/>
      <c r="AC71" s="66"/>
      <c r="AD71" s="128" t="str">
        <f t="shared" si="14"/>
        <v>5607</v>
      </c>
      <c r="AE71" s="2" t="str">
        <f t="shared" si="15"/>
        <v>Repairs-Other</v>
      </c>
      <c r="AF71" s="2">
        <f t="shared" si="16"/>
        <v>1500</v>
      </c>
    </row>
    <row r="72" spans="1:32" x14ac:dyDescent="0.25">
      <c r="A72" s="128" t="s">
        <v>11</v>
      </c>
      <c r="B72" s="2" t="s">
        <v>10</v>
      </c>
      <c r="C72" s="3">
        <v>3199</v>
      </c>
      <c r="E72" s="2">
        <v>0</v>
      </c>
      <c r="F72" s="36"/>
      <c r="G72" s="2">
        <f>+G152</f>
        <v>500</v>
      </c>
      <c r="H72" s="36"/>
      <c r="I72" s="156">
        <v>0</v>
      </c>
      <c r="J72" s="36"/>
      <c r="K72" s="2">
        <v>0</v>
      </c>
      <c r="L72" s="36"/>
      <c r="M72" s="2">
        <v>0</v>
      </c>
      <c r="N72" s="36"/>
      <c r="O72" s="2">
        <v>0</v>
      </c>
      <c r="P72" s="36"/>
      <c r="Q72" s="2">
        <v>1500</v>
      </c>
      <c r="R72" s="36"/>
      <c r="S72" s="156">
        <v>0</v>
      </c>
      <c r="T72" s="36"/>
      <c r="U72" s="2">
        <v>0</v>
      </c>
      <c r="V72" s="36"/>
      <c r="W72" s="156">
        <v>0</v>
      </c>
      <c r="X72" s="36"/>
      <c r="Y72" s="2">
        <v>0</v>
      </c>
      <c r="Z72" s="36"/>
      <c r="AA72" s="2">
        <v>0</v>
      </c>
      <c r="AB72" s="36"/>
      <c r="AC72" s="66"/>
      <c r="AD72" s="128" t="str">
        <f t="shared" si="14"/>
        <v>5725</v>
      </c>
      <c r="AE72" s="2" t="str">
        <f t="shared" si="15"/>
        <v>Field Trip Transp.</v>
      </c>
      <c r="AF72" s="2">
        <f t="shared" si="16"/>
        <v>5199</v>
      </c>
    </row>
    <row r="73" spans="1:32" x14ac:dyDescent="0.25">
      <c r="A73" s="128" t="s">
        <v>120</v>
      </c>
      <c r="B73" s="2" t="s">
        <v>121</v>
      </c>
      <c r="C73" s="3">
        <v>0</v>
      </c>
      <c r="E73" s="2">
        <v>0</v>
      </c>
      <c r="F73" s="36"/>
      <c r="G73" s="2">
        <v>0</v>
      </c>
      <c r="H73" s="36"/>
      <c r="I73" s="156">
        <v>0</v>
      </c>
      <c r="J73" s="36"/>
      <c r="K73" s="2">
        <v>0</v>
      </c>
      <c r="L73" s="36"/>
      <c r="M73" s="2">
        <v>0</v>
      </c>
      <c r="N73" s="36"/>
      <c r="O73" s="2">
        <v>0</v>
      </c>
      <c r="P73" s="36"/>
      <c r="Q73" s="2">
        <v>750</v>
      </c>
      <c r="R73" s="36"/>
      <c r="S73" s="156">
        <v>4000</v>
      </c>
      <c r="T73" s="36"/>
      <c r="U73" s="2">
        <v>0</v>
      </c>
      <c r="V73" s="36"/>
      <c r="X73" s="36"/>
      <c r="Z73" s="36"/>
      <c r="AB73" s="36"/>
      <c r="AC73" s="66"/>
      <c r="AD73" s="128" t="str">
        <f t="shared" si="14"/>
        <v>5752</v>
      </c>
      <c r="AE73" s="2" t="str">
        <f t="shared" si="15"/>
        <v>Direct Srvc-Food Srvc.</v>
      </c>
      <c r="AF73" s="2">
        <f t="shared" si="16"/>
        <v>4750</v>
      </c>
    </row>
    <row r="74" spans="1:32" x14ac:dyDescent="0.25">
      <c r="A74" s="128" t="s">
        <v>126</v>
      </c>
      <c r="B74" s="2" t="s">
        <v>127</v>
      </c>
      <c r="C74" s="3">
        <v>0</v>
      </c>
      <c r="E74" s="2">
        <v>0</v>
      </c>
      <c r="F74" s="36"/>
      <c r="G74" s="2">
        <v>0</v>
      </c>
      <c r="H74" s="36"/>
      <c r="I74" s="156">
        <v>0</v>
      </c>
      <c r="J74" s="36"/>
      <c r="K74" s="2">
        <v>0</v>
      </c>
      <c r="L74" s="36"/>
      <c r="M74" s="2">
        <v>0</v>
      </c>
      <c r="N74" s="36"/>
      <c r="O74" s="2">
        <v>0</v>
      </c>
      <c r="P74" s="36"/>
      <c r="Q74" s="2">
        <v>0</v>
      </c>
      <c r="R74" s="36"/>
      <c r="S74" s="156">
        <v>0</v>
      </c>
      <c r="T74" s="36"/>
      <c r="U74" s="2">
        <v>640</v>
      </c>
      <c r="V74" s="36"/>
      <c r="X74" s="36"/>
      <c r="Z74" s="36"/>
      <c r="AB74" s="36"/>
      <c r="AC74" s="66"/>
      <c r="AD74" s="128" t="str">
        <f t="shared" si="14"/>
        <v>5806</v>
      </c>
      <c r="AE74" s="2" t="str">
        <f t="shared" si="15"/>
        <v>Outside Interpreter</v>
      </c>
      <c r="AF74" s="2">
        <f t="shared" si="16"/>
        <v>640</v>
      </c>
    </row>
    <row r="75" spans="1:32" x14ac:dyDescent="0.25">
      <c r="A75" s="128" t="s">
        <v>9</v>
      </c>
      <c r="B75" s="2" t="s">
        <v>8</v>
      </c>
      <c r="C75" s="3">
        <v>27678.37</v>
      </c>
      <c r="E75" s="2">
        <v>0</v>
      </c>
      <c r="F75" s="36"/>
      <c r="G75" s="2">
        <v>0</v>
      </c>
      <c r="H75" s="36"/>
      <c r="I75" s="156">
        <v>0</v>
      </c>
      <c r="J75" s="36"/>
      <c r="K75" s="2">
        <v>4950</v>
      </c>
      <c r="L75" s="36"/>
      <c r="M75" s="2">
        <v>0</v>
      </c>
      <c r="N75" s="36"/>
      <c r="O75" s="2">
        <v>0</v>
      </c>
      <c r="P75" s="36"/>
      <c r="Q75" s="2">
        <v>0</v>
      </c>
      <c r="R75" s="36"/>
      <c r="S75" s="156">
        <v>0</v>
      </c>
      <c r="T75" s="36"/>
      <c r="U75" s="2">
        <v>0</v>
      </c>
      <c r="V75" s="36"/>
      <c r="W75" s="156">
        <v>500</v>
      </c>
      <c r="X75" s="36"/>
      <c r="Y75" s="2">
        <v>5572</v>
      </c>
      <c r="Z75" s="36"/>
      <c r="AA75" s="2">
        <v>0</v>
      </c>
      <c r="AB75" s="36"/>
      <c r="AC75" s="66"/>
      <c r="AD75" s="128" t="str">
        <f t="shared" si="14"/>
        <v>5807</v>
      </c>
      <c r="AE75" s="2" t="str">
        <f t="shared" si="15"/>
        <v>Consultants</v>
      </c>
      <c r="AF75" s="2">
        <f t="shared" si="16"/>
        <v>38700.369999999995</v>
      </c>
    </row>
    <row r="76" spans="1:32" x14ac:dyDescent="0.25">
      <c r="A76" s="128" t="s">
        <v>122</v>
      </c>
      <c r="B76" s="2" t="s">
        <v>123</v>
      </c>
      <c r="C76" s="3">
        <v>0</v>
      </c>
      <c r="E76" s="2">
        <v>0</v>
      </c>
      <c r="F76" s="36"/>
      <c r="G76" s="2">
        <v>0</v>
      </c>
      <c r="H76" s="36"/>
      <c r="I76" s="156">
        <v>0</v>
      </c>
      <c r="J76" s="36"/>
      <c r="K76" s="2">
        <v>0</v>
      </c>
      <c r="L76" s="36"/>
      <c r="M76" s="2">
        <v>0</v>
      </c>
      <c r="N76" s="36"/>
      <c r="O76" s="2">
        <v>0</v>
      </c>
      <c r="P76" s="36"/>
      <c r="Q76" s="2">
        <v>390</v>
      </c>
      <c r="R76" s="36"/>
      <c r="S76" s="156">
        <v>0</v>
      </c>
      <c r="T76" s="36"/>
      <c r="U76" s="2">
        <v>0</v>
      </c>
      <c r="V76" s="36"/>
      <c r="W76" s="156">
        <v>0</v>
      </c>
      <c r="X76" s="36"/>
      <c r="Y76" s="2">
        <v>0</v>
      </c>
      <c r="Z76" s="36"/>
      <c r="AB76" s="36"/>
      <c r="AC76" s="66"/>
      <c r="AD76" s="128" t="str">
        <f t="shared" si="14"/>
        <v>5809</v>
      </c>
      <c r="AE76" s="2" t="str">
        <f t="shared" si="15"/>
        <v>Fees</v>
      </c>
      <c r="AF76" s="2">
        <f t="shared" si="16"/>
        <v>390</v>
      </c>
    </row>
    <row r="77" spans="1:32" x14ac:dyDescent="0.25">
      <c r="A77" s="128" t="s">
        <v>7</v>
      </c>
      <c r="B77" s="2" t="s">
        <v>6</v>
      </c>
      <c r="C77" s="3">
        <v>16000</v>
      </c>
      <c r="E77" s="2">
        <v>0</v>
      </c>
      <c r="F77" s="36"/>
      <c r="G77" s="2">
        <v>0</v>
      </c>
      <c r="H77" s="36"/>
      <c r="I77" s="156">
        <v>9922</v>
      </c>
      <c r="J77" s="36"/>
      <c r="K77" s="2">
        <v>2000</v>
      </c>
      <c r="L77" s="36"/>
      <c r="M77" s="2">
        <v>3000</v>
      </c>
      <c r="N77" s="36"/>
      <c r="O77" s="2">
        <v>0</v>
      </c>
      <c r="P77" s="36"/>
      <c r="Q77" s="2">
        <v>1000</v>
      </c>
      <c r="R77" s="36"/>
      <c r="S77" s="156">
        <v>4000</v>
      </c>
      <c r="T77" s="36"/>
      <c r="U77" s="2">
        <v>4450</v>
      </c>
      <c r="V77" s="36"/>
      <c r="W77" s="156">
        <v>300</v>
      </c>
      <c r="X77" s="36"/>
      <c r="Y77" s="2">
        <v>500</v>
      </c>
      <c r="Z77" s="36"/>
      <c r="AA77" s="2">
        <v>3500</v>
      </c>
      <c r="AB77" s="36"/>
      <c r="AC77" s="66"/>
      <c r="AD77" s="128" t="str">
        <f t="shared" si="14"/>
        <v>5813</v>
      </c>
      <c r="AE77" s="2" t="str">
        <f t="shared" si="15"/>
        <v>Outside Services</v>
      </c>
      <c r="AF77" s="2">
        <f t="shared" si="16"/>
        <v>44672</v>
      </c>
    </row>
    <row r="78" spans="1:32" x14ac:dyDescent="0.25">
      <c r="A78" s="128" t="s">
        <v>5</v>
      </c>
      <c r="B78" s="2" t="s">
        <v>4</v>
      </c>
      <c r="C78" s="3">
        <v>24998</v>
      </c>
      <c r="E78" s="2">
        <v>0</v>
      </c>
      <c r="F78" s="36"/>
      <c r="G78" s="2">
        <v>0</v>
      </c>
      <c r="H78" s="36"/>
      <c r="I78" s="156">
        <v>0</v>
      </c>
      <c r="J78" s="36"/>
      <c r="K78" s="2">
        <v>1614</v>
      </c>
      <c r="L78" s="36"/>
      <c r="M78" s="2">
        <v>0</v>
      </c>
      <c r="N78" s="36"/>
      <c r="O78" s="2">
        <v>300</v>
      </c>
      <c r="P78" s="36"/>
      <c r="Q78" s="2">
        <v>500</v>
      </c>
      <c r="R78" s="36"/>
      <c r="S78" s="156">
        <v>2689</v>
      </c>
      <c r="T78" s="36"/>
      <c r="U78" s="2">
        <v>0</v>
      </c>
      <c r="V78" s="36"/>
      <c r="W78" s="156">
        <v>4200</v>
      </c>
      <c r="X78" s="36"/>
      <c r="Y78" s="2">
        <v>1554</v>
      </c>
      <c r="Z78" s="36"/>
      <c r="AA78" s="2">
        <v>0</v>
      </c>
      <c r="AB78" s="36"/>
      <c r="AC78" s="66"/>
      <c r="AD78" s="128" t="str">
        <f t="shared" si="14"/>
        <v>5814</v>
      </c>
      <c r="AE78" s="2" t="str">
        <f t="shared" si="15"/>
        <v>Other Services</v>
      </c>
      <c r="AF78" s="2">
        <f t="shared" si="16"/>
        <v>35855</v>
      </c>
    </row>
    <row r="79" spans="1:32" x14ac:dyDescent="0.25">
      <c r="A79" s="128" t="s">
        <v>3</v>
      </c>
      <c r="B79" s="2" t="s">
        <v>2</v>
      </c>
      <c r="C79" s="3">
        <v>2000</v>
      </c>
      <c r="E79" s="2">
        <v>0</v>
      </c>
      <c r="F79" s="36"/>
      <c r="G79" s="2">
        <v>0</v>
      </c>
      <c r="H79" s="36"/>
      <c r="I79" s="156">
        <v>1700</v>
      </c>
      <c r="J79" s="36"/>
      <c r="K79" s="2">
        <v>0</v>
      </c>
      <c r="L79" s="36"/>
      <c r="M79" s="2">
        <v>0</v>
      </c>
      <c r="N79" s="36"/>
      <c r="O79" s="2">
        <v>0</v>
      </c>
      <c r="P79" s="36"/>
      <c r="Q79" s="2">
        <v>0</v>
      </c>
      <c r="R79" s="36"/>
      <c r="S79" s="156">
        <v>0</v>
      </c>
      <c r="T79" s="36"/>
      <c r="U79" s="2">
        <v>0</v>
      </c>
      <c r="V79" s="36"/>
      <c r="W79" s="156">
        <v>0</v>
      </c>
      <c r="X79" s="36"/>
      <c r="Y79" s="2">
        <v>0</v>
      </c>
      <c r="Z79" s="36"/>
      <c r="AA79" s="2">
        <v>0</v>
      </c>
      <c r="AB79" s="36"/>
      <c r="AC79" s="66"/>
      <c r="AD79" s="128" t="str">
        <f t="shared" si="14"/>
        <v>5817</v>
      </c>
      <c r="AE79" s="2" t="str">
        <f t="shared" si="15"/>
        <v>Outside Transp.</v>
      </c>
      <c r="AF79" s="2">
        <f t="shared" si="16"/>
        <v>3700</v>
      </c>
    </row>
    <row r="80" spans="1:32" x14ac:dyDescent="0.25">
      <c r="A80" s="128" t="s">
        <v>124</v>
      </c>
      <c r="B80" s="2" t="s">
        <v>125</v>
      </c>
      <c r="C80" s="3">
        <v>0</v>
      </c>
      <c r="E80" s="2">
        <v>0</v>
      </c>
      <c r="F80" s="36"/>
      <c r="G80" s="2">
        <v>0</v>
      </c>
      <c r="H80" s="36"/>
      <c r="I80" s="156">
        <v>0</v>
      </c>
      <c r="J80" s="36"/>
      <c r="K80" s="2">
        <v>0</v>
      </c>
      <c r="L80" s="36"/>
      <c r="M80" s="2">
        <v>0</v>
      </c>
      <c r="N80" s="36"/>
      <c r="O80" s="2">
        <v>0</v>
      </c>
      <c r="P80" s="36"/>
      <c r="Q80" s="2">
        <v>200</v>
      </c>
      <c r="R80" s="36"/>
      <c r="S80" s="156">
        <v>200</v>
      </c>
      <c r="T80" s="36"/>
      <c r="U80" s="2">
        <v>0</v>
      </c>
      <c r="V80" s="36"/>
      <c r="X80" s="36"/>
      <c r="Y80" s="2">
        <v>1000</v>
      </c>
      <c r="Z80" s="36"/>
      <c r="AB80" s="36"/>
      <c r="AC80" s="66"/>
      <c r="AD80" s="128" t="str">
        <f t="shared" si="14"/>
        <v>5908</v>
      </c>
      <c r="AE80" s="2" t="str">
        <f t="shared" si="15"/>
        <v>Postage</v>
      </c>
      <c r="AF80" s="2">
        <f t="shared" si="16"/>
        <v>1400</v>
      </c>
    </row>
    <row r="81" spans="1:33" x14ac:dyDescent="0.25">
      <c r="A81" s="128" t="s">
        <v>1</v>
      </c>
      <c r="C81" s="3">
        <v>0</v>
      </c>
      <c r="E81" s="2">
        <v>0</v>
      </c>
      <c r="F81" s="36"/>
      <c r="G81" s="2">
        <v>0</v>
      </c>
      <c r="H81" s="36"/>
      <c r="I81" s="156">
        <v>0</v>
      </c>
      <c r="J81" s="36"/>
      <c r="K81" s="2">
        <v>0</v>
      </c>
      <c r="L81" s="36"/>
      <c r="M81" s="2">
        <v>0</v>
      </c>
      <c r="N81" s="36"/>
      <c r="O81" s="2">
        <v>0</v>
      </c>
      <c r="P81" s="36"/>
      <c r="Q81" s="2">
        <v>0</v>
      </c>
      <c r="R81" s="36"/>
      <c r="S81" s="156">
        <v>0</v>
      </c>
      <c r="T81" s="36"/>
      <c r="U81" s="2">
        <v>0</v>
      </c>
      <c r="V81" s="36"/>
      <c r="W81" s="156">
        <v>0</v>
      </c>
      <c r="X81" s="36"/>
      <c r="Y81" s="2">
        <v>0</v>
      </c>
      <c r="Z81" s="36"/>
      <c r="AA81" s="2">
        <v>0</v>
      </c>
      <c r="AB81" s="36"/>
      <c r="AC81" s="66"/>
      <c r="AD81" s="128" t="str">
        <f t="shared" si="14"/>
        <v>5000</v>
      </c>
      <c r="AE81" s="124">
        <f t="shared" si="15"/>
        <v>0</v>
      </c>
      <c r="AF81" s="2">
        <f t="shared" si="16"/>
        <v>0</v>
      </c>
    </row>
    <row r="82" spans="1:33" x14ac:dyDescent="0.25">
      <c r="C82" s="8">
        <f>SUM(C69:C81)</f>
        <v>364963.37</v>
      </c>
      <c r="D82" s="33"/>
      <c r="E82" s="8">
        <f>SUM(E69:E81)</f>
        <v>775.44</v>
      </c>
      <c r="F82" s="5"/>
      <c r="G82" s="8">
        <f>SUM(G69:G81)</f>
        <v>500</v>
      </c>
      <c r="H82" s="5"/>
      <c r="I82" s="808">
        <f>SUM(I69:I81)</f>
        <v>23622</v>
      </c>
      <c r="J82" s="5"/>
      <c r="K82" s="8">
        <f>SUM(K69:K81)</f>
        <v>17564</v>
      </c>
      <c r="L82" s="5"/>
      <c r="M82" s="8">
        <f>SUM(M69:M81)</f>
        <v>10500</v>
      </c>
      <c r="N82" s="5"/>
      <c r="O82" s="8">
        <f>SUM(O69:O81)</f>
        <v>2271</v>
      </c>
      <c r="P82" s="5"/>
      <c r="Q82" s="8">
        <f>SUM(Q69:Q81)</f>
        <v>10971</v>
      </c>
      <c r="R82" s="5"/>
      <c r="S82" s="808">
        <f>SUM(S69:S81)</f>
        <v>14889</v>
      </c>
      <c r="T82" s="5"/>
      <c r="U82" s="8">
        <f>SUM(U69:U81)</f>
        <v>8616</v>
      </c>
      <c r="V82" s="5"/>
      <c r="W82" s="808">
        <f>SUM(W69:W81)</f>
        <v>13000</v>
      </c>
      <c r="X82" s="5"/>
      <c r="Y82" s="8">
        <f>SUM(Y69:Y81)</f>
        <v>9426</v>
      </c>
      <c r="Z82" s="5"/>
      <c r="AA82" s="8">
        <f>SUM(AA69:AA81)</f>
        <v>10500</v>
      </c>
      <c r="AB82" s="5"/>
      <c r="AC82" s="29"/>
      <c r="AE82" s="124">
        <f t="shared" si="15"/>
        <v>0</v>
      </c>
      <c r="AF82" s="8">
        <f>SUM(AF69:AF81)</f>
        <v>487597.81</v>
      </c>
    </row>
    <row r="83" spans="1:33" x14ac:dyDescent="0.25">
      <c r="A83" s="125"/>
      <c r="F83" s="36"/>
      <c r="H83" s="36"/>
      <c r="J83" s="36"/>
      <c r="L83" s="36"/>
      <c r="N83" s="36"/>
      <c r="P83" s="36"/>
      <c r="R83" s="36"/>
      <c r="T83" s="36"/>
      <c r="V83" s="36"/>
      <c r="X83" s="36"/>
      <c r="Z83" s="36"/>
      <c r="AB83" s="36"/>
      <c r="AC83" s="66"/>
      <c r="AD83" s="125"/>
    </row>
    <row r="84" spans="1:33" x14ac:dyDescent="0.25">
      <c r="F84" s="36"/>
      <c r="H84" s="36"/>
      <c r="J84" s="36"/>
      <c r="L84" s="36"/>
      <c r="N84" s="36"/>
      <c r="P84" s="36"/>
      <c r="R84" s="36"/>
      <c r="T84" s="36"/>
      <c r="V84" s="36"/>
      <c r="X84" s="36"/>
      <c r="Z84" s="36"/>
      <c r="AB84" s="36"/>
      <c r="AC84" s="66"/>
    </row>
    <row r="85" spans="1:33" x14ac:dyDescent="0.25">
      <c r="A85" s="125" t="s">
        <v>0</v>
      </c>
      <c r="C85" s="8">
        <f>SUM(C82,C66,C55,C13)</f>
        <v>1647165.37</v>
      </c>
      <c r="D85" s="33"/>
      <c r="E85" s="8">
        <f>SUM(E82,E66,E55)</f>
        <v>40899.39</v>
      </c>
      <c r="F85" s="5"/>
      <c r="G85" s="8">
        <f>SUM(G82,G66,G55)</f>
        <v>92864</v>
      </c>
      <c r="H85" s="5"/>
      <c r="I85" s="808">
        <f>SUM(I82,I66,I55)</f>
        <v>148609</v>
      </c>
      <c r="J85" s="5"/>
      <c r="K85" s="8">
        <f>SUM(K82,K66,K55)</f>
        <v>99051</v>
      </c>
      <c r="L85" s="5"/>
      <c r="M85" s="8">
        <f>SUM(M82,M66,M55)</f>
        <v>65573</v>
      </c>
      <c r="N85" s="5"/>
      <c r="O85" s="8">
        <f>SUM(O82,O66,O55)</f>
        <v>114958</v>
      </c>
      <c r="P85" s="5"/>
      <c r="Q85" s="8">
        <f>SUM(Q82,Q66,Q55)</f>
        <v>100288</v>
      </c>
      <c r="R85" s="5"/>
      <c r="S85" s="808">
        <f>SUM(S82,S66,S55)</f>
        <v>106619</v>
      </c>
      <c r="T85" s="5"/>
      <c r="U85" s="8">
        <f>SUM(U82,U66,U55)</f>
        <v>67761</v>
      </c>
      <c r="V85" s="5"/>
      <c r="W85" s="808">
        <f>SUM(W82,W66,W55)</f>
        <v>100960</v>
      </c>
      <c r="X85" s="5"/>
      <c r="Y85" s="8">
        <f>SUM(Y82,Y66,Y55)</f>
        <v>54971</v>
      </c>
      <c r="Z85" s="5"/>
      <c r="AA85" s="8">
        <f>SUM(AA82,AA66,AA55)</f>
        <v>63549</v>
      </c>
      <c r="AB85" s="5"/>
      <c r="AC85" s="29"/>
      <c r="AD85" s="125" t="str">
        <f>A85</f>
        <v>TOTAL EXPENDITURES</v>
      </c>
      <c r="AF85" s="8">
        <f>SUM(AF82,AF66,AF55,AF13)</f>
        <v>2703267.76</v>
      </c>
      <c r="AG85" s="2">
        <f>+SUM(C85:AA85)</f>
        <v>2703267.76</v>
      </c>
    </row>
    <row r="86" spans="1:33" x14ac:dyDescent="0.25">
      <c r="F86" s="36"/>
      <c r="H86" s="36"/>
      <c r="J86" s="36"/>
      <c r="L86" s="36"/>
      <c r="N86" s="36"/>
      <c r="P86" s="36"/>
      <c r="R86" s="36"/>
      <c r="T86" s="36"/>
      <c r="V86" s="36"/>
      <c r="X86" s="36"/>
      <c r="Z86" s="36"/>
      <c r="AB86" s="36"/>
      <c r="AC86" s="66"/>
    </row>
    <row r="87" spans="1:33" ht="15.75" x14ac:dyDescent="0.25">
      <c r="B87" s="2" t="s">
        <v>712</v>
      </c>
      <c r="F87" s="36"/>
      <c r="G87" s="2">
        <v>63864</v>
      </c>
      <c r="H87" s="36" t="s">
        <v>186</v>
      </c>
      <c r="J87" s="36"/>
      <c r="K87" s="2">
        <v>60043</v>
      </c>
      <c r="L87" s="36" t="s">
        <v>186</v>
      </c>
      <c r="N87" s="36"/>
      <c r="O87" s="2">
        <v>75954</v>
      </c>
      <c r="P87" s="36" t="s">
        <v>186</v>
      </c>
      <c r="Q87" s="2">
        <v>61288</v>
      </c>
      <c r="R87" s="36" t="s">
        <v>186</v>
      </c>
      <c r="T87" s="36"/>
      <c r="V87" s="36"/>
      <c r="X87" s="36"/>
      <c r="Z87" s="36"/>
      <c r="AB87" s="36"/>
      <c r="AC87" s="66"/>
      <c r="AD87" s="125" t="s">
        <v>138</v>
      </c>
      <c r="AF87" s="119">
        <f>AF11-AF85</f>
        <v>27167.610000000335</v>
      </c>
    </row>
    <row r="88" spans="1:33" x14ac:dyDescent="0.25">
      <c r="B88" s="127" t="s">
        <v>180</v>
      </c>
      <c r="C88" s="97">
        <f>+C85</f>
        <v>1647165.37</v>
      </c>
      <c r="G88" s="2">
        <f>+G85-G87</f>
        <v>29000</v>
      </c>
      <c r="H88" s="2" t="s">
        <v>187</v>
      </c>
      <c r="K88" s="2">
        <f>+K85-K87</f>
        <v>39008</v>
      </c>
      <c r="L88" s="2" t="s">
        <v>187</v>
      </c>
      <c r="O88" s="2">
        <f>+O85-O87</f>
        <v>39004</v>
      </c>
      <c r="P88" s="2" t="s">
        <v>187</v>
      </c>
      <c r="Q88" s="2">
        <f>+Q85-Q87</f>
        <v>39000</v>
      </c>
      <c r="R88" s="2" t="s">
        <v>187</v>
      </c>
      <c r="AD88" s="125"/>
      <c r="AE88" s="37"/>
      <c r="AF88" s="3"/>
    </row>
    <row r="89" spans="1:33" ht="15.75" x14ac:dyDescent="0.25">
      <c r="B89" s="127" t="s">
        <v>179</v>
      </c>
      <c r="C89" s="97">
        <f>SUM(E85,G85,I85,K85,M85,O85,Q85,S85,U85,W85,Y85,AA85)</f>
        <v>1056102.3900000001</v>
      </c>
      <c r="AD89" s="125" t="s">
        <v>136</v>
      </c>
      <c r="AE89" s="125"/>
      <c r="AF89" s="119">
        <f>AF7+AF87</f>
        <v>27167.610000000335</v>
      </c>
    </row>
    <row r="90" spans="1:33" x14ac:dyDescent="0.25">
      <c r="B90" s="99"/>
      <c r="C90" s="248">
        <f>SUM(C88:C89)</f>
        <v>2703267.7600000002</v>
      </c>
      <c r="AE90" s="6"/>
    </row>
    <row r="91" spans="1:33" s="107" customFormat="1" x14ac:dyDescent="0.25">
      <c r="A91" s="249"/>
      <c r="B91" s="250"/>
      <c r="C91" s="251">
        <f>+C11-C90</f>
        <v>27167.60999999987</v>
      </c>
      <c r="D91" s="252"/>
      <c r="I91" s="810"/>
      <c r="S91" s="810"/>
      <c r="W91" s="810"/>
      <c r="AC91" s="253"/>
      <c r="AD91" s="254"/>
    </row>
    <row r="92" spans="1:33" s="837" customFormat="1" ht="17.25" x14ac:dyDescent="0.4">
      <c r="C92" s="837" t="str">
        <f>+C19</f>
        <v>200 - DO</v>
      </c>
      <c r="D92" s="35"/>
      <c r="E92" s="837" t="str">
        <f>+E19</f>
        <v>010 - CFB</v>
      </c>
      <c r="G92" s="837" t="str">
        <f>+G19</f>
        <v>020 - SH</v>
      </c>
      <c r="I92" s="837" t="str">
        <f>+I19</f>
        <v>030 - SO</v>
      </c>
      <c r="K92" s="837" t="str">
        <f>+K19</f>
        <v>040 - ST</v>
      </c>
      <c r="M92" s="837" t="str">
        <f>+M19</f>
        <v>050 - SC</v>
      </c>
      <c r="O92" s="837" t="str">
        <f>+O19</f>
        <v>060 - SY</v>
      </c>
      <c r="Q92" s="837" t="str">
        <f>+Q19</f>
        <v>070 - WO</v>
      </c>
      <c r="S92" s="837" t="str">
        <f>+S19</f>
        <v>080 - EU</v>
      </c>
      <c r="U92" s="837" t="str">
        <f>+U19</f>
        <v>090 - OR</v>
      </c>
      <c r="W92" s="837" t="str">
        <f>+W19</f>
        <v>110 - DS</v>
      </c>
      <c r="Y92" s="837" t="str">
        <f>+Y19</f>
        <v>120 - MAS</v>
      </c>
      <c r="AA92" s="837" t="str">
        <f>+AA19</f>
        <v>130 - CR</v>
      </c>
      <c r="AC92" s="838"/>
      <c r="AE92" s="35"/>
    </row>
    <row r="93" spans="1:33" s="577" customFormat="1" x14ac:dyDescent="0.25">
      <c r="A93" s="759"/>
      <c r="B93" s="611" t="str">
        <f>"Actuals as of "&amp;TEXT(C17,"mm/dd/yyyy")</f>
        <v>Actuals as of 04/23/2017</v>
      </c>
      <c r="C93" s="760">
        <v>930477.1</v>
      </c>
      <c r="D93" s="761"/>
      <c r="E93" s="760">
        <v>35714.79</v>
      </c>
      <c r="F93" s="762"/>
      <c r="G93" s="760">
        <v>57236.46</v>
      </c>
      <c r="H93" s="762" t="s">
        <v>739</v>
      </c>
      <c r="I93" s="339">
        <v>73443.199999999997</v>
      </c>
      <c r="J93" s="762"/>
      <c r="K93" s="760">
        <v>38531.620000000003</v>
      </c>
      <c r="L93" s="762" t="s">
        <v>739</v>
      </c>
      <c r="M93" s="760">
        <v>45807.040000000001</v>
      </c>
      <c r="N93" s="762"/>
      <c r="O93" s="760">
        <v>9374.16</v>
      </c>
      <c r="P93" s="762"/>
      <c r="Q93" s="760">
        <v>56854.27</v>
      </c>
      <c r="R93" s="762"/>
      <c r="S93" s="339">
        <v>36133.160000000003</v>
      </c>
      <c r="T93" s="762"/>
      <c r="U93" s="760">
        <v>46611.59</v>
      </c>
      <c r="V93" s="762"/>
      <c r="W93" s="339">
        <v>66249.31</v>
      </c>
      <c r="X93" s="762"/>
      <c r="Y93" s="760">
        <v>28964.639999999999</v>
      </c>
      <c r="Z93" s="762"/>
      <c r="AA93" s="760">
        <v>22021.87</v>
      </c>
      <c r="AB93" s="762"/>
      <c r="AC93" s="763"/>
      <c r="AD93" s="611"/>
      <c r="AE93" s="611" t="str">
        <f>B93</f>
        <v>Actuals as of 04/23/2017</v>
      </c>
      <c r="AF93" s="577">
        <f>SUM(C93,E93,G93,I93,K93,M93,O93,Q93,S93,U93,W93,Y93,AA93)</f>
        <v>1447419.2100000002</v>
      </c>
    </row>
    <row r="94" spans="1:33" s="577" customFormat="1" x14ac:dyDescent="0.25">
      <c r="A94" s="611"/>
      <c r="B94" s="611" t="str">
        <f>"Encumb. as of "&amp;TEXT(C17,"mm/dd/yyyy")</f>
        <v>Encumb. as of 04/23/2017</v>
      </c>
      <c r="C94" s="760">
        <v>327228.25</v>
      </c>
      <c r="D94" s="761"/>
      <c r="E94" s="760">
        <v>0</v>
      </c>
      <c r="F94" s="762"/>
      <c r="G94" s="760">
        <v>35679.75</v>
      </c>
      <c r="H94" s="762" t="s">
        <v>740</v>
      </c>
      <c r="I94" s="339">
        <v>8148.57</v>
      </c>
      <c r="J94" s="762"/>
      <c r="K94" s="760">
        <v>52541.599999999999</v>
      </c>
      <c r="L94" s="762" t="s">
        <v>740</v>
      </c>
      <c r="M94" s="760">
        <v>11354.21</v>
      </c>
      <c r="N94" s="762"/>
      <c r="O94" s="760">
        <v>101715.69</v>
      </c>
      <c r="P94" s="762"/>
      <c r="Q94" s="760">
        <f>11599.44+406.32+95.03</f>
        <v>12100.79</v>
      </c>
      <c r="R94" s="762" t="s">
        <v>761</v>
      </c>
      <c r="S94" s="339">
        <v>25494.69</v>
      </c>
      <c r="T94" s="762"/>
      <c r="U94" s="760">
        <v>4221.18</v>
      </c>
      <c r="V94" s="762"/>
      <c r="W94" s="339">
        <v>16945.87</v>
      </c>
      <c r="X94" s="762"/>
      <c r="Y94" s="760">
        <v>22633.94</v>
      </c>
      <c r="Z94" s="762"/>
      <c r="AA94" s="760">
        <v>18979.060000000001</v>
      </c>
      <c r="AB94" s="762"/>
      <c r="AC94" s="763"/>
      <c r="AD94" s="611"/>
      <c r="AE94" s="611" t="str">
        <f>B94</f>
        <v>Encumb. as of 04/23/2017</v>
      </c>
      <c r="AF94" s="577">
        <f>SUM(C94,E94,G94,I94,K94,M94,O94,Q94,S94,U94,W94,Y94,AA94)</f>
        <v>637043.60000000009</v>
      </c>
    </row>
    <row r="95" spans="1:33" s="577" customFormat="1" ht="15" customHeight="1" x14ac:dyDescent="0.25">
      <c r="A95" s="611"/>
      <c r="B95" s="612" t="s">
        <v>118</v>
      </c>
      <c r="C95" s="764">
        <f>SUM(C93:C94)</f>
        <v>1257705.3500000001</v>
      </c>
      <c r="D95" s="761"/>
      <c r="E95" s="764">
        <f>SUM(E93:E94)</f>
        <v>35714.79</v>
      </c>
      <c r="F95" s="762"/>
      <c r="G95" s="764">
        <f>SUM(G93:G94)</f>
        <v>92916.209999999992</v>
      </c>
      <c r="H95" s="762" t="s">
        <v>741</v>
      </c>
      <c r="I95" s="811">
        <f>SUM(I93:I94)</f>
        <v>81591.76999999999</v>
      </c>
      <c r="J95" s="762"/>
      <c r="K95" s="764">
        <f>SUM(K93:K94)</f>
        <v>91073.22</v>
      </c>
      <c r="L95" s="762" t="s">
        <v>741</v>
      </c>
      <c r="M95" s="764">
        <f>SUM(M93:M94)</f>
        <v>57161.25</v>
      </c>
      <c r="N95" s="762"/>
      <c r="O95" s="764">
        <f>SUM(O93:O94)</f>
        <v>111089.85</v>
      </c>
      <c r="P95" s="762"/>
      <c r="Q95" s="764">
        <f>SUM(Q93:Q94)</f>
        <v>68955.06</v>
      </c>
      <c r="R95" s="762"/>
      <c r="S95" s="811">
        <f>SUM(S93:S94)</f>
        <v>61627.850000000006</v>
      </c>
      <c r="T95" s="762"/>
      <c r="U95" s="764">
        <f>SUM(U93:U94)</f>
        <v>50832.77</v>
      </c>
      <c r="V95" s="762"/>
      <c r="W95" s="811">
        <f>SUM(W93:W94)</f>
        <v>83195.179999999993</v>
      </c>
      <c r="X95" s="762"/>
      <c r="Y95" s="764">
        <f>SUM(Y93:Y94)</f>
        <v>51598.58</v>
      </c>
      <c r="Z95" s="762"/>
      <c r="AA95" s="764">
        <f>SUM(AA93:AA94)</f>
        <v>41000.93</v>
      </c>
      <c r="AB95" s="762"/>
      <c r="AC95" s="763"/>
      <c r="AD95" s="611"/>
      <c r="AE95" s="611" t="str">
        <f>B95</f>
        <v>TOTAL</v>
      </c>
      <c r="AF95" s="765">
        <f>SUM(AF93:AF94)</f>
        <v>2084462.8100000003</v>
      </c>
    </row>
    <row r="96" spans="1:33" x14ac:dyDescent="0.25">
      <c r="E96" s="3"/>
      <c r="F96" s="36"/>
      <c r="G96" s="3"/>
      <c r="H96" s="36"/>
      <c r="I96" s="339"/>
      <c r="J96" s="36"/>
      <c r="K96" s="3"/>
      <c r="L96" s="36"/>
      <c r="M96" s="774"/>
      <c r="N96" s="36"/>
      <c r="O96" s="3"/>
      <c r="P96" s="36"/>
      <c r="Q96" s="3"/>
      <c r="R96" s="36"/>
      <c r="S96" s="339"/>
      <c r="T96" s="36"/>
      <c r="U96" s="3"/>
      <c r="V96" s="36"/>
      <c r="W96" s="339"/>
      <c r="X96" s="36"/>
      <c r="Y96" s="3"/>
      <c r="Z96" s="36"/>
      <c r="AA96" s="3"/>
      <c r="AB96" s="36"/>
      <c r="AC96" s="66"/>
      <c r="AD96" s="255"/>
      <c r="AE96" s="255"/>
    </row>
    <row r="97" spans="1:33" x14ac:dyDescent="0.25">
      <c r="B97" s="611" t="s">
        <v>713</v>
      </c>
      <c r="C97" s="771">
        <f>C85-C95</f>
        <v>389460.02</v>
      </c>
      <c r="D97" s="772"/>
      <c r="E97" s="771">
        <f>E85-E95</f>
        <v>5184.5999999999985</v>
      </c>
      <c r="F97" s="773"/>
      <c r="G97" s="771">
        <f>G85-G95</f>
        <v>-52.209999999991851</v>
      </c>
      <c r="H97" s="773"/>
      <c r="I97" s="812">
        <f>I85-I95</f>
        <v>67017.23000000001</v>
      </c>
      <c r="J97" s="773"/>
      <c r="K97" s="771">
        <f>K85-K95</f>
        <v>7977.7799999999988</v>
      </c>
      <c r="L97" s="773"/>
      <c r="M97" s="771">
        <f>M85-M95</f>
        <v>8411.75</v>
      </c>
      <c r="N97" s="773"/>
      <c r="O97" s="771">
        <f>O85-O95</f>
        <v>3868.1499999999942</v>
      </c>
      <c r="P97" s="773"/>
      <c r="Q97" s="771">
        <f>Q85-Q95</f>
        <v>31332.940000000002</v>
      </c>
      <c r="R97" s="773"/>
      <c r="S97" s="812">
        <f>S85-S95</f>
        <v>44991.149999999994</v>
      </c>
      <c r="T97" s="773"/>
      <c r="U97" s="771">
        <f>U85-U95</f>
        <v>16928.230000000003</v>
      </c>
      <c r="V97" s="773"/>
      <c r="W97" s="812">
        <f>W85-W95</f>
        <v>17764.820000000007</v>
      </c>
      <c r="X97" s="773"/>
      <c r="Y97" s="771">
        <f>Y85-Y95</f>
        <v>3372.4199999999983</v>
      </c>
      <c r="Z97" s="773"/>
      <c r="AA97" s="771">
        <f>AA85-AA95</f>
        <v>22548.07</v>
      </c>
      <c r="AB97" s="36"/>
      <c r="AC97" s="66"/>
      <c r="AE97" s="611" t="str">
        <f>B97</f>
        <v>Balance Available</v>
      </c>
      <c r="AF97" s="771">
        <f>AF85-AF95</f>
        <v>618804.94999999949</v>
      </c>
    </row>
    <row r="98" spans="1:33" x14ac:dyDescent="0.25">
      <c r="L98" s="829" t="s">
        <v>749</v>
      </c>
      <c r="AE98" s="37"/>
    </row>
    <row r="99" spans="1:33" x14ac:dyDescent="0.25">
      <c r="E99" s="340"/>
      <c r="F99" s="340"/>
      <c r="H99" s="829" t="s">
        <v>749</v>
      </c>
      <c r="J99" s="829" t="s">
        <v>749</v>
      </c>
      <c r="L99" s="828" t="s">
        <v>748</v>
      </c>
      <c r="N99" s="829" t="s">
        <v>749</v>
      </c>
      <c r="P99" s="829" t="s">
        <v>749</v>
      </c>
      <c r="AE99" s="37"/>
    </row>
    <row r="100" spans="1:33" ht="15" customHeight="1" x14ac:dyDescent="0.25">
      <c r="B100" s="2566" t="s">
        <v>762</v>
      </c>
      <c r="C100" s="2">
        <v>338000</v>
      </c>
      <c r="D100" s="2" t="s">
        <v>130</v>
      </c>
      <c r="E100" s="340">
        <v>2545.7800000000002</v>
      </c>
      <c r="F100" s="340" t="s">
        <v>532</v>
      </c>
      <c r="G100" s="818">
        <v>1160</v>
      </c>
      <c r="H100" s="818" t="s">
        <v>768</v>
      </c>
      <c r="I100" s="818">
        <v>14749.19</v>
      </c>
      <c r="J100" s="818" t="s">
        <v>735</v>
      </c>
      <c r="K100" s="818">
        <f>1029.42+401.96</f>
        <v>1431.38</v>
      </c>
      <c r="L100" s="818" t="s">
        <v>768</v>
      </c>
      <c r="M100" s="818">
        <v>5444.6</v>
      </c>
      <c r="N100" s="818" t="s">
        <v>735</v>
      </c>
      <c r="O100" s="831">
        <v>833</v>
      </c>
      <c r="P100" s="831" t="s">
        <v>754</v>
      </c>
      <c r="Q100" s="818">
        <v>6858.37</v>
      </c>
      <c r="R100" s="818" t="s">
        <v>743</v>
      </c>
      <c r="S100" s="818">
        <v>14378</v>
      </c>
      <c r="T100" s="818" t="s">
        <v>735</v>
      </c>
      <c r="U100" s="818">
        <v>6660</v>
      </c>
      <c r="V100" s="818" t="s">
        <v>735</v>
      </c>
      <c r="W100" s="818">
        <v>5603.54</v>
      </c>
      <c r="X100" s="818" t="s">
        <v>735</v>
      </c>
      <c r="Y100" s="818">
        <v>1032.5</v>
      </c>
      <c r="Z100" s="818" t="s">
        <v>735</v>
      </c>
      <c r="AA100" s="818">
        <v>13808.99</v>
      </c>
      <c r="AB100" s="818" t="s">
        <v>735</v>
      </c>
      <c r="AE100" s="2569" t="str">
        <f>+B100</f>
        <v>2016-2017 c/o to be expensed in 2017-18 and/or trying to expese by June 30, 2017</v>
      </c>
      <c r="AF100" s="577">
        <f>SUM(C100,E100,G100,I100,K100,M100,O100,Q100,S100,U100,W100,Y100,AA100)</f>
        <v>412505.35</v>
      </c>
      <c r="AG100" s="577" t="s">
        <v>765</v>
      </c>
    </row>
    <row r="101" spans="1:33" x14ac:dyDescent="0.25">
      <c r="A101" s="832"/>
      <c r="B101" s="2566"/>
      <c r="C101" s="2">
        <v>26000</v>
      </c>
      <c r="D101" s="2" t="s">
        <v>131</v>
      </c>
      <c r="E101" s="340">
        <v>108.42</v>
      </c>
      <c r="F101" s="340" t="s">
        <v>35</v>
      </c>
      <c r="G101" s="818">
        <v>1627.47</v>
      </c>
      <c r="H101" s="818" t="s">
        <v>768</v>
      </c>
      <c r="I101" s="818">
        <v>3266.5</v>
      </c>
      <c r="J101" s="818" t="s">
        <v>736</v>
      </c>
      <c r="K101" s="818">
        <v>255.92</v>
      </c>
      <c r="L101" s="818" t="s">
        <v>768</v>
      </c>
      <c r="M101" s="818">
        <v>270.62</v>
      </c>
      <c r="N101" s="818" t="s">
        <v>736</v>
      </c>
      <c r="O101" s="831">
        <v>603</v>
      </c>
      <c r="P101" s="831" t="s">
        <v>755</v>
      </c>
      <c r="Q101" s="818">
        <f>1221-876.73</f>
        <v>344.27</v>
      </c>
      <c r="R101" s="818" t="s">
        <v>756</v>
      </c>
      <c r="S101" s="818">
        <v>5718.97</v>
      </c>
      <c r="T101" s="818" t="s">
        <v>736</v>
      </c>
      <c r="U101" s="818">
        <v>108.14</v>
      </c>
      <c r="V101" s="818" t="s">
        <v>736</v>
      </c>
      <c r="W101" s="818">
        <v>706.64</v>
      </c>
      <c r="X101" s="818" t="s">
        <v>736</v>
      </c>
      <c r="Y101" s="818">
        <v>84.63</v>
      </c>
      <c r="Z101" s="818" t="s">
        <v>736</v>
      </c>
      <c r="AA101" s="818">
        <v>649.42999999999995</v>
      </c>
      <c r="AB101" s="818" t="s">
        <v>736</v>
      </c>
      <c r="AD101" s="834"/>
      <c r="AE101" s="2569"/>
      <c r="AF101" s="577">
        <f>SUM(C101,E101,G101,I101,K101,M101,O101,Q101,S101,U101,W101,Y101,AA101)</f>
        <v>39744.009999999995</v>
      </c>
      <c r="AG101" s="577" t="s">
        <v>766</v>
      </c>
    </row>
    <row r="102" spans="1:33" x14ac:dyDescent="0.25">
      <c r="B102" s="2566"/>
      <c r="C102" s="817">
        <f>+(SUM(C95,E95,G95,I95,K95,M95,O95,Q95,S95,U95,W95,Y95,AA95,E105,G105,I105,K105,O105,Q105,S105,U105,W105,Y105,AA105)*0.037)</f>
        <v>81635.331470000005</v>
      </c>
      <c r="D102" s="30" t="s">
        <v>732</v>
      </c>
      <c r="E102" s="340">
        <v>2530.4</v>
      </c>
      <c r="F102" s="340" t="s">
        <v>27</v>
      </c>
      <c r="G102" s="818">
        <v>1013.24</v>
      </c>
      <c r="H102" s="818" t="s">
        <v>768</v>
      </c>
      <c r="I102" s="818">
        <v>1713.5</v>
      </c>
      <c r="J102" s="818" t="s">
        <v>734</v>
      </c>
      <c r="K102" s="818">
        <v>602.34</v>
      </c>
      <c r="L102" s="818" t="s">
        <v>768</v>
      </c>
      <c r="M102" s="818">
        <v>1297.4100000000001</v>
      </c>
      <c r="N102" s="818" t="s">
        <v>734</v>
      </c>
      <c r="O102" s="818">
        <v>2428.15</v>
      </c>
      <c r="P102" s="836"/>
      <c r="Q102" s="818">
        <f>1738-455.48</f>
        <v>1282.52</v>
      </c>
      <c r="R102" s="818" t="s">
        <v>763</v>
      </c>
      <c r="S102" s="818">
        <v>2952.69</v>
      </c>
      <c r="T102" s="818" t="s">
        <v>734</v>
      </c>
      <c r="U102" s="818">
        <v>3302.96</v>
      </c>
      <c r="V102" s="818" t="s">
        <v>734</v>
      </c>
      <c r="W102" s="818">
        <v>2961.55</v>
      </c>
      <c r="X102" s="818" t="s">
        <v>734</v>
      </c>
      <c r="Y102" s="818">
        <v>274.94</v>
      </c>
      <c r="Z102" s="818" t="s">
        <v>734</v>
      </c>
      <c r="AA102" s="818">
        <v>3035.93</v>
      </c>
      <c r="AB102" s="818" t="s">
        <v>734</v>
      </c>
      <c r="AD102" s="611"/>
      <c r="AE102" s="2569"/>
      <c r="AF102" s="577">
        <f>SUM(C102,E102,G102,I102,K102,M102,O102,Q102,S102,U102,W102,Y102,AA102)</f>
        <v>105030.96147000001</v>
      </c>
      <c r="AG102" s="577" t="s">
        <v>767</v>
      </c>
    </row>
    <row r="103" spans="1:33" ht="15" customHeight="1" x14ac:dyDescent="0.25">
      <c r="B103" s="2566"/>
      <c r="C103" s="2">
        <v>0</v>
      </c>
      <c r="D103" s="818" t="s">
        <v>733</v>
      </c>
      <c r="E103" s="2">
        <v>0</v>
      </c>
      <c r="G103" s="830">
        <f>3203.15+418.11+1289.09-254.13</f>
        <v>4656.22</v>
      </c>
      <c r="H103" s="830" t="s">
        <v>744</v>
      </c>
      <c r="I103" s="156">
        <v>0</v>
      </c>
      <c r="K103" s="830">
        <f>5287.82+794.28-401.96</f>
        <v>5680.1399999999994</v>
      </c>
      <c r="L103" s="830" t="s">
        <v>746</v>
      </c>
      <c r="M103" s="2">
        <v>0</v>
      </c>
      <c r="P103" s="2" t="s">
        <v>769</v>
      </c>
      <c r="Q103" s="830">
        <f>2837.47+428.32</f>
        <v>3265.79</v>
      </c>
      <c r="R103" s="830" t="s">
        <v>757</v>
      </c>
      <c r="S103" s="156">
        <v>0</v>
      </c>
      <c r="U103" s="2">
        <v>0</v>
      </c>
      <c r="W103" s="156">
        <v>0</v>
      </c>
      <c r="Y103" s="2">
        <v>0</v>
      </c>
      <c r="AA103" s="2">
        <v>0</v>
      </c>
      <c r="AD103" s="611"/>
      <c r="AE103" s="2569"/>
      <c r="AF103" s="577">
        <f>SUM(C103,E103,G103,I103,K103,M103,O103,Q103,S103,U103,W103,Y103,AA103)</f>
        <v>13602.150000000001</v>
      </c>
      <c r="AG103" s="577" t="s">
        <v>134</v>
      </c>
    </row>
    <row r="104" spans="1:33" x14ac:dyDescent="0.25">
      <c r="B104" s="2566"/>
      <c r="C104" s="2">
        <v>0</v>
      </c>
      <c r="D104" s="2"/>
      <c r="E104" s="2">
        <v>0</v>
      </c>
      <c r="G104" s="2">
        <v>0</v>
      </c>
      <c r="I104" s="156">
        <v>0</v>
      </c>
      <c r="K104" s="830">
        <v>0</v>
      </c>
      <c r="L104" s="830" t="s">
        <v>747</v>
      </c>
      <c r="M104" s="2">
        <v>0</v>
      </c>
      <c r="O104" s="2">
        <v>0</v>
      </c>
      <c r="Q104" s="830">
        <f>3162.99+500</f>
        <v>3662.99</v>
      </c>
      <c r="R104" s="830" t="s">
        <v>758</v>
      </c>
      <c r="S104" s="156">
        <v>0</v>
      </c>
      <c r="U104" s="2">
        <v>0</v>
      </c>
      <c r="W104" s="156">
        <v>0</v>
      </c>
      <c r="Y104" s="2">
        <v>0</v>
      </c>
      <c r="AA104" s="2">
        <v>0</v>
      </c>
      <c r="AD104" s="611"/>
      <c r="AE104" s="2569"/>
      <c r="AF104" s="577">
        <f>SUM(C104,E104,G104,I104,K104,M104,O104,Q104,S104,U104,W104,Y104,AA104)</f>
        <v>3662.99</v>
      </c>
      <c r="AG104" s="577" t="s">
        <v>134</v>
      </c>
    </row>
    <row r="105" spans="1:33" x14ac:dyDescent="0.25">
      <c r="B105" s="2566"/>
      <c r="C105" s="155">
        <f>SUM(C100:C104)</f>
        <v>445635.33146999998</v>
      </c>
      <c r="D105" s="2" t="s">
        <v>57</v>
      </c>
      <c r="E105" s="155">
        <f>SUM(E100:E104)</f>
        <v>5184.6000000000004</v>
      </c>
      <c r="G105" s="155">
        <f>SUM(G100:G104)</f>
        <v>8456.93</v>
      </c>
      <c r="I105" s="813">
        <f>SUM(I100:I104)</f>
        <v>19729.190000000002</v>
      </c>
      <c r="K105" s="155">
        <f>SUM(K100:K104)</f>
        <v>7969.78</v>
      </c>
      <c r="M105" s="155">
        <f>SUM(M100:M104)</f>
        <v>7012.63</v>
      </c>
      <c r="O105" s="155">
        <f>SUM(O100:O104)</f>
        <v>3864.15</v>
      </c>
      <c r="Q105" s="155">
        <f>SUM(Q100:Q104)</f>
        <v>15413.94</v>
      </c>
      <c r="S105" s="813">
        <f>SUM(S100:S104)</f>
        <v>23049.66</v>
      </c>
      <c r="U105" s="155">
        <f>SUM(U100:U104)</f>
        <v>10071.1</v>
      </c>
      <c r="W105" s="813">
        <f>SUM(W100:W104)</f>
        <v>9271.73</v>
      </c>
      <c r="Y105" s="155">
        <f>SUM(Y100:Y104)</f>
        <v>1392.0700000000002</v>
      </c>
      <c r="AA105" s="155">
        <f>SUM(AA100:AA104)</f>
        <v>17494.349999999999</v>
      </c>
      <c r="AD105" s="611"/>
      <c r="AE105" s="611" t="s">
        <v>697</v>
      </c>
      <c r="AF105" s="613">
        <f>SUM(AF100:AF104)</f>
        <v>574545.46146999998</v>
      </c>
      <c r="AG105" s="577"/>
    </row>
    <row r="106" spans="1:33" x14ac:dyDescent="0.25">
      <c r="C106" s="2"/>
      <c r="D106" s="2"/>
    </row>
    <row r="107" spans="1:33" x14ac:dyDescent="0.25">
      <c r="C107" s="2"/>
      <c r="D107" s="2"/>
    </row>
    <row r="108" spans="1:33" ht="28.5" customHeight="1" x14ac:dyDescent="0.25">
      <c r="A108" s="2566" t="s">
        <v>135</v>
      </c>
      <c r="B108" s="2566"/>
      <c r="C108" s="3">
        <f>C97-C105</f>
        <v>-56175.311469999957</v>
      </c>
      <c r="D108" s="2"/>
      <c r="E108" s="826">
        <f>E97-E105</f>
        <v>0</v>
      </c>
      <c r="F108" s="825"/>
      <c r="G108" s="256">
        <f>G97-G105</f>
        <v>-8509.1399999999921</v>
      </c>
      <c r="H108" s="825" t="s">
        <v>737</v>
      </c>
      <c r="I108" s="814">
        <f>I97-I105</f>
        <v>47288.040000000008</v>
      </c>
      <c r="J108" s="825" t="s">
        <v>737</v>
      </c>
      <c r="K108" s="3">
        <f>K97-K105</f>
        <v>7.9999999999990905</v>
      </c>
      <c r="L108" s="825"/>
      <c r="M108" s="3">
        <f>M97-M105</f>
        <v>1399.12</v>
      </c>
      <c r="N108" s="825" t="s">
        <v>737</v>
      </c>
      <c r="O108" s="3">
        <f>O97-O105</f>
        <v>3.9999999999940883</v>
      </c>
      <c r="P108" s="825"/>
      <c r="Q108" s="3">
        <f>Q97-Q105</f>
        <v>15919.000000000002</v>
      </c>
      <c r="R108" s="825" t="s">
        <v>737</v>
      </c>
      <c r="S108" s="339">
        <f>S97-S105</f>
        <v>21941.489999999994</v>
      </c>
      <c r="T108" s="825" t="s">
        <v>737</v>
      </c>
      <c r="U108" s="3">
        <f>U97-U105</f>
        <v>6857.1300000000028</v>
      </c>
      <c r="V108" s="825" t="s">
        <v>737</v>
      </c>
      <c r="W108" s="339">
        <f>W97-W105</f>
        <v>8493.0900000000074</v>
      </c>
      <c r="X108" s="825" t="s">
        <v>737</v>
      </c>
      <c r="Y108" s="3">
        <f>Y97-Y105</f>
        <v>1980.3499999999981</v>
      </c>
      <c r="Z108" s="825" t="s">
        <v>737</v>
      </c>
      <c r="AA108" s="3">
        <f>AA97-AA105</f>
        <v>5053.7200000000012</v>
      </c>
      <c r="AB108" s="825" t="s">
        <v>737</v>
      </c>
      <c r="AD108" s="2567" t="s">
        <v>135</v>
      </c>
      <c r="AE108" s="2567"/>
      <c r="AF108" s="614">
        <f>AF97-AF105</f>
        <v>44259.488529999508</v>
      </c>
      <c r="AG108" s="766">
        <f>SUM(C108,E108,G108,I108,K108,M108,O108,Q108,S108,U108,W108,Y108,AA108)</f>
        <v>44259.488530000053</v>
      </c>
    </row>
    <row r="109" spans="1:33" ht="10.5" customHeight="1" x14ac:dyDescent="0.25">
      <c r="A109" s="757"/>
      <c r="B109" s="757"/>
      <c r="D109" s="2"/>
      <c r="E109" s="256"/>
      <c r="F109" s="108"/>
      <c r="G109" s="256"/>
      <c r="H109" s="108"/>
      <c r="I109" s="814"/>
      <c r="J109" s="108"/>
      <c r="K109" s="3"/>
      <c r="M109" s="3"/>
      <c r="O109" s="3"/>
      <c r="Q109" s="3"/>
      <c r="S109" s="339"/>
      <c r="U109" s="3"/>
      <c r="W109" s="339"/>
      <c r="Y109" s="3"/>
      <c r="AA109" s="3"/>
      <c r="AD109" s="758"/>
      <c r="AE109" s="758"/>
      <c r="AF109" s="614"/>
      <c r="AG109" s="766">
        <f>AF108-AG108</f>
        <v>-5.4569682106375694E-10</v>
      </c>
    </row>
    <row r="110" spans="1:33" s="108" customFormat="1" x14ac:dyDescent="0.25">
      <c r="A110" s="257"/>
      <c r="B110" s="257"/>
      <c r="C110" s="256"/>
      <c r="D110" s="258"/>
      <c r="E110" s="256">
        <v>0</v>
      </c>
      <c r="G110" s="256">
        <v>1490.86</v>
      </c>
      <c r="H110" s="108" t="s">
        <v>25</v>
      </c>
      <c r="I110" s="341">
        <v>25241</v>
      </c>
      <c r="J110" s="108" t="s">
        <v>25</v>
      </c>
      <c r="K110" s="256"/>
      <c r="M110" s="341">
        <v>584.55999999999995</v>
      </c>
      <c r="N110" s="108" t="s">
        <v>25</v>
      </c>
      <c r="O110" s="341">
        <v>0</v>
      </c>
      <c r="P110" s="108" t="s">
        <v>25</v>
      </c>
      <c r="Q110" s="256">
        <v>7721.11</v>
      </c>
      <c r="R110" s="108" t="s">
        <v>738</v>
      </c>
      <c r="S110" s="833">
        <v>12502.24</v>
      </c>
      <c r="T110" s="108" t="s">
        <v>25</v>
      </c>
      <c r="U110" s="833">
        <v>2915.06</v>
      </c>
      <c r="V110" s="108" t="s">
        <v>25</v>
      </c>
      <c r="W110" s="833">
        <v>5105.3100000000004</v>
      </c>
      <c r="X110" s="108" t="s">
        <v>25</v>
      </c>
      <c r="Y110" s="833">
        <v>128.09</v>
      </c>
      <c r="Z110" s="108" t="s">
        <v>25</v>
      </c>
      <c r="AA110" s="833">
        <v>1760.35</v>
      </c>
      <c r="AB110" s="108" t="s">
        <v>25</v>
      </c>
      <c r="AD110" s="615"/>
      <c r="AE110" s="767" t="s">
        <v>711</v>
      </c>
      <c r="AF110" s="768">
        <f>SUM(E108:AA108)</f>
        <v>100434.80000000002</v>
      </c>
    </row>
    <row r="111" spans="1:33" x14ac:dyDescent="0.25">
      <c r="A111" s="255"/>
      <c r="B111" s="255"/>
      <c r="C111" s="2"/>
      <c r="D111" s="2"/>
      <c r="E111" s="2">
        <v>0</v>
      </c>
      <c r="G111" s="2">
        <v>0</v>
      </c>
      <c r="I111" s="341">
        <v>22047.040000000001</v>
      </c>
      <c r="J111" s="2" t="s">
        <v>745</v>
      </c>
      <c r="M111" s="341">
        <v>814.56</v>
      </c>
      <c r="N111" s="2" t="s">
        <v>745</v>
      </c>
      <c r="O111" s="341">
        <v>0</v>
      </c>
      <c r="P111" s="2" t="s">
        <v>745</v>
      </c>
      <c r="Q111" s="2">
        <v>8197.89</v>
      </c>
      <c r="R111" s="2" t="s">
        <v>759</v>
      </c>
      <c r="S111" s="341">
        <v>9439.25</v>
      </c>
      <c r="T111" s="2" t="s">
        <v>764</v>
      </c>
      <c r="U111" s="341">
        <v>3942.07</v>
      </c>
      <c r="V111" s="2" t="s">
        <v>764</v>
      </c>
      <c r="W111" s="341">
        <v>3387.78</v>
      </c>
      <c r="X111" s="2" t="s">
        <v>764</v>
      </c>
      <c r="Y111" s="341">
        <v>1852.26</v>
      </c>
      <c r="Z111" s="2" t="s">
        <v>764</v>
      </c>
      <c r="AA111" s="341">
        <v>3293.37</v>
      </c>
      <c r="AB111" s="2" t="s">
        <v>764</v>
      </c>
      <c r="AD111" s="616"/>
      <c r="AE111" s="769" t="s">
        <v>57</v>
      </c>
      <c r="AF111" s="770">
        <f>+C108</f>
        <v>-56175.311469999957</v>
      </c>
      <c r="AG111" s="2">
        <f>+AF110+AF111</f>
        <v>44259.488530000061</v>
      </c>
    </row>
    <row r="112" spans="1:33" x14ac:dyDescent="0.25">
      <c r="A112" s="815"/>
      <c r="B112" s="815"/>
      <c r="C112" s="2"/>
      <c r="D112" s="2"/>
      <c r="E112" s="112">
        <f>+E110+E111</f>
        <v>0</v>
      </c>
      <c r="G112" s="112">
        <f>+G110+G111</f>
        <v>1490.86</v>
      </c>
      <c r="I112" s="827">
        <f>+I110+I111</f>
        <v>47288.04</v>
      </c>
      <c r="M112" s="827">
        <f>+M110+M111</f>
        <v>1399.12</v>
      </c>
      <c r="O112" s="827">
        <f>+O110+O111</f>
        <v>0</v>
      </c>
      <c r="Q112" s="112">
        <f>+Q110+Q111</f>
        <v>15919</v>
      </c>
      <c r="S112" s="112">
        <f>+S110+S111</f>
        <v>21941.489999999998</v>
      </c>
      <c r="U112" s="112">
        <f>+U110+U111</f>
        <v>6857.13</v>
      </c>
      <c r="W112" s="112">
        <f>+W110+W111</f>
        <v>8493.09</v>
      </c>
      <c r="Y112" s="112">
        <f>+Y110+Y111</f>
        <v>1980.35</v>
      </c>
      <c r="AA112" s="112">
        <f>+AA110+AA111</f>
        <v>5053.7199999999993</v>
      </c>
      <c r="AD112" s="816"/>
      <c r="AE112" s="819"/>
      <c r="AF112" s="820"/>
    </row>
    <row r="113" spans="1:32" x14ac:dyDescent="0.25">
      <c r="A113" s="815"/>
      <c r="B113" s="815"/>
      <c r="C113" s="2"/>
      <c r="D113" s="2"/>
      <c r="Q113" s="2">
        <f>+Q108-Q112</f>
        <v>0</v>
      </c>
      <c r="S113" s="2">
        <f>+S108-S112</f>
        <v>0</v>
      </c>
      <c r="U113" s="2">
        <f>+U108-U112</f>
        <v>0</v>
      </c>
      <c r="W113" s="2">
        <f>+W108-W112</f>
        <v>0</v>
      </c>
      <c r="Y113" s="2">
        <f>+Y108-Y112</f>
        <v>-1.8189894035458565E-12</v>
      </c>
      <c r="AA113" s="2">
        <f>+AA108-AA112</f>
        <v>0</v>
      </c>
      <c r="AD113" s="816"/>
      <c r="AE113" s="819"/>
      <c r="AF113" s="141">
        <f>+AF110+AF111</f>
        <v>44259.488530000061</v>
      </c>
    </row>
    <row r="114" spans="1:32" s="107" customFormat="1" x14ac:dyDescent="0.25">
      <c r="A114" s="821"/>
      <c r="B114" s="821"/>
      <c r="I114" s="810"/>
      <c r="S114" s="810"/>
      <c r="W114" s="810"/>
      <c r="AC114" s="253"/>
      <c r="AD114" s="822"/>
      <c r="AE114" s="822"/>
      <c r="AF114" s="823"/>
    </row>
    <row r="115" spans="1:32" x14ac:dyDescent="0.25">
      <c r="A115" s="815"/>
      <c r="B115" s="815"/>
      <c r="C115" s="2"/>
      <c r="D115" s="2"/>
      <c r="AD115" s="816"/>
      <c r="AE115" s="819"/>
      <c r="AF115" s="820"/>
    </row>
    <row r="116" spans="1:32" x14ac:dyDescent="0.25">
      <c r="A116" s="815"/>
      <c r="B116" s="815"/>
      <c r="C116" s="2"/>
      <c r="D116" s="2"/>
      <c r="G116" s="824" t="s">
        <v>190</v>
      </c>
      <c r="K116" s="824" t="s">
        <v>190</v>
      </c>
      <c r="O116" s="824" t="s">
        <v>190</v>
      </c>
      <c r="Q116" s="824" t="s">
        <v>190</v>
      </c>
      <c r="AD116" s="816"/>
      <c r="AE116" s="819"/>
      <c r="AF116" s="820"/>
    </row>
    <row r="117" spans="1:32" x14ac:dyDescent="0.25">
      <c r="A117" s="815"/>
      <c r="B117" s="815"/>
      <c r="C117" s="2"/>
      <c r="D117" s="2"/>
      <c r="G117" s="2">
        <v>39000</v>
      </c>
      <c r="H117" s="2" t="s">
        <v>182</v>
      </c>
      <c r="K117" s="2">
        <v>39000</v>
      </c>
      <c r="L117" s="2" t="s">
        <v>182</v>
      </c>
      <c r="O117" s="2">
        <v>39000</v>
      </c>
      <c r="P117" s="2" t="s">
        <v>182</v>
      </c>
      <c r="Q117" s="2">
        <v>39000</v>
      </c>
      <c r="R117" s="2" t="s">
        <v>182</v>
      </c>
      <c r="AD117" s="816"/>
      <c r="AE117" s="819"/>
      <c r="AF117" s="820"/>
    </row>
    <row r="118" spans="1:32" x14ac:dyDescent="0.25">
      <c r="A118" s="815"/>
      <c r="B118" s="815"/>
      <c r="C118" s="2"/>
      <c r="D118" s="2"/>
      <c r="AD118" s="816"/>
      <c r="AE118" s="819"/>
      <c r="AF118" s="820"/>
    </row>
    <row r="119" spans="1:32" x14ac:dyDescent="0.25">
      <c r="A119" s="815"/>
      <c r="B119" s="815"/>
      <c r="C119" s="2"/>
      <c r="D119" s="2"/>
      <c r="G119" s="10" t="str">
        <f>"Actuals/Encumb. as of "&amp;TEXT($C$17,"mm/dd/yyyy")</f>
        <v>Actuals/Encumb. as of 04/23/2017</v>
      </c>
      <c r="K119" s="10" t="str">
        <f>"Actuals/Encumb. as of "&amp;TEXT($C$17,"mm/dd/yyyy")</f>
        <v>Actuals/Encumb. as of 04/23/2017</v>
      </c>
      <c r="O119" s="10" t="str">
        <f>"Actuals/Encumb. as of "&amp;TEXT($C$17,"mm/dd/yyyy")</f>
        <v>Actuals/Encumb. as of 04/23/2017</v>
      </c>
      <c r="Q119" s="10" t="str">
        <f>"Actuals/Encumb. as of "&amp;TEXT($C$17,"mm/dd/yyyy")</f>
        <v>Actuals/Encumb. as of 04/23/2017</v>
      </c>
      <c r="AD119" s="816"/>
      <c r="AE119" s="819"/>
      <c r="AF119" s="820"/>
    </row>
    <row r="120" spans="1:32" x14ac:dyDescent="0.25">
      <c r="A120" s="815"/>
      <c r="B120" s="815"/>
      <c r="C120" s="2"/>
      <c r="D120" s="2"/>
      <c r="G120" s="2">
        <v>4296.8500000000004</v>
      </c>
      <c r="H120" s="2" t="s">
        <v>532</v>
      </c>
      <c r="K120" s="2">
        <v>2712.18</v>
      </c>
      <c r="L120" s="2" t="s">
        <v>532</v>
      </c>
      <c r="O120" s="2">
        <v>0</v>
      </c>
      <c r="P120" s="2" t="s">
        <v>532</v>
      </c>
      <c r="Q120" s="2">
        <v>162.53</v>
      </c>
      <c r="R120" s="2" t="s">
        <v>532</v>
      </c>
      <c r="AD120" s="816"/>
      <c r="AE120" s="819"/>
      <c r="AF120" s="820"/>
    </row>
    <row r="121" spans="1:32" x14ac:dyDescent="0.25">
      <c r="A121" s="815"/>
      <c r="B121" s="815"/>
      <c r="C121" s="2"/>
      <c r="D121" s="2"/>
      <c r="G121" s="2">
        <v>81.89</v>
      </c>
      <c r="H121" s="2" t="s">
        <v>35</v>
      </c>
      <c r="K121" s="2">
        <v>0</v>
      </c>
      <c r="L121" s="2" t="s">
        <v>35</v>
      </c>
      <c r="O121" s="2">
        <v>0</v>
      </c>
      <c r="P121" s="2" t="s">
        <v>35</v>
      </c>
      <c r="Q121" s="2">
        <v>0</v>
      </c>
      <c r="R121" s="2" t="s">
        <v>35</v>
      </c>
      <c r="AD121" s="816"/>
      <c r="AE121" s="819"/>
      <c r="AF121" s="820"/>
    </row>
    <row r="122" spans="1:32" x14ac:dyDescent="0.25">
      <c r="A122" s="815"/>
      <c r="B122" s="815"/>
      <c r="C122" s="2"/>
      <c r="D122" s="2"/>
      <c r="G122" s="2">
        <v>670.91</v>
      </c>
      <c r="H122" s="2" t="s">
        <v>27</v>
      </c>
      <c r="K122" s="2">
        <v>411.72</v>
      </c>
      <c r="L122" s="2" t="s">
        <v>27</v>
      </c>
      <c r="O122" s="2">
        <v>36973.58</v>
      </c>
      <c r="P122" s="2" t="s">
        <v>742</v>
      </c>
      <c r="Q122" s="2">
        <v>24.68</v>
      </c>
      <c r="R122" s="2" t="s">
        <v>27</v>
      </c>
      <c r="AD122" s="816"/>
      <c r="AE122" s="819"/>
      <c r="AF122" s="820"/>
    </row>
    <row r="123" spans="1:32" x14ac:dyDescent="0.25">
      <c r="A123" s="815"/>
      <c r="B123" s="815"/>
      <c r="C123" s="2"/>
      <c r="D123" s="2"/>
      <c r="G123" s="2">
        <v>29294.13</v>
      </c>
      <c r="H123" s="2" t="s">
        <v>742</v>
      </c>
      <c r="K123" s="2">
        <v>30195.96</v>
      </c>
      <c r="L123" s="2" t="s">
        <v>742</v>
      </c>
      <c r="O123" s="2">
        <v>483.19</v>
      </c>
      <c r="P123" s="2" t="s">
        <v>4</v>
      </c>
      <c r="Q123" s="2">
        <f>22845.31+9038.7</f>
        <v>31884.010000000002</v>
      </c>
      <c r="R123" s="2" t="s">
        <v>742</v>
      </c>
      <c r="AD123" s="816"/>
      <c r="AE123" s="819"/>
      <c r="AF123" s="820"/>
    </row>
    <row r="124" spans="1:32" x14ac:dyDescent="0.25">
      <c r="A124" s="815"/>
      <c r="B124" s="815"/>
      <c r="C124" s="2"/>
      <c r="D124" s="2"/>
      <c r="G124" s="112">
        <f>SUM(G120:G123)</f>
        <v>34343.78</v>
      </c>
      <c r="K124" s="112">
        <f>SUM(K120:K123)</f>
        <v>33319.86</v>
      </c>
      <c r="O124" s="112">
        <f>SUM(O120:O123)</f>
        <v>37456.770000000004</v>
      </c>
      <c r="Q124" s="112">
        <f>SUM(Q120:Q123)</f>
        <v>32071.22</v>
      </c>
      <c r="AD124" s="816"/>
      <c r="AE124" s="819"/>
      <c r="AF124" s="820"/>
    </row>
    <row r="125" spans="1:32" x14ac:dyDescent="0.25">
      <c r="A125" s="815"/>
      <c r="B125" s="815"/>
      <c r="C125" s="2"/>
      <c r="D125" s="2"/>
      <c r="AD125" s="816"/>
      <c r="AE125" s="819"/>
      <c r="AF125" s="820"/>
    </row>
    <row r="126" spans="1:32" x14ac:dyDescent="0.25">
      <c r="A126" s="815"/>
      <c r="B126" s="815"/>
      <c r="C126" s="2"/>
      <c r="D126" s="2"/>
      <c r="G126" s="830">
        <f>+G117-G124</f>
        <v>4656.2200000000012</v>
      </c>
      <c r="H126" s="830" t="s">
        <v>753</v>
      </c>
      <c r="K126" s="830">
        <f>+K117-K124</f>
        <v>5680.1399999999994</v>
      </c>
      <c r="L126" s="830" t="s">
        <v>753</v>
      </c>
      <c r="O126" s="830">
        <f>+O117-O124</f>
        <v>1543.2299999999959</v>
      </c>
      <c r="P126" s="830" t="s">
        <v>753</v>
      </c>
      <c r="Q126" s="830">
        <f>+Q117-Q124</f>
        <v>6928.7799999999988</v>
      </c>
      <c r="R126" s="830" t="s">
        <v>760</v>
      </c>
      <c r="AD126" s="816"/>
      <c r="AE126" s="819"/>
      <c r="AF126" s="820"/>
    </row>
    <row r="127" spans="1:32" x14ac:dyDescent="0.25">
      <c r="A127" s="815"/>
      <c r="B127" s="815"/>
      <c r="C127" s="2"/>
      <c r="D127" s="2"/>
      <c r="G127" s="2">
        <f>+G126-G103-G104</f>
        <v>9.0949470177292824E-13</v>
      </c>
      <c r="K127" s="2">
        <f>+K126-K103-K104</f>
        <v>0</v>
      </c>
      <c r="O127" s="2">
        <f>+O126-O100-O101</f>
        <v>107.22999999999593</v>
      </c>
      <c r="P127" s="828" t="s">
        <v>748</v>
      </c>
      <c r="Q127" s="2">
        <f>+Q126-Q103-Q104</f>
        <v>0</v>
      </c>
      <c r="AD127" s="816"/>
      <c r="AE127" s="819"/>
      <c r="AF127" s="820"/>
    </row>
    <row r="128" spans="1:32" x14ac:dyDescent="0.25">
      <c r="A128" s="815"/>
      <c r="B128" s="815"/>
      <c r="C128" s="2"/>
      <c r="D128" s="2"/>
      <c r="AD128" s="816"/>
      <c r="AE128" s="819"/>
      <c r="AF128" s="820"/>
    </row>
    <row r="129" spans="1:32" s="107" customFormat="1" x14ac:dyDescent="0.25">
      <c r="A129" s="821"/>
      <c r="B129" s="821"/>
      <c r="I129" s="810"/>
      <c r="S129" s="810"/>
      <c r="W129" s="810"/>
      <c r="AC129" s="253"/>
      <c r="AD129" s="822"/>
      <c r="AE129" s="822"/>
      <c r="AF129" s="823"/>
    </row>
    <row r="130" spans="1:32" x14ac:dyDescent="0.25">
      <c r="A130" s="815"/>
      <c r="B130" s="815"/>
      <c r="C130" s="2"/>
      <c r="D130" s="2"/>
      <c r="AD130" s="816"/>
      <c r="AE130" s="819"/>
      <c r="AF130" s="820"/>
    </row>
    <row r="131" spans="1:32" ht="17.25" x14ac:dyDescent="0.4">
      <c r="C131" s="259" t="str">
        <f>+C19</f>
        <v>200 - DO</v>
      </c>
      <c r="D131" s="2"/>
      <c r="G131" s="259" t="str">
        <f>+G19</f>
        <v>020 - SH</v>
      </c>
      <c r="H131" s="2" t="s">
        <v>196</v>
      </c>
      <c r="K131" s="259" t="str">
        <f>+K19</f>
        <v>040 - ST</v>
      </c>
      <c r="L131" s="2" t="s">
        <v>193</v>
      </c>
      <c r="M131" s="260"/>
      <c r="N131" s="36"/>
      <c r="O131" s="259" t="str">
        <f>+O19</f>
        <v>060 - SY</v>
      </c>
      <c r="P131" s="2" t="s">
        <v>194</v>
      </c>
      <c r="Q131" s="259" t="str">
        <f>+Q19</f>
        <v>070 - WO</v>
      </c>
      <c r="R131" s="2" t="s">
        <v>195</v>
      </c>
      <c r="AD131" s="609"/>
      <c r="AE131" s="610"/>
    </row>
    <row r="132" spans="1:32" x14ac:dyDescent="0.25">
      <c r="C132" s="2">
        <v>10000</v>
      </c>
      <c r="D132" s="30" t="s">
        <v>202</v>
      </c>
      <c r="G132" s="10" t="s">
        <v>190</v>
      </c>
      <c r="K132" s="10" t="s">
        <v>190</v>
      </c>
      <c r="M132" s="6"/>
      <c r="N132" s="36"/>
      <c r="O132" s="10" t="s">
        <v>190</v>
      </c>
      <c r="Q132" s="10" t="s">
        <v>190</v>
      </c>
      <c r="AE132" s="10"/>
    </row>
    <row r="133" spans="1:32" x14ac:dyDescent="0.25">
      <c r="C133" s="108">
        <f>ROUND(+C132*(LEFT('MYP Assumptions'!$D$57,6)),0)</f>
        <v>1258</v>
      </c>
      <c r="D133" s="108" t="s">
        <v>76</v>
      </c>
      <c r="G133" s="2">
        <v>39000</v>
      </c>
      <c r="H133" s="2" t="s">
        <v>182</v>
      </c>
      <c r="K133" s="2">
        <v>39000</v>
      </c>
      <c r="L133" s="2" t="s">
        <v>182</v>
      </c>
      <c r="M133" s="36"/>
      <c r="N133" s="36"/>
      <c r="O133" s="2">
        <v>39000</v>
      </c>
      <c r="P133" s="2" t="s">
        <v>182</v>
      </c>
      <c r="Q133" s="2">
        <v>39000</v>
      </c>
      <c r="R133" s="2" t="s">
        <v>182</v>
      </c>
      <c r="AE133" s="10"/>
    </row>
    <row r="134" spans="1:32" x14ac:dyDescent="0.25">
      <c r="C134" s="108">
        <f>ROUND(+C132*(LEFT('MYP Assumptions'!$D$61,6)),0)</f>
        <v>145</v>
      </c>
      <c r="D134" s="108" t="s">
        <v>79</v>
      </c>
      <c r="M134" s="36"/>
      <c r="N134" s="36"/>
      <c r="AE134" s="10"/>
    </row>
    <row r="135" spans="1:32" x14ac:dyDescent="0.25">
      <c r="C135" s="108">
        <f>ROUND(+C132*(LEFT('MYP Assumptions'!$D$62,6)),0)</f>
        <v>5</v>
      </c>
      <c r="D135" s="108" t="s">
        <v>81</v>
      </c>
      <c r="G135" s="2">
        <v>20000</v>
      </c>
      <c r="H135" s="2" t="s">
        <v>183</v>
      </c>
      <c r="K135" s="2">
        <v>25000</v>
      </c>
      <c r="L135" s="2" t="s">
        <v>183</v>
      </c>
      <c r="M135" s="36"/>
      <c r="N135" s="36"/>
      <c r="O135" s="2">
        <v>30000</v>
      </c>
      <c r="P135" s="2" t="s">
        <v>183</v>
      </c>
      <c r="Q135" s="2">
        <v>19272</v>
      </c>
      <c r="R135" s="2" t="s">
        <v>183</v>
      </c>
      <c r="AE135" s="10"/>
    </row>
    <row r="136" spans="1:32" x14ac:dyDescent="0.25">
      <c r="C136" s="108">
        <f>+C132*(LEFT('MYP Assumptions'!$D$63,5))</f>
        <v>110</v>
      </c>
      <c r="D136" s="108" t="s">
        <v>82</v>
      </c>
      <c r="G136" s="2">
        <v>3500</v>
      </c>
      <c r="H136" s="2" t="s">
        <v>184</v>
      </c>
      <c r="K136" s="2">
        <v>4794</v>
      </c>
      <c r="L136" s="2" t="s">
        <v>184</v>
      </c>
      <c r="M136" s="36"/>
      <c r="N136" s="36"/>
      <c r="O136" s="2">
        <v>4397</v>
      </c>
      <c r="P136" s="2" t="s">
        <v>184</v>
      </c>
      <c r="Q136" s="2">
        <v>3147</v>
      </c>
      <c r="R136" s="2" t="s">
        <v>184</v>
      </c>
      <c r="AE136" s="10"/>
    </row>
    <row r="137" spans="1:32" x14ac:dyDescent="0.25">
      <c r="C137" s="112">
        <f>SUM(C132:C136)</f>
        <v>11518</v>
      </c>
      <c r="D137" s="2"/>
      <c r="M137" s="36"/>
      <c r="N137" s="36"/>
      <c r="AE137" s="10"/>
    </row>
    <row r="138" spans="1:32" x14ac:dyDescent="0.25">
      <c r="C138" s="2"/>
      <c r="D138" s="2"/>
      <c r="G138" s="2">
        <v>10000</v>
      </c>
      <c r="H138" s="2" t="s">
        <v>191</v>
      </c>
      <c r="K138" s="2">
        <v>8000</v>
      </c>
      <c r="L138" s="2" t="s">
        <v>192</v>
      </c>
      <c r="M138" s="36"/>
      <c r="N138" s="36"/>
      <c r="O138" s="2">
        <v>4000</v>
      </c>
      <c r="P138" s="2" t="s">
        <v>192</v>
      </c>
      <c r="Q138" s="2">
        <v>3000</v>
      </c>
      <c r="R138" s="2" t="s">
        <v>197</v>
      </c>
      <c r="AE138" s="10"/>
    </row>
    <row r="139" spans="1:32" x14ac:dyDescent="0.25">
      <c r="C139" s="2"/>
      <c r="D139" s="2"/>
      <c r="G139" s="108">
        <f>ROUND(+G138*(LEFT('MYP Assumptions'!$D$57,6)),0)</f>
        <v>1258</v>
      </c>
      <c r="H139" s="108" t="s">
        <v>76</v>
      </c>
      <c r="K139" s="108">
        <f>ROUND(+K138*(LEFT('MYP Assumptions'!$D$57,6)),0)</f>
        <v>1006</v>
      </c>
      <c r="L139" s="2" t="s">
        <v>76</v>
      </c>
      <c r="M139" s="36"/>
      <c r="N139" s="36"/>
      <c r="O139" s="108">
        <f>ROUND(+O138*(LEFT('MYP Assumptions'!$D$57,6)),0)</f>
        <v>503</v>
      </c>
      <c r="P139" s="2" t="s">
        <v>76</v>
      </c>
      <c r="Q139" s="108">
        <f>ROUND(+Q138*(LEFT('MYP Assumptions'!$D$57,6)),0)</f>
        <v>377</v>
      </c>
      <c r="R139" s="2" t="s">
        <v>76</v>
      </c>
    </row>
    <row r="140" spans="1:32" x14ac:dyDescent="0.25">
      <c r="C140" s="2"/>
      <c r="D140" s="2"/>
      <c r="G140" s="108">
        <f>ROUND(+G138*(LEFT('MYP Assumptions'!$D$61,6)),0)</f>
        <v>145</v>
      </c>
      <c r="H140" s="108" t="s">
        <v>79</v>
      </c>
      <c r="K140" s="108">
        <f>ROUND(+K138*(LEFT('MYP Assumptions'!$D$61,6)),0)</f>
        <v>116</v>
      </c>
      <c r="L140" s="2" t="s">
        <v>79</v>
      </c>
      <c r="M140" s="36"/>
      <c r="N140" s="36"/>
      <c r="O140" s="108">
        <f>ROUND(+O138*(LEFT('MYP Assumptions'!$D$61,6)),0)</f>
        <v>58</v>
      </c>
      <c r="P140" s="2" t="s">
        <v>79</v>
      </c>
      <c r="Q140" s="108">
        <f>ROUND(+Q138*(LEFT('MYP Assumptions'!$D$61,6)),0)</f>
        <v>44</v>
      </c>
      <c r="R140" s="2" t="s">
        <v>79</v>
      </c>
    </row>
    <row r="141" spans="1:32" x14ac:dyDescent="0.25">
      <c r="C141" s="2"/>
      <c r="D141" s="2"/>
      <c r="G141" s="108">
        <f>ROUND(+G138*(LEFT('MYP Assumptions'!$D$62,6)),0)</f>
        <v>5</v>
      </c>
      <c r="H141" s="108" t="s">
        <v>81</v>
      </c>
      <c r="K141" s="108">
        <f>ROUND(+K138*(LEFT('MYP Assumptions'!$D$62,6)),0)</f>
        <v>4</v>
      </c>
      <c r="L141" s="2" t="s">
        <v>81</v>
      </c>
      <c r="M141" s="36"/>
      <c r="N141" s="36"/>
      <c r="O141" s="108">
        <f>ROUND(+O138*(LEFT('MYP Assumptions'!$D$62,6)),0)</f>
        <v>2</v>
      </c>
      <c r="P141" s="2" t="s">
        <v>81</v>
      </c>
      <c r="Q141" s="108">
        <f>ROUND(+Q138*(LEFT('MYP Assumptions'!$D$62,6)),0)</f>
        <v>2</v>
      </c>
      <c r="R141" s="2" t="s">
        <v>81</v>
      </c>
    </row>
    <row r="142" spans="1:32" x14ac:dyDescent="0.25">
      <c r="C142" s="2"/>
      <c r="D142" s="2"/>
      <c r="G142" s="108">
        <f>+G138*(LEFT('MYP Assumptions'!$D$63,5))</f>
        <v>110</v>
      </c>
      <c r="H142" s="108" t="s">
        <v>82</v>
      </c>
      <c r="K142" s="108">
        <f>+K138*(LEFT('MYP Assumptions'!$D$63,5))</f>
        <v>88</v>
      </c>
      <c r="L142" s="2" t="s">
        <v>82</v>
      </c>
      <c r="M142" s="36"/>
      <c r="N142" s="36"/>
      <c r="O142" s="108">
        <f>+O138*(LEFT('MYP Assumptions'!$D$63,5))</f>
        <v>44</v>
      </c>
      <c r="P142" s="2" t="s">
        <v>82</v>
      </c>
      <c r="Q142" s="108">
        <f>+Q138*(LEFT('MYP Assumptions'!$D$63,5))</f>
        <v>33</v>
      </c>
      <c r="R142" s="2" t="s">
        <v>82</v>
      </c>
    </row>
    <row r="143" spans="1:32" x14ac:dyDescent="0.25">
      <c r="M143" s="36"/>
      <c r="N143" s="36"/>
      <c r="Q143" s="2">
        <v>3000</v>
      </c>
      <c r="R143" s="2" t="s">
        <v>185</v>
      </c>
    </row>
    <row r="144" spans="1:32" x14ac:dyDescent="0.25">
      <c r="G144" s="2">
        <v>2000</v>
      </c>
      <c r="H144" s="2" t="s">
        <v>198</v>
      </c>
      <c r="K144" s="2">
        <v>0</v>
      </c>
      <c r="L144" s="2" t="s">
        <v>199</v>
      </c>
      <c r="M144" s="36"/>
      <c r="N144" s="36"/>
      <c r="O144" s="2">
        <v>0</v>
      </c>
      <c r="P144" s="2" t="s">
        <v>199</v>
      </c>
      <c r="Q144" s="2">
        <v>0</v>
      </c>
      <c r="R144" s="2" t="s">
        <v>199</v>
      </c>
    </row>
    <row r="145" spans="7:18" x14ac:dyDescent="0.25">
      <c r="G145" s="108">
        <f>ROUND(+G144*(LEFT('MYP Assumptions'!$D$58,6)),0)</f>
        <v>278</v>
      </c>
      <c r="H145" s="2" t="s">
        <v>77</v>
      </c>
      <c r="K145" s="108">
        <f>ROUND(+K144*(LEFT('MYP Assumptions'!$D$58,6)),0)</f>
        <v>0</v>
      </c>
      <c r="L145" s="2" t="s">
        <v>77</v>
      </c>
      <c r="M145" s="36"/>
      <c r="N145" s="36"/>
      <c r="O145" s="108">
        <f>ROUND(+O144*(LEFT('MYP Assumptions'!$D$58,6)),0)</f>
        <v>0</v>
      </c>
      <c r="P145" s="2" t="s">
        <v>77</v>
      </c>
      <c r="Q145" s="108">
        <f>ROUND(+Q144*(LEFT('MYP Assumptions'!$D$58,6)),0)</f>
        <v>0</v>
      </c>
      <c r="R145" s="2" t="s">
        <v>77</v>
      </c>
    </row>
    <row r="146" spans="7:18" x14ac:dyDescent="0.25">
      <c r="G146" s="108">
        <f>ROUND(+G144*(LEFT('MYP Assumptions'!$D$60,6)),0)</f>
        <v>124</v>
      </c>
      <c r="H146" s="2" t="s">
        <v>78</v>
      </c>
      <c r="K146" s="108">
        <f>ROUND(+K144*(LEFT('MYP Assumptions'!$D$60,6)),0)</f>
        <v>0</v>
      </c>
      <c r="L146" s="2" t="s">
        <v>78</v>
      </c>
      <c r="M146" s="36"/>
      <c r="N146" s="36"/>
      <c r="O146" s="108">
        <f>ROUND(+O144*(LEFT('MYP Assumptions'!$D$60,6)),0)</f>
        <v>0</v>
      </c>
      <c r="P146" s="2" t="s">
        <v>78</v>
      </c>
      <c r="Q146" s="108">
        <f>ROUND(+Q144*(LEFT('MYP Assumptions'!$D$60,6)),0)</f>
        <v>0</v>
      </c>
      <c r="R146" s="2" t="s">
        <v>78</v>
      </c>
    </row>
    <row r="147" spans="7:18" x14ac:dyDescent="0.25">
      <c r="G147" s="108">
        <f>ROUND(+G144*(LEFT('MYP Assumptions'!$D$61,6)),0)</f>
        <v>29</v>
      </c>
      <c r="H147" s="108" t="s">
        <v>79</v>
      </c>
      <c r="K147" s="108">
        <f>ROUND(+K144*(LEFT('MYP Assumptions'!$D$61,6)),0)</f>
        <v>0</v>
      </c>
      <c r="L147" s="108" t="s">
        <v>79</v>
      </c>
      <c r="M147" s="36"/>
      <c r="N147" s="36"/>
      <c r="O147" s="108">
        <f>ROUND(+O144*(LEFT('MYP Assumptions'!$D$61,6)),0)</f>
        <v>0</v>
      </c>
      <c r="P147" s="108" t="s">
        <v>79</v>
      </c>
      <c r="Q147" s="108">
        <f>ROUND(+Q144*(LEFT('MYP Assumptions'!$D$61,6)),0)</f>
        <v>0</v>
      </c>
      <c r="R147" s="108" t="s">
        <v>79</v>
      </c>
    </row>
    <row r="148" spans="7:18" x14ac:dyDescent="0.25">
      <c r="G148" s="108">
        <f>ROUND(+G144*(LEFT('MYP Assumptions'!$D$62,6)),0)</f>
        <v>1</v>
      </c>
      <c r="H148" s="108" t="s">
        <v>81</v>
      </c>
      <c r="K148" s="108">
        <f>ROUND(+K144*(LEFT('MYP Assumptions'!$D$62,6)),0)</f>
        <v>0</v>
      </c>
      <c r="L148" s="108" t="s">
        <v>81</v>
      </c>
      <c r="M148" s="36"/>
      <c r="N148" s="36"/>
      <c r="O148" s="108">
        <f>ROUND(+O144*(LEFT('MYP Assumptions'!$D$62,6)),0)</f>
        <v>0</v>
      </c>
      <c r="P148" s="108" t="s">
        <v>81</v>
      </c>
      <c r="Q148" s="108">
        <f>ROUND(+Q144*(LEFT('MYP Assumptions'!$D$62,6)),0)</f>
        <v>0</v>
      </c>
      <c r="R148" s="108" t="s">
        <v>81</v>
      </c>
    </row>
    <row r="149" spans="7:18" x14ac:dyDescent="0.25">
      <c r="G149" s="108">
        <f>+G144*(LEFT('MYP Assumptions'!$D$63,5))</f>
        <v>22</v>
      </c>
      <c r="H149" s="108" t="s">
        <v>82</v>
      </c>
      <c r="K149" s="108">
        <f>+K144*(LEFT('MYP Assumptions'!$D$63,5))</f>
        <v>0</v>
      </c>
      <c r="L149" s="108" t="s">
        <v>82</v>
      </c>
      <c r="M149" s="36"/>
      <c r="N149" s="36"/>
      <c r="O149" s="108">
        <f>+O144*(LEFT('MYP Assumptions'!$D$63,5))</f>
        <v>0</v>
      </c>
      <c r="P149" s="108" t="s">
        <v>82</v>
      </c>
      <c r="Q149" s="108">
        <f>+Q144*(LEFT('MYP Assumptions'!$D$63,5))</f>
        <v>0</v>
      </c>
      <c r="R149" s="108" t="s">
        <v>82</v>
      </c>
    </row>
    <row r="150" spans="7:18" x14ac:dyDescent="0.25">
      <c r="M150" s="36"/>
      <c r="N150" s="36"/>
    </row>
    <row r="151" spans="7:18" x14ac:dyDescent="0.25">
      <c r="G151" s="2">
        <v>1040</v>
      </c>
      <c r="H151" s="2" t="s">
        <v>189</v>
      </c>
      <c r="K151" s="2">
        <v>0</v>
      </c>
      <c r="L151" s="2" t="s">
        <v>189</v>
      </c>
      <c r="M151" s="36"/>
      <c r="N151" s="36"/>
      <c r="O151" s="2">
        <f>+M151</f>
        <v>0</v>
      </c>
      <c r="P151" s="2" t="s">
        <v>189</v>
      </c>
      <c r="Q151" s="2">
        <v>9628</v>
      </c>
      <c r="R151" s="2" t="s">
        <v>189</v>
      </c>
    </row>
    <row r="152" spans="7:18" x14ac:dyDescent="0.25">
      <c r="G152" s="2">
        <v>500</v>
      </c>
      <c r="H152" s="2" t="s">
        <v>188</v>
      </c>
      <c r="K152" s="2">
        <v>0</v>
      </c>
      <c r="L152" s="2" t="s">
        <v>188</v>
      </c>
      <c r="M152" s="36"/>
      <c r="N152" s="36"/>
      <c r="O152" s="2">
        <f>+M152</f>
        <v>0</v>
      </c>
      <c r="P152" s="2" t="s">
        <v>188</v>
      </c>
      <c r="Q152" s="2">
        <v>500</v>
      </c>
      <c r="R152" s="2" t="s">
        <v>188</v>
      </c>
    </row>
    <row r="153" spans="7:18" x14ac:dyDescent="0.25">
      <c r="G153" s="112">
        <f>SUM(G135:G152)</f>
        <v>39012</v>
      </c>
      <c r="K153" s="112">
        <f>SUM(K135:K152)</f>
        <v>39008</v>
      </c>
      <c r="M153" s="36"/>
      <c r="N153" s="36"/>
      <c r="O153" s="112">
        <f>SUM(O135:O152)</f>
        <v>39004</v>
      </c>
      <c r="Q153" s="112">
        <f>SUM(Q135:Q152)</f>
        <v>39003</v>
      </c>
    </row>
    <row r="154" spans="7:18" x14ac:dyDescent="0.25">
      <c r="M154" s="36"/>
      <c r="N154" s="36"/>
    </row>
    <row r="155" spans="7:18" x14ac:dyDescent="0.25">
      <c r="G155" s="2">
        <f>+G133-G153</f>
        <v>-12</v>
      </c>
      <c r="H155" s="2" t="s">
        <v>49</v>
      </c>
      <c r="K155" s="2">
        <f>+K133-K153</f>
        <v>-8</v>
      </c>
      <c r="L155" s="2" t="s">
        <v>49</v>
      </c>
      <c r="M155" s="36"/>
      <c r="N155" s="36"/>
      <c r="O155" s="2">
        <f>+O133-O153</f>
        <v>-4</v>
      </c>
      <c r="P155" s="2" t="s">
        <v>49</v>
      </c>
      <c r="Q155" s="2">
        <f>+Q133-Q153</f>
        <v>-3</v>
      </c>
      <c r="R155" s="2" t="s">
        <v>49</v>
      </c>
    </row>
  </sheetData>
  <mergeCells count="7">
    <mergeCell ref="A108:B108"/>
    <mergeCell ref="AD108:AE108"/>
    <mergeCell ref="H6:N6"/>
    <mergeCell ref="O6:U6"/>
    <mergeCell ref="V6:AB6"/>
    <mergeCell ref="B100:B105"/>
    <mergeCell ref="AE100:AE104"/>
  </mergeCells>
  <conditionalFormatting sqref="C108:E109 AH108:XFD109 G109:AF109 G108 I108 K108 M108 O108 Q108 S108 U108 W108 Y108 AA108 AC108:AF108">
    <cfRule type="cellIs" dxfId="13" priority="14" operator="greaterThan">
      <formula>1000</formula>
    </cfRule>
  </conditionalFormatting>
  <conditionalFormatting sqref="AF110:AF112 AF114:AF130">
    <cfRule type="cellIs" dxfId="12" priority="13" operator="greaterThan">
      <formula>1000</formula>
    </cfRule>
  </conditionalFormatting>
  <conditionalFormatting sqref="F108">
    <cfRule type="cellIs" dxfId="11" priority="12" operator="greaterThan">
      <formula>1000</formula>
    </cfRule>
  </conditionalFormatting>
  <conditionalFormatting sqref="H108">
    <cfRule type="cellIs" dxfId="10" priority="11" operator="greaterThan">
      <formula>1000</formula>
    </cfRule>
  </conditionalFormatting>
  <conditionalFormatting sqref="J108">
    <cfRule type="cellIs" dxfId="9" priority="10" operator="greaterThan">
      <formula>1000</formula>
    </cfRule>
  </conditionalFormatting>
  <conditionalFormatting sqref="L108">
    <cfRule type="cellIs" dxfId="8" priority="9" operator="greaterThan">
      <formula>1000</formula>
    </cfRule>
  </conditionalFormatting>
  <conditionalFormatting sqref="N108">
    <cfRule type="cellIs" dxfId="7" priority="8" operator="greaterThan">
      <formula>1000</formula>
    </cfRule>
  </conditionalFormatting>
  <conditionalFormatting sqref="P108">
    <cfRule type="cellIs" dxfId="6" priority="7" operator="greaterThan">
      <formula>1000</formula>
    </cfRule>
  </conditionalFormatting>
  <conditionalFormatting sqref="R108">
    <cfRule type="cellIs" dxfId="5" priority="6" operator="greaterThan">
      <formula>1000</formula>
    </cfRule>
  </conditionalFormatting>
  <conditionalFormatting sqref="T108">
    <cfRule type="cellIs" dxfId="4" priority="5" operator="greaterThan">
      <formula>1000</formula>
    </cfRule>
  </conditionalFormatting>
  <conditionalFormatting sqref="V108">
    <cfRule type="cellIs" dxfId="3" priority="4" operator="greaterThan">
      <formula>1000</formula>
    </cfRule>
  </conditionalFormatting>
  <conditionalFormatting sqref="X108">
    <cfRule type="cellIs" dxfId="2" priority="3" operator="greaterThan">
      <formula>1000</formula>
    </cfRule>
  </conditionalFormatting>
  <conditionalFormatting sqref="Z108">
    <cfRule type="cellIs" dxfId="1" priority="2" operator="greaterThan">
      <formula>1000</formula>
    </cfRule>
  </conditionalFormatting>
  <conditionalFormatting sqref="AB108">
    <cfRule type="cellIs" dxfId="0" priority="1" operator="greaterThan">
      <formula>1000</formula>
    </cfRule>
  </conditionalFormatting>
  <pageMargins left="0.25" right="0.25" top="0.25" bottom="0.25" header="0.25" footer="0.25"/>
  <pageSetup paperSize="5" scale="71" fitToWidth="4" orientation="landscape" cellComments="asDisplayed" r:id="rId1"/>
  <headerFooter>
    <oddHeader>&amp;R&amp;A</oddHeader>
    <oddFooter>&amp;L&amp;F&amp;CPage &amp;P of &amp;N&amp;R&amp;A</oddFooter>
  </headerFooter>
  <colBreaks count="4" manualBreakCount="4">
    <brk id="8" max="127" man="1"/>
    <brk id="16" max="127" man="1"/>
    <brk id="22" max="127" man="1"/>
    <brk id="28" max="127"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F131"/>
  <sheetViews>
    <sheetView zoomScaleNormal="100" workbookViewId="0">
      <pane xSplit="3" ySplit="7" topLeftCell="H8" activePane="bottomRight" state="frozen"/>
      <selection activeCell="H7" sqref="H7"/>
      <selection pane="topRight" activeCell="H7" sqref="H7"/>
      <selection pane="bottomLeft" activeCell="H7" sqref="H7"/>
      <selection pane="bottomRight" activeCell="H8" sqref="H8"/>
    </sheetView>
  </sheetViews>
  <sheetFormatPr defaultRowHeight="15" x14ac:dyDescent="0.25"/>
  <cols>
    <col min="1" max="1" width="1.7109375" style="2215" customWidth="1"/>
    <col min="2" max="2" width="8.5703125" style="2216" customWidth="1"/>
    <col min="3" max="3" width="18.28515625" style="2220" customWidth="1"/>
    <col min="4" max="4" width="16" style="341" hidden="1" customWidth="1"/>
    <col min="5" max="5" width="20.42578125" style="862" hidden="1" customWidth="1"/>
    <col min="6" max="6" width="6" style="587" hidden="1" customWidth="1"/>
    <col min="7" max="7" width="9.42578125" style="1677" hidden="1" customWidth="1"/>
    <col min="8" max="8" width="13.85546875" style="591" bestFit="1" customWidth="1"/>
    <col min="9" max="9" width="24" style="865" hidden="1" customWidth="1"/>
    <col min="10" max="10" width="5.7109375" style="592" hidden="1" customWidth="1"/>
    <col min="11" max="11" width="10.140625" style="1676" hidden="1" customWidth="1"/>
    <col min="12" max="12" width="14.28515625" style="596" customWidth="1"/>
    <col min="13" max="13" width="32.28515625" style="863" hidden="1" customWidth="1"/>
    <col min="14" max="14" width="5.7109375" style="587" hidden="1" customWidth="1"/>
    <col min="15" max="15" width="9.42578125" style="1676" hidden="1" customWidth="1"/>
    <col min="16" max="16" width="13.85546875" style="341" bestFit="1" customWidth="1"/>
    <col min="17" max="17" width="26" style="862" hidden="1" customWidth="1"/>
    <col min="18" max="18" width="5.28515625" style="595" hidden="1" customWidth="1"/>
    <col min="19" max="19" width="16.42578125" style="1674" hidden="1" customWidth="1"/>
    <col min="20" max="20" width="14" style="587" customWidth="1"/>
    <col min="21" max="21" width="24.85546875" style="2220" hidden="1" customWidth="1"/>
    <col min="22" max="22" width="5.7109375" style="593" customWidth="1"/>
    <col min="23" max="23" width="9.42578125" style="2251" hidden="1" customWidth="1"/>
    <col min="24" max="24" width="14" style="587" hidden="1" customWidth="1"/>
    <col min="25" max="25" width="24.85546875" style="587" hidden="1" customWidth="1"/>
    <col min="26" max="26" width="5.7109375" style="587" hidden="1" customWidth="1"/>
    <col min="27" max="27" width="10.5703125" style="1676" hidden="1" customWidth="1"/>
    <col min="28" max="28" width="14" style="587" hidden="1" customWidth="1"/>
    <col min="29" max="29" width="24.85546875" style="587" hidden="1" customWidth="1"/>
    <col min="30" max="30" width="9.140625" style="862" customWidth="1"/>
    <col min="31" max="31" width="13.85546875" style="341" hidden="1" customWidth="1"/>
    <col min="32" max="34" width="0" style="862" hidden="1" customWidth="1"/>
    <col min="35" max="16384" width="9.140625" style="862"/>
  </cols>
  <sheetData>
    <row r="1" spans="1:32" x14ac:dyDescent="0.25">
      <c r="B1" s="2216" t="s">
        <v>61</v>
      </c>
      <c r="C1" s="2217" t="s">
        <v>60</v>
      </c>
      <c r="D1" s="578">
        <v>1947648</v>
      </c>
      <c r="E1" s="861" t="s">
        <v>861</v>
      </c>
      <c r="F1" s="579"/>
      <c r="G1" s="1678"/>
      <c r="H1" s="580">
        <v>1817838</v>
      </c>
      <c r="I1" s="866" t="s">
        <v>1052</v>
      </c>
      <c r="J1" s="581"/>
      <c r="K1" s="1675"/>
      <c r="L1" s="582">
        <v>1557124</v>
      </c>
      <c r="M1" s="867" t="s">
        <v>172</v>
      </c>
      <c r="N1" s="583"/>
      <c r="O1" s="1675"/>
      <c r="P1" s="582">
        <f>+L1</f>
        <v>1557124</v>
      </c>
      <c r="Q1" s="867"/>
      <c r="R1" s="586"/>
      <c r="S1" s="2243"/>
      <c r="T1" s="585">
        <f>P1</f>
        <v>1557124</v>
      </c>
      <c r="U1" s="2253" t="s">
        <v>172</v>
      </c>
      <c r="V1" s="584"/>
      <c r="W1" s="2250"/>
      <c r="X1" s="585">
        <f>T1</f>
        <v>1557124</v>
      </c>
      <c r="Y1" s="586" t="s">
        <v>172</v>
      </c>
      <c r="Z1" s="583"/>
      <c r="AA1" s="1675"/>
      <c r="AB1" s="585">
        <f>X1</f>
        <v>1557124</v>
      </c>
      <c r="AC1" s="586" t="s">
        <v>172</v>
      </c>
      <c r="AD1" s="1655"/>
      <c r="AE1" s="1657"/>
    </row>
    <row r="2" spans="1:32" ht="16.5" x14ac:dyDescent="0.35">
      <c r="B2" s="2218" t="s">
        <v>59</v>
      </c>
      <c r="C2" s="2219">
        <v>3010</v>
      </c>
      <c r="D2" s="578">
        <v>1062358.3700000001</v>
      </c>
      <c r="E2" s="861" t="s">
        <v>860</v>
      </c>
      <c r="F2" s="579"/>
      <c r="G2" s="1679"/>
      <c r="H2" s="921">
        <f>-D3-D4</f>
        <v>750726.19</v>
      </c>
      <c r="I2" s="922" t="s">
        <v>776</v>
      </c>
      <c r="J2" s="581"/>
      <c r="K2" s="1675"/>
      <c r="L2" s="582">
        <v>415876</v>
      </c>
      <c r="M2" s="867" t="s">
        <v>897</v>
      </c>
      <c r="N2" s="583"/>
      <c r="O2" s="1675"/>
      <c r="P2" s="582">
        <f>-L3</f>
        <v>0</v>
      </c>
      <c r="Q2" s="867" t="s">
        <v>897</v>
      </c>
      <c r="R2" s="586"/>
      <c r="S2" s="2243"/>
      <c r="T2" s="588">
        <v>0</v>
      </c>
      <c r="U2" s="2253"/>
      <c r="V2" s="584"/>
      <c r="W2" s="2250"/>
      <c r="X2" s="588">
        <v>0</v>
      </c>
      <c r="Y2" s="586"/>
      <c r="Z2" s="583"/>
      <c r="AA2" s="1675"/>
      <c r="AB2" s="588">
        <v>0</v>
      </c>
      <c r="AC2" s="586"/>
      <c r="AD2" s="1655"/>
      <c r="AE2" s="1657"/>
    </row>
    <row r="3" spans="1:32" ht="16.5" x14ac:dyDescent="0.35">
      <c r="D3" s="919">
        <v>-750726.19</v>
      </c>
      <c r="E3" s="920" t="s">
        <v>773</v>
      </c>
      <c r="F3" s="590"/>
      <c r="G3" s="1680"/>
      <c r="H3" s="923">
        <f>ROUND(+-H1*0.15,0)</f>
        <v>-272676</v>
      </c>
      <c r="I3" s="924" t="s">
        <v>775</v>
      </c>
      <c r="J3" s="581"/>
      <c r="K3" s="1675"/>
      <c r="L3" s="588">
        <v>0</v>
      </c>
      <c r="M3" s="867" t="s">
        <v>932</v>
      </c>
      <c r="N3" s="583"/>
      <c r="O3" s="1675"/>
      <c r="P3" s="588">
        <v>0</v>
      </c>
      <c r="Q3" s="867" t="s">
        <v>932</v>
      </c>
      <c r="R3" s="586"/>
      <c r="S3" s="2243"/>
      <c r="T3" s="588">
        <v>0</v>
      </c>
      <c r="U3" s="2253"/>
      <c r="V3" s="584"/>
      <c r="W3" s="2250"/>
      <c r="X3" s="585">
        <f>SUM(X1:X2)</f>
        <v>1557124</v>
      </c>
      <c r="Y3" s="586"/>
      <c r="Z3" s="583"/>
      <c r="AA3" s="1675"/>
      <c r="AB3" s="585">
        <f>SUM(AB1:AB2)</f>
        <v>1557124</v>
      </c>
      <c r="AC3" s="586"/>
      <c r="AD3" s="1655"/>
      <c r="AE3" s="1657"/>
    </row>
    <row r="4" spans="1:32" x14ac:dyDescent="0.25">
      <c r="D4" s="1407">
        <v>0</v>
      </c>
      <c r="E4" s="919">
        <f>-D3-D4</f>
        <v>750726.19</v>
      </c>
      <c r="F4" s="590"/>
      <c r="G4" s="1680"/>
      <c r="H4" s="589">
        <f>+SUM(H1:H3)</f>
        <v>2295888.19</v>
      </c>
      <c r="I4" s="866" t="str">
        <f>"Max 17/18 c/o = "&amp;H1*0.15</f>
        <v>Max 17/18 c/o = 272675.7</v>
      </c>
      <c r="J4" s="581"/>
      <c r="K4" s="1675"/>
      <c r="L4" s="582">
        <f>SUM(L1:L3)</f>
        <v>1973000</v>
      </c>
      <c r="M4" s="1682">
        <f>+L1*0.15</f>
        <v>233568.6</v>
      </c>
      <c r="N4" s="583"/>
      <c r="O4" s="1675"/>
      <c r="P4" s="582">
        <f>SUM(P1:P3)</f>
        <v>1557124</v>
      </c>
      <c r="Q4" s="869"/>
      <c r="R4" s="586"/>
      <c r="S4" s="2243"/>
      <c r="T4" s="585">
        <f>SUM(T1:T3)</f>
        <v>1557124</v>
      </c>
      <c r="U4" s="2253"/>
      <c r="V4" s="584"/>
      <c r="W4" s="2250"/>
      <c r="X4" s="585"/>
      <c r="Y4" s="586"/>
      <c r="Z4" s="583"/>
      <c r="AA4" s="1675"/>
      <c r="AB4" s="585"/>
      <c r="AC4" s="586"/>
      <c r="AD4" s="1655"/>
      <c r="AE4" s="1657"/>
    </row>
    <row r="5" spans="1:32" x14ac:dyDescent="0.25">
      <c r="D5" s="589">
        <f>+SUM(D1:D4)</f>
        <v>2259280.1800000002</v>
      </c>
      <c r="E5" s="866" t="str">
        <f>"Max 16/17 c/o = "&amp;D1*0.15</f>
        <v>Max 16/17 c/o = 292147.2</v>
      </c>
      <c r="I5" s="1658">
        <f>+H1+H3</f>
        <v>1545162</v>
      </c>
      <c r="L5" s="591"/>
      <c r="M5" s="864"/>
      <c r="P5" s="591"/>
      <c r="Q5" s="865"/>
      <c r="T5" s="594"/>
      <c r="U5" s="2231"/>
      <c r="X5" s="594"/>
      <c r="Y5" s="595"/>
      <c r="AB5" s="594"/>
      <c r="AC5" s="595"/>
    </row>
    <row r="6" spans="1:32" ht="15.75" x14ac:dyDescent="0.25">
      <c r="B6" s="2221" t="s">
        <v>56</v>
      </c>
      <c r="H6" s="580"/>
      <c r="I6" s="866"/>
      <c r="P6" s="596"/>
      <c r="T6" s="596">
        <f>T89</f>
        <v>0</v>
      </c>
      <c r="X6" s="597"/>
      <c r="AB6" s="597"/>
    </row>
    <row r="7" spans="1:32" s="2336" customFormat="1" ht="15.75" x14ac:dyDescent="0.25">
      <c r="A7" s="2222"/>
      <c r="B7" s="2319"/>
      <c r="C7" s="2319"/>
      <c r="D7" s="2320" t="s">
        <v>55</v>
      </c>
      <c r="E7" s="2321"/>
      <c r="F7" s="2322"/>
      <c r="G7" s="2323"/>
      <c r="H7" s="2324" t="str">
        <f>LEFT(D7,4)+1&amp;"-"&amp;RIGHT(D7,4)+1</f>
        <v>2017-2018</v>
      </c>
      <c r="I7" s="2325"/>
      <c r="J7" s="598"/>
      <c r="K7" s="2326"/>
      <c r="L7" s="2324" t="str">
        <f>LEFT(H7,4)+1&amp;"-"&amp;RIGHT(H7,4)+1</f>
        <v>2018-2019</v>
      </c>
      <c r="M7" s="2327"/>
      <c r="N7" s="2328"/>
      <c r="O7" s="2323"/>
      <c r="P7" s="2324" t="str">
        <f>LEFT(L7,4)+1&amp;"-"&amp;RIGHT(L7,4)+1</f>
        <v>2019-2020</v>
      </c>
      <c r="Q7" s="2329"/>
      <c r="R7" s="2330"/>
      <c r="S7" s="2331"/>
      <c r="T7" s="2332" t="str">
        <f>LEFT(P7,4)+1&amp;"-"&amp;RIGHT(P7,4)+1</f>
        <v>2020-2021</v>
      </c>
      <c r="U7" s="2333"/>
      <c r="V7" s="2334"/>
      <c r="W7" s="2335"/>
      <c r="X7" s="2332" t="str">
        <f>LEFT(T7,4)+1&amp;"-"&amp;RIGHT(T7,4)+1</f>
        <v>2021-2022</v>
      </c>
      <c r="Y7" s="2332"/>
      <c r="Z7" s="2328"/>
      <c r="AA7" s="2323"/>
      <c r="AB7" s="2332" t="str">
        <f>LEFT(X7,4)+1&amp;"-"&amp;RIGHT(X7,4)+1</f>
        <v>2022-2023</v>
      </c>
      <c r="AC7" s="2332"/>
      <c r="AE7" s="942"/>
    </row>
    <row r="8" spans="1:32" s="1656" customFormat="1" x14ac:dyDescent="0.25">
      <c r="A8" s="2215"/>
      <c r="B8" s="2337" t="str">
        <f>'2016-17  RS 3010-DO &amp; All Sites'!AD7</f>
        <v>Beginning Balance</v>
      </c>
      <c r="C8" s="2215"/>
      <c r="D8" s="340">
        <v>0</v>
      </c>
      <c r="F8" s="457"/>
      <c r="G8" s="2338"/>
      <c r="H8" s="340">
        <f>D89</f>
        <v>0</v>
      </c>
      <c r="I8" s="2339"/>
      <c r="J8" s="599"/>
      <c r="K8" s="1668"/>
      <c r="L8" s="340">
        <f>H89</f>
        <v>0</v>
      </c>
      <c r="M8" s="2340"/>
      <c r="N8" s="457"/>
      <c r="O8" s="1668"/>
      <c r="P8" s="340">
        <f>L89</f>
        <v>0</v>
      </c>
      <c r="Q8" s="901"/>
      <c r="R8" s="592"/>
      <c r="S8" s="2341"/>
      <c r="T8" s="340">
        <f>P89</f>
        <v>0</v>
      </c>
      <c r="U8" s="2342"/>
      <c r="V8" s="952"/>
      <c r="W8" s="2343"/>
      <c r="X8" s="340">
        <f>T89</f>
        <v>0</v>
      </c>
      <c r="Y8" s="2344"/>
      <c r="Z8" s="457"/>
      <c r="AA8" s="1668"/>
      <c r="AB8" s="340">
        <f>X89</f>
        <v>-3460</v>
      </c>
      <c r="AC8" s="2344"/>
      <c r="AE8" s="340"/>
    </row>
    <row r="9" spans="1:32" s="1656" customFormat="1" x14ac:dyDescent="0.25">
      <c r="A9" s="2215"/>
      <c r="B9" s="2345"/>
      <c r="C9" s="2215"/>
      <c r="D9" s="340"/>
      <c r="F9" s="457"/>
      <c r="G9" s="2338"/>
      <c r="H9" s="1866"/>
      <c r="I9" s="900"/>
      <c r="J9" s="592"/>
      <c r="K9" s="1668"/>
      <c r="L9" s="340"/>
      <c r="M9" s="2340"/>
      <c r="N9" s="457"/>
      <c r="O9" s="1668"/>
      <c r="P9" s="340"/>
      <c r="Q9" s="901"/>
      <c r="R9" s="592"/>
      <c r="S9" s="2341"/>
      <c r="T9" s="457"/>
      <c r="U9" s="2342"/>
      <c r="V9" s="952"/>
      <c r="W9" s="2343"/>
      <c r="X9" s="457"/>
      <c r="Y9" s="2344"/>
      <c r="Z9" s="457"/>
      <c r="AA9" s="1668"/>
      <c r="AB9" s="457"/>
      <c r="AC9" s="2344"/>
      <c r="AE9" s="340"/>
    </row>
    <row r="10" spans="1:32" s="1656" customFormat="1" x14ac:dyDescent="0.25">
      <c r="A10" s="2215"/>
      <c r="B10" s="2337" t="str">
        <f>'2016-17  RS 3010-DO &amp; All Sites'!AD9</f>
        <v>Revenue</v>
      </c>
      <c r="C10" s="2215" t="str">
        <f>'2016-17  RS 3010-DO &amp; All Sites'!AE9</f>
        <v xml:space="preserve">Current Year </v>
      </c>
      <c r="D10" s="340">
        <v>1196921.81</v>
      </c>
      <c r="E10" s="1656" t="s">
        <v>895</v>
      </c>
      <c r="F10" s="457"/>
      <c r="G10" s="456">
        <f>IF(D10=0,"0.00%",(H10-D10)/D10)</f>
        <v>0.17130692939750175</v>
      </c>
      <c r="H10" s="833">
        <f>2152689-750726.19</f>
        <v>1401962.81</v>
      </c>
      <c r="I10" s="2346"/>
      <c r="J10" s="342"/>
      <c r="K10" s="456">
        <f>IF(H10=0,"0.00%",(L10-H10)/H10)</f>
        <v>0.11067425533206543</v>
      </c>
      <c r="L10" s="833">
        <f>+L1+L3</f>
        <v>1557124</v>
      </c>
      <c r="M10" s="2347" t="s">
        <v>173</v>
      </c>
      <c r="N10" s="457"/>
      <c r="O10" s="456">
        <f>IF(L10=0,"0.00%",(P10-L10)/L10)</f>
        <v>0</v>
      </c>
      <c r="P10" s="833">
        <f>L10</f>
        <v>1557124</v>
      </c>
      <c r="Q10" s="2348" t="s">
        <v>173</v>
      </c>
      <c r="R10" s="592"/>
      <c r="S10" s="2238">
        <f>IF(P10=0,"0.00%",(T10-P10)/P10)</f>
        <v>0</v>
      </c>
      <c r="T10" s="833">
        <f>P10</f>
        <v>1557124</v>
      </c>
      <c r="U10" s="2349" t="s">
        <v>173</v>
      </c>
      <c r="V10" s="952"/>
      <c r="W10" s="2241">
        <f>IF(T10=0,"0.00%",(X10-T10)/T10)</f>
        <v>0</v>
      </c>
      <c r="X10" s="833">
        <f>X3</f>
        <v>1557124</v>
      </c>
      <c r="Y10" s="2350" t="s">
        <v>173</v>
      </c>
      <c r="Z10" s="457"/>
      <c r="AA10" s="456">
        <f>IF(X10=0,"0.00%",(AB10-X10)/X10)</f>
        <v>0</v>
      </c>
      <c r="AB10" s="833">
        <f>AB3</f>
        <v>1557124</v>
      </c>
      <c r="AC10" s="2350" t="s">
        <v>173</v>
      </c>
      <c r="AE10" s="340"/>
    </row>
    <row r="11" spans="1:32" s="1656" customFormat="1" x14ac:dyDescent="0.25">
      <c r="A11" s="2215"/>
      <c r="B11" s="2349"/>
      <c r="C11" s="2215" t="str">
        <f>'2016-17  RS 3010-DO &amp; All Sites'!AE10</f>
        <v>Prior Carryover</v>
      </c>
      <c r="D11" s="340">
        <f>+D2</f>
        <v>1062358.3700000001</v>
      </c>
      <c r="E11" s="1656" t="s">
        <v>174</v>
      </c>
      <c r="F11" s="457"/>
      <c r="G11" s="456">
        <f>IF(D11=0,"0.00%",(H11-D11)/D11)</f>
        <v>-0.29333997716796839</v>
      </c>
      <c r="H11" s="2359">
        <v>750726.19</v>
      </c>
      <c r="I11" s="2351" t="s">
        <v>220</v>
      </c>
      <c r="J11" s="342"/>
      <c r="K11" s="456">
        <f>IF(H11=0,"0.00%",(L11-H11)/H11)</f>
        <v>-0.44603504508081698</v>
      </c>
      <c r="L11" s="833">
        <v>415876</v>
      </c>
      <c r="M11" s="2347"/>
      <c r="N11" s="457"/>
      <c r="O11" s="456">
        <f>IF(L11=0,"0.00%",(P11-L11)/L11)</f>
        <v>-1</v>
      </c>
      <c r="P11" s="833">
        <f>+P2</f>
        <v>0</v>
      </c>
      <c r="Q11" s="2348"/>
      <c r="R11" s="592"/>
      <c r="S11" s="2238" t="str">
        <f>IF(P11=0,"0.00%",(T11-P11)/P11)</f>
        <v>0.00%</v>
      </c>
      <c r="T11" s="833">
        <f>-P3</f>
        <v>0</v>
      </c>
      <c r="U11" s="2349"/>
      <c r="V11" s="952"/>
      <c r="W11" s="2241" t="str">
        <f>IF(T11=0,"0.00%",(X11-T11)/T11)</f>
        <v>0.00%</v>
      </c>
      <c r="X11" s="833">
        <f>-T3</f>
        <v>0</v>
      </c>
      <c r="Y11" s="2352"/>
      <c r="Z11" s="457"/>
      <c r="AA11" s="456" t="str">
        <f>IF(X11=0,"0.00%",(AB11-X11)/X11)</f>
        <v>0.00%</v>
      </c>
      <c r="AB11" s="833">
        <f>-X2</f>
        <v>0</v>
      </c>
      <c r="AC11" s="2352"/>
      <c r="AE11" s="340"/>
    </row>
    <row r="12" spans="1:32" s="1656" customFormat="1" x14ac:dyDescent="0.25">
      <c r="A12" s="2215"/>
      <c r="B12" s="2337" t="str">
        <f>'2016-17  RS 3010-DO &amp; All Sites'!AD11</f>
        <v>TOTAL REVENUE</v>
      </c>
      <c r="C12" s="2215"/>
      <c r="D12" s="458">
        <f>SUM(D9:D11)</f>
        <v>2259280.1800000002</v>
      </c>
      <c r="F12" s="457"/>
      <c r="G12" s="456">
        <f>IF(D12=0,"0.00%",(H12-D12)/D12)</f>
        <v>-4.7179265742950109E-2</v>
      </c>
      <c r="H12" s="458">
        <f>SUM(H9:H11)</f>
        <v>2152689</v>
      </c>
      <c r="I12" s="2316">
        <f>+H12-D12</f>
        <v>-106591.18000000017</v>
      </c>
      <c r="J12" s="601"/>
      <c r="K12" s="456">
        <f>IF(H12=0,"0.00%",(L12-H12)/H12)</f>
        <v>-8.3471880982343483E-2</v>
      </c>
      <c r="L12" s="458">
        <f>SUM(L10:L11)</f>
        <v>1973000</v>
      </c>
      <c r="M12" s="2316">
        <f>+L12-H12</f>
        <v>-179689</v>
      </c>
      <c r="N12" s="457"/>
      <c r="O12" s="456">
        <f>IF(L12=0,"0.00%",(P12-L12)/L12)</f>
        <v>-0.21078357830714647</v>
      </c>
      <c r="P12" s="458">
        <f>SUM(P10:P11)</f>
        <v>1557124</v>
      </c>
      <c r="Q12" s="2316">
        <f>+P12-L12</f>
        <v>-415876</v>
      </c>
      <c r="R12" s="592"/>
      <c r="S12" s="2238">
        <f>IF(P12=0,"0.00%",(T12-P12)/P12)</f>
        <v>0</v>
      </c>
      <c r="T12" s="2353">
        <f>SUM(T10:T11)</f>
        <v>1557124</v>
      </c>
      <c r="U12" s="2349"/>
      <c r="V12" s="952"/>
      <c r="W12" s="2241">
        <f>IF(T12=0,"0.00%",(X12-T12)/T12)</f>
        <v>0</v>
      </c>
      <c r="X12" s="2353">
        <f>SUM(X10:X11)</f>
        <v>1557124</v>
      </c>
      <c r="Y12" s="2352"/>
      <c r="Z12" s="457"/>
      <c r="AA12" s="456">
        <f>IF(X12=0,"0.00%",(AB12-X12)/X12)</f>
        <v>0</v>
      </c>
      <c r="AB12" s="2353">
        <f>SUM(AB10:AB11)</f>
        <v>1557124</v>
      </c>
      <c r="AC12" s="2352"/>
      <c r="AE12" s="340"/>
    </row>
    <row r="13" spans="1:32" s="1656" customFormat="1" x14ac:dyDescent="0.25">
      <c r="A13" s="2215"/>
      <c r="B13" s="2345"/>
      <c r="C13" s="2215"/>
      <c r="D13" s="340"/>
      <c r="F13" s="457"/>
      <c r="G13" s="2338"/>
      <c r="H13" s="833"/>
      <c r="I13" s="2354"/>
      <c r="J13" s="602"/>
      <c r="K13" s="2338"/>
      <c r="L13" s="833"/>
      <c r="M13" s="2347"/>
      <c r="N13" s="457"/>
      <c r="O13" s="2338"/>
      <c r="P13" s="833"/>
      <c r="Q13" s="2348"/>
      <c r="R13" s="592"/>
      <c r="S13" s="2355"/>
      <c r="T13" s="2356"/>
      <c r="U13" s="2349"/>
      <c r="V13" s="952"/>
      <c r="W13" s="2357"/>
      <c r="X13" s="2356"/>
      <c r="Y13" s="2352"/>
      <c r="Z13" s="457"/>
      <c r="AA13" s="2338"/>
      <c r="AB13" s="2356"/>
      <c r="AC13" s="2352"/>
      <c r="AE13" s="340">
        <f>+D5</f>
        <v>2259280.1800000002</v>
      </c>
      <c r="AF13" s="1656" t="s">
        <v>913</v>
      </c>
    </row>
    <row r="14" spans="1:32" s="1656" customFormat="1" x14ac:dyDescent="0.25">
      <c r="A14" s="2215"/>
      <c r="B14" s="2345"/>
      <c r="C14" s="2358" t="str">
        <f>'2016-17  RS 3010-DO &amp; All Sites'!AE13</f>
        <v>Indirect Costs</v>
      </c>
      <c r="D14" s="2359">
        <v>80610.77</v>
      </c>
      <c r="E14" s="2360">
        <f>'2016-17  RS 3010-DO &amp; All Sites'!AD13</f>
        <v>3.6999999999999998E-2</v>
      </c>
      <c r="F14" s="457"/>
      <c r="G14" s="456">
        <f>IF(D14=0,"0.00%",(H14-D14)/D14)</f>
        <v>0.21080595061925342</v>
      </c>
      <c r="H14" s="2359">
        <v>97604</v>
      </c>
      <c r="I14" s="2360">
        <v>4.4400000000000002E-2</v>
      </c>
      <c r="J14" s="603"/>
      <c r="K14" s="456">
        <f>IF(H14=0,"0.00%",(L14-H14)/H14)</f>
        <v>3.7477972214253516E-2</v>
      </c>
      <c r="L14" s="2359">
        <v>101262</v>
      </c>
      <c r="M14" s="2360">
        <v>5.4100000000000002E-2</v>
      </c>
      <c r="N14" s="457"/>
      <c r="O14" s="456">
        <f>IF(L14=0,"0.00%",(P14-L14)/L14)</f>
        <v>-0.21078983231616993</v>
      </c>
      <c r="P14" s="2359">
        <f>ROUND(P12-(P12/(1+Q14)),0)</f>
        <v>79917</v>
      </c>
      <c r="Q14" s="2360">
        <f>+M14</f>
        <v>5.4100000000000002E-2</v>
      </c>
      <c r="R14" s="592"/>
      <c r="S14" s="2238">
        <f>IF(P14=0,"0.00%",(T14-P14)/P14)</f>
        <v>0</v>
      </c>
      <c r="T14" s="2359">
        <f>ROUND(T12-(T12/(1+U14)),0)</f>
        <v>79917</v>
      </c>
      <c r="U14" s="2361">
        <f>+Q14</f>
        <v>5.4100000000000002E-2</v>
      </c>
      <c r="V14" s="952"/>
      <c r="W14" s="2241">
        <f>IF(T14=0,"0.00%",(X14-T14)/T14)</f>
        <v>-0.30480373387389414</v>
      </c>
      <c r="X14" s="2362">
        <f>ROUND(X12-(X12/(1+E14)),0)</f>
        <v>55558</v>
      </c>
      <c r="Y14" s="2352"/>
      <c r="Z14" s="457"/>
      <c r="AA14" s="456">
        <f>IF(X14=0,"0.00%",(AB14-X14)/X14)</f>
        <v>3.8796032974549122</v>
      </c>
      <c r="AB14" s="2362">
        <f>ROUND(AB12-(AB12/(1+G14)),0)</f>
        <v>271101</v>
      </c>
      <c r="AC14" s="2352"/>
    </row>
    <row r="15" spans="1:32" s="1656" customFormat="1" x14ac:dyDescent="0.25">
      <c r="A15" s="2215"/>
      <c r="B15" s="2345"/>
      <c r="C15" s="2215"/>
      <c r="D15" s="340"/>
      <c r="E15" s="2363" t="s">
        <v>896</v>
      </c>
      <c r="F15" s="457"/>
      <c r="G15" s="2338"/>
      <c r="H15" s="833"/>
      <c r="I15" s="2364"/>
      <c r="J15" s="602"/>
      <c r="K15" s="2338"/>
      <c r="L15" s="833"/>
      <c r="M15" s="2340"/>
      <c r="N15" s="457"/>
      <c r="O15" s="2338"/>
      <c r="P15" s="833"/>
      <c r="Q15" s="2348"/>
      <c r="R15" s="592"/>
      <c r="S15" s="2355"/>
      <c r="T15" s="2356"/>
      <c r="U15" s="2365"/>
      <c r="V15" s="952"/>
      <c r="W15" s="2357"/>
      <c r="X15" s="2356"/>
      <c r="Y15" s="2344"/>
      <c r="Z15" s="457"/>
      <c r="AA15" s="2338"/>
      <c r="AB15" s="2356"/>
      <c r="AC15" s="2344"/>
      <c r="AE15" s="340">
        <f>+D2</f>
        <v>1062358.3700000001</v>
      </c>
      <c r="AF15" s="1656" t="s">
        <v>914</v>
      </c>
    </row>
    <row r="16" spans="1:32" s="1656" customFormat="1" x14ac:dyDescent="0.25">
      <c r="A16" s="2215"/>
      <c r="B16" s="2337" t="str">
        <f>'2016-17  RS 3010-DO &amp; All Sites'!AD15</f>
        <v xml:space="preserve">TOTAL AVAILABLE </v>
      </c>
      <c r="C16" s="2215"/>
      <c r="D16" s="1866">
        <f>D12-D14</f>
        <v>2178669.41</v>
      </c>
      <c r="F16" s="457"/>
      <c r="G16" s="456">
        <f>IF(D16=0,"0.00%",(H16-D16)/D16)</f>
        <v>-5.6724718965049471E-2</v>
      </c>
      <c r="H16" s="2359">
        <f>H12-H14</f>
        <v>2055085</v>
      </c>
      <c r="I16" s="2316">
        <f>+H16-D16</f>
        <v>-123584.41000000015</v>
      </c>
      <c r="J16" s="601"/>
      <c r="K16" s="456">
        <f>IF(H16=0,"0.00%",(L16-H16)/H16)</f>
        <v>-8.9216261127885221E-2</v>
      </c>
      <c r="L16" s="2359">
        <f>L12-L14</f>
        <v>1871738</v>
      </c>
      <c r="M16" s="2316">
        <f>+L16-H16</f>
        <v>-183347</v>
      </c>
      <c r="N16" s="457"/>
      <c r="O16" s="456">
        <f>IF(L16=0,"0.00%",(P16-L16)/L16)</f>
        <v>-0.21078323996200324</v>
      </c>
      <c r="P16" s="2359">
        <f>P12-P14</f>
        <v>1477207</v>
      </c>
      <c r="Q16" s="2316">
        <f>+P16-L16</f>
        <v>-394531</v>
      </c>
      <c r="R16" s="592"/>
      <c r="S16" s="2238">
        <f>IF(P16=0,"0.00%",(T16-P16)/P16)</f>
        <v>0</v>
      </c>
      <c r="T16" s="2366">
        <f>T12-T14</f>
        <v>1477207</v>
      </c>
      <c r="U16" s="2365"/>
      <c r="V16" s="952"/>
      <c r="W16" s="2241">
        <f>IF(T16=0,"0.00%",(X16-T16)/T16)</f>
        <v>1.6489902904603077E-2</v>
      </c>
      <c r="X16" s="2366">
        <f>X12-X14</f>
        <v>1501566</v>
      </c>
      <c r="Y16" s="2344"/>
      <c r="Z16" s="457"/>
      <c r="AA16" s="456">
        <f>IF(X16=0,"0.00%",(AB16-X16)/X16)</f>
        <v>-0.14354547186071076</v>
      </c>
      <c r="AB16" s="2366">
        <f>AB12-AB14</f>
        <v>1286023</v>
      </c>
      <c r="AC16" s="2344"/>
      <c r="AE16" s="340">
        <f>+AE13-AE15</f>
        <v>1196921.81</v>
      </c>
      <c r="AF16" s="1656" t="s">
        <v>915</v>
      </c>
    </row>
    <row r="17" spans="1:32" s="1656" customFormat="1" x14ac:dyDescent="0.25">
      <c r="A17" s="2215"/>
      <c r="B17" s="2345"/>
      <c r="C17" s="2215"/>
      <c r="D17" s="340"/>
      <c r="F17" s="457"/>
      <c r="G17" s="2338"/>
      <c r="H17" s="833"/>
      <c r="I17" s="833"/>
      <c r="J17" s="601"/>
      <c r="K17" s="1668"/>
      <c r="L17" s="833"/>
      <c r="M17" s="2340"/>
      <c r="N17" s="457"/>
      <c r="O17" s="1668"/>
      <c r="P17" s="833"/>
      <c r="Q17" s="901"/>
      <c r="R17" s="592"/>
      <c r="S17" s="2341"/>
      <c r="T17" s="2367"/>
      <c r="U17" s="2365"/>
      <c r="V17" s="952"/>
      <c r="W17" s="2343"/>
      <c r="X17" s="2367"/>
      <c r="Y17" s="2344"/>
      <c r="Z17" s="457"/>
      <c r="AA17" s="1668"/>
      <c r="AB17" s="2367"/>
      <c r="AC17" s="2344"/>
      <c r="AE17" s="2368">
        <f>SUM(AE15:AE16)</f>
        <v>2259280.1800000002</v>
      </c>
      <c r="AF17" s="1656" t="str">
        <f>+AF13</f>
        <v>T. 16-17 FY expenditures</v>
      </c>
    </row>
    <row r="18" spans="1:32" s="1656" customFormat="1" x14ac:dyDescent="0.25">
      <c r="A18" s="2215"/>
      <c r="B18" s="2345"/>
      <c r="C18" s="2345"/>
      <c r="D18" s="340"/>
      <c r="F18" s="457"/>
      <c r="G18" s="2338"/>
      <c r="H18" s="833"/>
      <c r="I18" s="2364"/>
      <c r="J18" s="602"/>
      <c r="K18" s="1668"/>
      <c r="L18" s="833"/>
      <c r="M18" s="2340"/>
      <c r="N18" s="457"/>
      <c r="O18" s="1668"/>
      <c r="P18" s="833"/>
      <c r="Q18" s="901"/>
      <c r="R18" s="592"/>
      <c r="S18" s="2341"/>
      <c r="T18" s="2356"/>
      <c r="U18" s="2365"/>
      <c r="V18" s="952"/>
      <c r="W18" s="2343"/>
      <c r="X18" s="2356"/>
      <c r="Y18" s="2344"/>
      <c r="Z18" s="457"/>
      <c r="AA18" s="1668"/>
      <c r="AB18" s="2356"/>
      <c r="AC18" s="2344"/>
    </row>
    <row r="19" spans="1:32" s="1656" customFormat="1" x14ac:dyDescent="0.25">
      <c r="A19" s="2223"/>
      <c r="B19" s="2337" t="s">
        <v>175</v>
      </c>
      <c r="C19" s="2215"/>
      <c r="D19" s="459" t="s">
        <v>807</v>
      </c>
      <c r="E19" s="1867"/>
      <c r="F19" s="2433"/>
      <c r="G19" s="2338"/>
      <c r="H19" s="459" t="s">
        <v>176</v>
      </c>
      <c r="I19" s="2369"/>
      <c r="J19" s="604"/>
      <c r="K19" s="1668"/>
      <c r="L19" s="2370"/>
      <c r="M19" s="2340"/>
      <c r="N19" s="457"/>
      <c r="O19" s="1668"/>
      <c r="P19" s="340"/>
      <c r="Q19" s="901"/>
      <c r="R19" s="592"/>
      <c r="S19" s="2341"/>
      <c r="T19" s="457"/>
      <c r="U19" s="2365"/>
      <c r="V19" s="952"/>
      <c r="W19" s="2343"/>
      <c r="X19" s="457"/>
      <c r="Y19" s="2344"/>
      <c r="Z19" s="457"/>
      <c r="AA19" s="1668"/>
      <c r="AB19" s="457"/>
      <c r="AC19" s="2344"/>
      <c r="AE19" s="340"/>
    </row>
    <row r="20" spans="1:32" s="1656" customFormat="1" ht="17.25" x14ac:dyDescent="0.4">
      <c r="A20" s="2224"/>
      <c r="B20" s="2345"/>
      <c r="C20" s="2215"/>
      <c r="D20" s="2435" t="s">
        <v>808</v>
      </c>
      <c r="E20" s="2434"/>
      <c r="F20" s="2436"/>
      <c r="G20" s="2338"/>
      <c r="H20" s="2435" t="s">
        <v>48</v>
      </c>
      <c r="I20" s="2371"/>
      <c r="J20" s="459"/>
      <c r="K20" s="1668"/>
      <c r="L20" s="2372" t="s">
        <v>48</v>
      </c>
      <c r="M20" s="2373">
        <v>0.02</v>
      </c>
      <c r="N20" s="457"/>
      <c r="O20" s="1668"/>
      <c r="P20" s="2372" t="s">
        <v>48</v>
      </c>
      <c r="Q20" s="2373">
        <v>0.02</v>
      </c>
      <c r="R20" s="592"/>
      <c r="S20" s="2341"/>
      <c r="T20" s="2372" t="s">
        <v>48</v>
      </c>
      <c r="U20" s="2373">
        <v>0.02</v>
      </c>
      <c r="V20" s="952"/>
      <c r="W20" s="2343"/>
      <c r="X20" s="2372" t="s">
        <v>48</v>
      </c>
      <c r="Y20" s="2374">
        <v>0.02</v>
      </c>
      <c r="Z20" s="457"/>
      <c r="AA20" s="1668"/>
      <c r="AB20" s="2372" t="s">
        <v>48</v>
      </c>
      <c r="AC20" s="2374">
        <v>0.02</v>
      </c>
      <c r="AE20" s="340">
        <f>+D1</f>
        <v>1947648</v>
      </c>
      <c r="AF20" s="1656" t="s">
        <v>916</v>
      </c>
    </row>
    <row r="21" spans="1:32" s="2384" customFormat="1" x14ac:dyDescent="0.25">
      <c r="A21" s="2225"/>
      <c r="B21" s="2337" t="str">
        <f>'2016-17  RS 3010-DO &amp; All Sites'!AD20</f>
        <v xml:space="preserve">Certificated </v>
      </c>
      <c r="C21" s="2358"/>
      <c r="D21" s="1866"/>
      <c r="E21" s="2375"/>
      <c r="F21" s="1866"/>
      <c r="G21" s="2376"/>
      <c r="H21" s="1866"/>
      <c r="I21" s="868"/>
      <c r="J21" s="460"/>
      <c r="K21" s="606"/>
      <c r="L21" s="1866"/>
      <c r="M21" s="2377"/>
      <c r="N21" s="2378"/>
      <c r="O21" s="606"/>
      <c r="P21" s="1866"/>
      <c r="Q21" s="2379"/>
      <c r="R21" s="461"/>
      <c r="S21" s="1669"/>
      <c r="T21" s="1866"/>
      <c r="U21" s="2380"/>
      <c r="V21" s="2381"/>
      <c r="W21" s="2382"/>
      <c r="X21" s="1866"/>
      <c r="Y21" s="2383"/>
      <c r="Z21" s="2378"/>
      <c r="AA21" s="606"/>
      <c r="AB21" s="1866"/>
      <c r="AC21" s="2383"/>
      <c r="AE21" s="340">
        <f>+AE16</f>
        <v>1196921.81</v>
      </c>
      <c r="AF21" s="1656" t="str">
        <f>+AF16</f>
        <v>16-17 award exp in 16-17</v>
      </c>
    </row>
    <row r="22" spans="1:32" s="1656" customFormat="1" x14ac:dyDescent="0.25">
      <c r="A22" s="2226"/>
      <c r="B22" s="2385" t="str">
        <f>'2016-17  RS 3010-DO &amp; All Sites'!AD21</f>
        <v>1110</v>
      </c>
      <c r="C22" s="2349" t="str">
        <f>'2016-17  RS 3010-DO &amp; All Sites'!AE21</f>
        <v>Intervention Tchr.</v>
      </c>
      <c r="D22" s="340">
        <v>36222.17</v>
      </c>
      <c r="E22" s="2386"/>
      <c r="F22" s="340"/>
      <c r="G22" s="456">
        <f t="shared" ref="G22:G30" si="0">IF(D22=0,"0.00%",(H22-D22)/D22)</f>
        <v>-0.28262166512939446</v>
      </c>
      <c r="H22" s="340">
        <v>25985</v>
      </c>
      <c r="I22" s="899"/>
      <c r="J22" s="455"/>
      <c r="K22" s="456">
        <f t="shared" ref="K22:K28" si="1">IF(H22=0,"0.00%",(L22-H22)/H22)</f>
        <v>0.60365595535886085</v>
      </c>
      <c r="L22" s="340">
        <v>41671</v>
      </c>
      <c r="M22" s="897"/>
      <c r="N22" s="457"/>
      <c r="O22" s="456">
        <f t="shared" ref="O22:O28" si="2">IF(L22=0,"0.00%",(P22-L22)/L22)</f>
        <v>0</v>
      </c>
      <c r="P22" s="340">
        <f>L22</f>
        <v>41671</v>
      </c>
      <c r="Q22" s="897" t="s">
        <v>173</v>
      </c>
      <c r="R22" s="592"/>
      <c r="S22" s="2238">
        <f t="shared" ref="S22:S28" si="3">IF(P22=0,"0.00%",(T22-P22)/P22)</f>
        <v>-0.58407525617335798</v>
      </c>
      <c r="T22" s="340">
        <v>17332</v>
      </c>
      <c r="U22" s="897" t="s">
        <v>889</v>
      </c>
      <c r="V22" s="952"/>
      <c r="W22" s="2241">
        <f t="shared" ref="W22:W28" si="4">IF(T22=0,"0.00%",(X22-T22)/T22)</f>
        <v>2.0020770828525269E-2</v>
      </c>
      <c r="X22" s="340">
        <f>ROUND(T22*(1+Y20),0)</f>
        <v>17679</v>
      </c>
      <c r="Y22" s="455" t="str">
        <f>TEXT(Y20,"0.0%")&amp;" = Est. S &amp; C"</f>
        <v>2.0% = Est. S &amp; C</v>
      </c>
      <c r="Z22" s="457"/>
      <c r="AA22" s="456">
        <f t="shared" ref="AA22:AA28" si="5">IF(X22=0,"0.00%",(AB22-X22)/X22)</f>
        <v>2.0023756999830306E-2</v>
      </c>
      <c r="AB22" s="340">
        <f>ROUND(X22*(1+AC20),0)</f>
        <v>18033</v>
      </c>
      <c r="AC22" s="455" t="str">
        <f>TEXT(AC20,"0.0%")&amp;" = Est. S &amp; C"</f>
        <v>2.0% = Est. S &amp; C</v>
      </c>
      <c r="AE22" s="2368">
        <f>+AE20-AE21</f>
        <v>750726.19</v>
      </c>
      <c r="AF22" s="1656" t="s">
        <v>917</v>
      </c>
    </row>
    <row r="23" spans="1:32" s="1656" customFormat="1" x14ac:dyDescent="0.25">
      <c r="A23" s="2227"/>
      <c r="B23" s="2385" t="str">
        <f>'2016-17  RS 3010-DO &amp; All Sites'!AD22</f>
        <v>1112</v>
      </c>
      <c r="C23" s="2349" t="str">
        <f>'2016-17  RS 3010-DO &amp; All Sites'!AE22</f>
        <v>Supplemental Tchr./Extra Duty/Training</v>
      </c>
      <c r="D23" s="340">
        <v>52200</v>
      </c>
      <c r="E23" s="2386"/>
      <c r="F23" s="340"/>
      <c r="G23" s="456">
        <f t="shared" si="0"/>
        <v>-0.9885057471264368</v>
      </c>
      <c r="H23" s="340">
        <v>600</v>
      </c>
      <c r="I23" s="897"/>
      <c r="J23" s="455"/>
      <c r="K23" s="456">
        <f t="shared" si="1"/>
        <v>-1</v>
      </c>
      <c r="L23" s="340">
        <v>0</v>
      </c>
      <c r="M23" s="897"/>
      <c r="N23" s="457"/>
      <c r="O23" s="456" t="str">
        <f t="shared" si="2"/>
        <v>0.00%</v>
      </c>
      <c r="P23" s="340">
        <f>ROUND(L23*(1-$P$58),0)</f>
        <v>0</v>
      </c>
      <c r="Q23" s="897" t="s">
        <v>173</v>
      </c>
      <c r="R23" s="592"/>
      <c r="S23" s="2238" t="str">
        <f t="shared" si="3"/>
        <v>0.00%</v>
      </c>
      <c r="T23" s="340">
        <f>ROUND(P23*(1-$P$58),0)</f>
        <v>0</v>
      </c>
      <c r="U23" s="897" t="s">
        <v>173</v>
      </c>
      <c r="V23" s="952"/>
      <c r="W23" s="2241" t="str">
        <f t="shared" si="4"/>
        <v>0.00%</v>
      </c>
      <c r="X23" s="340">
        <f>ROUND(T23*(1+Y20),0)</f>
        <v>0</v>
      </c>
      <c r="Y23" s="455" t="str">
        <f>TEXT(Y20,"0.0%")&amp;" = Est. S &amp; C"</f>
        <v>2.0% = Est. S &amp; C</v>
      </c>
      <c r="Z23" s="457"/>
      <c r="AA23" s="456" t="str">
        <f t="shared" si="5"/>
        <v>0.00%</v>
      </c>
      <c r="AB23" s="340">
        <f>ROUND(X23*(1+AC20),0)</f>
        <v>0</v>
      </c>
      <c r="AC23" s="455" t="str">
        <f>TEXT(AC20,"0.0%")&amp;" = Est. S &amp; C"</f>
        <v>2.0% = Est. S &amp; C</v>
      </c>
      <c r="AE23" s="340"/>
    </row>
    <row r="24" spans="1:32" s="1656" customFormat="1" x14ac:dyDescent="0.25">
      <c r="A24" s="2227"/>
      <c r="B24" s="2385" t="str">
        <f>'2016-17  RS 3010-DO &amp; All Sites'!AD23</f>
        <v>1181</v>
      </c>
      <c r="C24" s="2349" t="str">
        <f>'2016-17  RS 3010-DO &amp; All Sites'!AE23</f>
        <v>Subs</v>
      </c>
      <c r="D24" s="340">
        <v>92692.86</v>
      </c>
      <c r="E24" s="2386"/>
      <c r="F24" s="340"/>
      <c r="G24" s="456">
        <f t="shared" si="0"/>
        <v>0.17251749487500978</v>
      </c>
      <c r="H24" s="340">
        <v>108684</v>
      </c>
      <c r="I24" s="897"/>
      <c r="J24" s="455"/>
      <c r="K24" s="456">
        <f t="shared" si="1"/>
        <v>-0.53369401199808619</v>
      </c>
      <c r="L24" s="340">
        <v>50680</v>
      </c>
      <c r="M24" s="897"/>
      <c r="N24" s="457"/>
      <c r="O24" s="456">
        <f t="shared" si="2"/>
        <v>0</v>
      </c>
      <c r="P24" s="340">
        <f>ROUND(L24*(1-$P$58),0)</f>
        <v>50680</v>
      </c>
      <c r="Q24" s="897" t="s">
        <v>173</v>
      </c>
      <c r="R24" s="592"/>
      <c r="S24" s="2238">
        <f t="shared" si="3"/>
        <v>0</v>
      </c>
      <c r="T24" s="340">
        <f>ROUND(P24*(1-$P$58),0)</f>
        <v>50680</v>
      </c>
      <c r="U24" s="897" t="s">
        <v>173</v>
      </c>
      <c r="V24" s="952"/>
      <c r="W24" s="2241">
        <f t="shared" si="4"/>
        <v>2.0007892659826363E-2</v>
      </c>
      <c r="X24" s="340">
        <f>ROUND(T24*(1+Y20),0)</f>
        <v>51694</v>
      </c>
      <c r="Y24" s="455" t="str">
        <f>TEXT(Y20,"0.0%")&amp;" = Est. S &amp; C"</f>
        <v>2.0% = Est. S &amp; C</v>
      </c>
      <c r="Z24" s="457"/>
      <c r="AA24" s="456">
        <f t="shared" si="5"/>
        <v>2.0002321352574768E-2</v>
      </c>
      <c r="AB24" s="340">
        <f>ROUND(X24*(1+AC20),0)</f>
        <v>52728</v>
      </c>
      <c r="AC24" s="455" t="str">
        <f>TEXT(AC20,"0.0%")&amp;" = Est. S &amp; C"</f>
        <v>2.0% = Est. S &amp; C</v>
      </c>
      <c r="AE24" s="340">
        <f>+D1*0.15</f>
        <v>292147.20000000001</v>
      </c>
      <c r="AF24" s="1656" t="s">
        <v>918</v>
      </c>
    </row>
    <row r="25" spans="1:32" s="1656" customFormat="1" x14ac:dyDescent="0.25">
      <c r="A25" s="2227"/>
      <c r="B25" s="2385" t="str">
        <f>'2016-17  RS 3010-DO &amp; All Sites'!AD24</f>
        <v>1204</v>
      </c>
      <c r="C25" s="2349" t="str">
        <f>'2016-17  RS 3010-DO &amp; All Sites'!AE24</f>
        <v>Counselor</v>
      </c>
      <c r="D25" s="340">
        <v>239174.79</v>
      </c>
      <c r="E25" s="2386"/>
      <c r="F25" s="340"/>
      <c r="G25" s="456">
        <f t="shared" si="0"/>
        <v>0.18347757303351239</v>
      </c>
      <c r="H25" s="340">
        <v>283058</v>
      </c>
      <c r="I25" s="897"/>
      <c r="J25" s="455"/>
      <c r="K25" s="456">
        <f>IF(H25=0,"0.00%",(L25-H25)/H25)</f>
        <v>4.1673437952645748E-2</v>
      </c>
      <c r="L25" s="340">
        <v>294854</v>
      </c>
      <c r="M25" s="897"/>
      <c r="N25" s="457"/>
      <c r="O25" s="456">
        <f t="shared" si="2"/>
        <v>1.9999728679278558E-2</v>
      </c>
      <c r="P25" s="340">
        <f>ROUND(L25*(1+Q20),0)</f>
        <v>300751</v>
      </c>
      <c r="Q25" s="897" t="str">
        <f>TEXT(Q20,"0.0%")&amp;" = Est. S &amp; C"</f>
        <v>2.0% = Est. S &amp; C</v>
      </c>
      <c r="R25" s="592"/>
      <c r="S25" s="2238">
        <f t="shared" si="3"/>
        <v>1.9999933499805486E-2</v>
      </c>
      <c r="T25" s="340">
        <f>ROUND(P25*(1+U20),0)</f>
        <v>306766</v>
      </c>
      <c r="U25" s="2227" t="str">
        <f>TEXT(U20,"0.0%")&amp;" = Est. S &amp; C"</f>
        <v>2.0% = Est. S &amp; C</v>
      </c>
      <c r="V25" s="952"/>
      <c r="W25" s="2241">
        <f t="shared" si="4"/>
        <v>1.9998956859625903E-2</v>
      </c>
      <c r="X25" s="340">
        <f>ROUND(T25*(1+Y20),0)</f>
        <v>312901</v>
      </c>
      <c r="Y25" s="455" t="str">
        <f>TEXT(Y20,"0.0%")&amp;" = Est. S &amp; C"</f>
        <v>2.0% = Est. S &amp; C</v>
      </c>
      <c r="Z25" s="457"/>
      <c r="AA25" s="456">
        <f t="shared" si="5"/>
        <v>1.9999936082019554E-2</v>
      </c>
      <c r="AB25" s="340">
        <f>ROUND(X25*(1+AC20),0)</f>
        <v>319159</v>
      </c>
      <c r="AC25" s="455" t="str">
        <f>TEXT(AC20,"0.0%")&amp;" = Est. S &amp; C"</f>
        <v>2.0% = Est. S &amp; C</v>
      </c>
      <c r="AE25" s="340"/>
    </row>
    <row r="26" spans="1:32" s="1656" customFormat="1" x14ac:dyDescent="0.25">
      <c r="A26" s="2227"/>
      <c r="B26" s="2385" t="str">
        <f>'2016-17  RS 3010-DO &amp; All Sites'!AD25</f>
        <v>1208</v>
      </c>
      <c r="C26" s="2349" t="str">
        <f>'2016-17  RS 3010-DO &amp; All Sites'!AE25</f>
        <v>Parent Instruction</v>
      </c>
      <c r="D26" s="340">
        <v>461.73</v>
      </c>
      <c r="E26" s="2386"/>
      <c r="F26" s="340"/>
      <c r="G26" s="456">
        <f t="shared" si="0"/>
        <v>0.33844454551361181</v>
      </c>
      <c r="H26" s="340">
        <v>618</v>
      </c>
      <c r="I26" s="897"/>
      <c r="J26" s="455"/>
      <c r="K26" s="456">
        <f t="shared" si="1"/>
        <v>2.4045307443365695</v>
      </c>
      <c r="L26" s="340">
        <v>2104</v>
      </c>
      <c r="M26" s="2341"/>
      <c r="N26" s="457"/>
      <c r="O26" s="456">
        <f t="shared" si="2"/>
        <v>0</v>
      </c>
      <c r="P26" s="340">
        <f>ROUND(L26*(1-$P$58),0)</f>
        <v>2104</v>
      </c>
      <c r="Q26" s="897" t="s">
        <v>173</v>
      </c>
      <c r="R26" s="592"/>
      <c r="S26" s="2238">
        <f t="shared" si="3"/>
        <v>0</v>
      </c>
      <c r="T26" s="340">
        <f>ROUND(P26*(1-$P$58),0)</f>
        <v>2104</v>
      </c>
      <c r="U26" s="897" t="s">
        <v>173</v>
      </c>
      <c r="V26" s="952"/>
      <c r="W26" s="2241">
        <f t="shared" si="4"/>
        <v>1.9961977186311788E-2</v>
      </c>
      <c r="X26" s="340">
        <f>ROUND(T26*(1+Y20),0)</f>
        <v>2146</v>
      </c>
      <c r="Y26" s="455" t="str">
        <f>TEXT(Y20,"0.0%")&amp;" = Est. S &amp; C"</f>
        <v>2.0% = Est. S &amp; C</v>
      </c>
      <c r="Z26" s="457"/>
      <c r="AA26" s="456">
        <f t="shared" si="5"/>
        <v>2.0037278657968314E-2</v>
      </c>
      <c r="AB26" s="340">
        <f>ROUND(X26*(1+AC20),0)</f>
        <v>2189</v>
      </c>
      <c r="AC26" s="455" t="str">
        <f>TEXT(AC20,"0.0%")&amp;" = Est. S &amp; C"</f>
        <v>2.0% = Est. S &amp; C</v>
      </c>
      <c r="AE26" s="340">
        <f>+AE22-AE24</f>
        <v>458578.98999999993</v>
      </c>
      <c r="AF26" s="1656" t="s">
        <v>924</v>
      </c>
    </row>
    <row r="27" spans="1:32" s="1656" customFormat="1" x14ac:dyDescent="0.25">
      <c r="A27" s="2227"/>
      <c r="B27" s="2385" t="str">
        <f>'2016-17  RS 3010-DO &amp; All Sites'!AD26</f>
        <v>1305</v>
      </c>
      <c r="C27" s="2349" t="str">
        <f>'2016-17  RS 3010-DO &amp; All Sites'!AE26</f>
        <v>Director</v>
      </c>
      <c r="D27" s="340">
        <v>62154.68</v>
      </c>
      <c r="E27" s="2386"/>
      <c r="F27" s="340"/>
      <c r="G27" s="456">
        <f t="shared" si="0"/>
        <v>5.7488832699323644E-3</v>
      </c>
      <c r="H27" s="340">
        <v>62512</v>
      </c>
      <c r="I27" s="897"/>
      <c r="J27" s="455"/>
      <c r="K27" s="456">
        <f t="shared" si="1"/>
        <v>3.9992321474276941E-2</v>
      </c>
      <c r="L27" s="340">
        <v>65012</v>
      </c>
      <c r="M27" s="897"/>
      <c r="N27" s="457"/>
      <c r="O27" s="456">
        <f t="shared" si="2"/>
        <v>1.9996308373838676E-2</v>
      </c>
      <c r="P27" s="340">
        <f>ROUND(L27*(1+Q20),0)</f>
        <v>66312</v>
      </c>
      <c r="Q27" s="897" t="str">
        <f>TEXT(Q20,"0.0%")&amp;" = Est. S &amp; C"</f>
        <v>2.0% = Est. S &amp; C</v>
      </c>
      <c r="R27" s="592"/>
      <c r="S27" s="2238">
        <f t="shared" si="3"/>
        <v>1.9996380745566412E-2</v>
      </c>
      <c r="T27" s="340">
        <f>ROUND(P27*(1+U20),0)</f>
        <v>67638</v>
      </c>
      <c r="U27" s="2227" t="str">
        <f>TEXT(U20,"0.0%")&amp;" = Est. S &amp; C"</f>
        <v>2.0% = Est. S &amp; C</v>
      </c>
      <c r="V27" s="952"/>
      <c r="W27" s="2241">
        <f t="shared" si="4"/>
        <v>2.0003548301250777E-2</v>
      </c>
      <c r="X27" s="340">
        <f>ROUND(T27*(1+Y20),0)</f>
        <v>68991</v>
      </c>
      <c r="Y27" s="455" t="str">
        <f>TEXT(Y20,"0.0%")&amp;" = Est. S &amp; C"</f>
        <v>2.0% = Est. S &amp; C</v>
      </c>
      <c r="Z27" s="457"/>
      <c r="AA27" s="456">
        <f t="shared" si="5"/>
        <v>2.0002609035961211E-2</v>
      </c>
      <c r="AB27" s="340">
        <f>ROUND(X27*(1+AC20),0)</f>
        <v>70371</v>
      </c>
      <c r="AC27" s="455" t="str">
        <f>TEXT(AC20,"0.0%")&amp;" = Est. S &amp; C"</f>
        <v>2.0% = Est. S &amp; C</v>
      </c>
      <c r="AE27" s="340"/>
    </row>
    <row r="28" spans="1:32" s="1656" customFormat="1" x14ac:dyDescent="0.25">
      <c r="A28" s="2227"/>
      <c r="B28" s="2385" t="str">
        <f>'2016-17  RS 3010-DO &amp; All Sites'!AD27</f>
        <v>1901</v>
      </c>
      <c r="C28" s="2349" t="str">
        <f>'2016-17  RS 3010-DO &amp; All Sites'!AE27</f>
        <v>Inst. Coaches</v>
      </c>
      <c r="D28" s="1866">
        <v>502321.44</v>
      </c>
      <c r="F28" s="340"/>
      <c r="G28" s="456">
        <f t="shared" si="0"/>
        <v>1.8598768151325568E-2</v>
      </c>
      <c r="H28" s="340">
        <v>511664</v>
      </c>
      <c r="I28" s="2375"/>
      <c r="J28" s="455"/>
      <c r="K28" s="456">
        <f t="shared" si="1"/>
        <v>5.1414600206385441E-2</v>
      </c>
      <c r="L28" s="340">
        <v>537971</v>
      </c>
      <c r="M28" s="897"/>
      <c r="N28" s="457"/>
      <c r="O28" s="456">
        <f t="shared" si="2"/>
        <v>1.9999219288772071E-2</v>
      </c>
      <c r="P28" s="340">
        <f>ROUND(L28*(1+Q20),0)</f>
        <v>548730</v>
      </c>
      <c r="Q28" s="897" t="str">
        <f>TEXT(Q20,"0.0%")&amp;" = Est. S &amp; C"</f>
        <v>2.0% = Est. S &amp; C</v>
      </c>
      <c r="R28" s="592"/>
      <c r="S28" s="2238">
        <f t="shared" si="3"/>
        <v>2.0000728955952837E-2</v>
      </c>
      <c r="T28" s="340">
        <f>ROUND(P28*(1+U20),0)</f>
        <v>559705</v>
      </c>
      <c r="U28" s="2227" t="str">
        <f>TEXT(U20,"0.0%")&amp;" = Est. S &amp; C"</f>
        <v>2.0% = Est. S &amp; C</v>
      </c>
      <c r="V28" s="952"/>
      <c r="W28" s="2241">
        <f t="shared" si="4"/>
        <v>1.999982133445297E-2</v>
      </c>
      <c r="X28" s="340">
        <f>ROUND(T28*(1+Y20),0)</f>
        <v>570899</v>
      </c>
      <c r="Y28" s="455" t="str">
        <f>TEXT(Y20,"0.0%")&amp;" = Est. S &amp; C"</f>
        <v>2.0% = Est. S &amp; C</v>
      </c>
      <c r="Z28" s="457"/>
      <c r="AA28" s="456">
        <f t="shared" si="5"/>
        <v>2.0000035032466338E-2</v>
      </c>
      <c r="AB28" s="340">
        <f>ROUND(X28*(1+AC20),0)</f>
        <v>582317</v>
      </c>
      <c r="AC28" s="455" t="str">
        <f>TEXT(AC20,"0.0%")&amp;" = Est. S &amp; C"</f>
        <v>2.0% = Est. S &amp; C</v>
      </c>
      <c r="AE28" s="340">
        <v>246954.63</v>
      </c>
      <c r="AF28" s="1656" t="s">
        <v>919</v>
      </c>
    </row>
    <row r="29" spans="1:32" s="1656" customFormat="1" x14ac:dyDescent="0.25">
      <c r="A29" s="2227"/>
      <c r="B29" s="2385"/>
      <c r="C29" s="2215"/>
      <c r="D29" s="340">
        <v>0</v>
      </c>
      <c r="E29" s="2386"/>
      <c r="F29" s="340"/>
      <c r="G29" s="456" t="str">
        <f t="shared" si="0"/>
        <v>0.00%</v>
      </c>
      <c r="H29" s="340">
        <f>-'RS 4203'!H23</f>
        <v>0</v>
      </c>
      <c r="I29" s="897"/>
      <c r="J29" s="455"/>
      <c r="K29" s="1668"/>
      <c r="L29" s="1866"/>
      <c r="M29" s="2377"/>
      <c r="N29" s="457"/>
      <c r="O29" s="1668"/>
      <c r="P29" s="340"/>
      <c r="Q29" s="2377"/>
      <c r="R29" s="592"/>
      <c r="S29" s="2341"/>
      <c r="T29" s="340"/>
      <c r="U29" s="2342"/>
      <c r="V29" s="952"/>
      <c r="W29" s="2343"/>
      <c r="X29" s="340"/>
      <c r="Y29" s="2344"/>
      <c r="Z29" s="457"/>
      <c r="AA29" s="1668"/>
      <c r="AB29" s="340"/>
      <c r="AC29" s="2344"/>
      <c r="AE29" s="340">
        <v>293810.8</v>
      </c>
      <c r="AF29" s="1656" t="s">
        <v>920</v>
      </c>
    </row>
    <row r="30" spans="1:32" s="1656" customFormat="1" x14ac:dyDescent="0.25">
      <c r="A30" s="2228"/>
      <c r="B30" s="2385"/>
      <c r="C30" s="2215"/>
      <c r="D30" s="458">
        <f>SUM(D22:D29)</f>
        <v>985227.66999999993</v>
      </c>
      <c r="E30" s="2386"/>
      <c r="F30" s="340"/>
      <c r="G30" s="456">
        <f t="shared" si="0"/>
        <v>8.0116811985193985E-3</v>
      </c>
      <c r="H30" s="458">
        <f>SUM(H22:H29)</f>
        <v>993121</v>
      </c>
      <c r="I30" s="2316">
        <f>+H30-D30</f>
        <v>7893.3300000000745</v>
      </c>
      <c r="J30" s="459"/>
      <c r="K30" s="456">
        <f>IF(H30=0,"0.00%",(L30-H30)/H30)</f>
        <v>-8.3474219153557318E-4</v>
      </c>
      <c r="L30" s="458">
        <f>SUM(L22:L29)</f>
        <v>992292</v>
      </c>
      <c r="M30" s="2316">
        <f>+L30-H30</f>
        <v>-829</v>
      </c>
      <c r="N30" s="457"/>
      <c r="O30" s="456">
        <f>IF(L30=0,"0.00%",(P30-L30)/L30)</f>
        <v>1.8095479959528041E-2</v>
      </c>
      <c r="P30" s="458">
        <f>SUM(P22:P29)</f>
        <v>1010248</v>
      </c>
      <c r="Q30" s="2316">
        <f>+P30-L30</f>
        <v>17956</v>
      </c>
      <c r="R30" s="592"/>
      <c r="S30" s="2238">
        <f>IF(P30=0,"0.00%",(T30-P30)/P30)</f>
        <v>-5.9619024239592651E-3</v>
      </c>
      <c r="T30" s="458">
        <f>SUM(T22:T29)</f>
        <v>1004225</v>
      </c>
      <c r="U30" s="2316">
        <f>+T30-P30</f>
        <v>-6023</v>
      </c>
      <c r="V30" s="952"/>
      <c r="W30" s="2241">
        <f>IF(T30=0,"0.00%",(X30-T30)/T30)</f>
        <v>2.0000497896387762E-2</v>
      </c>
      <c r="X30" s="458">
        <f>SUM(X22:X29)</f>
        <v>1024310</v>
      </c>
      <c r="Y30" s="2344"/>
      <c r="Z30" s="457"/>
      <c r="AA30" s="456">
        <f>IF(X30=0,"0.00%",(AB30-X30)/X30)</f>
        <v>2.0000781013560349E-2</v>
      </c>
      <c r="AB30" s="458">
        <f>SUM(AB22:AB29)</f>
        <v>1044797</v>
      </c>
      <c r="AC30" s="2344"/>
      <c r="AE30" s="2387">
        <f>+AE28+AE29</f>
        <v>540765.42999999993</v>
      </c>
      <c r="AF30" s="1656" t="s">
        <v>921</v>
      </c>
    </row>
    <row r="31" spans="1:32" s="1656" customFormat="1" x14ac:dyDescent="0.25">
      <c r="A31" s="2227"/>
      <c r="B31" s="2345"/>
      <c r="C31" s="2215"/>
      <c r="D31" s="340"/>
      <c r="E31" s="2386"/>
      <c r="F31" s="340"/>
      <c r="G31" s="2338"/>
      <c r="H31" s="340"/>
      <c r="I31" s="899"/>
      <c r="J31" s="455"/>
      <c r="K31" s="1668"/>
      <c r="L31" s="340"/>
      <c r="M31" s="2388"/>
      <c r="N31" s="457"/>
      <c r="O31" s="1668"/>
      <c r="P31" s="340"/>
      <c r="Q31" s="2388"/>
      <c r="R31" s="592"/>
      <c r="S31" s="2341"/>
      <c r="T31" s="340"/>
      <c r="U31" s="2342"/>
      <c r="V31" s="952"/>
      <c r="W31" s="2343"/>
      <c r="X31" s="340"/>
      <c r="Y31" s="2344"/>
      <c r="Z31" s="457"/>
      <c r="AA31" s="1668"/>
      <c r="AB31" s="340"/>
      <c r="AC31" s="2344"/>
      <c r="AE31" s="340"/>
      <c r="AF31" s="1656" t="s">
        <v>922</v>
      </c>
    </row>
    <row r="32" spans="1:32" s="900" customFormat="1" x14ac:dyDescent="0.25">
      <c r="A32" s="2225"/>
      <c r="B32" s="2337" t="str">
        <f>'2016-17  RS 3010-DO &amp; All Sites'!AD32</f>
        <v>Classified</v>
      </c>
      <c r="C32" s="2225"/>
      <c r="D32" s="460"/>
      <c r="E32" s="868"/>
      <c r="F32" s="460"/>
      <c r="G32" s="2389"/>
      <c r="H32" s="460"/>
      <c r="I32" s="868"/>
      <c r="J32" s="460"/>
      <c r="K32" s="1669"/>
      <c r="L32" s="460"/>
      <c r="M32" s="2390"/>
      <c r="N32" s="461"/>
      <c r="O32" s="1669"/>
      <c r="P32" s="460"/>
      <c r="Q32" s="902"/>
      <c r="R32" s="461"/>
      <c r="S32" s="1669"/>
      <c r="T32" s="460"/>
      <c r="U32" s="2391"/>
      <c r="V32" s="2381"/>
      <c r="W32" s="2382"/>
      <c r="X32" s="460"/>
      <c r="Y32" s="2392"/>
      <c r="Z32" s="461"/>
      <c r="AA32" s="1669"/>
      <c r="AB32" s="460"/>
      <c r="AC32" s="2392"/>
      <c r="AE32" s="460"/>
    </row>
    <row r="33" spans="1:32" s="1656" customFormat="1" x14ac:dyDescent="0.25">
      <c r="A33" s="2227"/>
      <c r="B33" s="2385" t="str">
        <f>'2016-17  RS 3010-DO &amp; All Sites'!AD33</f>
        <v>2101</v>
      </c>
      <c r="C33" s="2349" t="str">
        <f>'2016-17  RS 3010-DO &amp; All Sites'!AE33</f>
        <v>Para Lrning Asstnt</v>
      </c>
      <c r="D33" s="340">
        <v>86560.18</v>
      </c>
      <c r="E33" s="2386"/>
      <c r="F33" s="340"/>
      <c r="G33" s="456">
        <f t="shared" ref="G33:G39" si="6">IF(D33=0,"0.00%",(H33-D33)/D33)</f>
        <v>-0.11823196301116742</v>
      </c>
      <c r="H33" s="340">
        <v>76326</v>
      </c>
      <c r="I33" s="2393"/>
      <c r="J33" s="455"/>
      <c r="K33" s="456">
        <f t="shared" ref="K33:K39" si="7">IF(H33=0,"0.00%",(L33-H33)/H33)</f>
        <v>-9.4725257448313813E-3</v>
      </c>
      <c r="L33" s="340">
        <v>75603</v>
      </c>
      <c r="M33" s="897"/>
      <c r="N33" s="457"/>
      <c r="O33" s="456">
        <f t="shared" ref="O33:O39" si="8">IF(L33=0,"0.00%",(P33-L33)/L33)</f>
        <v>1.9999206380699179E-2</v>
      </c>
      <c r="P33" s="340">
        <f>ROUND(L33*(1+Q20),0)</f>
        <v>77115</v>
      </c>
      <c r="Q33" s="897" t="str">
        <f>TEXT(Q20,"0.0%")&amp;" = Est. S &amp; C"</f>
        <v>2.0% = Est. S &amp; C</v>
      </c>
      <c r="R33" s="592"/>
      <c r="S33" s="2238">
        <f t="shared" ref="S33:S39" si="9">IF(P33=0,"0.00%",(T33-P33)/P33)</f>
        <v>1.9996109706282825E-2</v>
      </c>
      <c r="T33" s="340">
        <f>ROUND(P33*(1+U20),0)</f>
        <v>78657</v>
      </c>
      <c r="U33" s="2227" t="str">
        <f>TEXT(U20,"0.0%")&amp;" = Est. S &amp; C"</f>
        <v>2.0% = Est. S &amp; C</v>
      </c>
      <c r="V33" s="952"/>
      <c r="W33" s="2241">
        <f t="shared" ref="W33:W39" si="10">IF(T33=0,"0.00%",(X33-T33)/T33)</f>
        <v>1.9998220120269018E-2</v>
      </c>
      <c r="X33" s="340">
        <f>ROUND(T33*(1+Y20),0)</f>
        <v>80230</v>
      </c>
      <c r="Y33" s="455" t="str">
        <f>TEXT(Y20,"0.0%")&amp;" = Est. S &amp; C"</f>
        <v>2.0% = Est. S &amp; C</v>
      </c>
      <c r="Z33" s="457"/>
      <c r="AA33" s="456">
        <f t="shared" ref="AA33:AA39" si="11">IF(X33=0,"0.00%",(AB33-X33)/X33)</f>
        <v>2.0004985666209646E-2</v>
      </c>
      <c r="AB33" s="340">
        <f>ROUND(X33*(1+AC20),0)</f>
        <v>81835</v>
      </c>
      <c r="AC33" s="455" t="str">
        <f>TEXT(AC20,"0.0%")&amp;" = Est. S &amp; C"</f>
        <v>2.0% = Est. S &amp; C</v>
      </c>
      <c r="AE33" s="340">
        <f>+AE26-AE30</f>
        <v>-82186.44</v>
      </c>
      <c r="AF33" s="1656" t="s">
        <v>923</v>
      </c>
    </row>
    <row r="34" spans="1:32" s="1656" customFormat="1" x14ac:dyDescent="0.25">
      <c r="A34" s="2227"/>
      <c r="B34" s="2385">
        <v>2181</v>
      </c>
      <c r="C34" s="2349" t="s">
        <v>774</v>
      </c>
      <c r="D34" s="340">
        <f>696.6+2040.89+160</f>
        <v>2897.4900000000002</v>
      </c>
      <c r="E34" s="2386"/>
      <c r="F34" s="340"/>
      <c r="G34" s="456">
        <f t="shared" si="6"/>
        <v>-0.3787726618556061</v>
      </c>
      <c r="H34" s="340">
        <v>1800</v>
      </c>
      <c r="I34" s="2393"/>
      <c r="J34" s="455"/>
      <c r="K34" s="456">
        <f t="shared" si="7"/>
        <v>-1</v>
      </c>
      <c r="L34" s="340">
        <v>0</v>
      </c>
      <c r="M34" s="897"/>
      <c r="N34" s="457"/>
      <c r="O34" s="456" t="str">
        <f t="shared" si="8"/>
        <v>0.00%</v>
      </c>
      <c r="P34" s="340">
        <f>+L34</f>
        <v>0</v>
      </c>
      <c r="Q34" s="897" t="s">
        <v>173</v>
      </c>
      <c r="R34" s="592"/>
      <c r="S34" s="2238" t="str">
        <f t="shared" si="9"/>
        <v>0.00%</v>
      </c>
      <c r="T34" s="340">
        <f>+P34</f>
        <v>0</v>
      </c>
      <c r="U34" s="897" t="s">
        <v>173</v>
      </c>
      <c r="V34" s="952"/>
      <c r="W34" s="2241" t="str">
        <f t="shared" si="10"/>
        <v>0.00%</v>
      </c>
      <c r="X34" s="340">
        <f>ROUND(T34*(1+Y20),0)</f>
        <v>0</v>
      </c>
      <c r="Y34" s="455" t="str">
        <f>TEXT(Y20,"0.0%")&amp;" = Est. S &amp; C"</f>
        <v>2.0% = Est. S &amp; C</v>
      </c>
      <c r="Z34" s="457"/>
      <c r="AA34" s="456" t="str">
        <f t="shared" si="11"/>
        <v>0.00%</v>
      </c>
      <c r="AB34" s="340">
        <f>ROUND(X34*(1+AC20),0)</f>
        <v>0</v>
      </c>
      <c r="AC34" s="455" t="str">
        <f>TEXT(AC20,"0.0%")&amp;" = Est. S &amp; C"</f>
        <v>2.0% = Est. S &amp; C</v>
      </c>
      <c r="AE34" s="340"/>
    </row>
    <row r="35" spans="1:32" s="1656" customFormat="1" x14ac:dyDescent="0.25">
      <c r="A35" s="2227"/>
      <c r="B35" s="2385" t="str">
        <f>'2016-17  RS 3010-DO &amp; All Sites'!AD35</f>
        <v>2404</v>
      </c>
      <c r="C35" s="2349" t="str">
        <f>'2016-17  RS 3010-DO &amp; All Sites'!AE35</f>
        <v>Secretary</v>
      </c>
      <c r="D35" s="340">
        <v>18175.13</v>
      </c>
      <c r="E35" s="2386"/>
      <c r="F35" s="340"/>
      <c r="G35" s="456">
        <f t="shared" si="6"/>
        <v>9.9689520790222627E-2</v>
      </c>
      <c r="H35" s="340">
        <v>19987</v>
      </c>
      <c r="I35" s="2393"/>
      <c r="J35" s="455"/>
      <c r="K35" s="456">
        <f t="shared" si="7"/>
        <v>-5.9138439985990894E-2</v>
      </c>
      <c r="L35" s="340">
        <v>18805</v>
      </c>
      <c r="M35" s="897"/>
      <c r="N35" s="457"/>
      <c r="O35" s="456">
        <f t="shared" si="8"/>
        <v>1.999468226535496E-2</v>
      </c>
      <c r="P35" s="340">
        <f>ROUND(L35*(1+Q20),0)</f>
        <v>19181</v>
      </c>
      <c r="Q35" s="897" t="str">
        <f>TEXT(Q20,"0.0%")&amp;" = Est. S &amp; C"</f>
        <v>2.0% = Est. S &amp; C</v>
      </c>
      <c r="R35" s="592"/>
      <c r="S35" s="2238">
        <f t="shared" si="9"/>
        <v>2.0019811271570827E-2</v>
      </c>
      <c r="T35" s="340">
        <f>ROUND(P35*(1+U20),0)</f>
        <v>19565</v>
      </c>
      <c r="U35" s="2227" t="str">
        <f>TEXT(U20,"0.0%")&amp;" = Est. S &amp; C"</f>
        <v>2.0% = Est. S &amp; C</v>
      </c>
      <c r="V35" s="952"/>
      <c r="W35" s="2241">
        <f t="shared" si="10"/>
        <v>1.9984666496294403E-2</v>
      </c>
      <c r="X35" s="340">
        <f>ROUND(T35*(1+Y20),0)</f>
        <v>19956</v>
      </c>
      <c r="Y35" s="455" t="str">
        <f>TEXT(Y20,"0.0%")&amp;" = Est. S &amp; C"</f>
        <v>2.0% = Est. S &amp; C</v>
      </c>
      <c r="Z35" s="457"/>
      <c r="AA35" s="456">
        <f t="shared" si="11"/>
        <v>1.999398677089597E-2</v>
      </c>
      <c r="AB35" s="340">
        <f>ROUND(X35*(1+AC20),0)</f>
        <v>20355</v>
      </c>
      <c r="AC35" s="455" t="str">
        <f>TEXT(AC20,"0.0%")&amp;" = Est. S &amp; C"</f>
        <v>2.0% = Est. S &amp; C</v>
      </c>
      <c r="AE35" s="340"/>
    </row>
    <row r="36" spans="1:32" s="1656" customFormat="1" x14ac:dyDescent="0.25">
      <c r="A36" s="2227"/>
      <c r="B36" s="2385" t="str">
        <f>'2016-17  RS 3010-DO &amp; All Sites'!AD36</f>
        <v>2481</v>
      </c>
      <c r="C36" s="2349" t="str">
        <f>'2016-17  RS 3010-DO &amp; All Sites'!AE36</f>
        <v>Sub. Office</v>
      </c>
      <c r="D36" s="340">
        <v>692.69</v>
      </c>
      <c r="E36" s="2386"/>
      <c r="F36" s="340"/>
      <c r="G36" s="456">
        <f t="shared" si="6"/>
        <v>-1</v>
      </c>
      <c r="H36" s="340">
        <v>0</v>
      </c>
      <c r="I36" s="2393"/>
      <c r="J36" s="455"/>
      <c r="K36" s="456" t="str">
        <f t="shared" si="7"/>
        <v>0.00%</v>
      </c>
      <c r="L36" s="340">
        <v>0</v>
      </c>
      <c r="M36" s="897"/>
      <c r="N36" s="457"/>
      <c r="O36" s="456" t="str">
        <f t="shared" si="8"/>
        <v>0.00%</v>
      </c>
      <c r="P36" s="340">
        <f t="shared" ref="P36:P39" si="12">ROUND(L36*(1-$P$58),0)</f>
        <v>0</v>
      </c>
      <c r="Q36" s="897"/>
      <c r="R36" s="592"/>
      <c r="S36" s="2238" t="str">
        <f t="shared" si="9"/>
        <v>0.00%</v>
      </c>
      <c r="T36" s="340">
        <f t="shared" ref="T36:T39" si="13">ROUND(P36*(1-$P$58),0)</f>
        <v>0</v>
      </c>
      <c r="U36" s="897"/>
      <c r="V36" s="952"/>
      <c r="W36" s="2241" t="str">
        <f t="shared" si="10"/>
        <v>0.00%</v>
      </c>
      <c r="X36" s="340">
        <f>ROUND(T36*(1+Y20),0)</f>
        <v>0</v>
      </c>
      <c r="Y36" s="455" t="str">
        <f>TEXT(Y20,"0.0%")&amp;" = Est. S &amp; C"</f>
        <v>2.0% = Est. S &amp; C</v>
      </c>
      <c r="Z36" s="457"/>
      <c r="AA36" s="456" t="str">
        <f t="shared" si="11"/>
        <v>0.00%</v>
      </c>
      <c r="AB36" s="340">
        <f>ROUND(X36*(1+AC20),0)</f>
        <v>0</v>
      </c>
      <c r="AC36" s="455" t="str">
        <f>TEXT(AC20,"0.0%")&amp;" = Est. S &amp; C"</f>
        <v>2.0% = Est. S &amp; C</v>
      </c>
      <c r="AE36" s="340"/>
    </row>
    <row r="37" spans="1:32" s="1656" customFormat="1" x14ac:dyDescent="0.25">
      <c r="A37" s="2227"/>
      <c r="B37" s="2385" t="str">
        <f>'2016-17  RS 3010-DO &amp; All Sites'!AD37</f>
        <v>2901</v>
      </c>
      <c r="C37" s="2349" t="str">
        <f>'2016-17  RS 3010-DO &amp; All Sites'!AE37</f>
        <v>Babysitter</v>
      </c>
      <c r="D37" s="340">
        <v>0</v>
      </c>
      <c r="E37" s="2386"/>
      <c r="F37" s="340"/>
      <c r="G37" s="456" t="str">
        <f t="shared" si="6"/>
        <v>0.00%</v>
      </c>
      <c r="H37" s="340">
        <v>572</v>
      </c>
      <c r="I37" s="2393"/>
      <c r="J37" s="455"/>
      <c r="K37" s="456">
        <f t="shared" si="7"/>
        <v>0.61888111888111885</v>
      </c>
      <c r="L37" s="340">
        <v>926</v>
      </c>
      <c r="M37" s="897"/>
      <c r="N37" s="457"/>
      <c r="O37" s="456">
        <f t="shared" si="8"/>
        <v>0</v>
      </c>
      <c r="P37" s="340">
        <f t="shared" si="12"/>
        <v>926</v>
      </c>
      <c r="Q37" s="897" t="s">
        <v>173</v>
      </c>
      <c r="R37" s="592"/>
      <c r="S37" s="2238">
        <f t="shared" si="9"/>
        <v>0</v>
      </c>
      <c r="T37" s="340">
        <f t="shared" si="13"/>
        <v>926</v>
      </c>
      <c r="U37" s="897" t="s">
        <v>173</v>
      </c>
      <c r="V37" s="952"/>
      <c r="W37" s="2241">
        <f t="shared" si="10"/>
        <v>2.0518358531317494E-2</v>
      </c>
      <c r="X37" s="340">
        <f>ROUND(T37*(1+Y20),0)</f>
        <v>945</v>
      </c>
      <c r="Y37" s="455" t="str">
        <f>TEXT(Y20,"0.0%")&amp;" = Est. S &amp; C"</f>
        <v>2.0% = Est. S &amp; C</v>
      </c>
      <c r="Z37" s="457"/>
      <c r="AA37" s="456">
        <f t="shared" si="11"/>
        <v>2.0105820105820106E-2</v>
      </c>
      <c r="AB37" s="340">
        <f>ROUND(X37*(1+AC20),0)</f>
        <v>964</v>
      </c>
      <c r="AC37" s="455" t="str">
        <f>TEXT(AC20,"0.0%")&amp;" = Est. S &amp; C"</f>
        <v>2.0% = Est. S &amp; C</v>
      </c>
      <c r="AE37" s="340">
        <f>+AE22</f>
        <v>750726.19</v>
      </c>
      <c r="AF37" s="1656" t="s">
        <v>926</v>
      </c>
    </row>
    <row r="38" spans="1:32" s="1656" customFormat="1" x14ac:dyDescent="0.25">
      <c r="A38" s="2227"/>
      <c r="B38" s="2385" t="str">
        <f>'2016-17  RS 3010-DO &amp; All Sites'!AD38</f>
        <v>2910</v>
      </c>
      <c r="C38" s="2349" t="str">
        <f>'2016-17  RS 3010-DO &amp; All Sites'!AE38</f>
        <v>Interpreters</v>
      </c>
      <c r="D38" s="340">
        <v>7853.6</v>
      </c>
      <c r="E38" s="2386"/>
      <c r="F38" s="340"/>
      <c r="G38" s="456">
        <f t="shared" si="6"/>
        <v>-0.12778853010084551</v>
      </c>
      <c r="H38" s="340">
        <v>6850</v>
      </c>
      <c r="I38" s="2393"/>
      <c r="J38" s="455"/>
      <c r="K38" s="456">
        <f t="shared" si="7"/>
        <v>0.3865693430656934</v>
      </c>
      <c r="L38" s="340">
        <v>9498</v>
      </c>
      <c r="M38" s="897"/>
      <c r="N38" s="457"/>
      <c r="O38" s="456">
        <f t="shared" si="8"/>
        <v>0</v>
      </c>
      <c r="P38" s="340">
        <f t="shared" si="12"/>
        <v>9498</v>
      </c>
      <c r="Q38" s="897" t="s">
        <v>173</v>
      </c>
      <c r="R38" s="592"/>
      <c r="S38" s="2238">
        <f t="shared" si="9"/>
        <v>0</v>
      </c>
      <c r="T38" s="340">
        <f t="shared" si="13"/>
        <v>9498</v>
      </c>
      <c r="U38" s="897" t="s">
        <v>173</v>
      </c>
      <c r="V38" s="952"/>
      <c r="W38" s="2241">
        <f t="shared" si="10"/>
        <v>2.0004211412929039E-2</v>
      </c>
      <c r="X38" s="340">
        <f>ROUND(T38*(1+Y20),0)</f>
        <v>9688</v>
      </c>
      <c r="Y38" s="455" t="str">
        <f>TEXT(Y20,"0.0%")&amp;" = Est. S &amp; C"</f>
        <v>2.0% = Est. S &amp; C</v>
      </c>
      <c r="Z38" s="457"/>
      <c r="AA38" s="456">
        <f t="shared" si="11"/>
        <v>2.0024772914946327E-2</v>
      </c>
      <c r="AB38" s="340">
        <f>ROUND(X38*(1+AC20),0)</f>
        <v>9882</v>
      </c>
      <c r="AC38" s="455" t="str">
        <f>TEXT(AC20,"0.0%")&amp;" = Est. S &amp; C"</f>
        <v>2.0% = Est. S &amp; C</v>
      </c>
      <c r="AE38" s="340">
        <v>364000</v>
      </c>
      <c r="AF38" s="1656" t="s">
        <v>925</v>
      </c>
    </row>
    <row r="39" spans="1:32" s="1656" customFormat="1" x14ac:dyDescent="0.25">
      <c r="A39" s="2227"/>
      <c r="B39" s="2385" t="str">
        <f>'2016-17  RS 3010-DO &amp; All Sites'!AD39</f>
        <v>2924</v>
      </c>
      <c r="C39" s="2349" t="str">
        <f>'2016-17  RS 3010-DO &amp; All Sites'!AE39</f>
        <v>Parent Ed. Aide</v>
      </c>
      <c r="D39" s="340">
        <v>0</v>
      </c>
      <c r="E39" s="2386"/>
      <c r="F39" s="340"/>
      <c r="G39" s="456" t="str">
        <f t="shared" si="6"/>
        <v>0.00%</v>
      </c>
      <c r="H39" s="340">
        <v>0</v>
      </c>
      <c r="I39" s="2393"/>
      <c r="J39" s="455"/>
      <c r="K39" s="456" t="str">
        <f t="shared" si="7"/>
        <v>0.00%</v>
      </c>
      <c r="L39" s="340">
        <v>449</v>
      </c>
      <c r="M39" s="897"/>
      <c r="N39" s="457"/>
      <c r="O39" s="456">
        <f t="shared" si="8"/>
        <v>0</v>
      </c>
      <c r="P39" s="340">
        <f t="shared" si="12"/>
        <v>449</v>
      </c>
      <c r="Q39" s="897" t="s">
        <v>173</v>
      </c>
      <c r="R39" s="592"/>
      <c r="S39" s="2238">
        <f t="shared" si="9"/>
        <v>0</v>
      </c>
      <c r="T39" s="340">
        <f t="shared" si="13"/>
        <v>449</v>
      </c>
      <c r="U39" s="897" t="s">
        <v>173</v>
      </c>
      <c r="V39" s="952"/>
      <c r="W39" s="2241">
        <f t="shared" si="10"/>
        <v>2.0044543429844099E-2</v>
      </c>
      <c r="X39" s="340">
        <f>ROUND(T39*(1+Y20),0)</f>
        <v>458</v>
      </c>
      <c r="Y39" s="455" t="str">
        <f>TEXT(Y20,"0.0%")&amp;" = Est. S &amp; C"</f>
        <v>2.0% = Est. S &amp; C</v>
      </c>
      <c r="Z39" s="457"/>
      <c r="AA39" s="456">
        <f t="shared" si="11"/>
        <v>1.9650655021834062E-2</v>
      </c>
      <c r="AB39" s="340">
        <f>ROUND(X39*(1+AC20),0)</f>
        <v>467</v>
      </c>
      <c r="AC39" s="455" t="str">
        <f>TEXT(AC20,"0.0%")&amp;" = Est. S &amp; C"</f>
        <v>2.0% = Est. S &amp; C</v>
      </c>
      <c r="AE39" s="2368">
        <f>+AE37-AE38</f>
        <v>386726.18999999994</v>
      </c>
    </row>
    <row r="40" spans="1:32" s="1656" customFormat="1" x14ac:dyDescent="0.25">
      <c r="A40" s="2227"/>
      <c r="B40" s="2385"/>
      <c r="C40" s="2215"/>
      <c r="D40" s="340">
        <v>0</v>
      </c>
      <c r="E40" s="2386"/>
      <c r="F40" s="340"/>
      <c r="G40" s="2338"/>
      <c r="H40" s="340"/>
      <c r="I40" s="897"/>
      <c r="J40" s="455"/>
      <c r="K40" s="1668"/>
      <c r="L40" s="340"/>
      <c r="M40" s="2340"/>
      <c r="N40" s="457"/>
      <c r="O40" s="1668"/>
      <c r="P40" s="340"/>
      <c r="Q40" s="901"/>
      <c r="R40" s="592"/>
      <c r="S40" s="2341"/>
      <c r="T40" s="340"/>
      <c r="U40" s="2342"/>
      <c r="V40" s="952"/>
      <c r="W40" s="2343"/>
      <c r="X40" s="340"/>
      <c r="Y40" s="2344"/>
      <c r="Z40" s="457"/>
      <c r="AA40" s="1668"/>
      <c r="AB40" s="340"/>
      <c r="AC40" s="2344"/>
      <c r="AE40" s="340"/>
    </row>
    <row r="41" spans="1:32" s="1656" customFormat="1" x14ac:dyDescent="0.25">
      <c r="A41" s="2228"/>
      <c r="B41" s="2385"/>
      <c r="C41" s="2215"/>
      <c r="D41" s="458">
        <f>SUM(D33:D40)</f>
        <v>116179.09000000001</v>
      </c>
      <c r="E41" s="2386"/>
      <c r="F41" s="340"/>
      <c r="G41" s="456">
        <f>IF(D41=0,"0.00%",(H41-D41)/D41)</f>
        <v>-9.1617949495042608E-2</v>
      </c>
      <c r="H41" s="458">
        <f>SUM(H33:H40)</f>
        <v>105535</v>
      </c>
      <c r="I41" s="2316">
        <f>+H41-D41</f>
        <v>-10644.090000000011</v>
      </c>
      <c r="J41" s="459"/>
      <c r="K41" s="456">
        <f>IF(H41=0,"0.00%",(L41-H41)/H41)</f>
        <v>-2.4067844790827686E-3</v>
      </c>
      <c r="L41" s="458">
        <f>SUM(L33:L40)</f>
        <v>105281</v>
      </c>
      <c r="M41" s="2316">
        <f>+L41-H41</f>
        <v>-254</v>
      </c>
      <c r="N41" s="457"/>
      <c r="O41" s="456">
        <f>IF(L41=0,"0.00%",(P41-L41)/L41)</f>
        <v>1.7932960363218436E-2</v>
      </c>
      <c r="P41" s="458">
        <f>SUM(P33:P40)</f>
        <v>107169</v>
      </c>
      <c r="Q41" s="2316">
        <f>+P41-L41</f>
        <v>1888</v>
      </c>
      <c r="R41" s="592"/>
      <c r="S41" s="2238">
        <f>IF(P41=0,"0.00%",(T41-P41)/P41)</f>
        <v>1.7971614925958068E-2</v>
      </c>
      <c r="T41" s="458">
        <f>SUM(T33:T40)</f>
        <v>109095</v>
      </c>
      <c r="U41" s="2316">
        <f>+T41-P41</f>
        <v>1926</v>
      </c>
      <c r="V41" s="952"/>
      <c r="W41" s="2241">
        <f>IF(T41=0,"0.00%",(X41-T41)/T41)</f>
        <v>2.0000916632292955E-2</v>
      </c>
      <c r="X41" s="458">
        <f>SUM(X33:X40)</f>
        <v>111277</v>
      </c>
      <c r="Y41" s="2344"/>
      <c r="Z41" s="457"/>
      <c r="AA41" s="456">
        <f>IF(X41=0,"0.00%",(AB41-X41)/X41)</f>
        <v>2.0004133828194506E-2</v>
      </c>
      <c r="AB41" s="458">
        <f>SUM(AB33:AB40)</f>
        <v>113503</v>
      </c>
      <c r="AC41" s="2344"/>
      <c r="AE41" s="340"/>
    </row>
    <row r="42" spans="1:32" s="1656" customFormat="1" x14ac:dyDescent="0.25">
      <c r="A42" s="2227"/>
      <c r="B42" s="2345" t="s">
        <v>28</v>
      </c>
      <c r="C42" s="2215"/>
      <c r="D42" s="340"/>
      <c r="E42" s="2386"/>
      <c r="F42" s="340"/>
      <c r="G42" s="2338"/>
      <c r="H42" s="340"/>
      <c r="I42" s="897"/>
      <c r="J42" s="455"/>
      <c r="K42" s="1668"/>
      <c r="L42" s="340"/>
      <c r="M42" s="2340"/>
      <c r="N42" s="457"/>
      <c r="O42" s="1668"/>
      <c r="P42" s="340"/>
      <c r="Q42" s="901"/>
      <c r="R42" s="592"/>
      <c r="S42" s="2341"/>
      <c r="T42" s="340"/>
      <c r="U42" s="2342"/>
      <c r="V42" s="952"/>
      <c r="W42" s="2343"/>
      <c r="X42" s="340"/>
      <c r="Y42" s="2344"/>
      <c r="Z42" s="457"/>
      <c r="AA42" s="1668"/>
      <c r="AB42" s="340"/>
      <c r="AC42" s="2344"/>
      <c r="AE42" s="340"/>
    </row>
    <row r="43" spans="1:32" s="1656" customFormat="1" x14ac:dyDescent="0.25">
      <c r="A43" s="2229"/>
      <c r="B43" s="2337" t="str">
        <f>'2016-17  RS 3010-DO &amp; All Sites'!AD43</f>
        <v>Benefits</v>
      </c>
      <c r="C43" s="2215"/>
      <c r="D43" s="340"/>
      <c r="E43" s="2386"/>
      <c r="F43" s="340"/>
      <c r="G43" s="2338"/>
      <c r="H43" s="340"/>
      <c r="I43" s="897"/>
      <c r="J43" s="455"/>
      <c r="K43" s="1668"/>
      <c r="L43" s="340"/>
      <c r="M43" s="2340"/>
      <c r="N43" s="457"/>
      <c r="O43" s="1668"/>
      <c r="P43" s="340"/>
      <c r="Q43" s="901"/>
      <c r="R43" s="592"/>
      <c r="S43" s="2341"/>
      <c r="T43" s="340"/>
      <c r="U43" s="2342"/>
      <c r="V43" s="952"/>
      <c r="W43" s="2343"/>
      <c r="X43" s="340"/>
      <c r="Y43" s="2344"/>
      <c r="Z43" s="457"/>
      <c r="AA43" s="1668"/>
      <c r="AB43" s="340"/>
      <c r="AC43" s="2344"/>
      <c r="AE43" s="340"/>
    </row>
    <row r="44" spans="1:32" s="1656" customFormat="1" x14ac:dyDescent="0.25">
      <c r="A44" s="2227"/>
      <c r="B44" s="2385" t="str">
        <f>'2016-17  RS 3010-DO &amp; All Sites'!AD44</f>
        <v>310X</v>
      </c>
      <c r="C44" s="2349" t="str">
        <f>'2016-17  RS 3010-DO &amp; All Sites'!AE44</f>
        <v>STRS</v>
      </c>
      <c r="D44" s="340">
        <v>117631.12</v>
      </c>
      <c r="E44" s="899" t="str">
        <f>TEXT('MYP Assumptions'!$D$57,"0.00%")&amp;", STRS rate"</f>
        <v>12.58%, STRS rate</v>
      </c>
      <c r="F44" s="340"/>
      <c r="G44" s="456">
        <f t="shared" ref="G44:G51" si="14">IF(D44=0,"0.00%",(H44-D44)/D44)</f>
        <v>0.24433908305897287</v>
      </c>
      <c r="H44" s="340">
        <v>146373</v>
      </c>
      <c r="I44" s="899" t="str">
        <f>TEXT('MYP Assumptions'!E57,"0.00%")&amp;", STRS rate"</f>
        <v>14.43%, STRS rate</v>
      </c>
      <c r="J44" s="455"/>
      <c r="K44" s="456">
        <f t="shared" ref="K44:K53" si="15">IF(H44=0,"0.00%",(L44-H44)/H44)</f>
        <v>0.10365299611267105</v>
      </c>
      <c r="L44" s="340">
        <v>161545</v>
      </c>
      <c r="M44" s="897" t="str">
        <f>TEXT('MYP Assumptions'!F57,"0.00%")&amp;", projected STRS rate"</f>
        <v>16.28%, projected STRS rate</v>
      </c>
      <c r="N44" s="457"/>
      <c r="O44" s="456">
        <f t="shared" ref="O44:O53" si="16">IF(L44=0,"0.00%",(P44-L44)/L44)</f>
        <v>0.13378934662168437</v>
      </c>
      <c r="P44" s="340">
        <f>ROUND(P30*LEFT(Q44,6),0)</f>
        <v>183158</v>
      </c>
      <c r="Q44" s="899" t="str">
        <f>TEXT('MYP Assumptions'!G57,"0.00%")&amp;", projected STRS rate"</f>
        <v>18.13%, projected STRS rate</v>
      </c>
      <c r="R44" s="592"/>
      <c r="S44" s="2238">
        <f t="shared" ref="S44:S53" si="17">IF(P44=0,"0.00%",(T44-P44)/P44)</f>
        <v>4.7221524585330701E-2</v>
      </c>
      <c r="T44" s="340">
        <f>ROUND(T30*LEFT(U44,6),0)</f>
        <v>191807</v>
      </c>
      <c r="U44" s="2254" t="str">
        <f>TEXT('MYP Assumptions'!H57,"0.00%")&amp;", projected STRS rate"</f>
        <v>19.10%, projected STRS rate</v>
      </c>
      <c r="V44" s="952"/>
      <c r="W44" s="2241">
        <f t="shared" ref="W44:W53" si="18">IF(T44=0,"0.00%",(X44-T44)/T44)</f>
        <v>1.99992700996314E-2</v>
      </c>
      <c r="X44" s="340">
        <f>ROUND(X30*LEFT(Y44,6),0)</f>
        <v>195643</v>
      </c>
      <c r="Y44" s="953" t="str">
        <f>TEXT('MYP Assumptions'!I57,"0.00%")&amp;", projected STRS rate"</f>
        <v>19.10%, projected STRS rate</v>
      </c>
      <c r="Z44" s="457"/>
      <c r="AA44" s="456" t="e">
        <f t="shared" ref="AA44:AA53" si="19">IF(X44=0,"0.00%",(AB44-X44)/X44)</f>
        <v>#VALUE!</v>
      </c>
      <c r="AB44" s="340" t="e">
        <f>ROUND(AB30*LEFT(AC44,6),0)</f>
        <v>#VALUE!</v>
      </c>
      <c r="AC44" s="953" t="str">
        <f>TEXT('MYP Assumptions'!J57,"0.00%")&amp;", projected STRS rate"</f>
        <v>0.00%, projected STRS rate</v>
      </c>
      <c r="AE44" s="340"/>
    </row>
    <row r="45" spans="1:32" s="1656" customFormat="1" x14ac:dyDescent="0.25">
      <c r="A45" s="2227"/>
      <c r="B45" s="2385" t="str">
        <f>'2016-17  RS 3010-DO &amp; All Sites'!AD45</f>
        <v>320X</v>
      </c>
      <c r="C45" s="2349" t="str">
        <f>'2016-17  RS 3010-DO &amp; All Sites'!AE45</f>
        <v>PERS</v>
      </c>
      <c r="D45" s="340">
        <v>14763.05</v>
      </c>
      <c r="E45" s="899" t="str">
        <f>TEXT('MYP Assumptions'!$D$58,"0.00%")&amp;", PERS rate"</f>
        <v>13.89%, PERS rate</v>
      </c>
      <c r="F45" s="340"/>
      <c r="G45" s="456">
        <f t="shared" si="14"/>
        <v>7.6742272091471664E-2</v>
      </c>
      <c r="H45" s="340">
        <v>15896</v>
      </c>
      <c r="I45" s="899" t="str">
        <f>TEXT('MYP Assumptions'!E58,"0.00%")&amp;", PERS rate"</f>
        <v>15.53%, PERS rate</v>
      </c>
      <c r="J45" s="455"/>
      <c r="K45" s="456">
        <f t="shared" si="15"/>
        <v>0.27195520885757424</v>
      </c>
      <c r="L45" s="340">
        <v>20219</v>
      </c>
      <c r="M45" s="897" t="str">
        <f>TEXT('MYP Assumptions'!F58,"0.00%")&amp;", projected PERS rate"</f>
        <v>18.06%, projected PERS rate</v>
      </c>
      <c r="N45" s="457"/>
      <c r="O45" s="456">
        <f t="shared" si="16"/>
        <v>0.10247786735249023</v>
      </c>
      <c r="P45" s="340">
        <f>ROUND(P41*LEFT(Q45,6),0)</f>
        <v>22291</v>
      </c>
      <c r="Q45" s="899" t="str">
        <f>TEXT('MYP Assumptions'!G58,"0.00%")&amp;", projected PERS rate"</f>
        <v>20.80%, projected PERS rate</v>
      </c>
      <c r="R45" s="592"/>
      <c r="S45" s="2238">
        <f t="shared" si="17"/>
        <v>0.15010542371360638</v>
      </c>
      <c r="T45" s="340">
        <f>ROUND(T41*LEFT(U45,6),0)</f>
        <v>25637</v>
      </c>
      <c r="U45" s="2254" t="str">
        <f>TEXT('MYP Assumptions'!H58,"0.00%")&amp;", projected PERS rate"</f>
        <v>23.50%, projected PERS rate</v>
      </c>
      <c r="V45" s="952"/>
      <c r="W45" s="2241">
        <f t="shared" si="18"/>
        <v>6.7753637321059407E-2</v>
      </c>
      <c r="X45" s="340">
        <f>ROUND(X41*LEFT(Y45,6),0)</f>
        <v>27374</v>
      </c>
      <c r="Y45" s="953" t="str">
        <f>TEXT('MYP Assumptions'!I58,"0.00%")&amp;", projected PERS rate"</f>
        <v>24.60%, projected PERS rate</v>
      </c>
      <c r="Z45" s="457"/>
      <c r="AA45" s="456" t="e">
        <f t="shared" si="19"/>
        <v>#VALUE!</v>
      </c>
      <c r="AB45" s="340" t="e">
        <f>ROUND(AB41*LEFT(AC45,6),0)</f>
        <v>#VALUE!</v>
      </c>
      <c r="AC45" s="953" t="str">
        <f>TEXT('MYP Assumptions'!J58,"0.00%")&amp;", projected PERS rate"</f>
        <v>0.00%, projected PERS rate</v>
      </c>
      <c r="AE45" s="340"/>
    </row>
    <row r="46" spans="1:32" s="1656" customFormat="1" x14ac:dyDescent="0.25">
      <c r="A46" s="2227"/>
      <c r="B46" s="2385" t="str">
        <f>'2016-17  RS 3010-DO &amp; All Sites'!AD46</f>
        <v>330X</v>
      </c>
      <c r="C46" s="2349" t="str">
        <f>'2016-17  RS 3010-DO &amp; All Sites'!AE46</f>
        <v>SS</v>
      </c>
      <c r="D46" s="340">
        <f>818.41+6669.25</f>
        <v>7487.66</v>
      </c>
      <c r="E46" s="899" t="str">
        <f>TEXT('MYP Assumptions'!$D$60,"0.00%")&amp;", SS rate"</f>
        <v>6.20%, SS rate</v>
      </c>
      <c r="F46" s="340"/>
      <c r="G46" s="456">
        <f t="shared" si="14"/>
        <v>-8.1555519347833616E-2</v>
      </c>
      <c r="H46" s="340">
        <f>25+6852</f>
        <v>6877</v>
      </c>
      <c r="I46" s="899" t="str">
        <f>TEXT('MYP Assumptions'!E60,"0.00%")&amp;", no rate change"</f>
        <v>6.20%, no rate change</v>
      </c>
      <c r="J46" s="455"/>
      <c r="K46" s="456">
        <f t="shared" si="15"/>
        <v>9.3063835974989094E-3</v>
      </c>
      <c r="L46" s="340">
        <v>6941</v>
      </c>
      <c r="M46" s="897" t="str">
        <f>TEXT('MYP Assumptions'!F60,"0.00%")&amp;", no rate change"</f>
        <v>6.20%, no rate change</v>
      </c>
      <c r="N46" s="457"/>
      <c r="O46" s="456">
        <f t="shared" si="16"/>
        <v>-4.2789223454833596E-2</v>
      </c>
      <c r="P46" s="340">
        <f>ROUND(P41*LEFT(Q46,5),0)</f>
        <v>6644</v>
      </c>
      <c r="Q46" s="899" t="str">
        <f>TEXT('MYP Assumptions'!G60,"0.00%")&amp;", no rate change"</f>
        <v>6.20%, no rate change</v>
      </c>
      <c r="R46" s="592"/>
      <c r="S46" s="2238">
        <f t="shared" si="17"/>
        <v>1.8061408789885613E-2</v>
      </c>
      <c r="T46" s="340">
        <f>ROUND(T41*LEFT(U46,5),0)</f>
        <v>6764</v>
      </c>
      <c r="U46" s="2254" t="str">
        <f>TEXT('MYP Assumptions'!H60,"0.00%")&amp;", no rate change"</f>
        <v>6.20%, no rate change</v>
      </c>
      <c r="V46" s="952"/>
      <c r="W46" s="2241">
        <f t="shared" si="18"/>
        <v>1.9958604376108812E-2</v>
      </c>
      <c r="X46" s="340">
        <f>ROUND(X41*LEFT(Y46,5),0)</f>
        <v>6899</v>
      </c>
      <c r="Y46" s="953" t="str">
        <f>TEXT('MYP Assumptions'!I60,"0.00%")&amp;", no rate change"</f>
        <v>6.20%, no rate change</v>
      </c>
      <c r="Z46" s="457"/>
      <c r="AA46" s="456">
        <f t="shared" si="19"/>
        <v>-1</v>
      </c>
      <c r="AB46" s="340">
        <f>ROUND(AB41*LEFT(AC46,5),0)</f>
        <v>0</v>
      </c>
      <c r="AC46" s="953" t="str">
        <f>TEXT('MYP Assumptions'!J60,"0.00%")&amp;", no rate change"</f>
        <v>0.00%, no rate change</v>
      </c>
      <c r="AE46" s="340"/>
    </row>
    <row r="47" spans="1:32" s="1656" customFormat="1" x14ac:dyDescent="0.25">
      <c r="A47" s="2227"/>
      <c r="B47" s="2385" t="str">
        <f>'2016-17  RS 3010-DO &amp; All Sites'!AD47</f>
        <v>331X</v>
      </c>
      <c r="C47" s="2349" t="str">
        <f>'2016-17  RS 3010-DO &amp; All Sites'!AE47</f>
        <v>Medicare</v>
      </c>
      <c r="D47" s="340">
        <f>13159.59+1565.84</f>
        <v>14725.43</v>
      </c>
      <c r="E47" s="899" t="str">
        <f>TEXT('MYP Assumptions'!$D$61,"0.00%")&amp;", Medicare rate"</f>
        <v>1.45%, Medicare rate</v>
      </c>
      <c r="F47" s="340"/>
      <c r="G47" s="456">
        <f t="shared" si="14"/>
        <v>9.8847368124394305E-2</v>
      </c>
      <c r="H47" s="340">
        <f>14578+1603</f>
        <v>16181</v>
      </c>
      <c r="I47" s="899" t="str">
        <f>TEXT('MYP Assumptions'!E61,"0.00%")&amp;", no rate change"</f>
        <v>1.45%, no rate change</v>
      </c>
      <c r="J47" s="455"/>
      <c r="K47" s="456">
        <f t="shared" si="15"/>
        <v>-1.0382547432173537E-2</v>
      </c>
      <c r="L47" s="340">
        <f>14388+1625</f>
        <v>16013</v>
      </c>
      <c r="M47" s="897" t="str">
        <f>TEXT('MYP Assumptions'!F61,"0.00%")&amp;", no rate change"</f>
        <v>1.45%, no rate change</v>
      </c>
      <c r="N47" s="457"/>
      <c r="O47" s="456">
        <f t="shared" si="16"/>
        <v>1.1865359395491163E-2</v>
      </c>
      <c r="P47" s="340">
        <f>ROUND((P41+P30)*LEFT(Q47,5),0)</f>
        <v>16203</v>
      </c>
      <c r="Q47" s="899" t="str">
        <f>TEXT('MYP Assumptions'!G61,"0.00%")&amp;", no rate change"</f>
        <v>1.45%, no rate change</v>
      </c>
      <c r="R47" s="592"/>
      <c r="S47" s="2238">
        <f t="shared" si="17"/>
        <v>-3.7030179596371044E-3</v>
      </c>
      <c r="T47" s="340">
        <f>ROUND((T41+T30)*LEFT(U47,5),0)</f>
        <v>16143</v>
      </c>
      <c r="U47" s="2254" t="str">
        <f>TEXT('MYP Assumptions'!H61,"0.00%")&amp;", no rate change"</f>
        <v>1.45%, no rate change</v>
      </c>
      <c r="V47" s="952"/>
      <c r="W47" s="2241">
        <f t="shared" si="18"/>
        <v>2.0008672489623985E-2</v>
      </c>
      <c r="X47" s="340">
        <f>ROUND((X41+X30)*LEFT(Y47,5),0)</f>
        <v>16466</v>
      </c>
      <c r="Y47" s="953" t="str">
        <f>TEXT('MYP Assumptions'!I61,"0.00%")&amp;", no rate change"</f>
        <v>1.45%, no rate change</v>
      </c>
      <c r="Z47" s="457"/>
      <c r="AA47" s="456">
        <f t="shared" si="19"/>
        <v>-1</v>
      </c>
      <c r="AB47" s="340">
        <f>ROUND((AB41+AB30)*LEFT(AC47,5),0)</f>
        <v>0</v>
      </c>
      <c r="AC47" s="953" t="str">
        <f>TEXT('MYP Assumptions'!J61,"0.00%")&amp;", no rate change"</f>
        <v>0.00%, no rate change</v>
      </c>
      <c r="AE47" s="340"/>
    </row>
    <row r="48" spans="1:32" s="1656" customFormat="1" x14ac:dyDescent="0.25">
      <c r="A48" s="2227"/>
      <c r="B48" s="2385" t="str">
        <f>'2016-17  RS 3010-DO &amp; All Sites'!AD48</f>
        <v>340X</v>
      </c>
      <c r="C48" s="2349" t="str">
        <f>'2016-17  RS 3010-DO &amp; All Sites'!AE48</f>
        <v>H&amp;W</v>
      </c>
      <c r="D48" s="340">
        <f>83371.72+12224.61</f>
        <v>95596.33</v>
      </c>
      <c r="E48" s="899"/>
      <c r="F48" s="340"/>
      <c r="G48" s="456">
        <f t="shared" si="14"/>
        <v>5.0176298608952855E-2</v>
      </c>
      <c r="H48" s="340">
        <f>88956+11437</f>
        <v>100393</v>
      </c>
      <c r="I48" s="899"/>
      <c r="J48" s="455"/>
      <c r="K48" s="456">
        <f t="shared" si="15"/>
        <v>-2.4204874841871445E-2</v>
      </c>
      <c r="L48" s="340">
        <f>93386+4577</f>
        <v>97963</v>
      </c>
      <c r="M48" s="897" t="str">
        <f>TEXT('MYP Assumptions'!$I$68,"0.00%")&amp;", projected increase"</f>
        <v>5.00%, projected increase</v>
      </c>
      <c r="N48" s="457"/>
      <c r="O48" s="456">
        <f t="shared" si="16"/>
        <v>4.9998468809652627E-2</v>
      </c>
      <c r="P48" s="340">
        <f>ROUND((L48)*(LEFT(Q48,5)+1),0)</f>
        <v>102861</v>
      </c>
      <c r="Q48" s="899" t="str">
        <f>TEXT('MYP Assumptions'!$I$68,"0.00%")&amp;", projected increase"</f>
        <v>5.00%, projected increase</v>
      </c>
      <c r="R48" s="592"/>
      <c r="S48" s="2238">
        <f t="shared" si="17"/>
        <v>4.999951390711737E-2</v>
      </c>
      <c r="T48" s="340">
        <f>ROUND((P48)*(LEFT(U48,5)+1),0)</f>
        <v>108004</v>
      </c>
      <c r="U48" s="2254" t="str">
        <f>TEXT('MYP Assumptions'!$I$68,"0.00%")&amp;", projected increase"</f>
        <v>5.00%, projected increase</v>
      </c>
      <c r="V48" s="952"/>
      <c r="W48" s="2241">
        <f t="shared" si="18"/>
        <v>4.9998148216732714E-2</v>
      </c>
      <c r="X48" s="340">
        <f>ROUND((T48)*(LEFT(Y48,5)+1),0)</f>
        <v>113404</v>
      </c>
      <c r="Y48" s="953" t="str">
        <f>TEXT('MYP Assumptions'!$I$68,"0.00%")&amp;", projected increase"</f>
        <v>5.00%, projected increase</v>
      </c>
      <c r="Z48" s="457"/>
      <c r="AA48" s="456">
        <f t="shared" si="19"/>
        <v>4.9998236393777998E-2</v>
      </c>
      <c r="AB48" s="340">
        <f>ROUND((X48)*(LEFT(AC48,5)+1),0)</f>
        <v>119074</v>
      </c>
      <c r="AC48" s="953" t="str">
        <f>TEXT('MYP Assumptions'!$I$68,"0.00%")&amp;", projected increase"</f>
        <v>5.00%, projected increase</v>
      </c>
      <c r="AE48" s="340"/>
    </row>
    <row r="49" spans="1:31" s="1656" customFormat="1" x14ac:dyDescent="0.25">
      <c r="A49" s="2227"/>
      <c r="B49" s="2385" t="str">
        <f>'2016-17  RS 3010-DO &amp; All Sites'!AD49</f>
        <v>350X</v>
      </c>
      <c r="C49" s="2349" t="str">
        <f>'2016-17  RS 3010-DO &amp; All Sites'!AE49</f>
        <v>SUI</v>
      </c>
      <c r="D49" s="340">
        <f>454.87+54</f>
        <v>508.87</v>
      </c>
      <c r="E49" s="899" t="str">
        <f>TEXT('MYP Assumptions'!$D$62,"0.00%")&amp;", SUI rate"</f>
        <v>0.05%, SUI rate</v>
      </c>
      <c r="F49" s="340"/>
      <c r="G49" s="456">
        <f t="shared" si="14"/>
        <v>0.1122683593059131</v>
      </c>
      <c r="H49" s="340">
        <f>507+59</f>
        <v>566</v>
      </c>
      <c r="I49" s="899" t="str">
        <f>TEXT('MYP Assumptions'!E62,"0.00%")&amp;", no rate change"</f>
        <v>0.05%, no rate change</v>
      </c>
      <c r="J49" s="455"/>
      <c r="K49" s="456">
        <f t="shared" si="15"/>
        <v>-2.8268551236749116E-2</v>
      </c>
      <c r="L49" s="340">
        <f>496+54</f>
        <v>550</v>
      </c>
      <c r="M49" s="897" t="str">
        <f>TEXT('MYP Assumptions'!F62,"0.00%")&amp;", no rate change"</f>
        <v>0.05%, no rate change</v>
      </c>
      <c r="N49" s="457"/>
      <c r="O49" s="456">
        <f t="shared" si="16"/>
        <v>1.6363636363636365E-2</v>
      </c>
      <c r="P49" s="340">
        <f>ROUND((P41+P30)*LEFT(Q49,5),0)</f>
        <v>559</v>
      </c>
      <c r="Q49" s="899" t="str">
        <f>TEXT('MYP Assumptions'!G62,"0.00%")&amp;", no rate change"</f>
        <v>0.05%, no rate change</v>
      </c>
      <c r="R49" s="592"/>
      <c r="S49" s="2238">
        <f t="shared" si="17"/>
        <v>-3.5778175313059034E-3</v>
      </c>
      <c r="T49" s="340">
        <f>ROUND((T41+T30)*LEFT(U49,5),0)</f>
        <v>557</v>
      </c>
      <c r="U49" s="2254" t="str">
        <f>TEXT('MYP Assumptions'!H62,"0.00%")&amp;", no rate change"</f>
        <v>0.05%, no rate change</v>
      </c>
      <c r="V49" s="952"/>
      <c r="W49" s="2241">
        <f t="shared" si="18"/>
        <v>1.9748653500897665E-2</v>
      </c>
      <c r="X49" s="340">
        <f>ROUND((X41+X30)*LEFT(Y49,5),0)</f>
        <v>568</v>
      </c>
      <c r="Y49" s="953" t="str">
        <f>TEXT('MYP Assumptions'!I62,"0.00%")&amp;", no rate change"</f>
        <v>0.05%, no rate change</v>
      </c>
      <c r="Z49" s="457"/>
      <c r="AA49" s="456">
        <f t="shared" si="19"/>
        <v>-1</v>
      </c>
      <c r="AB49" s="340">
        <f>ROUND((AB41+AB30)*LEFT(AC49,5),0)</f>
        <v>0</v>
      </c>
      <c r="AC49" s="953" t="str">
        <f>TEXT('MYP Assumptions'!J62,"0.00%")&amp;", no rate change"</f>
        <v>0.00%, no rate change</v>
      </c>
      <c r="AE49" s="340"/>
    </row>
    <row r="50" spans="1:31" s="1656" customFormat="1" x14ac:dyDescent="0.25">
      <c r="A50" s="2227"/>
      <c r="B50" s="2385" t="str">
        <f>'2016-17  RS 3010-DO &amp; All Sites'!AD50</f>
        <v>360X</v>
      </c>
      <c r="C50" s="2349" t="str">
        <f>'2016-17  RS 3010-DO &amp; All Sites'!AE50</f>
        <v>W/C</v>
      </c>
      <c r="D50" s="340">
        <f>9983.19+1187.8</f>
        <v>11170.99</v>
      </c>
      <c r="E50" s="899" t="str">
        <f>TEXT('MYP Assumptions'!$D$63,"0.00%")&amp;", W/C rate"</f>
        <v>1.10%, W/C rate</v>
      </c>
      <c r="F50" s="340"/>
      <c r="G50" s="456">
        <f t="shared" si="14"/>
        <v>-4.3504649095559102E-2</v>
      </c>
      <c r="H50" s="340">
        <f>9441+1244</f>
        <v>10685</v>
      </c>
      <c r="I50" s="899" t="str">
        <f>TEXT('MYP Assumptions'!E63,"0.00%")&amp;", no rate change"</f>
        <v>0.80%, no rate change</v>
      </c>
      <c r="J50" s="455"/>
      <c r="K50" s="456">
        <f t="shared" si="15"/>
        <v>-0.17323350491343004</v>
      </c>
      <c r="L50" s="340">
        <f>7938+896</f>
        <v>8834</v>
      </c>
      <c r="M50" s="897" t="str">
        <f>TEXT('MYP Assumptions'!F63,"0.00%")&amp;", no rate change"</f>
        <v>0.80%, no rate change</v>
      </c>
      <c r="N50" s="457"/>
      <c r="O50" s="456">
        <f t="shared" si="16"/>
        <v>1.1885895404120444E-2</v>
      </c>
      <c r="P50" s="340">
        <f>ROUND((P41+P30)*LEFT(Q50,5),0)</f>
        <v>8939</v>
      </c>
      <c r="Q50" s="899" t="str">
        <f>TEXT('MYP Assumptions'!G63,"0.00%")&amp;", no rate change"</f>
        <v>0.80%, no rate change</v>
      </c>
      <c r="R50" s="592"/>
      <c r="S50" s="2238">
        <f t="shared" si="17"/>
        <v>-3.579818771674684E-3</v>
      </c>
      <c r="T50" s="340">
        <f>ROUND((T41+T30)*LEFT(U50,5),0)</f>
        <v>8907</v>
      </c>
      <c r="U50" s="2254" t="str">
        <f>TEXT('MYP Assumptions'!H63,"0.00%")&amp;", no rate change"</f>
        <v>0.80%, no rate change</v>
      </c>
      <c r="V50" s="952"/>
      <c r="W50" s="2241">
        <f t="shared" si="18"/>
        <v>1.9984282025373303E-2</v>
      </c>
      <c r="X50" s="340">
        <f>ROUND((X41+X30)*LEFT(Y50,5),0)</f>
        <v>9085</v>
      </c>
      <c r="Y50" s="953" t="str">
        <f>TEXT('MYP Assumptions'!I63,"0.00%")&amp;", no rate change"</f>
        <v>0.80%, no rate change</v>
      </c>
      <c r="Z50" s="457"/>
      <c r="AA50" s="456">
        <f t="shared" si="19"/>
        <v>-1</v>
      </c>
      <c r="AB50" s="340">
        <f>ROUND((AB41+AB30)*LEFT(AC50,5),0)</f>
        <v>0</v>
      </c>
      <c r="AC50" s="953" t="str">
        <f>TEXT('MYP Assumptions'!J63,"0.00%")&amp;", no rate change"</f>
        <v>0.00%, no rate change</v>
      </c>
      <c r="AE50" s="340"/>
    </row>
    <row r="51" spans="1:31" s="1656" customFormat="1" x14ac:dyDescent="0.25">
      <c r="A51" s="2227"/>
      <c r="B51" s="2441" t="s">
        <v>469</v>
      </c>
      <c r="C51" s="2451" t="s">
        <v>470</v>
      </c>
      <c r="D51" s="340">
        <v>0</v>
      </c>
      <c r="E51" s="2386"/>
      <c r="F51" s="340"/>
      <c r="G51" s="456" t="str">
        <f t="shared" si="14"/>
        <v>0.00%</v>
      </c>
      <c r="H51" s="340">
        <v>0</v>
      </c>
      <c r="I51" s="899"/>
      <c r="J51" s="455"/>
      <c r="K51" s="456" t="str">
        <f t="shared" si="15"/>
        <v>0.00%</v>
      </c>
      <c r="L51" s="340">
        <v>0</v>
      </c>
      <c r="M51" s="897"/>
      <c r="N51" s="457"/>
      <c r="O51" s="456" t="str">
        <f t="shared" si="16"/>
        <v>0.00%</v>
      </c>
      <c r="P51" s="340">
        <v>0</v>
      </c>
      <c r="Q51" s="899"/>
      <c r="R51" s="592"/>
      <c r="S51" s="2238" t="str">
        <f t="shared" si="17"/>
        <v>0.00%</v>
      </c>
      <c r="T51" s="340">
        <f>P51</f>
        <v>0</v>
      </c>
      <c r="U51" s="2254" t="s">
        <v>165</v>
      </c>
      <c r="V51" s="952"/>
      <c r="W51" s="2241" t="str">
        <f t="shared" si="18"/>
        <v>0.00%</v>
      </c>
      <c r="X51" s="340">
        <f>T51</f>
        <v>0</v>
      </c>
      <c r="Y51" s="953" t="s">
        <v>165</v>
      </c>
      <c r="Z51" s="457"/>
      <c r="AA51" s="456" t="str">
        <f t="shared" si="19"/>
        <v>0.00%</v>
      </c>
      <c r="AB51" s="340">
        <f>X51</f>
        <v>0</v>
      </c>
      <c r="AC51" s="953" t="s">
        <v>165</v>
      </c>
      <c r="AE51" s="340"/>
    </row>
    <row r="52" spans="1:31" s="1656" customFormat="1" x14ac:dyDescent="0.25">
      <c r="A52" s="2227"/>
      <c r="B52" s="2441" t="s">
        <v>91</v>
      </c>
      <c r="C52" s="2451" t="s">
        <v>93</v>
      </c>
      <c r="D52" s="340">
        <v>4749.0600000000004</v>
      </c>
      <c r="E52" s="2386"/>
      <c r="F52" s="340"/>
      <c r="G52" s="456">
        <f t="shared" ref="G52" si="20">IF(D52=0,"0.00%",(H52-D52)/D52)</f>
        <v>0.43565252913208075</v>
      </c>
      <c r="H52" s="340">
        <v>6818</v>
      </c>
      <c r="I52" s="899" t="s">
        <v>165</v>
      </c>
      <c r="J52" s="455"/>
      <c r="K52" s="456">
        <f t="shared" ref="K52" si="21">IF(H52=0,"0.00%",(L52-H52)/H52)</f>
        <v>-0.11000293341155765</v>
      </c>
      <c r="L52" s="340">
        <v>6068</v>
      </c>
      <c r="M52" s="897" t="s">
        <v>165</v>
      </c>
      <c r="N52" s="457"/>
      <c r="O52" s="456">
        <f t="shared" ref="O52" si="22">IF(L52=0,"0.00%",(P52-L52)/L52)</f>
        <v>0</v>
      </c>
      <c r="P52" s="340">
        <f>L52</f>
        <v>6068</v>
      </c>
      <c r="Q52" s="899" t="s">
        <v>165</v>
      </c>
      <c r="R52" s="592"/>
      <c r="S52" s="2238"/>
      <c r="T52" s="340">
        <f>P52</f>
        <v>6068</v>
      </c>
      <c r="U52" s="2254" t="s">
        <v>165</v>
      </c>
      <c r="V52" s="952"/>
      <c r="W52" s="2241"/>
      <c r="X52" s="340"/>
      <c r="Y52" s="953"/>
      <c r="Z52" s="457"/>
      <c r="AA52" s="456"/>
      <c r="AB52" s="340"/>
      <c r="AC52" s="953"/>
      <c r="AE52" s="340"/>
    </row>
    <row r="53" spans="1:31" s="1656" customFormat="1" x14ac:dyDescent="0.25">
      <c r="A53" s="2228"/>
      <c r="B53" s="2385"/>
      <c r="C53" s="2349"/>
      <c r="D53" s="458">
        <f>SUM(D44:D52)</f>
        <v>266632.50999999995</v>
      </c>
      <c r="E53" s="2386"/>
      <c r="F53" s="340"/>
      <c r="G53" s="456">
        <f>IF(D53=0,"0.00%",(H53-D53)/D53)</f>
        <v>0.13935468709348331</v>
      </c>
      <c r="H53" s="458">
        <f>SUM(H44:H52)</f>
        <v>303789</v>
      </c>
      <c r="I53" s="2316">
        <f>+H53-D53</f>
        <v>37156.490000000049</v>
      </c>
      <c r="J53" s="459"/>
      <c r="K53" s="456">
        <f t="shared" si="15"/>
        <v>4.7216982840063336E-2</v>
      </c>
      <c r="L53" s="458">
        <f>SUM(L44:L52)</f>
        <v>318133</v>
      </c>
      <c r="M53" s="2316">
        <f>+L53-H53</f>
        <v>14344</v>
      </c>
      <c r="N53" s="457"/>
      <c r="O53" s="456">
        <f t="shared" si="16"/>
        <v>8.9868074044503393E-2</v>
      </c>
      <c r="P53" s="458">
        <f>SUM(P44:P52)</f>
        <v>346723</v>
      </c>
      <c r="Q53" s="2316">
        <f>+P53-L53</f>
        <v>28590</v>
      </c>
      <c r="R53" s="592"/>
      <c r="S53" s="2238">
        <f t="shared" si="17"/>
        <v>4.9503494143740105E-2</v>
      </c>
      <c r="T53" s="458">
        <f>SUM(T44:T52)</f>
        <v>363887</v>
      </c>
      <c r="U53" s="2316">
        <f>+T53-P53</f>
        <v>17164</v>
      </c>
      <c r="V53" s="952"/>
      <c r="W53" s="2241">
        <f t="shared" si="18"/>
        <v>1.5257483779305114E-2</v>
      </c>
      <c r="X53" s="458">
        <f>SUM(X44:X52)</f>
        <v>369439</v>
      </c>
      <c r="Y53" s="2344"/>
      <c r="Z53" s="457"/>
      <c r="AA53" s="456" t="e">
        <f t="shared" si="19"/>
        <v>#VALUE!</v>
      </c>
      <c r="AB53" s="458" t="e">
        <f>SUM(AB44:AB52)</f>
        <v>#VALUE!</v>
      </c>
      <c r="AC53" s="2344"/>
      <c r="AE53" s="340"/>
    </row>
    <row r="54" spans="1:31" s="1656" customFormat="1" x14ac:dyDescent="0.25">
      <c r="A54" s="2229"/>
      <c r="B54" s="2385"/>
      <c r="C54" s="2215"/>
      <c r="D54" s="340"/>
      <c r="E54" s="2386"/>
      <c r="F54" s="340"/>
      <c r="G54" s="2338"/>
      <c r="H54" s="340"/>
      <c r="I54" s="897"/>
      <c r="J54" s="455"/>
      <c r="K54" s="1668"/>
      <c r="L54" s="340"/>
      <c r="M54" s="2340"/>
      <c r="N54" s="457"/>
      <c r="O54" s="1668"/>
      <c r="P54" s="340"/>
      <c r="Q54" s="901"/>
      <c r="R54" s="592"/>
      <c r="S54" s="2341"/>
      <c r="T54" s="340"/>
      <c r="U54" s="901"/>
      <c r="V54" s="952"/>
      <c r="W54" s="2343"/>
      <c r="X54" s="340"/>
      <c r="Y54" s="2344"/>
      <c r="Z54" s="457"/>
      <c r="AA54" s="1668"/>
      <c r="AB54" s="340"/>
      <c r="AC54" s="2344"/>
      <c r="AE54" s="340"/>
    </row>
    <row r="55" spans="1:31" s="1656" customFormat="1" x14ac:dyDescent="0.25">
      <c r="A55" s="2228"/>
      <c r="B55" s="2337" t="str">
        <f>'2016-17  RS 3010-DO &amp; All Sites'!AD55</f>
        <v>Total Salaries and Benefits</v>
      </c>
      <c r="C55" s="2215"/>
      <c r="D55" s="458">
        <f>SUM(D53,D41,D30)</f>
        <v>1368039.27</v>
      </c>
      <c r="E55" s="2386"/>
      <c r="F55" s="340"/>
      <c r="G55" s="456">
        <f>IF(D55=0,"0.00%",(H55-D55)/D55)</f>
        <v>2.5149665477073608E-2</v>
      </c>
      <c r="H55" s="458">
        <f>SUM(H53,H41,H30)</f>
        <v>1402445</v>
      </c>
      <c r="I55" s="2316">
        <f>+H55-D55</f>
        <v>34405.729999999981</v>
      </c>
      <c r="J55" s="459"/>
      <c r="K55" s="456">
        <f>IF(H55=0,"0.00%",(L55-H55)/H55)</f>
        <v>9.4556292760143885E-3</v>
      </c>
      <c r="L55" s="458">
        <f>SUM(L53,L41,L30)</f>
        <v>1415706</v>
      </c>
      <c r="M55" s="2316">
        <f>+L55-H55</f>
        <v>13261</v>
      </c>
      <c r="N55" s="457"/>
      <c r="O55" s="456">
        <f>IF(L55=0,"0.00%",(P55-L55)/L55)</f>
        <v>3.4211905579265754E-2</v>
      </c>
      <c r="P55" s="458">
        <f>SUM(P53,P41,P30)</f>
        <v>1464140</v>
      </c>
      <c r="Q55" s="2316">
        <f>+P55-L55</f>
        <v>48434</v>
      </c>
      <c r="R55" s="592"/>
      <c r="S55" s="2238">
        <f>IF(P55=0,"0.00%",(T55-P55)/P55)</f>
        <v>8.9246929938393872E-3</v>
      </c>
      <c r="T55" s="458">
        <f>SUM(T53,T41,T30)</f>
        <v>1477207</v>
      </c>
      <c r="U55" s="2316">
        <f>+T55-P55</f>
        <v>13067</v>
      </c>
      <c r="V55" s="952"/>
      <c r="W55" s="2241">
        <f>IF(T55=0,"0.00%",(X55-T55)/T55)</f>
        <v>1.8832160963223165E-2</v>
      </c>
      <c r="X55" s="458">
        <f>SUM(X53,X41,X30)</f>
        <v>1505026</v>
      </c>
      <c r="Y55" s="2344"/>
      <c r="Z55" s="457"/>
      <c r="AA55" s="456" t="e">
        <f>IF(X55=0,"0.00%",(AB55-X55)/X55)</f>
        <v>#VALUE!</v>
      </c>
      <c r="AB55" s="458" t="e">
        <f>SUM(AB53,AB41,AB30)</f>
        <v>#VALUE!</v>
      </c>
      <c r="AC55" s="2344"/>
      <c r="AE55" s="340"/>
    </row>
    <row r="56" spans="1:31" s="1656" customFormat="1" x14ac:dyDescent="0.25">
      <c r="A56" s="2230"/>
      <c r="B56" s="2345"/>
      <c r="C56" s="2215"/>
      <c r="D56" s="340"/>
      <c r="E56" s="2386"/>
      <c r="F56" s="340"/>
      <c r="G56" s="2338"/>
      <c r="H56" s="340"/>
      <c r="I56" s="897"/>
      <c r="J56" s="455"/>
      <c r="K56" s="1668"/>
      <c r="L56" s="340"/>
      <c r="M56" s="2340"/>
      <c r="N56" s="457"/>
      <c r="O56" s="1668"/>
      <c r="P56" s="340"/>
      <c r="Q56" s="901"/>
      <c r="R56" s="592"/>
      <c r="S56" s="2341"/>
      <c r="T56" s="340"/>
      <c r="U56" s="2342"/>
      <c r="V56" s="952"/>
      <c r="W56" s="2343"/>
      <c r="X56" s="340"/>
      <c r="Y56" s="2344"/>
      <c r="Z56" s="457"/>
      <c r="AA56" s="1668"/>
      <c r="AB56" s="340"/>
      <c r="AC56" s="2344"/>
      <c r="AE56" s="340"/>
    </row>
    <row r="57" spans="1:31" s="1656" customFormat="1" x14ac:dyDescent="0.25">
      <c r="A57" s="2227"/>
      <c r="B57" s="2345"/>
      <c r="C57" s="2215"/>
      <c r="D57" s="340"/>
      <c r="E57" s="2386"/>
      <c r="F57" s="340"/>
      <c r="G57" s="2338"/>
      <c r="H57" s="340"/>
      <c r="I57" s="897"/>
      <c r="J57" s="455"/>
      <c r="K57" s="1668"/>
      <c r="L57" s="340"/>
      <c r="M57" s="2340"/>
      <c r="N57" s="457"/>
      <c r="O57" s="1668"/>
      <c r="P57" s="340"/>
      <c r="Q57" s="901"/>
      <c r="R57" s="592"/>
      <c r="S57" s="2341"/>
      <c r="T57" s="340"/>
      <c r="U57" s="2342"/>
      <c r="V57" s="952"/>
      <c r="W57" s="2343"/>
      <c r="X57" s="340"/>
      <c r="Y57" s="2344"/>
      <c r="Z57" s="457"/>
      <c r="AA57" s="1668"/>
      <c r="AB57" s="340"/>
      <c r="AC57" s="2344"/>
      <c r="AE57" s="340"/>
    </row>
    <row r="58" spans="1:31" s="1656" customFormat="1" x14ac:dyDescent="0.25">
      <c r="A58" s="2230"/>
      <c r="B58" s="2337" t="str">
        <f>'2016-17  RS 3010-DO &amp; All Sites'!AD58</f>
        <v>Supplies</v>
      </c>
      <c r="C58" s="2225"/>
      <c r="D58" s="340"/>
      <c r="E58" s="2386"/>
      <c r="F58" s="340"/>
      <c r="G58" s="2338"/>
      <c r="H58" s="606"/>
      <c r="I58" s="868"/>
      <c r="J58" s="455"/>
      <c r="K58" s="1668"/>
      <c r="L58" s="606"/>
      <c r="M58" s="868"/>
      <c r="N58" s="457"/>
      <c r="O58" s="1668"/>
      <c r="P58" s="606"/>
      <c r="Q58" s="868"/>
      <c r="R58" s="592"/>
      <c r="S58" s="2341"/>
      <c r="T58" s="340"/>
      <c r="U58" s="2342"/>
      <c r="V58" s="952"/>
      <c r="W58" s="2343"/>
      <c r="X58" s="340"/>
      <c r="Y58" s="2344"/>
      <c r="Z58" s="457"/>
      <c r="AA58" s="1668"/>
      <c r="AB58" s="340"/>
      <c r="AC58" s="2344"/>
      <c r="AE58" s="340"/>
    </row>
    <row r="59" spans="1:31" s="1656" customFormat="1" x14ac:dyDescent="0.25">
      <c r="A59" s="2227"/>
      <c r="B59" s="2385" t="s">
        <v>24</v>
      </c>
      <c r="C59" s="2349" t="s">
        <v>23</v>
      </c>
      <c r="D59" s="340">
        <v>5725.67</v>
      </c>
      <c r="E59" s="2386"/>
      <c r="F59" s="340"/>
      <c r="G59" s="456">
        <f t="shared" ref="G59:G66" si="23">IF(D59=0,"0.00%",(H59-D59)/D59)</f>
        <v>1.2844488068645241</v>
      </c>
      <c r="H59" s="340">
        <v>13080</v>
      </c>
      <c r="I59" s="897"/>
      <c r="J59" s="455"/>
      <c r="K59" s="456">
        <f t="shared" ref="K59:K66" si="24">IF(H59=0,"0.00%",(L59-H59)/H59)</f>
        <v>9.7094801223241586E-2</v>
      </c>
      <c r="L59" s="340">
        <v>14350</v>
      </c>
      <c r="M59" s="897"/>
      <c r="N59" s="457"/>
      <c r="O59" s="456">
        <f t="shared" ref="O59:O66" si="25">IF(L59=0,"0.00%",(P59-L59)/L59)</f>
        <v>-1</v>
      </c>
      <c r="P59" s="340">
        <v>0</v>
      </c>
      <c r="Q59" s="897"/>
      <c r="R59" s="592"/>
      <c r="S59" s="2238" t="str">
        <f t="shared" ref="S59:S66" si="26">IF(P59=0,"0.00%",(T59-P59)/P59)</f>
        <v>0.00%</v>
      </c>
      <c r="T59" s="340">
        <f>P59</f>
        <v>0</v>
      </c>
      <c r="U59" s="2254"/>
      <c r="V59" s="952"/>
      <c r="W59" s="2241" t="str">
        <f t="shared" ref="W59:W66" si="27">IF(T59=0,"0.00%",(X59-T59)/T59)</f>
        <v>0.00%</v>
      </c>
      <c r="X59" s="340">
        <f>ROUND(T59*(LEFT(Y59,5)+1),0)</f>
        <v>0</v>
      </c>
      <c r="Y59" s="953" t="str">
        <f>TEXT('MYP Assumptions'!I78,"0.00%")&amp;", CPI"</f>
        <v>2.73%, CPI</v>
      </c>
      <c r="Z59" s="457"/>
      <c r="AA59" s="456" t="str">
        <f t="shared" ref="AA59:AA66" si="28">IF(X59=0,"0.00%",(AB59-X59)/X59)</f>
        <v>0.00%</v>
      </c>
      <c r="AB59" s="340">
        <f>ROUND(X59*(LEFT(AC59,5)+1),0)</f>
        <v>0</v>
      </c>
      <c r="AC59" s="953" t="str">
        <f>TEXT('MYP Assumptions'!J78,"0.00%")&amp;", CPI"</f>
        <v>2.73%, CPI</v>
      </c>
      <c r="AE59" s="340"/>
    </row>
    <row r="60" spans="1:31" s="1656" customFormat="1" x14ac:dyDescent="0.25">
      <c r="A60" s="2227"/>
      <c r="B60" s="2385">
        <v>4352</v>
      </c>
      <c r="C60" s="2349" t="s">
        <v>314</v>
      </c>
      <c r="D60" s="340">
        <v>0</v>
      </c>
      <c r="E60" s="2386"/>
      <c r="F60" s="340"/>
      <c r="G60" s="456" t="str">
        <f t="shared" si="23"/>
        <v>0.00%</v>
      </c>
      <c r="H60" s="340">
        <v>5400</v>
      </c>
      <c r="I60" s="897"/>
      <c r="J60" s="455"/>
      <c r="K60" s="456">
        <f t="shared" si="24"/>
        <v>-1</v>
      </c>
      <c r="L60" s="340">
        <v>0</v>
      </c>
      <c r="M60" s="897"/>
      <c r="N60" s="457"/>
      <c r="O60" s="456" t="str">
        <f t="shared" si="25"/>
        <v>0.00%</v>
      </c>
      <c r="P60" s="340">
        <f t="shared" ref="P60:P65" si="29">+L60</f>
        <v>0</v>
      </c>
      <c r="Q60" s="897"/>
      <c r="R60" s="592"/>
      <c r="S60" s="2238" t="str">
        <f t="shared" si="26"/>
        <v>0.00%</v>
      </c>
      <c r="T60" s="340">
        <f t="shared" ref="T60:T65" si="30">P60</f>
        <v>0</v>
      </c>
      <c r="U60" s="2254"/>
      <c r="V60" s="952"/>
      <c r="W60" s="2241" t="str">
        <f t="shared" si="27"/>
        <v>0.00%</v>
      </c>
      <c r="X60" s="340">
        <f t="shared" ref="X60:X65" si="31">ROUND(T60*(LEFT(Y60,5)+1),0)</f>
        <v>0</v>
      </c>
      <c r="Y60" s="953" t="str">
        <f>TEXT('MYP Assumptions'!I78,"0.00%")&amp;", CPI"</f>
        <v>2.73%, CPI</v>
      </c>
      <c r="Z60" s="457"/>
      <c r="AA60" s="456" t="str">
        <f t="shared" si="28"/>
        <v>0.00%</v>
      </c>
      <c r="AB60" s="340">
        <f t="shared" ref="AB60:AB65" si="32">ROUND(X60*(LEFT(AC60,5)+1),0)</f>
        <v>0</v>
      </c>
      <c r="AC60" s="953" t="str">
        <f>TEXT('MYP Assumptions'!J78,"0.00%")&amp;", CPI"</f>
        <v>2.73%, CPI</v>
      </c>
      <c r="AE60" s="340"/>
    </row>
    <row r="61" spans="1:31" s="1656" customFormat="1" x14ac:dyDescent="0.25">
      <c r="A61" s="2227"/>
      <c r="B61" s="2385" t="s">
        <v>95</v>
      </c>
      <c r="C61" s="2349" t="s">
        <v>97</v>
      </c>
      <c r="D61" s="340">
        <v>2573.31</v>
      </c>
      <c r="E61" s="2386"/>
      <c r="F61" s="340"/>
      <c r="G61" s="456">
        <f t="shared" si="23"/>
        <v>-1</v>
      </c>
      <c r="H61" s="340">
        <v>0</v>
      </c>
      <c r="I61" s="897"/>
      <c r="J61" s="455"/>
      <c r="K61" s="456" t="str">
        <f t="shared" si="24"/>
        <v>0.00%</v>
      </c>
      <c r="L61" s="340">
        <f t="shared" ref="L61:L65" si="33">ROUND(H61*(1-$L$58),0)</f>
        <v>0</v>
      </c>
      <c r="M61" s="897"/>
      <c r="N61" s="457"/>
      <c r="O61" s="456" t="str">
        <f t="shared" si="25"/>
        <v>0.00%</v>
      </c>
      <c r="P61" s="340">
        <f t="shared" si="29"/>
        <v>0</v>
      </c>
      <c r="Q61" s="897"/>
      <c r="R61" s="592"/>
      <c r="S61" s="2238" t="str">
        <f t="shared" si="26"/>
        <v>0.00%</v>
      </c>
      <c r="T61" s="340">
        <f t="shared" si="30"/>
        <v>0</v>
      </c>
      <c r="U61" s="2254"/>
      <c r="V61" s="952"/>
      <c r="W61" s="2241" t="str">
        <f t="shared" si="27"/>
        <v>0.00%</v>
      </c>
      <c r="X61" s="340">
        <f t="shared" si="31"/>
        <v>0</v>
      </c>
      <c r="Y61" s="953" t="str">
        <f>TEXT('MYP Assumptions'!I78,"0.00%")&amp;", CPI"</f>
        <v>2.73%, CPI</v>
      </c>
      <c r="Z61" s="457"/>
      <c r="AA61" s="456" t="str">
        <f t="shared" si="28"/>
        <v>0.00%</v>
      </c>
      <c r="AB61" s="340">
        <f t="shared" si="32"/>
        <v>0</v>
      </c>
      <c r="AC61" s="953" t="str">
        <f>TEXT('MYP Assumptions'!J78,"0.00%")&amp;", CPI"</f>
        <v>2.73%, CPI</v>
      </c>
      <c r="AE61" s="340"/>
    </row>
    <row r="62" spans="1:31" s="1656" customFormat="1" x14ac:dyDescent="0.25">
      <c r="A62" s="2227"/>
      <c r="B62" s="2385" t="s">
        <v>22</v>
      </c>
      <c r="C62" s="2349" t="s">
        <v>21</v>
      </c>
      <c r="D62" s="340">
        <v>486637.91</v>
      </c>
      <c r="E62" s="2386"/>
      <c r="F62" s="340"/>
      <c r="G62" s="456">
        <f t="shared" si="23"/>
        <v>-0.76978365701102081</v>
      </c>
      <c r="H62" s="340">
        <v>112032</v>
      </c>
      <c r="I62" s="897"/>
      <c r="J62" s="455"/>
      <c r="K62" s="456">
        <f t="shared" si="24"/>
        <v>0.9205316338189089</v>
      </c>
      <c r="L62" s="340">
        <v>215161</v>
      </c>
      <c r="M62" s="897"/>
      <c r="N62" s="457"/>
      <c r="O62" s="456">
        <f t="shared" si="25"/>
        <v>-1</v>
      </c>
      <c r="P62" s="340">
        <v>0</v>
      </c>
      <c r="Q62" s="897"/>
      <c r="R62" s="592"/>
      <c r="S62" s="2238" t="str">
        <f t="shared" si="26"/>
        <v>0.00%</v>
      </c>
      <c r="T62" s="340">
        <f t="shared" si="30"/>
        <v>0</v>
      </c>
      <c r="U62" s="2254"/>
      <c r="V62" s="952"/>
      <c r="W62" s="2241" t="str">
        <f t="shared" si="27"/>
        <v>0.00%</v>
      </c>
      <c r="X62" s="340">
        <f t="shared" si="31"/>
        <v>0</v>
      </c>
      <c r="Y62" s="953" t="str">
        <f>TEXT('MYP Assumptions'!I78,"0.00%")&amp;", CPI"</f>
        <v>2.73%, CPI</v>
      </c>
      <c r="Z62" s="457"/>
      <c r="AA62" s="456" t="str">
        <f t="shared" si="28"/>
        <v>0.00%</v>
      </c>
      <c r="AB62" s="340">
        <f t="shared" si="32"/>
        <v>0</v>
      </c>
      <c r="AC62" s="953" t="str">
        <f>TEXT('MYP Assumptions'!J78,"0.00%")&amp;", CPI"</f>
        <v>2.73%, CPI</v>
      </c>
      <c r="AE62" s="340"/>
    </row>
    <row r="63" spans="1:31" s="1656" customFormat="1" x14ac:dyDescent="0.25">
      <c r="A63" s="2227"/>
      <c r="B63" s="2385" t="s">
        <v>20</v>
      </c>
      <c r="C63" s="2349" t="s">
        <v>19</v>
      </c>
      <c r="D63" s="340">
        <v>2130</v>
      </c>
      <c r="E63" s="2386"/>
      <c r="F63" s="340"/>
      <c r="G63" s="456">
        <f t="shared" si="23"/>
        <v>1.0929577464788733</v>
      </c>
      <c r="H63" s="340">
        <v>4458</v>
      </c>
      <c r="I63" s="897"/>
      <c r="J63" s="455"/>
      <c r="K63" s="456">
        <f t="shared" si="24"/>
        <v>1.2142216240466577</v>
      </c>
      <c r="L63" s="340">
        <v>9871</v>
      </c>
      <c r="M63" s="897"/>
      <c r="N63" s="457"/>
      <c r="O63" s="456">
        <f t="shared" si="25"/>
        <v>-1</v>
      </c>
      <c r="P63" s="340">
        <v>0</v>
      </c>
      <c r="Q63" s="897"/>
      <c r="R63" s="592"/>
      <c r="S63" s="2238" t="str">
        <f t="shared" si="26"/>
        <v>0.00%</v>
      </c>
      <c r="T63" s="340">
        <f t="shared" si="30"/>
        <v>0</v>
      </c>
      <c r="U63" s="2254"/>
      <c r="V63" s="952"/>
      <c r="W63" s="2241" t="str">
        <f t="shared" si="27"/>
        <v>0.00%</v>
      </c>
      <c r="X63" s="340">
        <f t="shared" si="31"/>
        <v>0</v>
      </c>
      <c r="Y63" s="953" t="str">
        <f>TEXT('MYP Assumptions'!I78,"0.00%")&amp;", CPI"</f>
        <v>2.73%, CPI</v>
      </c>
      <c r="Z63" s="457"/>
      <c r="AA63" s="456" t="str">
        <f t="shared" si="28"/>
        <v>0.00%</v>
      </c>
      <c r="AB63" s="340">
        <f t="shared" si="32"/>
        <v>0</v>
      </c>
      <c r="AC63" s="953" t="str">
        <f>TEXT('MYP Assumptions'!J78,"0.00%")&amp;", CPI"</f>
        <v>2.73%, CPI</v>
      </c>
      <c r="AE63" s="340"/>
    </row>
    <row r="64" spans="1:31" s="1656" customFormat="1" x14ac:dyDescent="0.25">
      <c r="A64" s="2227"/>
      <c r="B64" s="2385" t="s">
        <v>18</v>
      </c>
      <c r="C64" s="2349" t="s">
        <v>17</v>
      </c>
      <c r="D64" s="340">
        <v>77280.47</v>
      </c>
      <c r="E64" s="2386"/>
      <c r="F64" s="340"/>
      <c r="G64" s="456">
        <f t="shared" si="23"/>
        <v>-0.98621902791222671</v>
      </c>
      <c r="H64" s="340">
        <v>1065</v>
      </c>
      <c r="I64" s="897"/>
      <c r="J64" s="455"/>
      <c r="K64" s="456">
        <f t="shared" si="24"/>
        <v>10.60093896713615</v>
      </c>
      <c r="L64" s="340">
        <v>12355</v>
      </c>
      <c r="M64" s="897"/>
      <c r="N64" s="457"/>
      <c r="O64" s="456">
        <f t="shared" si="25"/>
        <v>-1</v>
      </c>
      <c r="P64" s="340">
        <v>0</v>
      </c>
      <c r="Q64" s="897"/>
      <c r="R64" s="592"/>
      <c r="S64" s="2238" t="str">
        <f t="shared" si="26"/>
        <v>0.00%</v>
      </c>
      <c r="T64" s="340">
        <f t="shared" si="30"/>
        <v>0</v>
      </c>
      <c r="U64" s="2254"/>
      <c r="V64" s="952"/>
      <c r="W64" s="2241" t="str">
        <f t="shared" si="27"/>
        <v>0.00%</v>
      </c>
      <c r="X64" s="340">
        <f t="shared" si="31"/>
        <v>0</v>
      </c>
      <c r="Y64" s="953" t="str">
        <f>TEXT('MYP Assumptions'!I78,"0.00%")&amp;", CPI"</f>
        <v>2.73%, CPI</v>
      </c>
      <c r="Z64" s="457"/>
      <c r="AA64" s="456" t="str">
        <f t="shared" si="28"/>
        <v>0.00%</v>
      </c>
      <c r="AB64" s="340">
        <f t="shared" si="32"/>
        <v>0</v>
      </c>
      <c r="AC64" s="953" t="str">
        <f>TEXT('MYP Assumptions'!J78,"0.00%")&amp;", CPI"</f>
        <v>2.73%, CPI</v>
      </c>
      <c r="AE64" s="340"/>
    </row>
    <row r="65" spans="1:31" s="1656" customFormat="1" x14ac:dyDescent="0.25">
      <c r="A65" s="2227"/>
      <c r="B65" s="2385"/>
      <c r="C65" s="2349"/>
      <c r="D65" s="340">
        <f>+'2016-17  RS 3010-DO &amp; All Sites'!AF65</f>
        <v>0</v>
      </c>
      <c r="E65" s="2386"/>
      <c r="F65" s="340"/>
      <c r="G65" s="456" t="str">
        <f t="shared" si="23"/>
        <v>0.00%</v>
      </c>
      <c r="H65" s="340">
        <v>0</v>
      </c>
      <c r="I65" s="899"/>
      <c r="J65" s="455"/>
      <c r="K65" s="456" t="str">
        <f t="shared" si="24"/>
        <v>0.00%</v>
      </c>
      <c r="L65" s="340">
        <f t="shared" si="33"/>
        <v>0</v>
      </c>
      <c r="M65" s="897"/>
      <c r="N65" s="457"/>
      <c r="O65" s="456" t="str">
        <f t="shared" si="25"/>
        <v>0.00%</v>
      </c>
      <c r="P65" s="340">
        <f t="shared" si="29"/>
        <v>0</v>
      </c>
      <c r="Q65" s="897"/>
      <c r="R65" s="592"/>
      <c r="S65" s="2238" t="str">
        <f t="shared" si="26"/>
        <v>0.00%</v>
      </c>
      <c r="T65" s="340">
        <f t="shared" si="30"/>
        <v>0</v>
      </c>
      <c r="U65" s="2254"/>
      <c r="V65" s="952"/>
      <c r="W65" s="2241" t="str">
        <f t="shared" si="27"/>
        <v>0.00%</v>
      </c>
      <c r="X65" s="340">
        <f t="shared" si="31"/>
        <v>0</v>
      </c>
      <c r="Y65" s="953" t="str">
        <f>TEXT('MYP Assumptions'!I78,"0.00%")&amp;", CPI"</f>
        <v>2.73%, CPI</v>
      </c>
      <c r="Z65" s="457"/>
      <c r="AA65" s="456" t="str">
        <f t="shared" si="28"/>
        <v>0.00%</v>
      </c>
      <c r="AB65" s="340">
        <f t="shared" si="32"/>
        <v>0</v>
      </c>
      <c r="AC65" s="953" t="str">
        <f>TEXT('MYP Assumptions'!J78,"0.00%")&amp;", CPI"</f>
        <v>2.73%, CPI</v>
      </c>
      <c r="AE65" s="340"/>
    </row>
    <row r="66" spans="1:31" s="1656" customFormat="1" x14ac:dyDescent="0.25">
      <c r="A66" s="2228"/>
      <c r="B66" s="2215"/>
      <c r="C66" s="2215"/>
      <c r="D66" s="458">
        <f>SUM(D59:D65)</f>
        <v>574347.36</v>
      </c>
      <c r="E66" s="2386"/>
      <c r="F66" s="340"/>
      <c r="G66" s="456">
        <f t="shared" si="23"/>
        <v>-0.76314855873978427</v>
      </c>
      <c r="H66" s="458">
        <f>SUM(H59:H65)</f>
        <v>136035</v>
      </c>
      <c r="I66" s="2316">
        <f>+H66-D66</f>
        <v>-438312.36</v>
      </c>
      <c r="J66" s="459"/>
      <c r="K66" s="456">
        <f t="shared" si="24"/>
        <v>0.85053111331642595</v>
      </c>
      <c r="L66" s="458">
        <f>SUM(L59:L65)</f>
        <v>251737</v>
      </c>
      <c r="M66" s="2316">
        <f>+L66-H66</f>
        <v>115702</v>
      </c>
      <c r="N66" s="457"/>
      <c r="O66" s="456">
        <f t="shared" si="25"/>
        <v>-1</v>
      </c>
      <c r="P66" s="458">
        <f>SUM(P59:P65)</f>
        <v>0</v>
      </c>
      <c r="Q66" s="2316">
        <f>+P66-L66</f>
        <v>-251737</v>
      </c>
      <c r="R66" s="592"/>
      <c r="S66" s="2238" t="str">
        <f t="shared" si="26"/>
        <v>0.00%</v>
      </c>
      <c r="T66" s="458">
        <f>SUM(T59:T65)</f>
        <v>0</v>
      </c>
      <c r="U66" s="2316">
        <f>+T66-P66</f>
        <v>0</v>
      </c>
      <c r="V66" s="952"/>
      <c r="W66" s="2241" t="str">
        <f t="shared" si="27"/>
        <v>0.00%</v>
      </c>
      <c r="X66" s="458">
        <f>SUM(X59:X65)</f>
        <v>0</v>
      </c>
      <c r="Y66" s="2344"/>
      <c r="Z66" s="457"/>
      <c r="AA66" s="456" t="str">
        <f t="shared" si="28"/>
        <v>0.00%</v>
      </c>
      <c r="AB66" s="458">
        <f>SUM(AB59:AB65)</f>
        <v>0</v>
      </c>
      <c r="AC66" s="2344"/>
      <c r="AE66" s="340"/>
    </row>
    <row r="67" spans="1:31" s="1656" customFormat="1" x14ac:dyDescent="0.25">
      <c r="A67" s="2227"/>
      <c r="B67" s="2345"/>
      <c r="C67" s="2215"/>
      <c r="D67" s="340"/>
      <c r="E67" s="2386"/>
      <c r="F67" s="340"/>
      <c r="G67" s="2338"/>
      <c r="H67" s="340"/>
      <c r="I67" s="897"/>
      <c r="J67" s="455"/>
      <c r="K67" s="1668"/>
      <c r="L67" s="340"/>
      <c r="M67" s="2340"/>
      <c r="N67" s="457"/>
      <c r="O67" s="1668"/>
      <c r="P67" s="340"/>
      <c r="Q67" s="2479"/>
      <c r="R67" s="592"/>
      <c r="S67" s="2341"/>
      <c r="T67" s="340"/>
      <c r="U67" s="2342"/>
      <c r="V67" s="952"/>
      <c r="W67" s="2343"/>
      <c r="X67" s="340"/>
      <c r="Y67" s="2344"/>
      <c r="Z67" s="457"/>
      <c r="AA67" s="1668"/>
      <c r="AB67" s="340"/>
      <c r="AC67" s="2344"/>
      <c r="AE67" s="340"/>
    </row>
    <row r="68" spans="1:31" s="900" customFormat="1" x14ac:dyDescent="0.25">
      <c r="A68" s="2225"/>
      <c r="B68" s="2337" t="str">
        <f>'2016-17  RS 3010-DO &amp; All Sites'!AD68</f>
        <v>Services, Other Oprtng Exp.</v>
      </c>
      <c r="C68" s="2225"/>
      <c r="D68" s="460"/>
      <c r="E68" s="868"/>
      <c r="F68" s="460"/>
      <c r="G68" s="2389"/>
      <c r="H68" s="460"/>
      <c r="J68" s="461"/>
      <c r="K68" s="1669"/>
      <c r="L68" s="460"/>
      <c r="M68" s="2390"/>
      <c r="N68" s="461"/>
      <c r="O68" s="1669"/>
      <c r="P68" s="460"/>
      <c r="Q68" s="2340"/>
      <c r="R68" s="461"/>
      <c r="S68" s="1669"/>
      <c r="T68" s="461"/>
      <c r="U68" s="2391"/>
      <c r="V68" s="2381"/>
      <c r="W68" s="2382"/>
      <c r="X68" s="461"/>
      <c r="Y68" s="2392"/>
      <c r="Z68" s="461"/>
      <c r="AA68" s="1669"/>
      <c r="AB68" s="461"/>
      <c r="AC68" s="2392"/>
      <c r="AE68" s="460"/>
    </row>
    <row r="69" spans="1:31" s="1656" customFormat="1" x14ac:dyDescent="0.25">
      <c r="A69" s="2227"/>
      <c r="B69" s="2385" t="s">
        <v>15</v>
      </c>
      <c r="C69" s="2349" t="s">
        <v>14</v>
      </c>
      <c r="D69" s="340">
        <v>146474.45000000001</v>
      </c>
      <c r="E69" s="2386"/>
      <c r="F69" s="340"/>
      <c r="G69" s="456">
        <f t="shared" ref="G69:G80" si="34">IF(D69=0,"0.00%",(H69-D69)/D69)</f>
        <v>-0.54580474615197394</v>
      </c>
      <c r="H69" s="340">
        <v>66528</v>
      </c>
      <c r="I69" s="897"/>
      <c r="J69" s="455"/>
      <c r="K69" s="456">
        <f t="shared" ref="K69:K82" si="35">IF(H69=0,"0.00%",(L69-H69)/H69)</f>
        <v>-0.42092051467051467</v>
      </c>
      <c r="L69" s="340">
        <v>38525</v>
      </c>
      <c r="M69" s="897"/>
      <c r="N69" s="457"/>
      <c r="O69" s="456">
        <f>IF(L69=0,"0.00%",(P69-L69)/L69)</f>
        <v>-1</v>
      </c>
      <c r="P69" s="340">
        <v>0</v>
      </c>
      <c r="Q69" s="2479"/>
      <c r="R69" s="592"/>
      <c r="S69" s="2238" t="str">
        <f t="shared" ref="S69:S82" si="36">IF(P69=0,"0.00%",(T69-P69)/P69)</f>
        <v>0.00%</v>
      </c>
      <c r="T69" s="340">
        <f>P69</f>
        <v>0</v>
      </c>
      <c r="U69" s="2254"/>
      <c r="V69" s="952"/>
      <c r="W69" s="2241" t="str">
        <f t="shared" ref="W69:W82" si="37">IF(T69=0,"0.00%",(X69-T69)/T69)</f>
        <v>0.00%</v>
      </c>
      <c r="X69" s="340">
        <f>ROUND(T69*(LEFT(Y69,5)+1),0)</f>
        <v>0</v>
      </c>
      <c r="Y69" s="953" t="str">
        <f>TEXT('MYP Assumptions'!I78,"0.00%")&amp;", CPI"</f>
        <v>2.73%, CPI</v>
      </c>
      <c r="Z69" s="457"/>
      <c r="AA69" s="456" t="str">
        <f t="shared" ref="AA69:AA82" si="38">IF(X69=0,"0.00%",(AB69-X69)/X69)</f>
        <v>0.00%</v>
      </c>
      <c r="AB69" s="340">
        <f>ROUND(X69*(LEFT(AC69,5)+1),0)</f>
        <v>0</v>
      </c>
      <c r="AC69" s="953" t="str">
        <f>TEXT('MYP Assumptions'!J78,"0.00%")&amp;", CPI"</f>
        <v>2.73%, CPI</v>
      </c>
      <c r="AE69" s="340"/>
    </row>
    <row r="70" spans="1:31" s="1656" customFormat="1" x14ac:dyDescent="0.25">
      <c r="A70" s="2227"/>
      <c r="B70" s="2385" t="s">
        <v>13</v>
      </c>
      <c r="C70" s="2349" t="s">
        <v>12</v>
      </c>
      <c r="D70" s="340">
        <v>0</v>
      </c>
      <c r="E70" s="2386"/>
      <c r="F70" s="340"/>
      <c r="G70" s="456" t="str">
        <f t="shared" si="34"/>
        <v>0.00%</v>
      </c>
      <c r="H70" s="340">
        <v>350</v>
      </c>
      <c r="I70" s="897"/>
      <c r="J70" s="455"/>
      <c r="K70" s="456">
        <f t="shared" si="35"/>
        <v>-1</v>
      </c>
      <c r="L70" s="340">
        <v>0</v>
      </c>
      <c r="M70" s="897"/>
      <c r="N70" s="457"/>
      <c r="O70" s="456" t="str">
        <f t="shared" ref="O70:O82" si="39">IF(L70=0,"0.00%",(P70-L70)/L70)</f>
        <v>0.00%</v>
      </c>
      <c r="P70" s="340">
        <f t="shared" ref="P70:P80" si="40">ROUND(L70*(1-$P$58),0)</f>
        <v>0</v>
      </c>
      <c r="Q70" s="2479"/>
      <c r="R70" s="592"/>
      <c r="S70" s="2238" t="str">
        <f t="shared" si="36"/>
        <v>0.00%</v>
      </c>
      <c r="T70" s="340">
        <f t="shared" ref="T70:T81" si="41">P70</f>
        <v>0</v>
      </c>
      <c r="U70" s="2254"/>
      <c r="V70" s="952"/>
      <c r="W70" s="2241" t="str">
        <f t="shared" si="37"/>
        <v>0.00%</v>
      </c>
      <c r="X70" s="340">
        <f t="shared" ref="X70:X80" si="42">ROUND(T70*(LEFT(Y70,5)+1),0)</f>
        <v>0</v>
      </c>
      <c r="Y70" s="953" t="str">
        <f>TEXT('MYP Assumptions'!I78,"0.00%")&amp;", CPI"</f>
        <v>2.73%, CPI</v>
      </c>
      <c r="Z70" s="457"/>
      <c r="AA70" s="456" t="str">
        <f t="shared" si="38"/>
        <v>0.00%</v>
      </c>
      <c r="AB70" s="340">
        <f t="shared" ref="AB70:AB80" si="43">ROUND(X70*(LEFT(AC70,5)+1),0)</f>
        <v>0</v>
      </c>
      <c r="AC70" s="953" t="str">
        <f>TEXT('MYP Assumptions'!J78,"0.00%")&amp;", CPI"</f>
        <v>2.73%, CPI</v>
      </c>
      <c r="AE70" s="340"/>
    </row>
    <row r="71" spans="1:31" s="1656" customFormat="1" x14ac:dyDescent="0.25">
      <c r="A71" s="2227"/>
      <c r="B71" s="2385" t="s">
        <v>128</v>
      </c>
      <c r="C71" s="2349" t="s">
        <v>129</v>
      </c>
      <c r="D71" s="340">
        <v>0</v>
      </c>
      <c r="E71" s="2386"/>
      <c r="F71" s="340"/>
      <c r="G71" s="456" t="str">
        <f t="shared" si="34"/>
        <v>0.00%</v>
      </c>
      <c r="H71" s="340">
        <f>ROUND(D71*(1-$H$58),0)</f>
        <v>0</v>
      </c>
      <c r="I71" s="897"/>
      <c r="J71" s="455"/>
      <c r="K71" s="456" t="str">
        <f t="shared" si="35"/>
        <v>0.00%</v>
      </c>
      <c r="L71" s="340">
        <v>0</v>
      </c>
      <c r="M71" s="897"/>
      <c r="N71" s="457"/>
      <c r="O71" s="456" t="str">
        <f t="shared" si="39"/>
        <v>0.00%</v>
      </c>
      <c r="P71" s="340">
        <f t="shared" si="40"/>
        <v>0</v>
      </c>
      <c r="Q71" s="2340"/>
      <c r="R71" s="592"/>
      <c r="S71" s="2238" t="str">
        <f t="shared" si="36"/>
        <v>0.00%</v>
      </c>
      <c r="T71" s="340">
        <f t="shared" si="41"/>
        <v>0</v>
      </c>
      <c r="U71" s="2254"/>
      <c r="V71" s="952"/>
      <c r="W71" s="2241" t="str">
        <f t="shared" si="37"/>
        <v>0.00%</v>
      </c>
      <c r="X71" s="340">
        <f t="shared" si="42"/>
        <v>0</v>
      </c>
      <c r="Y71" s="953" t="str">
        <f>TEXT('MYP Assumptions'!I78,"0.00%")&amp;", CPI"</f>
        <v>2.73%, CPI</v>
      </c>
      <c r="Z71" s="457"/>
      <c r="AA71" s="456" t="str">
        <f t="shared" si="38"/>
        <v>0.00%</v>
      </c>
      <c r="AB71" s="340">
        <f t="shared" si="43"/>
        <v>0</v>
      </c>
      <c r="AC71" s="953" t="str">
        <f>TEXT('MYP Assumptions'!J78,"0.00%")&amp;", CPI"</f>
        <v>2.73%, CPI</v>
      </c>
      <c r="AE71" s="340"/>
    </row>
    <row r="72" spans="1:31" s="1656" customFormat="1" x14ac:dyDescent="0.25">
      <c r="A72" s="2227"/>
      <c r="B72" s="2385" t="s">
        <v>11</v>
      </c>
      <c r="C72" s="2349" t="s">
        <v>10</v>
      </c>
      <c r="D72" s="340">
        <v>1076.98</v>
      </c>
      <c r="E72" s="2386"/>
      <c r="F72" s="340"/>
      <c r="G72" s="456">
        <f t="shared" si="34"/>
        <v>9.7513417147950726E-2</v>
      </c>
      <c r="H72" s="340">
        <v>1182</v>
      </c>
      <c r="I72" s="897"/>
      <c r="J72" s="455"/>
      <c r="K72" s="456">
        <f t="shared" si="35"/>
        <v>2.8071065989847717</v>
      </c>
      <c r="L72" s="340">
        <v>4500</v>
      </c>
      <c r="M72" s="897"/>
      <c r="N72" s="457"/>
      <c r="O72" s="456">
        <f t="shared" si="39"/>
        <v>-1</v>
      </c>
      <c r="P72" s="340">
        <v>0</v>
      </c>
      <c r="Q72" s="2479"/>
      <c r="R72" s="592"/>
      <c r="S72" s="2238" t="str">
        <f t="shared" si="36"/>
        <v>0.00%</v>
      </c>
      <c r="T72" s="340">
        <f t="shared" si="41"/>
        <v>0</v>
      </c>
      <c r="U72" s="2254"/>
      <c r="V72" s="952"/>
      <c r="W72" s="2241" t="str">
        <f t="shared" si="37"/>
        <v>0.00%</v>
      </c>
      <c r="X72" s="340">
        <f t="shared" si="42"/>
        <v>0</v>
      </c>
      <c r="Y72" s="953" t="str">
        <f>TEXT('MYP Assumptions'!I78,"0.00%")&amp;", CPI"</f>
        <v>2.73%, CPI</v>
      </c>
      <c r="Z72" s="457"/>
      <c r="AA72" s="456" t="str">
        <f t="shared" si="38"/>
        <v>0.00%</v>
      </c>
      <c r="AB72" s="340">
        <f t="shared" si="43"/>
        <v>0</v>
      </c>
      <c r="AC72" s="953" t="str">
        <f>TEXT('MYP Assumptions'!J78,"0.00%")&amp;", CPI"</f>
        <v>2.73%, CPI</v>
      </c>
      <c r="AE72" s="340"/>
    </row>
    <row r="73" spans="1:31" s="1656" customFormat="1" x14ac:dyDescent="0.25">
      <c r="A73" s="2227"/>
      <c r="B73" s="2385" t="s">
        <v>120</v>
      </c>
      <c r="C73" s="2349" t="s">
        <v>121</v>
      </c>
      <c r="D73" s="340">
        <v>323.7</v>
      </c>
      <c r="E73" s="2386"/>
      <c r="F73" s="340"/>
      <c r="G73" s="456">
        <f t="shared" si="34"/>
        <v>-0.3141797961075069</v>
      </c>
      <c r="H73" s="340">
        <v>222</v>
      </c>
      <c r="I73" s="897"/>
      <c r="J73" s="455"/>
      <c r="K73" s="456">
        <f t="shared" si="35"/>
        <v>-1</v>
      </c>
      <c r="L73" s="340">
        <v>0</v>
      </c>
      <c r="M73" s="897"/>
      <c r="N73" s="457"/>
      <c r="O73" s="456" t="str">
        <f t="shared" si="39"/>
        <v>0.00%</v>
      </c>
      <c r="P73" s="340">
        <f t="shared" si="40"/>
        <v>0</v>
      </c>
      <c r="Q73" s="2479"/>
      <c r="R73" s="592"/>
      <c r="S73" s="2238" t="str">
        <f t="shared" si="36"/>
        <v>0.00%</v>
      </c>
      <c r="T73" s="340">
        <f t="shared" si="41"/>
        <v>0</v>
      </c>
      <c r="U73" s="2254"/>
      <c r="V73" s="952"/>
      <c r="W73" s="2241" t="str">
        <f t="shared" si="37"/>
        <v>0.00%</v>
      </c>
      <c r="X73" s="340">
        <f t="shared" si="42"/>
        <v>0</v>
      </c>
      <c r="Y73" s="953" t="str">
        <f>TEXT('MYP Assumptions'!I78,"0.00%")&amp;", CPI"</f>
        <v>2.73%, CPI</v>
      </c>
      <c r="Z73" s="457"/>
      <c r="AA73" s="456" t="str">
        <f t="shared" si="38"/>
        <v>0.00%</v>
      </c>
      <c r="AB73" s="340">
        <f t="shared" si="43"/>
        <v>0</v>
      </c>
      <c r="AC73" s="953" t="str">
        <f>TEXT('MYP Assumptions'!J78,"0.00%")&amp;", CPI"</f>
        <v>2.73%, CPI</v>
      </c>
      <c r="AE73" s="340"/>
    </row>
    <row r="74" spans="1:31" s="1656" customFormat="1" x14ac:dyDescent="0.25">
      <c r="A74" s="2227"/>
      <c r="B74" s="2385" t="s">
        <v>126</v>
      </c>
      <c r="C74" s="2349" t="s">
        <v>127</v>
      </c>
      <c r="D74" s="340">
        <v>0</v>
      </c>
      <c r="E74" s="2386"/>
      <c r="F74" s="340"/>
      <c r="G74" s="456" t="str">
        <f t="shared" si="34"/>
        <v>0.00%</v>
      </c>
      <c r="H74" s="340">
        <f>ROUND(D74*(1-$H$58),0)</f>
        <v>0</v>
      </c>
      <c r="I74" s="897"/>
      <c r="J74" s="455"/>
      <c r="K74" s="456" t="str">
        <f t="shared" si="35"/>
        <v>0.00%</v>
      </c>
      <c r="L74" s="340">
        <v>0</v>
      </c>
      <c r="M74" s="897"/>
      <c r="N74" s="457"/>
      <c r="O74" s="456" t="str">
        <f t="shared" si="39"/>
        <v>0.00%</v>
      </c>
      <c r="P74" s="340">
        <f t="shared" ref="P74" si="44">ROUND(L74*(1-$P$58),0)</f>
        <v>0</v>
      </c>
      <c r="Q74" s="2479"/>
      <c r="R74" s="592"/>
      <c r="S74" s="2238" t="str">
        <f t="shared" si="36"/>
        <v>0.00%</v>
      </c>
      <c r="T74" s="340">
        <f t="shared" si="41"/>
        <v>0</v>
      </c>
      <c r="U74" s="2254"/>
      <c r="V74" s="952"/>
      <c r="W74" s="2241" t="str">
        <f t="shared" si="37"/>
        <v>0.00%</v>
      </c>
      <c r="X74" s="340">
        <f t="shared" si="42"/>
        <v>0</v>
      </c>
      <c r="Y74" s="953" t="str">
        <f>TEXT('MYP Assumptions'!I78,"0.00%")&amp;", CPI"</f>
        <v>2.73%, CPI</v>
      </c>
      <c r="Z74" s="457"/>
      <c r="AA74" s="456" t="str">
        <f t="shared" si="38"/>
        <v>0.00%</v>
      </c>
      <c r="AB74" s="340">
        <f t="shared" si="43"/>
        <v>0</v>
      </c>
      <c r="AC74" s="953" t="str">
        <f>TEXT('MYP Assumptions'!J78,"0.00%")&amp;", CPI"</f>
        <v>2.73%, CPI</v>
      </c>
      <c r="AE74" s="340"/>
    </row>
    <row r="75" spans="1:31" s="1656" customFormat="1" x14ac:dyDescent="0.25">
      <c r="A75" s="2227"/>
      <c r="B75" s="2385" t="s">
        <v>9</v>
      </c>
      <c r="C75" s="2349" t="s">
        <v>8</v>
      </c>
      <c r="D75" s="340">
        <v>43339.65</v>
      </c>
      <c r="E75" s="2386"/>
      <c r="F75" s="340"/>
      <c r="G75" s="456">
        <f t="shared" si="34"/>
        <v>8.2018971080753982</v>
      </c>
      <c r="H75" s="340">
        <v>398807</v>
      </c>
      <c r="I75" s="897" t="s">
        <v>931</v>
      </c>
      <c r="J75" s="455"/>
      <c r="K75" s="456">
        <f t="shared" si="35"/>
        <v>-0.72706346678970024</v>
      </c>
      <c r="L75" s="340">
        <v>108849</v>
      </c>
      <c r="M75" s="897"/>
      <c r="N75" s="457"/>
      <c r="O75" s="456">
        <f t="shared" si="39"/>
        <v>-0.97182335161554079</v>
      </c>
      <c r="P75" s="340">
        <v>3067</v>
      </c>
      <c r="Q75" s="897" t="s">
        <v>837</v>
      </c>
      <c r="R75" s="592"/>
      <c r="S75" s="2238">
        <f t="shared" si="36"/>
        <v>-1</v>
      </c>
      <c r="T75" s="340">
        <v>0</v>
      </c>
      <c r="U75" s="2254"/>
      <c r="V75" s="952"/>
      <c r="W75" s="2241" t="str">
        <f t="shared" si="37"/>
        <v>0.00%</v>
      </c>
      <c r="X75" s="340">
        <f t="shared" si="42"/>
        <v>0</v>
      </c>
      <c r="Y75" s="953" t="str">
        <f>TEXT('MYP Assumptions'!I78,"0.00%")&amp;", CPI"</f>
        <v>2.73%, CPI</v>
      </c>
      <c r="Z75" s="457"/>
      <c r="AA75" s="456" t="str">
        <f t="shared" si="38"/>
        <v>0.00%</v>
      </c>
      <c r="AB75" s="340">
        <f t="shared" si="43"/>
        <v>0</v>
      </c>
      <c r="AC75" s="953" t="str">
        <f>TEXT('MYP Assumptions'!J78,"0.00%")&amp;", CPI"</f>
        <v>2.73%, CPI</v>
      </c>
      <c r="AE75" s="340"/>
    </row>
    <row r="76" spans="1:31" s="1656" customFormat="1" x14ac:dyDescent="0.25">
      <c r="A76" s="2227"/>
      <c r="B76" s="2385" t="s">
        <v>122</v>
      </c>
      <c r="C76" s="2349" t="s">
        <v>123</v>
      </c>
      <c r="D76" s="340">
        <v>690</v>
      </c>
      <c r="E76" s="2386"/>
      <c r="F76" s="340"/>
      <c r="G76" s="456">
        <f t="shared" si="34"/>
        <v>-1</v>
      </c>
      <c r="H76" s="340">
        <v>0</v>
      </c>
      <c r="I76" s="897"/>
      <c r="J76" s="455"/>
      <c r="K76" s="456" t="str">
        <f t="shared" si="35"/>
        <v>0.00%</v>
      </c>
      <c r="L76" s="340">
        <v>1750</v>
      </c>
      <c r="M76" s="897"/>
      <c r="N76" s="457"/>
      <c r="O76" s="456">
        <f t="shared" si="39"/>
        <v>-1</v>
      </c>
      <c r="P76" s="340"/>
      <c r="Q76" s="897"/>
      <c r="R76" s="592"/>
      <c r="S76" s="2238" t="str">
        <f t="shared" si="36"/>
        <v>0.00%</v>
      </c>
      <c r="T76" s="340">
        <f t="shared" si="41"/>
        <v>0</v>
      </c>
      <c r="U76" s="2254"/>
      <c r="V76" s="952"/>
      <c r="W76" s="2241" t="str">
        <f t="shared" si="37"/>
        <v>0.00%</v>
      </c>
      <c r="X76" s="340">
        <f t="shared" si="42"/>
        <v>0</v>
      </c>
      <c r="Y76" s="953" t="str">
        <f>TEXT('MYP Assumptions'!I78,"0.00%")&amp;", CPI"</f>
        <v>2.73%, CPI</v>
      </c>
      <c r="Z76" s="457"/>
      <c r="AA76" s="456" t="str">
        <f t="shared" si="38"/>
        <v>0.00%</v>
      </c>
      <c r="AB76" s="340">
        <f t="shared" si="43"/>
        <v>0</v>
      </c>
      <c r="AC76" s="953" t="str">
        <f>TEXT('MYP Assumptions'!J78,"0.00%")&amp;", CPI"</f>
        <v>2.73%, CPI</v>
      </c>
      <c r="AE76" s="340"/>
    </row>
    <row r="77" spans="1:31" s="1656" customFormat="1" x14ac:dyDescent="0.25">
      <c r="A77" s="2227"/>
      <c r="B77" s="2385" t="s">
        <v>7</v>
      </c>
      <c r="C77" s="2349" t="s">
        <v>6</v>
      </c>
      <c r="D77" s="340">
        <v>12956.84</v>
      </c>
      <c r="E77" s="2386"/>
      <c r="F77" s="340"/>
      <c r="G77" s="456">
        <f t="shared" si="34"/>
        <v>0.6593552131538245</v>
      </c>
      <c r="H77" s="340">
        <v>21500</v>
      </c>
      <c r="I77" s="897"/>
      <c r="J77" s="455"/>
      <c r="K77" s="456">
        <f t="shared" si="35"/>
        <v>-0.40693023255813954</v>
      </c>
      <c r="L77" s="340">
        <v>12751</v>
      </c>
      <c r="M77" s="897"/>
      <c r="N77" s="457"/>
      <c r="O77" s="456">
        <f t="shared" si="39"/>
        <v>-1</v>
      </c>
      <c r="P77" s="340"/>
      <c r="Q77" s="897"/>
      <c r="R77" s="592"/>
      <c r="S77" s="2238" t="str">
        <f t="shared" si="36"/>
        <v>0.00%</v>
      </c>
      <c r="T77" s="340">
        <f t="shared" si="41"/>
        <v>0</v>
      </c>
      <c r="U77" s="2254"/>
      <c r="V77" s="952"/>
      <c r="W77" s="2241" t="str">
        <f t="shared" si="37"/>
        <v>0.00%</v>
      </c>
      <c r="X77" s="340">
        <f t="shared" si="42"/>
        <v>0</v>
      </c>
      <c r="Y77" s="953" t="str">
        <f>TEXT('MYP Assumptions'!I78,"0.00%")&amp;", CPI"</f>
        <v>2.73%, CPI</v>
      </c>
      <c r="Z77" s="457"/>
      <c r="AA77" s="456" t="str">
        <f t="shared" si="38"/>
        <v>0.00%</v>
      </c>
      <c r="AB77" s="340">
        <f t="shared" si="43"/>
        <v>0</v>
      </c>
      <c r="AC77" s="953" t="str">
        <f>TEXT('MYP Assumptions'!J78,"0.00%")&amp;", CPI"</f>
        <v>2.73%, CPI</v>
      </c>
      <c r="AE77" s="340"/>
    </row>
    <row r="78" spans="1:31" s="1656" customFormat="1" x14ac:dyDescent="0.25">
      <c r="A78" s="2227"/>
      <c r="B78" s="2385" t="s">
        <v>5</v>
      </c>
      <c r="C78" s="2349" t="s">
        <v>4</v>
      </c>
      <c r="D78" s="340">
        <v>24661.119999999999</v>
      </c>
      <c r="E78" s="2386"/>
      <c r="F78" s="340"/>
      <c r="G78" s="456">
        <f t="shared" si="34"/>
        <v>-0.13791425531362725</v>
      </c>
      <c r="H78" s="340">
        <v>21260</v>
      </c>
      <c r="I78" s="897" t="s">
        <v>838</v>
      </c>
      <c r="J78" s="455"/>
      <c r="K78" s="456">
        <f t="shared" si="35"/>
        <v>0.59548447789275638</v>
      </c>
      <c r="L78" s="340">
        <v>33920</v>
      </c>
      <c r="M78" s="897" t="s">
        <v>838</v>
      </c>
      <c r="N78" s="457"/>
      <c r="O78" s="456">
        <f t="shared" si="39"/>
        <v>-0.70518867924528306</v>
      </c>
      <c r="P78" s="340">
        <v>10000</v>
      </c>
      <c r="Q78" s="897" t="s">
        <v>838</v>
      </c>
      <c r="R78" s="592"/>
      <c r="S78" s="2238">
        <f t="shared" si="36"/>
        <v>-1</v>
      </c>
      <c r="T78" s="340"/>
      <c r="U78" s="2254"/>
      <c r="V78" s="952"/>
      <c r="W78" s="2241" t="str">
        <f t="shared" si="37"/>
        <v>0.00%</v>
      </c>
      <c r="X78" s="340">
        <f t="shared" si="42"/>
        <v>0</v>
      </c>
      <c r="Y78" s="953" t="str">
        <f>TEXT('MYP Assumptions'!I78,"0.00%")&amp;", CPI"</f>
        <v>2.73%, CPI</v>
      </c>
      <c r="Z78" s="457"/>
      <c r="AA78" s="456" t="str">
        <f t="shared" si="38"/>
        <v>0.00%</v>
      </c>
      <c r="AB78" s="340">
        <f t="shared" si="43"/>
        <v>0</v>
      </c>
      <c r="AC78" s="953" t="str">
        <f>TEXT('MYP Assumptions'!J78,"0.00%")&amp;", CPI"</f>
        <v>2.73%, CPI</v>
      </c>
      <c r="AE78" s="340"/>
    </row>
    <row r="79" spans="1:31" s="1656" customFormat="1" x14ac:dyDescent="0.25">
      <c r="A79" s="2227"/>
      <c r="B79" s="2385" t="s">
        <v>3</v>
      </c>
      <c r="C79" s="2349" t="s">
        <v>2</v>
      </c>
      <c r="D79" s="340">
        <v>1949.25</v>
      </c>
      <c r="E79" s="2386"/>
      <c r="F79" s="340"/>
      <c r="G79" s="456">
        <f t="shared" si="34"/>
        <v>2.4659484417083495</v>
      </c>
      <c r="H79" s="340">
        <v>6756</v>
      </c>
      <c r="I79" s="897"/>
      <c r="J79" s="455"/>
      <c r="K79" s="456">
        <f t="shared" si="35"/>
        <v>-0.40793368857312018</v>
      </c>
      <c r="L79" s="340">
        <v>4000</v>
      </c>
      <c r="M79" s="897"/>
      <c r="N79" s="457"/>
      <c r="O79" s="456">
        <f t="shared" si="39"/>
        <v>-1</v>
      </c>
      <c r="P79" s="340"/>
      <c r="Q79" s="2479"/>
      <c r="R79" s="592"/>
      <c r="S79" s="2238" t="str">
        <f t="shared" si="36"/>
        <v>0.00%</v>
      </c>
      <c r="T79" s="340">
        <f t="shared" si="41"/>
        <v>0</v>
      </c>
      <c r="U79" s="2254"/>
      <c r="V79" s="952"/>
      <c r="W79" s="2241" t="str">
        <f t="shared" si="37"/>
        <v>0.00%</v>
      </c>
      <c r="X79" s="340">
        <f t="shared" si="42"/>
        <v>0</v>
      </c>
      <c r="Y79" s="953" t="str">
        <f>TEXT('MYP Assumptions'!I78,"0.00%")&amp;", CPI"</f>
        <v>2.73%, CPI</v>
      </c>
      <c r="Z79" s="457"/>
      <c r="AA79" s="456" t="str">
        <f t="shared" si="38"/>
        <v>0.00%</v>
      </c>
      <c r="AB79" s="340">
        <f t="shared" si="43"/>
        <v>0</v>
      </c>
      <c r="AC79" s="953" t="str">
        <f>TEXT('MYP Assumptions'!J78,"0.00%")&amp;", CPI"</f>
        <v>2.73%, CPI</v>
      </c>
      <c r="AE79" s="340"/>
    </row>
    <row r="80" spans="1:31" s="1656" customFormat="1" x14ac:dyDescent="0.25">
      <c r="A80" s="2227"/>
      <c r="B80" s="2385" t="s">
        <v>124</v>
      </c>
      <c r="C80" s="2349" t="s">
        <v>125</v>
      </c>
      <c r="D80" s="340">
        <v>4810.79</v>
      </c>
      <c r="E80" s="2386"/>
      <c r="F80" s="340"/>
      <c r="G80" s="456">
        <f t="shared" si="34"/>
        <v>-1</v>
      </c>
      <c r="H80" s="340">
        <v>0</v>
      </c>
      <c r="I80" s="897"/>
      <c r="J80" s="455"/>
      <c r="K80" s="456" t="str">
        <f t="shared" si="35"/>
        <v>0.00%</v>
      </c>
      <c r="L80" s="340">
        <f>ROUND(H80*(1-$L$58),0)</f>
        <v>0</v>
      </c>
      <c r="M80" s="897"/>
      <c r="N80" s="457"/>
      <c r="O80" s="456" t="str">
        <f t="shared" si="39"/>
        <v>0.00%</v>
      </c>
      <c r="P80" s="340">
        <f t="shared" si="40"/>
        <v>0</v>
      </c>
      <c r="Q80" s="2340"/>
      <c r="R80" s="592"/>
      <c r="S80" s="2238" t="str">
        <f t="shared" si="36"/>
        <v>0.00%</v>
      </c>
      <c r="T80" s="340">
        <f t="shared" si="41"/>
        <v>0</v>
      </c>
      <c r="U80" s="2254"/>
      <c r="V80" s="952"/>
      <c r="W80" s="2241" t="str">
        <f t="shared" si="37"/>
        <v>0.00%</v>
      </c>
      <c r="X80" s="340">
        <f t="shared" si="42"/>
        <v>0</v>
      </c>
      <c r="Y80" s="953" t="str">
        <f>TEXT('MYP Assumptions'!I78,"0.00%")&amp;", CPI"</f>
        <v>2.73%, CPI</v>
      </c>
      <c r="Z80" s="457"/>
      <c r="AA80" s="456" t="str">
        <f t="shared" si="38"/>
        <v>0.00%</v>
      </c>
      <c r="AB80" s="340">
        <f t="shared" si="43"/>
        <v>0</v>
      </c>
      <c r="AC80" s="953" t="str">
        <f>TEXT('MYP Assumptions'!J78,"0.00%")&amp;", CPI"</f>
        <v>2.73%, CPI</v>
      </c>
      <c r="AE80" s="340"/>
    </row>
    <row r="81" spans="1:31" s="1656" customFormat="1" x14ac:dyDescent="0.25">
      <c r="A81" s="2227"/>
      <c r="B81" s="2385"/>
      <c r="C81" s="2349"/>
      <c r="D81" s="340">
        <v>0</v>
      </c>
      <c r="E81" s="2386"/>
      <c r="F81" s="340"/>
      <c r="G81" s="456"/>
      <c r="H81" s="340"/>
      <c r="I81" s="897"/>
      <c r="J81" s="455"/>
      <c r="K81" s="456"/>
      <c r="L81" s="340"/>
      <c r="M81" s="897"/>
      <c r="N81" s="457"/>
      <c r="O81" s="456"/>
      <c r="P81" s="340"/>
      <c r="Q81" s="2479"/>
      <c r="R81" s="592"/>
      <c r="S81" s="2238"/>
      <c r="T81" s="340">
        <f t="shared" si="41"/>
        <v>0</v>
      </c>
      <c r="U81" s="2254"/>
      <c r="V81" s="952"/>
      <c r="W81" s="2241"/>
      <c r="X81" s="340"/>
      <c r="Y81" s="953"/>
      <c r="Z81" s="457"/>
      <c r="AA81" s="456"/>
      <c r="AB81" s="340"/>
      <c r="AC81" s="953"/>
      <c r="AE81" s="340"/>
    </row>
    <row r="82" spans="1:31" s="1656" customFormat="1" x14ac:dyDescent="0.25">
      <c r="A82" s="2228"/>
      <c r="B82" s="2345"/>
      <c r="C82" s="2215"/>
      <c r="D82" s="458">
        <f>SUM(D69:D81)</f>
        <v>236282.78000000003</v>
      </c>
      <c r="E82" s="2386"/>
      <c r="F82" s="340"/>
      <c r="G82" s="456">
        <f>IF(D82=0,"0.00%",(H82-D82)/D82)</f>
        <v>1.186384466950998</v>
      </c>
      <c r="H82" s="458">
        <f>SUM(H69:H81)</f>
        <v>516605</v>
      </c>
      <c r="I82" s="2316">
        <f>+H82-D82</f>
        <v>280322.21999999997</v>
      </c>
      <c r="J82" s="459"/>
      <c r="K82" s="456">
        <f t="shared" si="35"/>
        <v>-0.60454312288886092</v>
      </c>
      <c r="L82" s="458">
        <f>SUM(L69:L81)</f>
        <v>204295</v>
      </c>
      <c r="M82" s="2316">
        <f>+L82-H82</f>
        <v>-312310</v>
      </c>
      <c r="N82" s="457"/>
      <c r="O82" s="456">
        <f t="shared" si="39"/>
        <v>-0.9360385716733155</v>
      </c>
      <c r="P82" s="458">
        <f>SUM(P69:P81)</f>
        <v>13067</v>
      </c>
      <c r="Q82" s="2316">
        <f>+P82-L82</f>
        <v>-191228</v>
      </c>
      <c r="R82" s="592"/>
      <c r="S82" s="2238">
        <f t="shared" si="36"/>
        <v>-1</v>
      </c>
      <c r="T82" s="458">
        <f>SUM(T69:T81)</f>
        <v>0</v>
      </c>
      <c r="U82" s="2316">
        <f>+T82-P82</f>
        <v>-13067</v>
      </c>
      <c r="V82" s="952"/>
      <c r="W82" s="2241" t="str">
        <f t="shared" si="37"/>
        <v>0.00%</v>
      </c>
      <c r="X82" s="458">
        <f>SUM(X69:X81)</f>
        <v>0</v>
      </c>
      <c r="Y82" s="2344"/>
      <c r="Z82" s="457"/>
      <c r="AA82" s="456" t="str">
        <f t="shared" si="38"/>
        <v>0.00%</v>
      </c>
      <c r="AB82" s="458">
        <f>SUM(AB69:AB81)</f>
        <v>0</v>
      </c>
      <c r="AC82" s="2344"/>
      <c r="AE82" s="340"/>
    </row>
    <row r="83" spans="1:31" s="1656" customFormat="1" x14ac:dyDescent="0.25">
      <c r="A83" s="2227"/>
      <c r="B83" s="2337"/>
      <c r="C83" s="2215"/>
      <c r="D83" s="340"/>
      <c r="E83" s="2386"/>
      <c r="F83" s="340"/>
      <c r="G83" s="456"/>
      <c r="H83" s="340"/>
      <c r="I83" s="897"/>
      <c r="J83" s="455"/>
      <c r="K83" s="1668"/>
      <c r="L83" s="340"/>
      <c r="M83" s="2340"/>
      <c r="N83" s="457"/>
      <c r="O83" s="1668"/>
      <c r="P83" s="340"/>
      <c r="Q83" s="2340"/>
      <c r="R83" s="592"/>
      <c r="S83" s="2341"/>
      <c r="T83" s="340"/>
      <c r="U83" s="2340"/>
      <c r="V83" s="952"/>
      <c r="W83" s="2343"/>
      <c r="X83" s="340"/>
      <c r="Y83" s="2344"/>
      <c r="Z83" s="457"/>
      <c r="AA83" s="1668"/>
      <c r="AB83" s="340"/>
      <c r="AC83" s="2344"/>
      <c r="AE83" s="340"/>
    </row>
    <row r="84" spans="1:31" s="1656" customFormat="1" x14ac:dyDescent="0.25">
      <c r="A84" s="2227"/>
      <c r="B84" s="2345"/>
      <c r="C84" s="2215"/>
      <c r="D84" s="340"/>
      <c r="E84" s="2386"/>
      <c r="F84" s="340"/>
      <c r="G84" s="2338"/>
      <c r="H84" s="340"/>
      <c r="I84" s="897"/>
      <c r="J84" s="455"/>
      <c r="K84" s="1668"/>
      <c r="L84" s="340"/>
      <c r="M84" s="2340"/>
      <c r="N84" s="457"/>
      <c r="O84" s="1668"/>
      <c r="P84" s="340"/>
      <c r="Q84" s="901"/>
      <c r="R84" s="592"/>
      <c r="S84" s="2341"/>
      <c r="T84" s="340"/>
      <c r="U84" s="901"/>
      <c r="V84" s="952"/>
      <c r="W84" s="2343"/>
      <c r="X84" s="340"/>
      <c r="Y84" s="2344"/>
      <c r="Z84" s="457"/>
      <c r="AA84" s="1668"/>
      <c r="AB84" s="340"/>
      <c r="AC84" s="2344"/>
      <c r="AE84" s="340"/>
    </row>
    <row r="85" spans="1:31" s="1656" customFormat="1" x14ac:dyDescent="0.25">
      <c r="A85" s="2228"/>
      <c r="B85" s="2337" t="str">
        <f>'2016-17  RS 3010-DO &amp; All Sites'!AD85</f>
        <v>TOTAL EXPENDITURES</v>
      </c>
      <c r="C85" s="2215"/>
      <c r="D85" s="458">
        <f>SUM(D82,D66,D55,D14)</f>
        <v>2259280.1800000002</v>
      </c>
      <c r="E85" s="2386"/>
      <c r="F85" s="340"/>
      <c r="G85" s="456">
        <f>IF(D85=0,"0.00%",(H85-D85)/D85)</f>
        <v>-4.7179265742950109E-2</v>
      </c>
      <c r="H85" s="458">
        <f>SUM(H82,H66,H55,H14)</f>
        <v>2152689</v>
      </c>
      <c r="I85" s="2316">
        <f>+H85-D85</f>
        <v>-106591.18000000017</v>
      </c>
      <c r="J85" s="459"/>
      <c r="K85" s="456">
        <f>IF(H85=0,"0.00%",(L85-H85)/H85)</f>
        <v>-8.3471880982343483E-2</v>
      </c>
      <c r="L85" s="458">
        <f>SUM(L82,L66,L55,L14)</f>
        <v>1973000</v>
      </c>
      <c r="M85" s="2316">
        <f>+L85-H85</f>
        <v>-179689</v>
      </c>
      <c r="N85" s="457"/>
      <c r="O85" s="456">
        <f>IF(L85=0,"0.00%",(P85-L85)/L85)</f>
        <v>-0.21078357830714647</v>
      </c>
      <c r="P85" s="458">
        <f>SUM(P82,P66,P55,P14)</f>
        <v>1557124</v>
      </c>
      <c r="Q85" s="2316">
        <f>+P85-L85</f>
        <v>-415876</v>
      </c>
      <c r="R85" s="592"/>
      <c r="S85" s="2238">
        <f>IF(P85=0,"0.00%",(T85-P85)/P85)</f>
        <v>0</v>
      </c>
      <c r="T85" s="458">
        <f>SUM(T82,T66,T55,T14)</f>
        <v>1557124</v>
      </c>
      <c r="U85" s="2316">
        <f>+T85-P85</f>
        <v>0</v>
      </c>
      <c r="V85" s="952"/>
      <c r="W85" s="2241">
        <f>IF(T85=0,"0.00%",(X85-T85)/T85)</f>
        <v>2.2220452577957823E-3</v>
      </c>
      <c r="X85" s="458">
        <f>SUM(X82,X66,X55,X14)</f>
        <v>1560584</v>
      </c>
      <c r="Y85" s="2344"/>
      <c r="Z85" s="457"/>
      <c r="AA85" s="456" t="e">
        <f>IF(X85=0,"0.00%",(AB85-X85)/X85)</f>
        <v>#VALUE!</v>
      </c>
      <c r="AB85" s="458" t="e">
        <f>SUM(AB82,AB66,AB55,AB14)</f>
        <v>#VALUE!</v>
      </c>
      <c r="AC85" s="2344"/>
      <c r="AE85" s="340"/>
    </row>
    <row r="86" spans="1:31" s="1656" customFormat="1" x14ac:dyDescent="0.25">
      <c r="A86" s="2227"/>
      <c r="B86" s="2345"/>
      <c r="C86" s="2215"/>
      <c r="D86" s="340"/>
      <c r="E86" s="2386"/>
      <c r="F86" s="340"/>
      <c r="G86" s="2338"/>
      <c r="H86" s="340"/>
      <c r="I86" s="897"/>
      <c r="J86" s="455"/>
      <c r="K86" s="1668"/>
      <c r="L86" s="340"/>
      <c r="M86" s="2340"/>
      <c r="N86" s="457"/>
      <c r="O86" s="1668"/>
      <c r="P86" s="340"/>
      <c r="Q86" s="901"/>
      <c r="R86" s="592"/>
      <c r="S86" s="2341"/>
      <c r="T86" s="340"/>
      <c r="U86" s="2342"/>
      <c r="V86" s="952"/>
      <c r="W86" s="2343"/>
      <c r="X86" s="340"/>
      <c r="Y86" s="2344"/>
      <c r="Z86" s="457"/>
      <c r="AA86" s="1668"/>
      <c r="AB86" s="340"/>
      <c r="AC86" s="2344"/>
      <c r="AE86" s="340"/>
    </row>
    <row r="87" spans="1:31" s="1656" customFormat="1" x14ac:dyDescent="0.25">
      <c r="A87" s="2227"/>
      <c r="B87" s="2337" t="str">
        <f>'2016-17  RS 3010-DO &amp; All Sites'!AD87</f>
        <v>NET INCRS/DCRS TO FB</v>
      </c>
      <c r="C87" s="2215"/>
      <c r="D87" s="833">
        <f>D12-D85</f>
        <v>0</v>
      </c>
      <c r="F87" s="457"/>
      <c r="G87" s="456" t="str">
        <f>IF(D87=0,"0.00%",(H87-D87)/D87)</f>
        <v>0.00%</v>
      </c>
      <c r="H87" s="833">
        <f>H12-H85</f>
        <v>0</v>
      </c>
      <c r="I87" s="897"/>
      <c r="J87" s="455"/>
      <c r="K87" s="456" t="str">
        <f>IF(H87=0,"0.00%",(L87-H87)/H87)</f>
        <v>0.00%</v>
      </c>
      <c r="L87" s="833">
        <f>L12-L85</f>
        <v>0</v>
      </c>
      <c r="M87" s="2340"/>
      <c r="N87" s="457"/>
      <c r="O87" s="456" t="str">
        <f>IF(L87=0,"0.00%",(P87-L87)/L87)</f>
        <v>0.00%</v>
      </c>
      <c r="P87" s="833">
        <f>P12-P85</f>
        <v>0</v>
      </c>
      <c r="Q87" s="901"/>
      <c r="R87" s="592"/>
      <c r="S87" s="2238" t="str">
        <f>IF(P87=0,"0.00%",(T87-P87)/P87)</f>
        <v>0.00%</v>
      </c>
      <c r="T87" s="833">
        <f>T12-T85</f>
        <v>0</v>
      </c>
      <c r="U87" s="2342"/>
      <c r="V87" s="952"/>
      <c r="W87" s="2241" t="str">
        <f>IF(T87=0,"0.00%",(X87-T87)/T87)</f>
        <v>0.00%</v>
      </c>
      <c r="X87" s="833">
        <f>X12-X85</f>
        <v>-3460</v>
      </c>
      <c r="Y87" s="2344"/>
      <c r="Z87" s="457"/>
      <c r="AA87" s="456" t="e">
        <f>IF(X87=0,"0.00%",(AB87-X87)/X87)</f>
        <v>#VALUE!</v>
      </c>
      <c r="AB87" s="833" t="e">
        <f>AB12-AB85</f>
        <v>#VALUE!</v>
      </c>
      <c r="AC87" s="2344"/>
      <c r="AE87" s="340"/>
    </row>
    <row r="88" spans="1:31" s="1656" customFormat="1" x14ac:dyDescent="0.25">
      <c r="A88" s="2215"/>
      <c r="B88" s="2337"/>
      <c r="C88" s="2345"/>
      <c r="D88" s="833"/>
      <c r="F88" s="457"/>
      <c r="G88" s="2338"/>
      <c r="H88" s="833"/>
      <c r="I88" s="897"/>
      <c r="J88" s="455"/>
      <c r="K88" s="1668"/>
      <c r="L88" s="833"/>
      <c r="M88" s="2340"/>
      <c r="N88" s="457"/>
      <c r="O88" s="1668"/>
      <c r="P88" s="833"/>
      <c r="Q88" s="901"/>
      <c r="R88" s="592"/>
      <c r="S88" s="2341"/>
      <c r="T88" s="2356"/>
      <c r="U88" s="2342"/>
      <c r="V88" s="952"/>
      <c r="W88" s="2343"/>
      <c r="X88" s="2356"/>
      <c r="Y88" s="2344"/>
      <c r="Z88" s="457"/>
      <c r="AA88" s="1668"/>
      <c r="AB88" s="2356"/>
      <c r="AC88" s="2344"/>
      <c r="AE88" s="340"/>
    </row>
    <row r="89" spans="1:31" s="1656" customFormat="1" x14ac:dyDescent="0.25">
      <c r="A89" s="2215"/>
      <c r="B89" s="2337" t="str">
        <f>'2016-17  RS 3010-DO &amp; All Sites'!AD89</f>
        <v>ENDING FUND BALANCE</v>
      </c>
      <c r="C89" s="2394"/>
      <c r="D89" s="833">
        <f>D8+D87</f>
        <v>0</v>
      </c>
      <c r="F89" s="457"/>
      <c r="G89" s="456" t="str">
        <f>IF(D89=0,"0.00%",(H89-D89)/D89)</f>
        <v>0.00%</v>
      </c>
      <c r="H89" s="833">
        <f>H8+H87</f>
        <v>0</v>
      </c>
      <c r="I89" s="897"/>
      <c r="J89" s="455"/>
      <c r="K89" s="456" t="str">
        <f>IF(H89=0,"0.00%",(L89-H89)/H89)</f>
        <v>0.00%</v>
      </c>
      <c r="L89" s="833">
        <f>L8+L87</f>
        <v>0</v>
      </c>
      <c r="M89" s="2340"/>
      <c r="N89" s="457"/>
      <c r="O89" s="456" t="str">
        <f>IF(L89=0,"0.00%",(P89-L89)/L89)</f>
        <v>0.00%</v>
      </c>
      <c r="P89" s="833">
        <f>P8+P87</f>
        <v>0</v>
      </c>
      <c r="Q89" s="901"/>
      <c r="R89" s="592"/>
      <c r="S89" s="2238" t="str">
        <f>IF(P89=0,"0.00%",(T89-P89)/P89)</f>
        <v>0.00%</v>
      </c>
      <c r="T89" s="2367">
        <f>T8+T87</f>
        <v>0</v>
      </c>
      <c r="U89" s="2342"/>
      <c r="V89" s="952"/>
      <c r="W89" s="2241" t="str">
        <f>IF(T89=0,"0.00%",(X89-T89)/T89)</f>
        <v>0.00%</v>
      </c>
      <c r="X89" s="2367">
        <f>X8+X87</f>
        <v>-3460</v>
      </c>
      <c r="Y89" s="2344"/>
      <c r="Z89" s="457"/>
      <c r="AA89" s="456" t="e">
        <f>IF(X89=0,"0.00%",(AB89-X89)/X89)</f>
        <v>#VALUE!</v>
      </c>
      <c r="AB89" s="2367" t="e">
        <f>AB8+AB87</f>
        <v>#VALUE!</v>
      </c>
      <c r="AC89" s="2344"/>
      <c r="AE89" s="340"/>
    </row>
    <row r="90" spans="1:31" s="1656" customFormat="1" x14ac:dyDescent="0.25">
      <c r="A90" s="2215"/>
      <c r="B90" s="2345"/>
      <c r="C90" s="2225"/>
      <c r="D90" s="340"/>
      <c r="F90" s="457"/>
      <c r="G90" s="2355"/>
      <c r="H90" s="459"/>
      <c r="I90" s="898"/>
      <c r="J90" s="459"/>
      <c r="K90" s="1668"/>
      <c r="L90" s="459"/>
      <c r="M90" s="2340"/>
      <c r="N90" s="457"/>
      <c r="O90" s="1668"/>
      <c r="P90" s="459"/>
      <c r="Q90" s="901"/>
      <c r="R90" s="592"/>
      <c r="S90" s="2341"/>
      <c r="T90" s="459"/>
      <c r="U90" s="2342"/>
      <c r="V90" s="952"/>
      <c r="W90" s="2343"/>
      <c r="X90" s="459"/>
      <c r="Y90" s="2344"/>
      <c r="Z90" s="457"/>
      <c r="AA90" s="1668"/>
      <c r="AB90" s="459"/>
      <c r="AC90" s="2344"/>
      <c r="AE90" s="340"/>
    </row>
    <row r="91" spans="1:31" s="1656" customFormat="1" x14ac:dyDescent="0.25">
      <c r="A91" s="2215"/>
      <c r="B91" s="2345"/>
      <c r="C91" s="2230"/>
      <c r="D91" s="340"/>
      <c r="F91" s="457"/>
      <c r="G91" s="2355"/>
      <c r="H91" s="455"/>
      <c r="I91" s="897"/>
      <c r="J91" s="455"/>
      <c r="K91" s="1668"/>
      <c r="L91" s="340"/>
      <c r="M91" s="2340"/>
      <c r="N91" s="457"/>
      <c r="O91" s="1668"/>
      <c r="P91" s="340"/>
      <c r="Q91" s="901"/>
      <c r="R91" s="592"/>
      <c r="S91" s="2341"/>
      <c r="T91" s="340"/>
      <c r="U91" s="2342"/>
      <c r="V91" s="952"/>
      <c r="W91" s="2343"/>
      <c r="X91" s="340"/>
      <c r="Y91" s="2344"/>
      <c r="Z91" s="457"/>
      <c r="AA91" s="1668"/>
      <c r="AB91" s="340"/>
      <c r="AC91" s="2344"/>
      <c r="AE91" s="340"/>
    </row>
    <row r="92" spans="1:31" s="1656" customFormat="1" x14ac:dyDescent="0.25">
      <c r="A92" s="2215"/>
      <c r="B92" s="2345"/>
      <c r="C92" s="2230"/>
      <c r="D92" s="340"/>
      <c r="F92" s="457"/>
      <c r="G92" s="2355"/>
      <c r="H92" s="455"/>
      <c r="I92" s="897"/>
      <c r="J92" s="455"/>
      <c r="K92" s="1668"/>
      <c r="L92" s="340"/>
      <c r="M92" s="2340"/>
      <c r="N92" s="457"/>
      <c r="O92" s="1668"/>
      <c r="P92" s="340"/>
      <c r="Q92" s="901"/>
      <c r="R92" s="592"/>
      <c r="S92" s="2341"/>
      <c r="T92" s="340"/>
      <c r="U92" s="2342"/>
      <c r="V92" s="952"/>
      <c r="W92" s="2343"/>
      <c r="X92" s="340"/>
      <c r="Y92" s="2344"/>
      <c r="Z92" s="457"/>
      <c r="AA92" s="1668"/>
      <c r="AB92" s="340"/>
      <c r="AC92" s="2344"/>
      <c r="AE92" s="340"/>
    </row>
    <row r="93" spans="1:31" s="1656" customFormat="1" x14ac:dyDescent="0.25">
      <c r="A93" s="2215"/>
      <c r="B93" s="2345"/>
      <c r="C93" s="2230"/>
      <c r="D93" s="340"/>
      <c r="F93" s="457"/>
      <c r="G93" s="2355"/>
      <c r="H93" s="455"/>
      <c r="I93" s="897"/>
      <c r="J93" s="455"/>
      <c r="K93" s="1668"/>
      <c r="L93" s="340"/>
      <c r="M93" s="2340"/>
      <c r="N93" s="457"/>
      <c r="O93" s="1668"/>
      <c r="P93" s="340"/>
      <c r="Q93" s="901"/>
      <c r="R93" s="592"/>
      <c r="S93" s="2341"/>
      <c r="T93" s="340"/>
      <c r="U93" s="2342"/>
      <c r="V93" s="952"/>
      <c r="W93" s="2343"/>
      <c r="X93" s="340"/>
      <c r="Y93" s="2344"/>
      <c r="Z93" s="457"/>
      <c r="AA93" s="1668"/>
      <c r="AB93" s="340"/>
      <c r="AC93" s="2344"/>
      <c r="AE93" s="340"/>
    </row>
    <row r="94" spans="1:31" s="1656" customFormat="1" x14ac:dyDescent="0.25">
      <c r="A94" s="2215"/>
      <c r="B94" s="2345"/>
      <c r="C94" s="2230"/>
      <c r="D94" s="340"/>
      <c r="F94" s="457"/>
      <c r="G94" s="2355"/>
      <c r="H94" s="455"/>
      <c r="I94" s="897"/>
      <c r="J94" s="455"/>
      <c r="K94" s="1668"/>
      <c r="L94" s="340"/>
      <c r="M94" s="2340"/>
      <c r="N94" s="457"/>
      <c r="O94" s="1668"/>
      <c r="P94" s="340"/>
      <c r="Q94" s="901"/>
      <c r="R94" s="592"/>
      <c r="S94" s="2341"/>
      <c r="T94" s="340"/>
      <c r="U94" s="2342"/>
      <c r="V94" s="952"/>
      <c r="W94" s="2343"/>
      <c r="X94" s="340"/>
      <c r="Y94" s="2344"/>
      <c r="Z94" s="457"/>
      <c r="AA94" s="1668"/>
      <c r="AB94" s="340"/>
      <c r="AC94" s="2344"/>
      <c r="AE94" s="340"/>
    </row>
    <row r="95" spans="1:31" s="2363" customFormat="1" ht="11.25" x14ac:dyDescent="0.2">
      <c r="A95" s="2232"/>
      <c r="B95" s="2395"/>
      <c r="C95" s="2396" t="s">
        <v>221</v>
      </c>
      <c r="D95" s="2397">
        <f>+D82+D66+D53+D41+D30</f>
        <v>2178669.41</v>
      </c>
      <c r="E95" s="2398"/>
      <c r="F95" s="608"/>
      <c r="G95" s="2399" t="s">
        <v>221</v>
      </c>
      <c r="H95" s="2397">
        <f>+H82+H66+H53+H41+H30</f>
        <v>2055085</v>
      </c>
      <c r="I95" s="2400"/>
      <c r="J95" s="607"/>
      <c r="K95" s="2399" t="s">
        <v>221</v>
      </c>
      <c r="L95" s="2397">
        <f>+L82+L66+L53+L41+L30</f>
        <v>1871738</v>
      </c>
      <c r="M95" s="2401"/>
      <c r="N95" s="2402"/>
      <c r="O95" s="2399" t="s">
        <v>221</v>
      </c>
      <c r="P95" s="2403">
        <f>+P82+P66+P53+P41+P30</f>
        <v>1477207</v>
      </c>
      <c r="Q95" s="2404"/>
      <c r="R95" s="608"/>
      <c r="S95" s="2405" t="s">
        <v>221</v>
      </c>
      <c r="T95" s="2397">
        <f>+T82+T66+T53+T41+T30</f>
        <v>1477207</v>
      </c>
      <c r="U95" s="2406"/>
      <c r="V95" s="2407"/>
      <c r="W95" s="2408" t="s">
        <v>221</v>
      </c>
      <c r="X95" s="2397">
        <f>+X82+X66+X53+X41+X30</f>
        <v>1505026</v>
      </c>
      <c r="Y95" s="2409"/>
      <c r="Z95" s="2402"/>
      <c r="AA95" s="2399" t="s">
        <v>221</v>
      </c>
      <c r="AB95" s="2397" t="e">
        <f>+AB82+AB66+AB53+AB41+AB30</f>
        <v>#VALUE!</v>
      </c>
      <c r="AC95" s="2409"/>
      <c r="AE95" s="2410"/>
    </row>
    <row r="96" spans="1:31" s="2363" customFormat="1" ht="11.25" x14ac:dyDescent="0.2">
      <c r="A96" s="2233"/>
      <c r="B96" s="2395"/>
      <c r="C96" s="2411" t="s">
        <v>222</v>
      </c>
      <c r="D96" s="2412">
        <f>+D14</f>
        <v>80610.77</v>
      </c>
      <c r="E96" s="2413"/>
      <c r="F96" s="2414"/>
      <c r="G96" s="2415" t="s">
        <v>222</v>
      </c>
      <c r="H96" s="2412">
        <f>+H14</f>
        <v>97604</v>
      </c>
      <c r="I96" s="2398"/>
      <c r="J96" s="608"/>
      <c r="K96" s="2415" t="s">
        <v>222</v>
      </c>
      <c r="L96" s="2412">
        <f>+L14</f>
        <v>101262</v>
      </c>
      <c r="M96" s="2401"/>
      <c r="N96" s="2402"/>
      <c r="O96" s="2415" t="s">
        <v>222</v>
      </c>
      <c r="P96" s="2410">
        <f>+P14</f>
        <v>79917</v>
      </c>
      <c r="R96" s="608"/>
      <c r="S96" s="2416" t="s">
        <v>222</v>
      </c>
      <c r="T96" s="2412">
        <f>+T14</f>
        <v>79917</v>
      </c>
      <c r="U96" s="2232"/>
      <c r="V96" s="2407"/>
      <c r="W96" s="2417" t="s">
        <v>222</v>
      </c>
      <c r="X96" s="2412">
        <f>+X14</f>
        <v>55558</v>
      </c>
      <c r="Y96" s="2402"/>
      <c r="Z96" s="2402"/>
      <c r="AA96" s="2415" t="s">
        <v>222</v>
      </c>
      <c r="AB96" s="2412">
        <f>+AB14</f>
        <v>271101</v>
      </c>
      <c r="AC96" s="2402"/>
      <c r="AE96" s="2410"/>
    </row>
    <row r="97" spans="1:31" s="2363" customFormat="1" ht="11.25" x14ac:dyDescent="0.2">
      <c r="A97" s="2233"/>
      <c r="B97" s="2395"/>
      <c r="C97" s="2411"/>
      <c r="D97" s="2418">
        <f>+D95+D96</f>
        <v>2259280.1800000002</v>
      </c>
      <c r="E97" s="2413"/>
      <c r="F97" s="2414"/>
      <c r="G97" s="2415"/>
      <c r="H97" s="2418">
        <f>+H95+H96</f>
        <v>2152689</v>
      </c>
      <c r="I97" s="2398"/>
      <c r="J97" s="608"/>
      <c r="K97" s="2415"/>
      <c r="L97" s="2418">
        <f>+L95+L96</f>
        <v>1973000</v>
      </c>
      <c r="M97" s="2419"/>
      <c r="N97" s="2402"/>
      <c r="O97" s="2420"/>
      <c r="P97" s="2421">
        <f>+P95+P96</f>
        <v>1557124</v>
      </c>
      <c r="R97" s="608"/>
      <c r="S97" s="2416"/>
      <c r="T97" s="2418">
        <f>+T95+T96</f>
        <v>1557124</v>
      </c>
      <c r="U97" s="2232"/>
      <c r="V97" s="2407"/>
      <c r="W97" s="2417"/>
      <c r="X97" s="2418">
        <f>+X95+X96</f>
        <v>1560584</v>
      </c>
      <c r="Y97" s="2402"/>
      <c r="Z97" s="2402"/>
      <c r="AA97" s="2415"/>
      <c r="AB97" s="2418" t="e">
        <f>+AB95+AB96</f>
        <v>#VALUE!</v>
      </c>
      <c r="AC97" s="2402"/>
      <c r="AE97" s="2410"/>
    </row>
    <row r="98" spans="1:31" s="1656" customFormat="1" ht="15" customHeight="1" x14ac:dyDescent="0.25">
      <c r="A98" s="2227"/>
      <c r="B98" s="2422"/>
      <c r="C98" s="2385"/>
      <c r="D98" s="2423">
        <f>+D85-D97</f>
        <v>0</v>
      </c>
      <c r="E98" s="897"/>
      <c r="F98" s="455"/>
      <c r="G98" s="2338"/>
      <c r="H98" s="2423">
        <f>+H85-H97</f>
        <v>0</v>
      </c>
      <c r="I98" s="2339"/>
      <c r="J98" s="592"/>
      <c r="K98" s="2338"/>
      <c r="L98" s="2423">
        <f>+L85-L97</f>
        <v>0</v>
      </c>
      <c r="M98" s="2386"/>
      <c r="N98" s="457"/>
      <c r="O98" s="1668"/>
      <c r="P98" s="340">
        <f>+P85-P97</f>
        <v>0</v>
      </c>
      <c r="R98" s="592"/>
      <c r="S98" s="2355"/>
      <c r="T98" s="2423">
        <f>+T85-T97</f>
        <v>0</v>
      </c>
      <c r="U98" s="2215"/>
      <c r="V98" s="952"/>
      <c r="W98" s="2343"/>
      <c r="X98" s="2423">
        <f>+X85-X97</f>
        <v>0</v>
      </c>
      <c r="Y98" s="457"/>
      <c r="Z98" s="457"/>
      <c r="AA98" s="1668"/>
      <c r="AB98" s="2423" t="e">
        <f>+AB85-AB97</f>
        <v>#VALUE!</v>
      </c>
      <c r="AC98" s="457"/>
      <c r="AE98" s="340"/>
    </row>
    <row r="99" spans="1:31" s="1656" customFormat="1" x14ac:dyDescent="0.25">
      <c r="A99" s="2227"/>
      <c r="B99" s="2422"/>
      <c r="C99" s="2422"/>
      <c r="D99" s="455"/>
      <c r="E99" s="897"/>
      <c r="F99" s="455"/>
      <c r="G99" s="2338"/>
      <c r="H99" s="2424"/>
      <c r="I99" s="2339"/>
      <c r="J99" s="592"/>
      <c r="K99" s="1668"/>
      <c r="L99" s="2370"/>
      <c r="M99" s="2386"/>
      <c r="N99" s="457"/>
      <c r="O99" s="1668"/>
      <c r="P99" s="340"/>
      <c r="R99" s="592"/>
      <c r="S99" s="2341"/>
      <c r="T99" s="457"/>
      <c r="U99" s="2215"/>
      <c r="V99" s="952"/>
      <c r="W99" s="2343"/>
      <c r="X99" s="457"/>
      <c r="Y99" s="457"/>
      <c r="Z99" s="457"/>
      <c r="AA99" s="1668"/>
      <c r="AB99" s="457"/>
      <c r="AC99" s="457"/>
      <c r="AE99" s="340"/>
    </row>
    <row r="100" spans="1:31" s="1656" customFormat="1" x14ac:dyDescent="0.25">
      <c r="A100" s="2227"/>
      <c r="B100" s="2394"/>
      <c r="C100" s="2230"/>
      <c r="D100" s="342"/>
      <c r="E100" s="897"/>
      <c r="F100" s="455"/>
      <c r="G100" s="2338"/>
      <c r="H100" s="2424"/>
      <c r="I100" s="2339"/>
      <c r="J100" s="592"/>
      <c r="K100" s="1668"/>
      <c r="L100" s="2370"/>
      <c r="M100" s="2386"/>
      <c r="N100" s="457"/>
      <c r="O100" s="1668"/>
      <c r="P100" s="340"/>
      <c r="R100" s="592"/>
      <c r="S100" s="2341"/>
      <c r="T100" s="457"/>
      <c r="U100" s="2215"/>
      <c r="V100" s="952"/>
      <c r="W100" s="2343"/>
      <c r="X100" s="457"/>
      <c r="Y100" s="457"/>
      <c r="Z100" s="457"/>
      <c r="AA100" s="1668"/>
      <c r="AB100" s="457"/>
      <c r="AC100" s="457"/>
      <c r="AE100" s="340"/>
    </row>
    <row r="101" spans="1:31" s="1656" customFormat="1" x14ac:dyDescent="0.25">
      <c r="A101" s="2215"/>
      <c r="B101" s="2394"/>
      <c r="C101" s="2230"/>
      <c r="D101" s="455"/>
      <c r="E101" s="2339"/>
      <c r="F101" s="592"/>
      <c r="G101" s="2338"/>
      <c r="H101" s="2424"/>
      <c r="I101" s="2339"/>
      <c r="J101" s="592"/>
      <c r="K101" s="1668"/>
      <c r="L101" s="2370"/>
      <c r="M101" s="2386"/>
      <c r="N101" s="457"/>
      <c r="O101" s="1668"/>
      <c r="P101" s="340"/>
      <c r="R101" s="592"/>
      <c r="S101" s="2341"/>
      <c r="T101" s="457"/>
      <c r="U101" s="2215"/>
      <c r="V101" s="952"/>
      <c r="W101" s="2343"/>
      <c r="X101" s="457"/>
      <c r="Y101" s="457"/>
      <c r="Z101" s="457"/>
      <c r="AA101" s="1668"/>
      <c r="AB101" s="457"/>
      <c r="AC101" s="457"/>
      <c r="AE101" s="340"/>
    </row>
    <row r="102" spans="1:31" s="1656" customFormat="1" x14ac:dyDescent="0.25">
      <c r="A102" s="2215"/>
      <c r="B102" s="2394"/>
      <c r="C102" s="2230"/>
      <c r="D102" s="455"/>
      <c r="E102" s="2339"/>
      <c r="F102" s="592"/>
      <c r="G102" s="2338"/>
      <c r="H102" s="2424"/>
      <c r="I102" s="2339"/>
      <c r="J102" s="592"/>
      <c r="K102" s="1668"/>
      <c r="L102" s="2370"/>
      <c r="M102" s="2386"/>
      <c r="N102" s="457"/>
      <c r="O102" s="1668"/>
      <c r="P102" s="340"/>
      <c r="R102" s="592"/>
      <c r="S102" s="2341"/>
      <c r="T102" s="457"/>
      <c r="U102" s="2215"/>
      <c r="V102" s="952"/>
      <c r="W102" s="2343"/>
      <c r="X102" s="457"/>
      <c r="Y102" s="457"/>
      <c r="Z102" s="457"/>
      <c r="AA102" s="1668"/>
      <c r="AB102" s="457"/>
      <c r="AC102" s="457"/>
      <c r="AE102" s="340"/>
    </row>
    <row r="103" spans="1:31" s="1656" customFormat="1" ht="15" customHeight="1" x14ac:dyDescent="0.25">
      <c r="A103" s="2215"/>
      <c r="B103" s="2394"/>
      <c r="C103" s="2230"/>
      <c r="D103" s="455"/>
      <c r="E103" s="2339"/>
      <c r="F103" s="592"/>
      <c r="G103" s="2338"/>
      <c r="H103" s="2424"/>
      <c r="I103" s="2339"/>
      <c r="J103" s="592"/>
      <c r="K103" s="1668"/>
      <c r="L103" s="2370"/>
      <c r="M103" s="2386"/>
      <c r="N103" s="457"/>
      <c r="O103" s="1668"/>
      <c r="P103" s="340"/>
      <c r="R103" s="592"/>
      <c r="S103" s="2341"/>
      <c r="T103" s="457"/>
      <c r="U103" s="2215"/>
      <c r="V103" s="952"/>
      <c r="W103" s="2343"/>
      <c r="X103" s="457"/>
      <c r="Y103" s="457"/>
      <c r="Z103" s="457"/>
      <c r="AA103" s="1668"/>
      <c r="AB103" s="457"/>
      <c r="AC103" s="457"/>
      <c r="AE103" s="340"/>
    </row>
    <row r="104" spans="1:31" s="1656" customFormat="1" x14ac:dyDescent="0.25">
      <c r="A104" s="2215"/>
      <c r="B104" s="2394"/>
      <c r="C104" s="2230"/>
      <c r="D104" s="455"/>
      <c r="E104" s="2339"/>
      <c r="F104" s="592"/>
      <c r="G104" s="2338"/>
      <c r="H104" s="2424"/>
      <c r="I104" s="2339"/>
      <c r="J104" s="592"/>
      <c r="K104" s="1668"/>
      <c r="L104" s="2370"/>
      <c r="M104" s="2386"/>
      <c r="N104" s="457"/>
      <c r="O104" s="1668"/>
      <c r="P104" s="340"/>
      <c r="R104" s="592"/>
      <c r="S104" s="2341"/>
      <c r="T104" s="457"/>
      <c r="U104" s="2215"/>
      <c r="V104" s="952"/>
      <c r="W104" s="2343"/>
      <c r="X104" s="457"/>
      <c r="Y104" s="457"/>
      <c r="Z104" s="457"/>
      <c r="AA104" s="1668"/>
      <c r="AB104" s="457"/>
      <c r="AC104" s="457"/>
      <c r="AE104" s="340"/>
    </row>
    <row r="105" spans="1:31" s="1656" customFormat="1" x14ac:dyDescent="0.25">
      <c r="A105" s="2215"/>
      <c r="B105" s="2394"/>
      <c r="C105" s="2230"/>
      <c r="D105" s="455"/>
      <c r="E105" s="2339"/>
      <c r="F105" s="592"/>
      <c r="G105" s="2338"/>
      <c r="H105" s="2424"/>
      <c r="I105" s="2339"/>
      <c r="J105" s="592"/>
      <c r="K105" s="1668"/>
      <c r="L105" s="2370"/>
      <c r="M105" s="2386"/>
      <c r="N105" s="457"/>
      <c r="O105" s="1668"/>
      <c r="P105" s="340"/>
      <c r="R105" s="592"/>
      <c r="S105" s="2341"/>
      <c r="T105" s="457"/>
      <c r="U105" s="2215"/>
      <c r="V105" s="952"/>
      <c r="W105" s="2343"/>
      <c r="X105" s="457"/>
      <c r="Y105" s="457"/>
      <c r="Z105" s="457"/>
      <c r="AA105" s="1668"/>
      <c r="AB105" s="457"/>
      <c r="AC105" s="457"/>
      <c r="AE105" s="340"/>
    </row>
    <row r="106" spans="1:31" s="1656" customFormat="1" ht="15" customHeight="1" x14ac:dyDescent="0.25">
      <c r="A106" s="2215"/>
      <c r="B106" s="2570"/>
      <c r="C106" s="2570"/>
      <c r="D106" s="455"/>
      <c r="E106" s="2339"/>
      <c r="F106" s="592"/>
      <c r="G106" s="2338"/>
      <c r="H106" s="2424"/>
      <c r="I106" s="2339"/>
      <c r="J106" s="592"/>
      <c r="K106" s="1668"/>
      <c r="L106" s="2370"/>
      <c r="M106" s="2386"/>
      <c r="N106" s="457"/>
      <c r="O106" s="1668"/>
      <c r="P106" s="340"/>
      <c r="R106" s="592"/>
      <c r="S106" s="2341"/>
      <c r="T106" s="457"/>
      <c r="U106" s="2215"/>
      <c r="V106" s="952"/>
      <c r="W106" s="2343"/>
      <c r="X106" s="457"/>
      <c r="Y106" s="457"/>
      <c r="Z106" s="457"/>
      <c r="AA106" s="1668"/>
      <c r="AB106" s="457"/>
      <c r="AC106" s="457"/>
      <c r="AE106" s="340"/>
    </row>
    <row r="107" spans="1:31" s="1656" customFormat="1" x14ac:dyDescent="0.25">
      <c r="A107" s="2215"/>
      <c r="B107" s="2570"/>
      <c r="C107" s="2570"/>
      <c r="D107" s="455"/>
      <c r="E107" s="2339"/>
      <c r="F107" s="592"/>
      <c r="G107" s="2338"/>
      <c r="H107" s="2424"/>
      <c r="I107" s="2339"/>
      <c r="J107" s="592"/>
      <c r="K107" s="1668"/>
      <c r="L107" s="2370"/>
      <c r="M107" s="2386"/>
      <c r="N107" s="457"/>
      <c r="O107" s="1668"/>
      <c r="P107" s="340"/>
      <c r="R107" s="592"/>
      <c r="S107" s="2341"/>
      <c r="T107" s="457"/>
      <c r="U107" s="2215"/>
      <c r="V107" s="952"/>
      <c r="W107" s="2343"/>
      <c r="X107" s="457"/>
      <c r="Y107" s="457"/>
      <c r="Z107" s="457"/>
      <c r="AA107" s="1668"/>
      <c r="AB107" s="457"/>
      <c r="AC107" s="457"/>
      <c r="AE107" s="340"/>
    </row>
    <row r="108" spans="1:31" s="1656" customFormat="1" x14ac:dyDescent="0.25">
      <c r="A108" s="2215"/>
      <c r="B108" s="2394"/>
      <c r="C108" s="2230"/>
      <c r="D108" s="460"/>
      <c r="E108" s="2339"/>
      <c r="F108" s="592"/>
      <c r="G108" s="2338"/>
      <c r="H108" s="2424"/>
      <c r="I108" s="2339"/>
      <c r="J108" s="592"/>
      <c r="K108" s="1668"/>
      <c r="L108" s="2370"/>
      <c r="M108" s="2386"/>
      <c r="N108" s="457"/>
      <c r="O108" s="1668"/>
      <c r="P108" s="340"/>
      <c r="R108" s="592"/>
      <c r="S108" s="2341"/>
      <c r="T108" s="457"/>
      <c r="U108" s="2215"/>
      <c r="V108" s="952"/>
      <c r="W108" s="2343"/>
      <c r="X108" s="457"/>
      <c r="Y108" s="457"/>
      <c r="Z108" s="457"/>
      <c r="AA108" s="1668"/>
      <c r="AB108" s="457"/>
      <c r="AC108" s="457"/>
      <c r="AE108" s="340"/>
    </row>
    <row r="109" spans="1:31" s="1656" customFormat="1" x14ac:dyDescent="0.25">
      <c r="A109" s="2215"/>
      <c r="B109" s="2394"/>
      <c r="C109" s="2230"/>
      <c r="D109" s="455"/>
      <c r="E109" s="2339"/>
      <c r="F109" s="592"/>
      <c r="G109" s="2338"/>
      <c r="H109" s="2424"/>
      <c r="I109" s="2339"/>
      <c r="J109" s="592"/>
      <c r="K109" s="1668"/>
      <c r="L109" s="2370"/>
      <c r="M109" s="2386"/>
      <c r="N109" s="457"/>
      <c r="O109" s="1668"/>
      <c r="P109" s="340"/>
      <c r="R109" s="592"/>
      <c r="S109" s="2341"/>
      <c r="T109" s="457"/>
      <c r="U109" s="2215"/>
      <c r="V109" s="952"/>
      <c r="W109" s="2343"/>
      <c r="X109" s="457"/>
      <c r="Y109" s="457"/>
      <c r="Z109" s="457"/>
      <c r="AA109" s="1668"/>
      <c r="AB109" s="457"/>
      <c r="AC109" s="457"/>
      <c r="AE109" s="340"/>
    </row>
    <row r="110" spans="1:31" s="1656" customFormat="1" x14ac:dyDescent="0.25">
      <c r="A110" s="2215"/>
      <c r="B110" s="2394"/>
      <c r="C110" s="2230"/>
      <c r="D110" s="455"/>
      <c r="E110" s="2339"/>
      <c r="F110" s="592"/>
      <c r="G110" s="2338"/>
      <c r="H110" s="2424"/>
      <c r="I110" s="2339"/>
      <c r="J110" s="592"/>
      <c r="K110" s="1668"/>
      <c r="L110" s="2370"/>
      <c r="M110" s="2386"/>
      <c r="N110" s="457"/>
      <c r="O110" s="1668"/>
      <c r="P110" s="340"/>
      <c r="R110" s="592"/>
      <c r="S110" s="2341"/>
      <c r="T110" s="457"/>
      <c r="U110" s="2215"/>
      <c r="V110" s="952"/>
      <c r="W110" s="2343"/>
      <c r="X110" s="457"/>
      <c r="Y110" s="457"/>
      <c r="Z110" s="457"/>
      <c r="AA110" s="1668"/>
      <c r="AB110" s="457"/>
      <c r="AC110" s="457"/>
      <c r="AE110" s="340"/>
    </row>
    <row r="111" spans="1:31" s="1656" customFormat="1" ht="28.5" customHeight="1" x14ac:dyDescent="0.25">
      <c r="A111" s="2215"/>
      <c r="B111" s="2394"/>
      <c r="C111" s="2230"/>
      <c r="D111" s="342"/>
      <c r="E111" s="2339"/>
      <c r="F111" s="592"/>
      <c r="G111" s="2338"/>
      <c r="H111" s="2424"/>
      <c r="I111" s="2339"/>
      <c r="J111" s="592"/>
      <c r="K111" s="1668"/>
      <c r="L111" s="2370"/>
      <c r="M111" s="2386"/>
      <c r="N111" s="457"/>
      <c r="O111" s="1668"/>
      <c r="P111" s="340"/>
      <c r="R111" s="592"/>
      <c r="S111" s="2341"/>
      <c r="T111" s="457"/>
      <c r="U111" s="2215"/>
      <c r="V111" s="952"/>
      <c r="W111" s="2343"/>
      <c r="X111" s="457"/>
      <c r="Y111" s="457"/>
      <c r="Z111" s="457"/>
      <c r="AA111" s="1668"/>
      <c r="AB111" s="457"/>
      <c r="AC111" s="457"/>
      <c r="AE111" s="340"/>
    </row>
    <row r="112" spans="1:31" s="1656" customFormat="1" x14ac:dyDescent="0.25">
      <c r="A112" s="2215"/>
      <c r="B112" s="2345"/>
      <c r="C112" s="2215"/>
      <c r="D112" s="340"/>
      <c r="F112" s="457"/>
      <c r="G112" s="2338"/>
      <c r="H112" s="2424"/>
      <c r="I112" s="2339"/>
      <c r="J112" s="592"/>
      <c r="K112" s="1668"/>
      <c r="L112" s="2370"/>
      <c r="M112" s="2386"/>
      <c r="N112" s="457"/>
      <c r="O112" s="1668"/>
      <c r="P112" s="340"/>
      <c r="R112" s="592"/>
      <c r="S112" s="2341"/>
      <c r="T112" s="457"/>
      <c r="U112" s="2215"/>
      <c r="V112" s="952"/>
      <c r="W112" s="2343"/>
      <c r="X112" s="457"/>
      <c r="Y112" s="457"/>
      <c r="Z112" s="457"/>
      <c r="AA112" s="1668"/>
      <c r="AB112" s="457"/>
      <c r="AC112" s="457"/>
      <c r="AE112" s="340"/>
    </row>
    <row r="113" spans="1:31" s="1656" customFormat="1" x14ac:dyDescent="0.25">
      <c r="A113" s="2215"/>
      <c r="B113" s="2345"/>
      <c r="C113" s="2215"/>
      <c r="D113" s="340"/>
      <c r="F113" s="457"/>
      <c r="G113" s="2338"/>
      <c r="H113" s="2424"/>
      <c r="I113" s="2339"/>
      <c r="J113" s="592"/>
      <c r="K113" s="1668"/>
      <c r="L113" s="2370"/>
      <c r="M113" s="2386"/>
      <c r="N113" s="457"/>
      <c r="O113" s="1668"/>
      <c r="P113" s="340"/>
      <c r="R113" s="592"/>
      <c r="S113" s="2341"/>
      <c r="T113" s="457"/>
      <c r="U113" s="2215"/>
      <c r="V113" s="952"/>
      <c r="W113" s="2343"/>
      <c r="X113" s="457"/>
      <c r="Y113" s="457"/>
      <c r="Z113" s="457"/>
      <c r="AA113" s="1668"/>
      <c r="AB113" s="457"/>
      <c r="AC113" s="457"/>
      <c r="AE113" s="340"/>
    </row>
    <row r="114" spans="1:31" s="1656" customFormat="1" x14ac:dyDescent="0.25">
      <c r="A114" s="2215"/>
      <c r="B114" s="2345"/>
      <c r="C114" s="2215"/>
      <c r="D114" s="340"/>
      <c r="F114" s="457"/>
      <c r="G114" s="2338"/>
      <c r="H114" s="2424"/>
      <c r="I114" s="2339"/>
      <c r="J114" s="592"/>
      <c r="K114" s="1668"/>
      <c r="L114" s="2370"/>
      <c r="M114" s="2386"/>
      <c r="N114" s="457"/>
      <c r="O114" s="1668"/>
      <c r="P114" s="340"/>
      <c r="R114" s="592"/>
      <c r="S114" s="2341"/>
      <c r="T114" s="457"/>
      <c r="U114" s="2215"/>
      <c r="V114" s="952"/>
      <c r="W114" s="2343"/>
      <c r="X114" s="457"/>
      <c r="Y114" s="457"/>
      <c r="Z114" s="457"/>
      <c r="AA114" s="1668"/>
      <c r="AB114" s="457"/>
      <c r="AC114" s="457"/>
      <c r="AE114" s="340"/>
    </row>
    <row r="115" spans="1:31" s="1656" customFormat="1" x14ac:dyDescent="0.25">
      <c r="A115" s="2215"/>
      <c r="B115" s="2345"/>
      <c r="C115" s="2215"/>
      <c r="D115" s="340"/>
      <c r="F115" s="457"/>
      <c r="G115" s="2338"/>
      <c r="H115" s="2424"/>
      <c r="I115" s="2339"/>
      <c r="J115" s="592"/>
      <c r="K115" s="1668"/>
      <c r="L115" s="2370"/>
      <c r="M115" s="2386"/>
      <c r="N115" s="457"/>
      <c r="O115" s="1668"/>
      <c r="P115" s="340"/>
      <c r="R115" s="592"/>
      <c r="S115" s="2341"/>
      <c r="T115" s="457"/>
      <c r="U115" s="2215"/>
      <c r="V115" s="952"/>
      <c r="W115" s="2343"/>
      <c r="X115" s="457"/>
      <c r="Y115" s="457"/>
      <c r="Z115" s="457"/>
      <c r="AA115" s="1668"/>
      <c r="AB115" s="457"/>
      <c r="AC115" s="457"/>
      <c r="AE115" s="340"/>
    </row>
    <row r="116" spans="1:31" s="1656" customFormat="1" x14ac:dyDescent="0.25">
      <c r="A116" s="2215"/>
      <c r="B116" s="2345"/>
      <c r="C116" s="2215"/>
      <c r="D116" s="340"/>
      <c r="F116" s="457"/>
      <c r="G116" s="2338"/>
      <c r="H116" s="2424"/>
      <c r="I116" s="2339"/>
      <c r="J116" s="592"/>
      <c r="K116" s="1668"/>
      <c r="L116" s="2370"/>
      <c r="M116" s="2386"/>
      <c r="N116" s="457"/>
      <c r="O116" s="1668"/>
      <c r="P116" s="340"/>
      <c r="R116" s="592"/>
      <c r="S116" s="2341"/>
      <c r="T116" s="457"/>
      <c r="U116" s="2215"/>
      <c r="V116" s="952"/>
      <c r="W116" s="2343"/>
      <c r="X116" s="457"/>
      <c r="Y116" s="457"/>
      <c r="Z116" s="457"/>
      <c r="AA116" s="1668"/>
      <c r="AB116" s="457"/>
      <c r="AC116" s="457"/>
      <c r="AE116" s="340"/>
    </row>
    <row r="117" spans="1:31" s="1656" customFormat="1" x14ac:dyDescent="0.25">
      <c r="A117" s="2215"/>
      <c r="B117" s="2345"/>
      <c r="C117" s="2215"/>
      <c r="D117" s="340"/>
      <c r="F117" s="457"/>
      <c r="G117" s="2338"/>
      <c r="H117" s="2424"/>
      <c r="I117" s="2339"/>
      <c r="J117" s="592"/>
      <c r="K117" s="1668"/>
      <c r="L117" s="2370"/>
      <c r="M117" s="2386"/>
      <c r="N117" s="457"/>
      <c r="O117" s="1668"/>
      <c r="P117" s="340"/>
      <c r="R117" s="592"/>
      <c r="S117" s="2341"/>
      <c r="T117" s="457"/>
      <c r="U117" s="2215"/>
      <c r="V117" s="952"/>
      <c r="W117" s="2343"/>
      <c r="X117" s="457"/>
      <c r="Y117" s="457"/>
      <c r="Z117" s="457"/>
      <c r="AA117" s="1668"/>
      <c r="AB117" s="457"/>
      <c r="AC117" s="457"/>
      <c r="AE117" s="340"/>
    </row>
    <row r="118" spans="1:31" s="1656" customFormat="1" x14ac:dyDescent="0.25">
      <c r="A118" s="2215"/>
      <c r="B118" s="2345"/>
      <c r="C118" s="2215"/>
      <c r="D118" s="340"/>
      <c r="F118" s="457"/>
      <c r="G118" s="2338"/>
      <c r="H118" s="2424"/>
      <c r="I118" s="2339"/>
      <c r="J118" s="592"/>
      <c r="K118" s="1668"/>
      <c r="L118" s="2370"/>
      <c r="M118" s="2386"/>
      <c r="N118" s="457"/>
      <c r="O118" s="1668"/>
      <c r="P118" s="340"/>
      <c r="R118" s="592"/>
      <c r="S118" s="2341"/>
      <c r="T118" s="457"/>
      <c r="U118" s="2215"/>
      <c r="V118" s="952"/>
      <c r="W118" s="2343"/>
      <c r="X118" s="457"/>
      <c r="Y118" s="457"/>
      <c r="Z118" s="457"/>
      <c r="AA118" s="1668"/>
      <c r="AB118" s="457"/>
      <c r="AC118" s="457"/>
      <c r="AE118" s="340"/>
    </row>
    <row r="119" spans="1:31" s="1656" customFormat="1" x14ac:dyDescent="0.25">
      <c r="A119" s="2215"/>
      <c r="B119" s="2345"/>
      <c r="C119" s="2215"/>
      <c r="D119" s="340"/>
      <c r="F119" s="457"/>
      <c r="G119" s="2338"/>
      <c r="H119" s="2424"/>
      <c r="I119" s="2339"/>
      <c r="J119" s="592"/>
      <c r="K119" s="1668"/>
      <c r="L119" s="2370"/>
      <c r="M119" s="2386"/>
      <c r="N119" s="457"/>
      <c r="O119" s="1668"/>
      <c r="P119" s="340"/>
      <c r="R119" s="592"/>
      <c r="S119" s="2341"/>
      <c r="T119" s="457"/>
      <c r="U119" s="2215"/>
      <c r="V119" s="952"/>
      <c r="W119" s="2343"/>
      <c r="X119" s="457"/>
      <c r="Y119" s="457"/>
      <c r="Z119" s="457"/>
      <c r="AA119" s="1668"/>
      <c r="AB119" s="457"/>
      <c r="AC119" s="457"/>
      <c r="AE119" s="340"/>
    </row>
    <row r="120" spans="1:31" s="1656" customFormat="1" x14ac:dyDescent="0.25">
      <c r="A120" s="2215"/>
      <c r="B120" s="2345"/>
      <c r="C120" s="2215"/>
      <c r="D120" s="340"/>
      <c r="F120" s="457"/>
      <c r="G120" s="2338"/>
      <c r="H120" s="2424"/>
      <c r="I120" s="2339"/>
      <c r="J120" s="592"/>
      <c r="K120" s="1668"/>
      <c r="L120" s="2370"/>
      <c r="M120" s="2386"/>
      <c r="N120" s="457"/>
      <c r="O120" s="1668"/>
      <c r="P120" s="340"/>
      <c r="R120" s="592"/>
      <c r="S120" s="2341"/>
      <c r="T120" s="457"/>
      <c r="U120" s="2215"/>
      <c r="V120" s="952"/>
      <c r="W120" s="2343"/>
      <c r="X120" s="457"/>
      <c r="Y120" s="457"/>
      <c r="Z120" s="457"/>
      <c r="AA120" s="1668"/>
      <c r="AB120" s="457"/>
      <c r="AC120" s="457"/>
      <c r="AE120" s="340"/>
    </row>
    <row r="121" spans="1:31" s="1656" customFormat="1" x14ac:dyDescent="0.25">
      <c r="A121" s="2215"/>
      <c r="B121" s="2345"/>
      <c r="C121" s="2215"/>
      <c r="D121" s="340"/>
      <c r="F121" s="457"/>
      <c r="G121" s="2338"/>
      <c r="H121" s="2424"/>
      <c r="I121" s="2339"/>
      <c r="J121" s="592"/>
      <c r="K121" s="1668"/>
      <c r="L121" s="2370"/>
      <c r="M121" s="2386"/>
      <c r="N121" s="457"/>
      <c r="O121" s="1668"/>
      <c r="P121" s="340"/>
      <c r="R121" s="592"/>
      <c r="S121" s="2341"/>
      <c r="T121" s="457"/>
      <c r="U121" s="2215"/>
      <c r="V121" s="952"/>
      <c r="W121" s="2343"/>
      <c r="X121" s="457"/>
      <c r="Y121" s="457"/>
      <c r="Z121" s="457"/>
      <c r="AA121" s="1668"/>
      <c r="AB121" s="457"/>
      <c r="AC121" s="457"/>
      <c r="AE121" s="340"/>
    </row>
    <row r="122" spans="1:31" s="1656" customFormat="1" x14ac:dyDescent="0.25">
      <c r="A122" s="2215"/>
      <c r="B122" s="2345"/>
      <c r="C122" s="2215"/>
      <c r="D122" s="340"/>
      <c r="F122" s="457"/>
      <c r="G122" s="2338"/>
      <c r="H122" s="2424"/>
      <c r="I122" s="2339"/>
      <c r="J122" s="592"/>
      <c r="K122" s="1668"/>
      <c r="L122" s="2370"/>
      <c r="M122" s="2386"/>
      <c r="N122" s="457"/>
      <c r="O122" s="1668"/>
      <c r="P122" s="340"/>
      <c r="R122" s="592"/>
      <c r="S122" s="2341"/>
      <c r="T122" s="457"/>
      <c r="U122" s="2215"/>
      <c r="V122" s="952"/>
      <c r="W122" s="2343"/>
      <c r="X122" s="457"/>
      <c r="Y122" s="457"/>
      <c r="Z122" s="457"/>
      <c r="AA122" s="1668"/>
      <c r="AB122" s="457"/>
      <c r="AC122" s="457"/>
      <c r="AE122" s="340"/>
    </row>
    <row r="123" spans="1:31" s="1656" customFormat="1" x14ac:dyDescent="0.25">
      <c r="A123" s="2215"/>
      <c r="B123" s="2345"/>
      <c r="C123" s="2215"/>
      <c r="D123" s="340"/>
      <c r="F123" s="457"/>
      <c r="G123" s="2338"/>
      <c r="H123" s="2424"/>
      <c r="I123" s="2339"/>
      <c r="J123" s="592"/>
      <c r="K123" s="1668"/>
      <c r="L123" s="2370"/>
      <c r="M123" s="2386"/>
      <c r="N123" s="457"/>
      <c r="O123" s="1668"/>
      <c r="P123" s="340"/>
      <c r="R123" s="592"/>
      <c r="S123" s="2341"/>
      <c r="T123" s="457"/>
      <c r="U123" s="2215"/>
      <c r="V123" s="952"/>
      <c r="W123" s="2343"/>
      <c r="X123" s="457"/>
      <c r="Y123" s="457"/>
      <c r="Z123" s="457"/>
      <c r="AA123" s="1668"/>
      <c r="AB123" s="457"/>
      <c r="AC123" s="457"/>
      <c r="AE123" s="340"/>
    </row>
    <row r="124" spans="1:31" s="1656" customFormat="1" x14ac:dyDescent="0.25">
      <c r="A124" s="2215"/>
      <c r="B124" s="2345"/>
      <c r="C124" s="2215"/>
      <c r="D124" s="340"/>
      <c r="F124" s="457"/>
      <c r="G124" s="2338"/>
      <c r="H124" s="2424"/>
      <c r="I124" s="2339"/>
      <c r="J124" s="592"/>
      <c r="K124" s="1668"/>
      <c r="L124" s="2370"/>
      <c r="M124" s="2386"/>
      <c r="N124" s="457"/>
      <c r="O124" s="1668"/>
      <c r="P124" s="340"/>
      <c r="R124" s="592"/>
      <c r="S124" s="2341"/>
      <c r="T124" s="457"/>
      <c r="U124" s="2215"/>
      <c r="V124" s="952"/>
      <c r="W124" s="2343"/>
      <c r="X124" s="457"/>
      <c r="Y124" s="457"/>
      <c r="Z124" s="457"/>
      <c r="AA124" s="1668"/>
      <c r="AB124" s="457"/>
      <c r="AC124" s="457"/>
      <c r="AE124" s="340"/>
    </row>
    <row r="125" spans="1:31" s="1656" customFormat="1" x14ac:dyDescent="0.25">
      <c r="A125" s="2215"/>
      <c r="B125" s="2345"/>
      <c r="C125" s="2215"/>
      <c r="D125" s="340"/>
      <c r="F125" s="457"/>
      <c r="G125" s="2338"/>
      <c r="H125" s="2424"/>
      <c r="I125" s="2339"/>
      <c r="J125" s="592"/>
      <c r="K125" s="1668"/>
      <c r="L125" s="2370"/>
      <c r="M125" s="2386"/>
      <c r="N125" s="457"/>
      <c r="O125" s="1668"/>
      <c r="P125" s="340"/>
      <c r="R125" s="592"/>
      <c r="S125" s="2341"/>
      <c r="T125" s="457"/>
      <c r="U125" s="2215"/>
      <c r="V125" s="952"/>
      <c r="W125" s="2343"/>
      <c r="X125" s="457"/>
      <c r="Y125" s="457"/>
      <c r="Z125" s="457"/>
      <c r="AA125" s="1668"/>
      <c r="AB125" s="457"/>
      <c r="AC125" s="457"/>
      <c r="AE125" s="340"/>
    </row>
    <row r="126" spans="1:31" s="1656" customFormat="1" x14ac:dyDescent="0.25">
      <c r="A126" s="2215"/>
      <c r="B126" s="2345"/>
      <c r="C126" s="2215"/>
      <c r="D126" s="340"/>
      <c r="F126" s="457"/>
      <c r="G126" s="2338"/>
      <c r="H126" s="2424"/>
      <c r="I126" s="2339"/>
      <c r="J126" s="592"/>
      <c r="K126" s="1668"/>
      <c r="L126" s="2370"/>
      <c r="M126" s="2386"/>
      <c r="N126" s="457"/>
      <c r="O126" s="1668"/>
      <c r="P126" s="340"/>
      <c r="R126" s="592"/>
      <c r="S126" s="2341"/>
      <c r="T126" s="457"/>
      <c r="U126" s="2215"/>
      <c r="V126" s="952"/>
      <c r="W126" s="2343"/>
      <c r="X126" s="457"/>
      <c r="Y126" s="457"/>
      <c r="Z126" s="457"/>
      <c r="AA126" s="1668"/>
      <c r="AB126" s="457"/>
      <c r="AC126" s="457"/>
      <c r="AE126" s="340"/>
    </row>
    <row r="127" spans="1:31" s="1656" customFormat="1" x14ac:dyDescent="0.25">
      <c r="A127" s="2215"/>
      <c r="B127" s="2345"/>
      <c r="C127" s="2215"/>
      <c r="D127" s="340"/>
      <c r="F127" s="457"/>
      <c r="G127" s="2338"/>
      <c r="H127" s="2424"/>
      <c r="I127" s="2339"/>
      <c r="J127" s="592"/>
      <c r="K127" s="1668"/>
      <c r="L127" s="2370"/>
      <c r="M127" s="2386"/>
      <c r="N127" s="457"/>
      <c r="O127" s="1668"/>
      <c r="P127" s="340"/>
      <c r="R127" s="592"/>
      <c r="S127" s="2341"/>
      <c r="T127" s="457"/>
      <c r="U127" s="2215"/>
      <c r="V127" s="952"/>
      <c r="W127" s="2343"/>
      <c r="X127" s="457"/>
      <c r="Y127" s="457"/>
      <c r="Z127" s="457"/>
      <c r="AA127" s="1668"/>
      <c r="AB127" s="457"/>
      <c r="AC127" s="457"/>
      <c r="AE127" s="340"/>
    </row>
    <row r="128" spans="1:31" s="1656" customFormat="1" x14ac:dyDescent="0.25">
      <c r="A128" s="2215"/>
      <c r="B128" s="2345"/>
      <c r="C128" s="2215"/>
      <c r="D128" s="340"/>
      <c r="F128" s="457"/>
      <c r="G128" s="2338"/>
      <c r="H128" s="2424"/>
      <c r="I128" s="2339"/>
      <c r="J128" s="592"/>
      <c r="K128" s="1668"/>
      <c r="L128" s="2370"/>
      <c r="M128" s="2386"/>
      <c r="N128" s="457"/>
      <c r="O128" s="1668"/>
      <c r="P128" s="340"/>
      <c r="R128" s="592"/>
      <c r="S128" s="2341"/>
      <c r="T128" s="457"/>
      <c r="U128" s="2215"/>
      <c r="V128" s="952"/>
      <c r="W128" s="2343"/>
      <c r="X128" s="457"/>
      <c r="Y128" s="457"/>
      <c r="Z128" s="457"/>
      <c r="AA128" s="1668"/>
      <c r="AB128" s="457"/>
      <c r="AC128" s="457"/>
      <c r="AE128" s="340"/>
    </row>
    <row r="129" spans="1:31" s="1656" customFormat="1" x14ac:dyDescent="0.25">
      <c r="A129" s="2215"/>
      <c r="B129" s="2345"/>
      <c r="C129" s="2215"/>
      <c r="D129" s="340"/>
      <c r="F129" s="457"/>
      <c r="G129" s="2338"/>
      <c r="H129" s="2424"/>
      <c r="I129" s="2339"/>
      <c r="J129" s="592"/>
      <c r="K129" s="1668"/>
      <c r="L129" s="2370"/>
      <c r="M129" s="2386"/>
      <c r="N129" s="457"/>
      <c r="O129" s="1668"/>
      <c r="P129" s="340"/>
      <c r="R129" s="592"/>
      <c r="S129" s="2341"/>
      <c r="T129" s="457"/>
      <c r="U129" s="2215"/>
      <c r="V129" s="952"/>
      <c r="W129" s="2343"/>
      <c r="X129" s="457"/>
      <c r="Y129" s="457"/>
      <c r="Z129" s="457"/>
      <c r="AA129" s="1668"/>
      <c r="AB129" s="457"/>
      <c r="AC129" s="457"/>
      <c r="AE129" s="340"/>
    </row>
    <row r="130" spans="1:31" s="1656" customFormat="1" x14ac:dyDescent="0.25">
      <c r="A130" s="2215"/>
      <c r="B130" s="2345"/>
      <c r="C130" s="2215"/>
      <c r="D130" s="340"/>
      <c r="F130" s="457"/>
      <c r="G130" s="2338"/>
      <c r="H130" s="2424"/>
      <c r="I130" s="2339"/>
      <c r="J130" s="592"/>
      <c r="K130" s="1668"/>
      <c r="L130" s="2370"/>
      <c r="M130" s="2386"/>
      <c r="N130" s="457"/>
      <c r="O130" s="1668"/>
      <c r="P130" s="340"/>
      <c r="R130" s="592"/>
      <c r="S130" s="2341"/>
      <c r="T130" s="457"/>
      <c r="U130" s="2215"/>
      <c r="V130" s="952"/>
      <c r="W130" s="2343"/>
      <c r="X130" s="457"/>
      <c r="Y130" s="457"/>
      <c r="Z130" s="457"/>
      <c r="AA130" s="1668"/>
      <c r="AB130" s="457"/>
      <c r="AC130" s="457"/>
      <c r="AE130" s="340"/>
    </row>
    <row r="131" spans="1:31" s="1656" customFormat="1" x14ac:dyDescent="0.25">
      <c r="A131" s="2215"/>
      <c r="B131" s="2345"/>
      <c r="C131" s="2215"/>
      <c r="D131" s="340"/>
      <c r="F131" s="457"/>
      <c r="G131" s="2338"/>
      <c r="H131" s="2424"/>
      <c r="I131" s="2339"/>
      <c r="J131" s="592"/>
      <c r="K131" s="1668"/>
      <c r="L131" s="2370"/>
      <c r="M131" s="2386"/>
      <c r="N131" s="457"/>
      <c r="O131" s="1668"/>
      <c r="P131" s="340"/>
      <c r="R131" s="592"/>
      <c r="S131" s="2341"/>
      <c r="T131" s="457"/>
      <c r="U131" s="2215"/>
      <c r="V131" s="952"/>
      <c r="W131" s="2343"/>
      <c r="X131" s="457"/>
      <c r="Y131" s="457"/>
      <c r="Z131" s="457"/>
      <c r="AA131" s="1668"/>
      <c r="AB131" s="457"/>
      <c r="AC131" s="457"/>
      <c r="AE131" s="340"/>
    </row>
  </sheetData>
  <sheetProtection password="E247" sheet="1" objects="1" scenarios="1"/>
  <mergeCells count="1">
    <mergeCell ref="B106:C107"/>
  </mergeCells>
  <pageMargins left="0.25" right="0.25" top="0.5" bottom="0.5" header="0.25" footer="0.25"/>
  <pageSetup paperSize="5" scale="65" orientation="portrait" r:id="rId1"/>
  <headerFooter>
    <oddHeader>&amp;L&amp;F</oddHeader>
    <oddFooter>&amp;R&amp;A</oddFooter>
  </headerFooter>
  <ignoredErrors>
    <ignoredError sqref="J26:K26 J25"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C133"/>
  <sheetViews>
    <sheetView zoomScaleNormal="100" workbookViewId="0">
      <pane xSplit="3" ySplit="6" topLeftCell="H7" activePane="bottomRight" state="frozen"/>
      <selection activeCell="H7" sqref="H7"/>
      <selection pane="topRight" activeCell="H7" sqref="H7"/>
      <selection pane="bottomLeft" activeCell="H7" sqref="H7"/>
      <selection pane="bottomRight" activeCell="H7" sqref="H7"/>
    </sheetView>
  </sheetViews>
  <sheetFormatPr defaultRowHeight="15" x14ac:dyDescent="0.25"/>
  <cols>
    <col min="1" max="1" width="1.7109375" style="143" customWidth="1"/>
    <col min="2" max="2" width="8.5703125" style="2172" customWidth="1"/>
    <col min="3" max="3" width="18.28515625" style="2176" customWidth="1"/>
    <col min="4" max="4" width="16" style="2" hidden="1" customWidth="1"/>
    <col min="5" max="5" width="17.7109375" style="844" hidden="1" customWidth="1"/>
    <col min="6" max="6" width="6" style="39" hidden="1" customWidth="1"/>
    <col min="7" max="7" width="9.42578125" style="52" hidden="1" customWidth="1"/>
    <col min="8" max="8" width="13.85546875" style="121" bestFit="1" customWidth="1"/>
    <col min="9" max="9" width="26" style="853" hidden="1" customWidth="1"/>
    <col min="10" max="10" width="5.7109375" style="59" hidden="1" customWidth="1"/>
    <col min="11" max="11" width="9.42578125" style="333" hidden="1" customWidth="1"/>
    <col min="12" max="12" width="14" style="122" bestFit="1" customWidth="1"/>
    <col min="13" max="13" width="26" style="844" hidden="1" customWidth="1"/>
    <col min="14" max="14" width="5.7109375" style="39" hidden="1" customWidth="1"/>
    <col min="15" max="15" width="14" style="333" hidden="1" customWidth="1"/>
    <col min="16" max="16" width="14" style="2" bestFit="1" customWidth="1"/>
    <col min="17" max="17" width="24.85546875" style="844" hidden="1" customWidth="1"/>
    <col min="18" max="18" width="5.28515625" style="51" hidden="1" customWidth="1"/>
    <col min="19" max="19" width="11.85546875" style="338" hidden="1" customWidth="1"/>
    <col min="20" max="20" width="14" style="39" customWidth="1"/>
    <col min="21" max="21" width="24.85546875" style="39" hidden="1" customWidth="1"/>
    <col min="22" max="22" width="5.7109375" style="109" customWidth="1"/>
    <col min="23" max="23" width="9.42578125" style="2244" hidden="1" customWidth="1"/>
    <col min="24" max="24" width="14" style="39" hidden="1" customWidth="1"/>
    <col min="25" max="25" width="24.85546875" style="39" hidden="1" customWidth="1"/>
    <col min="26" max="26" width="5.7109375" style="39" hidden="1" customWidth="1"/>
    <col min="27" max="27" width="9.42578125" style="333" hidden="1" customWidth="1"/>
    <col min="28" max="28" width="14" style="39" hidden="1" customWidth="1"/>
    <col min="29" max="29" width="24.85546875" style="39" hidden="1" customWidth="1"/>
    <col min="30" max="16384" width="9.140625" style="39"/>
  </cols>
  <sheetData>
    <row r="1" spans="1:29" x14ac:dyDescent="0.25">
      <c r="B1" s="2172" t="s">
        <v>61</v>
      </c>
      <c r="C1" s="2178" t="s">
        <v>229</v>
      </c>
      <c r="D1" s="933"/>
      <c r="E1" s="842"/>
      <c r="F1" s="98"/>
      <c r="G1" s="325"/>
      <c r="H1" s="934"/>
      <c r="I1" s="842"/>
      <c r="K1" s="338"/>
      <c r="L1" s="121"/>
      <c r="M1" s="842"/>
      <c r="N1" s="51"/>
      <c r="O1" s="338"/>
      <c r="P1" s="121"/>
      <c r="Q1" s="842"/>
      <c r="T1" s="86">
        <v>0</v>
      </c>
      <c r="U1" s="98"/>
      <c r="X1" s="86">
        <v>0</v>
      </c>
      <c r="Y1" s="98"/>
      <c r="AB1" s="86">
        <v>0</v>
      </c>
      <c r="AC1" s="98"/>
    </row>
    <row r="2" spans="1:29" ht="17.25" x14ac:dyDescent="0.4">
      <c r="B2" s="2173" t="s">
        <v>59</v>
      </c>
      <c r="C2" s="2177">
        <v>3310</v>
      </c>
      <c r="D2" s="934"/>
      <c r="E2" s="842"/>
      <c r="F2" s="98"/>
      <c r="G2" s="1663"/>
      <c r="H2" s="934"/>
      <c r="I2" s="842"/>
      <c r="K2" s="338"/>
      <c r="L2" s="87"/>
      <c r="M2" s="842"/>
      <c r="N2" s="51"/>
      <c r="O2" s="338"/>
      <c r="P2" s="87"/>
      <c r="Q2" s="842"/>
      <c r="T2" s="87">
        <v>0</v>
      </c>
      <c r="U2" s="98"/>
      <c r="X2" s="87">
        <v>0</v>
      </c>
      <c r="Y2" s="98"/>
      <c r="AB2" s="87">
        <v>0</v>
      </c>
      <c r="AC2" s="98"/>
    </row>
    <row r="3" spans="1:29" x14ac:dyDescent="0.25">
      <c r="D3" s="935"/>
      <c r="E3" s="852"/>
      <c r="F3" s="936"/>
      <c r="G3" s="1664"/>
      <c r="H3" s="935"/>
      <c r="I3" s="852"/>
      <c r="K3" s="338"/>
      <c r="L3" s="121"/>
      <c r="M3" s="853"/>
      <c r="N3" s="51"/>
      <c r="O3" s="338"/>
      <c r="P3" s="121"/>
      <c r="Q3" s="853"/>
      <c r="T3" s="86">
        <f>SUM(T1:T2)</f>
        <v>0</v>
      </c>
      <c r="U3" s="51"/>
      <c r="X3" s="86">
        <f>SUM(X1:X2)</f>
        <v>0</v>
      </c>
      <c r="Y3" s="51"/>
      <c r="AB3" s="86">
        <f>SUM(AB1:AB2)</f>
        <v>0</v>
      </c>
      <c r="AC3" s="51"/>
    </row>
    <row r="4" spans="1:29" x14ac:dyDescent="0.25">
      <c r="L4" s="121"/>
      <c r="M4" s="853"/>
      <c r="P4" s="121"/>
      <c r="Q4" s="853"/>
      <c r="T4" s="86"/>
      <c r="U4" s="51"/>
      <c r="X4" s="86"/>
      <c r="Y4" s="51"/>
      <c r="AB4" s="86"/>
      <c r="AC4" s="51"/>
    </row>
    <row r="5" spans="1:29" ht="15.75" x14ac:dyDescent="0.25">
      <c r="B5" s="2174" t="s">
        <v>56</v>
      </c>
      <c r="P5" s="122">
        <f>P96</f>
        <v>0</v>
      </c>
      <c r="T5" s="122">
        <f>T96</f>
        <v>0</v>
      </c>
      <c r="X5" s="73"/>
      <c r="AB5" s="73"/>
    </row>
    <row r="6" spans="1:29" s="89" customFormat="1" ht="15.75" x14ac:dyDescent="0.25">
      <c r="A6" s="144"/>
      <c r="B6" s="2175"/>
      <c r="C6" s="2175"/>
      <c r="D6" s="243" t="s">
        <v>55</v>
      </c>
      <c r="E6" s="845"/>
      <c r="G6" s="327"/>
      <c r="H6" s="282" t="str">
        <f>LEFT(D6,4)+1&amp;"-"&amp;RIGHT(D6,4)+1</f>
        <v>2017-2018</v>
      </c>
      <c r="I6" s="854"/>
      <c r="J6" s="93"/>
      <c r="K6" s="334"/>
      <c r="L6" s="123" t="str">
        <f>LEFT(H6,4)+1&amp;"-"&amp;RIGHT(H6,4)+1</f>
        <v>2018-2019</v>
      </c>
      <c r="M6" s="888"/>
      <c r="N6" s="96"/>
      <c r="O6" s="337"/>
      <c r="P6" s="123" t="str">
        <f>LEFT(L6,4)+1&amp;"-"&amp;RIGHT(L6,4)+1</f>
        <v>2019-2020</v>
      </c>
      <c r="Q6" s="888"/>
      <c r="R6" s="2237"/>
      <c r="S6" s="2242"/>
      <c r="T6" s="95" t="str">
        <f>LEFT(P6,4)+1&amp;"-"&amp;RIGHT(P6,4)+1</f>
        <v>2020-2021</v>
      </c>
      <c r="U6" s="95"/>
      <c r="V6" s="110"/>
      <c r="W6" s="2245"/>
      <c r="X6" s="95" t="str">
        <f>LEFT(T6,4)+1&amp;"-"&amp;RIGHT(T6,4)+1</f>
        <v>2021-2022</v>
      </c>
      <c r="Y6" s="95"/>
      <c r="Z6" s="96"/>
      <c r="AA6" s="337"/>
      <c r="AB6" s="95" t="str">
        <f>LEFT(X6,4)+1&amp;"-"&amp;RIGHT(X6,4)+1</f>
        <v>2022-2023</v>
      </c>
      <c r="AC6" s="95"/>
    </row>
    <row r="7" spans="1:29" s="457" customFormat="1" x14ac:dyDescent="0.25">
      <c r="A7" s="1656"/>
      <c r="B7" s="2337" t="s">
        <v>54</v>
      </c>
      <c r="C7" s="2215"/>
      <c r="D7" s="340">
        <v>0</v>
      </c>
      <c r="E7" s="1656"/>
      <c r="G7" s="2338"/>
      <c r="H7" s="340">
        <f>D96</f>
        <v>0</v>
      </c>
      <c r="I7" s="1656"/>
      <c r="J7" s="599"/>
      <c r="K7" s="1668"/>
      <c r="L7" s="340">
        <f>H96</f>
        <v>0</v>
      </c>
      <c r="M7" s="1656"/>
      <c r="O7" s="340"/>
      <c r="P7" s="340">
        <f>L96</f>
        <v>0</v>
      </c>
      <c r="Q7" s="1656"/>
      <c r="R7" s="592"/>
      <c r="S7" s="2341"/>
      <c r="T7" s="340">
        <f>P96</f>
        <v>0</v>
      </c>
      <c r="V7" s="952"/>
      <c r="W7" s="2343"/>
      <c r="X7" s="340">
        <f>T96</f>
        <v>0</v>
      </c>
      <c r="AA7" s="1668"/>
      <c r="AB7" s="340">
        <f>X96</f>
        <v>-53722</v>
      </c>
    </row>
    <row r="8" spans="1:29" s="457" customFormat="1" x14ac:dyDescent="0.25">
      <c r="A8" s="1656"/>
      <c r="B8" s="2345"/>
      <c r="C8" s="2215"/>
      <c r="D8" s="340"/>
      <c r="E8" s="1656"/>
      <c r="G8" s="2338"/>
      <c r="H8" s="340"/>
      <c r="I8" s="1656"/>
      <c r="J8" s="592"/>
      <c r="K8" s="1668"/>
      <c r="L8" s="340"/>
      <c r="M8" s="1656"/>
      <c r="O8" s="1668"/>
      <c r="P8" s="340"/>
      <c r="Q8" s="1656"/>
      <c r="R8" s="592"/>
      <c r="S8" s="2341"/>
      <c r="V8" s="952"/>
      <c r="W8" s="2343"/>
      <c r="AA8" s="1668"/>
    </row>
    <row r="9" spans="1:29" s="457" customFormat="1" x14ac:dyDescent="0.25">
      <c r="A9" s="1656"/>
      <c r="B9" s="2345" t="s">
        <v>52</v>
      </c>
      <c r="C9" s="2215" t="s">
        <v>656</v>
      </c>
      <c r="D9" s="340">
        <v>1691896</v>
      </c>
      <c r="E9" s="1656" t="s">
        <v>456</v>
      </c>
      <c r="G9" s="456">
        <f>IF(D9=0,"0.00%",(H9-D9)/D9)</f>
        <v>2.7967440079059235E-2</v>
      </c>
      <c r="H9" s="833">
        <v>1739214</v>
      </c>
      <c r="I9" s="1656"/>
      <c r="J9" s="342"/>
      <c r="K9" s="456">
        <f>IF(H9=0,"0.00%",(L9-H9)/H9)</f>
        <v>-2.9232745366585135E-2</v>
      </c>
      <c r="L9" s="833">
        <v>1688372</v>
      </c>
      <c r="M9" s="1656"/>
      <c r="O9" s="456">
        <f>IF(L9=0,"0.00%",(P9-L9)/L9)</f>
        <v>0</v>
      </c>
      <c r="P9" s="833">
        <f>+L9</f>
        <v>1688372</v>
      </c>
      <c r="Q9" s="1656" t="s">
        <v>173</v>
      </c>
      <c r="R9" s="592"/>
      <c r="S9" s="2238">
        <f>IF(P9=0,"0.00%",(T9-P9)/P9)</f>
        <v>0</v>
      </c>
      <c r="T9" s="833">
        <f>+P9</f>
        <v>1688372</v>
      </c>
      <c r="U9" s="1656" t="s">
        <v>173</v>
      </c>
      <c r="V9" s="952"/>
      <c r="W9" s="2241">
        <f>IF(T9=0,"0.00%",(X9-T9)/T9)</f>
        <v>0</v>
      </c>
      <c r="X9" s="833">
        <f>+T9</f>
        <v>1688372</v>
      </c>
      <c r="AA9" s="456">
        <f>IF(X9=0,"0.00%",(AB9-X9)/X9)</f>
        <v>0</v>
      </c>
      <c r="AB9" s="833">
        <f>+X9</f>
        <v>1688372</v>
      </c>
    </row>
    <row r="10" spans="1:29" s="457" customFormat="1" x14ac:dyDescent="0.25">
      <c r="A10" s="1656"/>
      <c r="B10" s="2345"/>
      <c r="C10" s="2215" t="s">
        <v>657</v>
      </c>
      <c r="D10" s="340">
        <v>7775</v>
      </c>
      <c r="E10" s="1656"/>
      <c r="G10" s="456">
        <f t="shared" ref="G10:G15" si="0">IF(D10=0,"0.00%",(H10-D10)/D10)</f>
        <v>0.34057877813504822</v>
      </c>
      <c r="H10" s="833">
        <v>10423</v>
      </c>
      <c r="I10" s="1656"/>
      <c r="J10" s="342"/>
      <c r="K10" s="456">
        <f>IF(H10=0,"0.00%",(L10-H10)/H10)</f>
        <v>0.804470881703924</v>
      </c>
      <c r="L10" s="833">
        <v>18808</v>
      </c>
      <c r="M10" s="1656"/>
      <c r="O10" s="456">
        <f>IF(L10=0,"0.00%",(P10-L10)/L10)</f>
        <v>0</v>
      </c>
      <c r="P10" s="833">
        <f>+L10</f>
        <v>18808</v>
      </c>
      <c r="Q10" s="1656" t="s">
        <v>173</v>
      </c>
      <c r="R10" s="592"/>
      <c r="S10" s="2238">
        <f>IF(P10=0,"0.00%",(T10-P10)/P10)</f>
        <v>0</v>
      </c>
      <c r="T10" s="833">
        <f>+P10</f>
        <v>18808</v>
      </c>
      <c r="U10" s="1656" t="s">
        <v>173</v>
      </c>
      <c r="V10" s="952"/>
      <c r="W10" s="2241">
        <f>IF(T10=0,"0.00%",(X10-T10)/T10)</f>
        <v>-1</v>
      </c>
      <c r="X10" s="833">
        <f>-T2</f>
        <v>0</v>
      </c>
      <c r="AA10" s="456" t="str">
        <f>IF(X10=0,"0.00%",(AB10-X10)/X10)</f>
        <v>0.00%</v>
      </c>
      <c r="AB10" s="833">
        <f>-X2</f>
        <v>0</v>
      </c>
    </row>
    <row r="11" spans="1:29" s="457" customFormat="1" x14ac:dyDescent="0.25">
      <c r="A11" s="1656"/>
      <c r="B11" s="2337" t="s">
        <v>137</v>
      </c>
      <c r="C11" s="2215"/>
      <c r="D11" s="458">
        <f>SUM(D9:D10)</f>
        <v>1699671</v>
      </c>
      <c r="E11" s="1656"/>
      <c r="G11" s="456">
        <f t="shared" si="0"/>
        <v>2.9397453977858069E-2</v>
      </c>
      <c r="H11" s="458">
        <f>SUM(H9:H10)</f>
        <v>1749637</v>
      </c>
      <c r="I11" s="2316">
        <f>+H11-D11</f>
        <v>49966</v>
      </c>
      <c r="J11" s="601"/>
      <c r="K11" s="456">
        <f>IF(H11=0,"0.00%",(L11-H11)/H11)</f>
        <v>-2.4266176355438301E-2</v>
      </c>
      <c r="L11" s="458">
        <f>SUM(L9:L10)</f>
        <v>1707180</v>
      </c>
      <c r="M11" s="2316">
        <f>+L11-H11</f>
        <v>-42457</v>
      </c>
      <c r="O11" s="456">
        <f>IF(L11=0,"0.00%",(P11-L11)/L11)</f>
        <v>0</v>
      </c>
      <c r="P11" s="458">
        <f>SUM(P9:P10)</f>
        <v>1707180</v>
      </c>
      <c r="Q11" s="2316">
        <f>+P11-L11</f>
        <v>0</v>
      </c>
      <c r="R11" s="592"/>
      <c r="S11" s="2238">
        <f>IF(P11=0,"0.00%",(T11-P11)/P11)</f>
        <v>0</v>
      </c>
      <c r="T11" s="2353">
        <f>SUM(T9:T10)</f>
        <v>1707180</v>
      </c>
      <c r="V11" s="952"/>
      <c r="W11" s="2241">
        <f>IF(T11=0,"0.00%",(X11-T11)/T11)</f>
        <v>-1.1016998793331694E-2</v>
      </c>
      <c r="X11" s="2353">
        <f>SUM(X9:X10)</f>
        <v>1688372</v>
      </c>
      <c r="AA11" s="456">
        <f>IF(X11=0,"0.00%",(AB11-X11)/X11)</f>
        <v>0</v>
      </c>
      <c r="AB11" s="2353">
        <f>SUM(AB9:AB10)</f>
        <v>1688372</v>
      </c>
    </row>
    <row r="12" spans="1:29" s="457" customFormat="1" x14ac:dyDescent="0.25">
      <c r="A12" s="1656"/>
      <c r="B12" s="2345"/>
      <c r="C12" s="2215"/>
      <c r="D12" s="340"/>
      <c r="E12" s="1656"/>
      <c r="G12" s="2338"/>
      <c r="H12" s="833"/>
      <c r="I12" s="1656"/>
      <c r="J12" s="602"/>
      <c r="K12" s="2338"/>
      <c r="L12" s="833"/>
      <c r="M12" s="1656"/>
      <c r="O12" s="2338"/>
      <c r="P12" s="833"/>
      <c r="Q12" s="1656"/>
      <c r="R12" s="592"/>
      <c r="S12" s="2355"/>
      <c r="T12" s="2356"/>
      <c r="V12" s="952"/>
      <c r="W12" s="2357"/>
      <c r="X12" s="2356"/>
      <c r="AA12" s="2338"/>
      <c r="AB12" s="2356"/>
    </row>
    <row r="13" spans="1:29" s="457" customFormat="1" x14ac:dyDescent="0.25">
      <c r="A13" s="1656"/>
      <c r="B13" s="2345"/>
      <c r="C13" s="2358" t="s">
        <v>64</v>
      </c>
      <c r="D13" s="2359">
        <v>60367.16</v>
      </c>
      <c r="E13" s="2360">
        <v>3.6999999999999998E-2</v>
      </c>
      <c r="G13" s="456">
        <f t="shared" si="0"/>
        <v>0.22482157517431656</v>
      </c>
      <c r="H13" s="2359">
        <v>73939</v>
      </c>
      <c r="I13" s="2455">
        <v>4.4400000000000002E-2</v>
      </c>
      <c r="J13" s="603"/>
      <c r="K13" s="456">
        <f>IF(H13=0,"0.00%",(L13-H13)/H13)</f>
        <v>0.17195255548492677</v>
      </c>
      <c r="L13" s="2359">
        <v>86653</v>
      </c>
      <c r="M13" s="2455">
        <v>5.4100000000000002E-2</v>
      </c>
      <c r="O13" s="456">
        <f>IF(L13=0,"0.00%",(P13-L13)/L13)</f>
        <v>0</v>
      </c>
      <c r="P13" s="2359">
        <f>ROUND((P11-P89)-((P11-P89)/(1+Q13)),0)</f>
        <v>86653</v>
      </c>
      <c r="Q13" s="2455">
        <f>+M13</f>
        <v>5.4100000000000002E-2</v>
      </c>
      <c r="R13" s="592"/>
      <c r="S13" s="2238">
        <f>IF(P13=0,"0.00%",(T13-P13)/P13)</f>
        <v>0</v>
      </c>
      <c r="T13" s="2359">
        <f>ROUND((T11-T89)-((T11-T89)/(1+U13)),0)</f>
        <v>86653</v>
      </c>
      <c r="U13" s="2455">
        <f>+Q13</f>
        <v>5.4100000000000002E-2</v>
      </c>
      <c r="V13" s="952"/>
      <c r="W13" s="2241">
        <f>IF(T13=0,"0.00%",(X13-T13)/T13)</f>
        <v>-0.31254543985782374</v>
      </c>
      <c r="X13" s="2362">
        <f>ROUND((X11-X89)-((X11-X89)/(1+$E$13)),0)</f>
        <v>59570</v>
      </c>
      <c r="AA13" s="456">
        <f>IF(X13=0,"0.00%",(AB13-X13)/X13)</f>
        <v>0</v>
      </c>
      <c r="AB13" s="2362">
        <f>ROUND((AB11-AB89)-((AB11-AB89)/(1+$E$13)),0)</f>
        <v>59570</v>
      </c>
    </row>
    <row r="14" spans="1:29" s="457" customFormat="1" x14ac:dyDescent="0.25">
      <c r="A14" s="1656"/>
      <c r="B14" s="2345"/>
      <c r="C14" s="2215"/>
      <c r="D14" s="340"/>
      <c r="E14" s="2363" t="s">
        <v>904</v>
      </c>
      <c r="G14" s="2338"/>
      <c r="H14" s="833"/>
      <c r="I14" s="1656"/>
      <c r="J14" s="602"/>
      <c r="K14" s="2338"/>
      <c r="L14" s="833"/>
      <c r="M14" s="1656"/>
      <c r="O14" s="2338"/>
      <c r="P14" s="833"/>
      <c r="Q14" s="1656"/>
      <c r="R14" s="592"/>
      <c r="S14" s="2355"/>
      <c r="T14" s="2356"/>
      <c r="V14" s="952"/>
      <c r="W14" s="2357"/>
      <c r="X14" s="2356"/>
      <c r="AA14" s="2338"/>
      <c r="AB14" s="2356"/>
    </row>
    <row r="15" spans="1:29" s="457" customFormat="1" x14ac:dyDescent="0.25">
      <c r="A15" s="1656"/>
      <c r="B15" s="2337" t="s">
        <v>50</v>
      </c>
      <c r="C15" s="2215"/>
      <c r="D15" s="1866">
        <f>D11-D13</f>
        <v>1639303.84</v>
      </c>
      <c r="E15" s="1656"/>
      <c r="G15" s="456">
        <f t="shared" si="0"/>
        <v>2.2200985023008251E-2</v>
      </c>
      <c r="H15" s="2359">
        <f>H11-H13</f>
        <v>1675698</v>
      </c>
      <c r="I15" s="2316">
        <f>+H15-D15</f>
        <v>36394.159999999916</v>
      </c>
      <c r="J15" s="601"/>
      <c r="K15" s="456">
        <f>IF(H15=0,"0.00%",(L15-H15)/H15)</f>
        <v>-3.2924190397076322E-2</v>
      </c>
      <c r="L15" s="2359">
        <f>L11-L13</f>
        <v>1620527</v>
      </c>
      <c r="M15" s="2316">
        <f>+L15-H15</f>
        <v>-55171</v>
      </c>
      <c r="O15" s="456">
        <f>IF(L15=0,"0.00%",(P15-L15)/L15)</f>
        <v>0</v>
      </c>
      <c r="P15" s="2359">
        <f>P11-P13</f>
        <v>1620527</v>
      </c>
      <c r="Q15" s="2316">
        <f>+P15-L15</f>
        <v>0</v>
      </c>
      <c r="R15" s="592"/>
      <c r="S15" s="2238">
        <f>IF(P15=0,"0.00%",(T15-P15)/P15)</f>
        <v>0</v>
      </c>
      <c r="T15" s="2366">
        <f>T11-T13</f>
        <v>1620527</v>
      </c>
      <c r="V15" s="952"/>
      <c r="W15" s="2241">
        <f>IF(T15=0,"0.00%",(X15-T15)/T15)</f>
        <v>5.1063635471670634E-3</v>
      </c>
      <c r="X15" s="2366">
        <f>X11-X13</f>
        <v>1628802</v>
      </c>
      <c r="AA15" s="456">
        <f>IF(X15=0,"0.00%",(AB15-X15)/X15)</f>
        <v>0</v>
      </c>
      <c r="AB15" s="2366">
        <f>AB11-AB13</f>
        <v>1628802</v>
      </c>
    </row>
    <row r="16" spans="1:29" s="457" customFormat="1" x14ac:dyDescent="0.25">
      <c r="A16" s="1656"/>
      <c r="B16" s="2345"/>
      <c r="C16" s="2215"/>
      <c r="D16" s="340"/>
      <c r="E16" s="1656"/>
      <c r="G16" s="2338"/>
      <c r="H16" s="833"/>
      <c r="I16" s="1656"/>
      <c r="J16" s="601"/>
      <c r="K16" s="1668"/>
      <c r="L16" s="833"/>
      <c r="M16" s="1656"/>
      <c r="O16" s="1668"/>
      <c r="P16" s="833"/>
      <c r="Q16" s="1656"/>
      <c r="R16" s="592"/>
      <c r="S16" s="2341"/>
      <c r="T16" s="2367"/>
      <c r="V16" s="952"/>
      <c r="W16" s="2343"/>
      <c r="X16" s="2367"/>
      <c r="AA16" s="1668"/>
      <c r="AB16" s="2367"/>
    </row>
    <row r="17" spans="1:29" s="457" customFormat="1" x14ac:dyDescent="0.25">
      <c r="A17" s="1656"/>
      <c r="B17" s="2345"/>
      <c r="C17" s="2345"/>
      <c r="D17" s="340"/>
      <c r="E17" s="1656"/>
      <c r="G17" s="2338"/>
      <c r="H17" s="833"/>
      <c r="I17" s="1656"/>
      <c r="J17" s="602"/>
      <c r="K17" s="1668"/>
      <c r="L17" s="833"/>
      <c r="M17" s="1656"/>
      <c r="O17" s="1668"/>
      <c r="P17" s="833"/>
      <c r="Q17" s="1656"/>
      <c r="R17" s="592"/>
      <c r="S17" s="2341"/>
      <c r="T17" s="2356"/>
      <c r="V17" s="952"/>
      <c r="W17" s="2343"/>
      <c r="X17" s="2356"/>
      <c r="AA17" s="1668"/>
      <c r="AB17" s="2356"/>
    </row>
    <row r="18" spans="1:29" s="457" customFormat="1" x14ac:dyDescent="0.25">
      <c r="A18" s="1867"/>
      <c r="B18" s="2345"/>
      <c r="C18" s="2215"/>
      <c r="D18" s="459" t="s">
        <v>807</v>
      </c>
      <c r="E18" s="1867"/>
      <c r="F18" s="2433"/>
      <c r="G18" s="2338"/>
      <c r="H18" s="459" t="s">
        <v>176</v>
      </c>
      <c r="I18" s="1867"/>
      <c r="J18" s="604"/>
      <c r="K18" s="1668"/>
      <c r="L18" s="2370"/>
      <c r="M18" s="1867"/>
      <c r="O18" s="1668"/>
      <c r="P18" s="340"/>
      <c r="Q18" s="1867"/>
      <c r="R18" s="592"/>
      <c r="S18" s="2341"/>
      <c r="U18" s="2433"/>
      <c r="V18" s="952"/>
      <c r="W18" s="2343"/>
      <c r="Y18" s="2433"/>
      <c r="AA18" s="1668"/>
      <c r="AC18" s="2433"/>
    </row>
    <row r="19" spans="1:29" s="457" customFormat="1" ht="17.25" x14ac:dyDescent="0.4">
      <c r="A19" s="2434"/>
      <c r="B19" s="2345"/>
      <c r="C19" s="2215"/>
      <c r="D19" s="2435" t="s">
        <v>808</v>
      </c>
      <c r="E19" s="2434"/>
      <c r="F19" s="2436"/>
      <c r="G19" s="2338"/>
      <c r="H19" s="2435" t="s">
        <v>48</v>
      </c>
      <c r="I19" s="2371"/>
      <c r="J19" s="459"/>
      <c r="K19" s="1668"/>
      <c r="L19" s="2372" t="s">
        <v>48</v>
      </c>
      <c r="M19" s="2373"/>
      <c r="O19" s="1668"/>
      <c r="P19" s="2372" t="s">
        <v>48</v>
      </c>
      <c r="Q19" s="2373">
        <v>0.02</v>
      </c>
      <c r="R19" s="592"/>
      <c r="S19" s="2341"/>
      <c r="T19" s="2372" t="s">
        <v>48</v>
      </c>
      <c r="U19" s="2374">
        <v>0.02</v>
      </c>
      <c r="V19" s="952"/>
      <c r="W19" s="2343"/>
      <c r="X19" s="2372" t="s">
        <v>48</v>
      </c>
      <c r="Y19" s="2374">
        <v>0.02</v>
      </c>
      <c r="AA19" s="1668"/>
      <c r="AB19" s="2372" t="s">
        <v>48</v>
      </c>
      <c r="AC19" s="2374">
        <v>0.02</v>
      </c>
    </row>
    <row r="20" spans="1:29" s="2378" customFormat="1" hidden="1" x14ac:dyDescent="0.25">
      <c r="A20" s="900"/>
      <c r="B20" s="2337" t="s">
        <v>46</v>
      </c>
      <c r="C20" s="2358"/>
      <c r="D20" s="1866"/>
      <c r="E20" s="2375"/>
      <c r="F20" s="1866"/>
      <c r="G20" s="2376"/>
      <c r="H20" s="1866"/>
      <c r="I20" s="868"/>
      <c r="J20" s="460"/>
      <c r="K20" s="606"/>
      <c r="L20" s="1866"/>
      <c r="M20" s="2379"/>
      <c r="O20" s="606"/>
      <c r="P20" s="1866"/>
      <c r="Q20" s="2379"/>
      <c r="R20" s="461"/>
      <c r="S20" s="1669"/>
      <c r="T20" s="1866"/>
      <c r="U20" s="2383"/>
      <c r="V20" s="2381"/>
      <c r="W20" s="2382"/>
      <c r="X20" s="1866"/>
      <c r="Y20" s="2383"/>
      <c r="AA20" s="606"/>
      <c r="AB20" s="1866"/>
      <c r="AC20" s="2383"/>
    </row>
    <row r="21" spans="1:29" s="457" customFormat="1" hidden="1" x14ac:dyDescent="0.25">
      <c r="A21" s="2439"/>
      <c r="B21" s="2385"/>
      <c r="C21" s="2215"/>
      <c r="D21" s="340">
        <v>0</v>
      </c>
      <c r="E21" s="2386"/>
      <c r="F21" s="340"/>
      <c r="G21" s="456" t="str">
        <f t="shared" ref="G21:G30" si="1">IF(D21=0,"0.00%",(H21-D21)/D21)</f>
        <v>0.00%</v>
      </c>
      <c r="H21" s="340">
        <f t="shared" ref="H21:H27" si="2">ROUND(D21*(1+$I$19),0)</f>
        <v>0</v>
      </c>
      <c r="I21" s="899"/>
      <c r="J21" s="455"/>
      <c r="K21" s="456" t="str">
        <f t="shared" ref="K21:K27" si="3">IF(H21=0,"0.00%",(L21-H21)/H21)</f>
        <v>0.00%</v>
      </c>
      <c r="L21" s="340">
        <f>ROUND(H21*(1+M19),0)</f>
        <v>0</v>
      </c>
      <c r="M21" s="897" t="str">
        <f>TEXT(M19,"0.0%")&amp;" = Est. S &amp; C"</f>
        <v>0.0% = Est. S &amp; C</v>
      </c>
      <c r="O21" s="456" t="str">
        <f t="shared" ref="O21:O27" si="4">IF(L21=0,"0.00%",(P21-L21)/L21)</f>
        <v>0.00%</v>
      </c>
      <c r="P21" s="340">
        <f>ROUND(L21*(1+Q19),0)</f>
        <v>0</v>
      </c>
      <c r="Q21" s="897" t="str">
        <f>TEXT(Q19,"0.0%")&amp;" = Est. S &amp; C"</f>
        <v>2.0% = Est. S &amp; C</v>
      </c>
      <c r="R21" s="592"/>
      <c r="S21" s="2238" t="str">
        <f t="shared" ref="S21:S27" si="5">IF(P21=0,"0.00%",(T21-P21)/P21)</f>
        <v>0.00%</v>
      </c>
      <c r="T21" s="340">
        <f>ROUND(P21*(1+U19),0)</f>
        <v>0</v>
      </c>
      <c r="U21" s="455" t="str">
        <f>TEXT(U19,"0.0%")&amp;" = Est. S &amp; C"</f>
        <v>2.0% = Est. S &amp; C</v>
      </c>
      <c r="V21" s="952"/>
      <c r="W21" s="2241" t="str">
        <f t="shared" ref="W21:W27" si="6">IF(T21=0,"0.00%",(X21-T21)/T21)</f>
        <v>0.00%</v>
      </c>
      <c r="X21" s="340">
        <f>ROUND(T21*(1+Y19),0)</f>
        <v>0</v>
      </c>
      <c r="Y21" s="455" t="str">
        <f>TEXT(Y19,"0.0%")&amp;" = Est. S &amp; C"</f>
        <v>2.0% = Est. S &amp; C</v>
      </c>
      <c r="AA21" s="456" t="str">
        <f t="shared" ref="AA21:AA27" si="7">IF(X21=0,"0.00%",(AB21-X21)/X21)</f>
        <v>0.00%</v>
      </c>
      <c r="AB21" s="340">
        <f>ROUND(X21*(1+AC19),0)</f>
        <v>0</v>
      </c>
      <c r="AC21" s="455" t="str">
        <f>TEXT(AC19,"0.0%")&amp;" = Est. S &amp; C"</f>
        <v>2.0% = Est. S &amp; C</v>
      </c>
    </row>
    <row r="22" spans="1:29" s="457" customFormat="1" hidden="1" x14ac:dyDescent="0.25">
      <c r="A22" s="897"/>
      <c r="B22" s="2385"/>
      <c r="C22" s="2215"/>
      <c r="D22" s="340">
        <v>0</v>
      </c>
      <c r="E22" s="2386"/>
      <c r="F22" s="340"/>
      <c r="G22" s="456" t="str">
        <f t="shared" si="1"/>
        <v>0.00%</v>
      </c>
      <c r="H22" s="340">
        <f t="shared" si="2"/>
        <v>0</v>
      </c>
      <c r="I22" s="897"/>
      <c r="J22" s="455"/>
      <c r="K22" s="456" t="str">
        <f t="shared" si="3"/>
        <v>0.00%</v>
      </c>
      <c r="L22" s="340">
        <f>ROUND(H22*(1+M19),0)</f>
        <v>0</v>
      </c>
      <c r="M22" s="897" t="str">
        <f>TEXT(M19,"0.0%")&amp;" = Est. S &amp; C"</f>
        <v>0.0% = Est. S &amp; C</v>
      </c>
      <c r="O22" s="456" t="str">
        <f t="shared" si="4"/>
        <v>0.00%</v>
      </c>
      <c r="P22" s="340">
        <f>ROUND(L22*(1+Q19),0)</f>
        <v>0</v>
      </c>
      <c r="Q22" s="897" t="str">
        <f>TEXT(Q19,"0.0%")&amp;" = Est. S &amp; C"</f>
        <v>2.0% = Est. S &amp; C</v>
      </c>
      <c r="R22" s="592"/>
      <c r="S22" s="2238" t="str">
        <f t="shared" si="5"/>
        <v>0.00%</v>
      </c>
      <c r="T22" s="340">
        <f>ROUND(P22*(1+U19),0)</f>
        <v>0</v>
      </c>
      <c r="U22" s="455" t="str">
        <f>TEXT(U19,"0.0%")&amp;" = Est. S &amp; C"</f>
        <v>2.0% = Est. S &amp; C</v>
      </c>
      <c r="V22" s="952"/>
      <c r="W22" s="2241" t="str">
        <f t="shared" si="6"/>
        <v>0.00%</v>
      </c>
      <c r="X22" s="340">
        <f>ROUND(T22*(1+Y19),0)</f>
        <v>0</v>
      </c>
      <c r="Y22" s="455" t="str">
        <f>TEXT(Y19,"0.0%")&amp;" = Est. S &amp; C"</f>
        <v>2.0% = Est. S &amp; C</v>
      </c>
      <c r="AA22" s="456" t="str">
        <f t="shared" si="7"/>
        <v>0.00%</v>
      </c>
      <c r="AB22" s="340">
        <f>ROUND(X22*(1+AC19),0)</f>
        <v>0</v>
      </c>
      <c r="AC22" s="455" t="str">
        <f>TEXT(AC19,"0.0%")&amp;" = Est. S &amp; C"</f>
        <v>2.0% = Est. S &amp; C</v>
      </c>
    </row>
    <row r="23" spans="1:29" s="457" customFormat="1" hidden="1" x14ac:dyDescent="0.25">
      <c r="A23" s="897"/>
      <c r="B23" s="2385"/>
      <c r="C23" s="2215"/>
      <c r="D23" s="340">
        <v>0</v>
      </c>
      <c r="E23" s="2386"/>
      <c r="F23" s="340"/>
      <c r="G23" s="456" t="str">
        <f t="shared" si="1"/>
        <v>0.00%</v>
      </c>
      <c r="H23" s="340">
        <f t="shared" si="2"/>
        <v>0</v>
      </c>
      <c r="I23" s="897"/>
      <c r="J23" s="455"/>
      <c r="K23" s="456" t="str">
        <f t="shared" si="3"/>
        <v>0.00%</v>
      </c>
      <c r="L23" s="340">
        <f>ROUND(H23*(1+M19),0)</f>
        <v>0</v>
      </c>
      <c r="M23" s="897" t="str">
        <f>TEXT(M19,"0.0%")&amp;" = Est. S &amp; C"</f>
        <v>0.0% = Est. S &amp; C</v>
      </c>
      <c r="O23" s="456" t="str">
        <f t="shared" si="4"/>
        <v>0.00%</v>
      </c>
      <c r="P23" s="340">
        <f>ROUND(L23*(1+Q19),0)</f>
        <v>0</v>
      </c>
      <c r="Q23" s="897" t="str">
        <f>TEXT(Q19,"0.0%")&amp;" = Est. S &amp; C"</f>
        <v>2.0% = Est. S &amp; C</v>
      </c>
      <c r="R23" s="592"/>
      <c r="S23" s="2238" t="str">
        <f t="shared" si="5"/>
        <v>0.00%</v>
      </c>
      <c r="T23" s="340">
        <f>ROUND(P23*(1+U19),0)</f>
        <v>0</v>
      </c>
      <c r="U23" s="455" t="str">
        <f>TEXT(U19,"0.0%")&amp;" = Est. S &amp; C"</f>
        <v>2.0% = Est. S &amp; C</v>
      </c>
      <c r="V23" s="952"/>
      <c r="W23" s="2241" t="str">
        <f t="shared" si="6"/>
        <v>0.00%</v>
      </c>
      <c r="X23" s="340">
        <f>ROUND(T23*(1+Y19),0)</f>
        <v>0</v>
      </c>
      <c r="Y23" s="455" t="str">
        <f>TEXT(Y19,"0.0%")&amp;" = Est. S &amp; C"</f>
        <v>2.0% = Est. S &amp; C</v>
      </c>
      <c r="AA23" s="456" t="str">
        <f t="shared" si="7"/>
        <v>0.00%</v>
      </c>
      <c r="AB23" s="340">
        <f>ROUND(X23*(1+AC19),0)</f>
        <v>0</v>
      </c>
      <c r="AC23" s="455" t="str">
        <f>TEXT(AC19,"0.0%")&amp;" = Est. S &amp; C"</f>
        <v>2.0% = Est. S &amp; C</v>
      </c>
    </row>
    <row r="24" spans="1:29" s="457" customFormat="1" hidden="1" x14ac:dyDescent="0.25">
      <c r="A24" s="897"/>
      <c r="B24" s="2385"/>
      <c r="C24" s="2215"/>
      <c r="D24" s="340">
        <v>0</v>
      </c>
      <c r="E24" s="2386"/>
      <c r="F24" s="340"/>
      <c r="G24" s="456" t="str">
        <f t="shared" si="1"/>
        <v>0.00%</v>
      </c>
      <c r="H24" s="340">
        <f t="shared" si="2"/>
        <v>0</v>
      </c>
      <c r="I24" s="897"/>
      <c r="J24" s="455"/>
      <c r="K24" s="456" t="str">
        <f t="shared" si="3"/>
        <v>0.00%</v>
      </c>
      <c r="L24" s="340">
        <f>ROUND(H24*(1+M19),0)</f>
        <v>0</v>
      </c>
      <c r="M24" s="897" t="str">
        <f>TEXT(M19,"0.0%")&amp;" = Est. S &amp; C"</f>
        <v>0.0% = Est. S &amp; C</v>
      </c>
      <c r="O24" s="456" t="str">
        <f t="shared" si="4"/>
        <v>0.00%</v>
      </c>
      <c r="P24" s="340">
        <f>ROUND(L24*(1+Q19),0)</f>
        <v>0</v>
      </c>
      <c r="Q24" s="897" t="str">
        <f>TEXT(Q19,"0.0%")&amp;" = Est. S &amp; C"</f>
        <v>2.0% = Est. S &amp; C</v>
      </c>
      <c r="R24" s="592"/>
      <c r="S24" s="2238" t="str">
        <f t="shared" si="5"/>
        <v>0.00%</v>
      </c>
      <c r="T24" s="340">
        <f>ROUND(P24*(1+U19),0)</f>
        <v>0</v>
      </c>
      <c r="U24" s="455" t="str">
        <f>TEXT(U19,"0.0%")&amp;" = Est. S &amp; C"</f>
        <v>2.0% = Est. S &amp; C</v>
      </c>
      <c r="V24" s="952"/>
      <c r="W24" s="2241" t="str">
        <f t="shared" si="6"/>
        <v>0.00%</v>
      </c>
      <c r="X24" s="340">
        <f>ROUND(T24*(1+Y19),0)</f>
        <v>0</v>
      </c>
      <c r="Y24" s="455" t="str">
        <f>TEXT(Y19,"0.0%")&amp;" = Est. S &amp; C"</f>
        <v>2.0% = Est. S &amp; C</v>
      </c>
      <c r="AA24" s="456" t="str">
        <f t="shared" si="7"/>
        <v>0.00%</v>
      </c>
      <c r="AB24" s="340">
        <f>ROUND(X24*(1+AC19),0)</f>
        <v>0</v>
      </c>
      <c r="AC24" s="455" t="str">
        <f>TEXT(AC19,"0.0%")&amp;" = Est. S &amp; C"</f>
        <v>2.0% = Est. S &amp; C</v>
      </c>
    </row>
    <row r="25" spans="1:29" s="457" customFormat="1" hidden="1" x14ac:dyDescent="0.25">
      <c r="A25" s="897"/>
      <c r="B25" s="2385"/>
      <c r="C25" s="2215"/>
      <c r="D25" s="340">
        <v>0</v>
      </c>
      <c r="E25" s="2386"/>
      <c r="F25" s="340"/>
      <c r="G25" s="456" t="str">
        <f t="shared" si="1"/>
        <v>0.00%</v>
      </c>
      <c r="H25" s="340">
        <f t="shared" si="2"/>
        <v>0</v>
      </c>
      <c r="I25" s="897"/>
      <c r="J25" s="455"/>
      <c r="K25" s="456" t="str">
        <f t="shared" si="3"/>
        <v>0.00%</v>
      </c>
      <c r="L25" s="340">
        <f>ROUND(H25*(1+M19),0)</f>
        <v>0</v>
      </c>
      <c r="M25" s="897" t="str">
        <f>TEXT(M19,"0.0%")&amp;" = Est. S &amp; C"</f>
        <v>0.0% = Est. S &amp; C</v>
      </c>
      <c r="O25" s="456" t="str">
        <f t="shared" si="4"/>
        <v>0.00%</v>
      </c>
      <c r="P25" s="340">
        <f>ROUND(L25*(1+Q19),0)</f>
        <v>0</v>
      </c>
      <c r="Q25" s="897" t="str">
        <f>TEXT(Q19,"0.0%")&amp;" = Est. S &amp; C"</f>
        <v>2.0% = Est. S &amp; C</v>
      </c>
      <c r="R25" s="592"/>
      <c r="S25" s="2238" t="str">
        <f t="shared" si="5"/>
        <v>0.00%</v>
      </c>
      <c r="T25" s="340">
        <f>ROUND(P25*(1+U19),0)</f>
        <v>0</v>
      </c>
      <c r="U25" s="455" t="str">
        <f>TEXT(U19,"0.0%")&amp;" = Est. S &amp; C"</f>
        <v>2.0% = Est. S &amp; C</v>
      </c>
      <c r="V25" s="952"/>
      <c r="W25" s="2241" t="str">
        <f t="shared" si="6"/>
        <v>0.00%</v>
      </c>
      <c r="X25" s="340">
        <f>ROUND(T25*(1+Y19),0)</f>
        <v>0</v>
      </c>
      <c r="Y25" s="455" t="str">
        <f>TEXT(Y19,"0.0%")&amp;" = Est. S &amp; C"</f>
        <v>2.0% = Est. S &amp; C</v>
      </c>
      <c r="AA25" s="456" t="str">
        <f t="shared" si="7"/>
        <v>0.00%</v>
      </c>
      <c r="AB25" s="340">
        <f>ROUND(X25*(1+AC19),0)</f>
        <v>0</v>
      </c>
      <c r="AC25" s="455" t="str">
        <f>TEXT(AC19,"0.0%")&amp;" = Est. S &amp; C"</f>
        <v>2.0% = Est. S &amp; C</v>
      </c>
    </row>
    <row r="26" spans="1:29" s="457" customFormat="1" hidden="1" x14ac:dyDescent="0.25">
      <c r="A26" s="897"/>
      <c r="B26" s="2385"/>
      <c r="C26" s="2215"/>
      <c r="D26" s="340">
        <v>0</v>
      </c>
      <c r="E26" s="2386"/>
      <c r="F26" s="340"/>
      <c r="G26" s="456" t="str">
        <f t="shared" si="1"/>
        <v>0.00%</v>
      </c>
      <c r="H26" s="340">
        <f t="shared" si="2"/>
        <v>0</v>
      </c>
      <c r="I26" s="897"/>
      <c r="J26" s="455"/>
      <c r="K26" s="456" t="str">
        <f t="shared" si="3"/>
        <v>0.00%</v>
      </c>
      <c r="L26" s="340">
        <f>ROUND(H26*(1+M19),0)</f>
        <v>0</v>
      </c>
      <c r="M26" s="2341" t="str">
        <f>TEXT(M19,"0.0%")&amp;" = Est. S &amp; C"</f>
        <v>0.0% = Est. S &amp; C</v>
      </c>
      <c r="O26" s="456" t="str">
        <f t="shared" si="4"/>
        <v>0.00%</v>
      </c>
      <c r="P26" s="340">
        <f>ROUND(L26*(1+Q19),0)</f>
        <v>0</v>
      </c>
      <c r="Q26" s="897" t="str">
        <f>TEXT(Q19,"0.0%")&amp;" = Est. S &amp; C"</f>
        <v>2.0% = Est. S &amp; C</v>
      </c>
      <c r="R26" s="592"/>
      <c r="S26" s="2238" t="str">
        <f t="shared" si="5"/>
        <v>0.00%</v>
      </c>
      <c r="T26" s="340">
        <f>ROUND(P26*(1+U19),0)</f>
        <v>0</v>
      </c>
      <c r="U26" s="455" t="str">
        <f>TEXT(U19,"0.0%")&amp;" = Est. S &amp; C"</f>
        <v>2.0% = Est. S &amp; C</v>
      </c>
      <c r="V26" s="952"/>
      <c r="W26" s="2241" t="str">
        <f t="shared" si="6"/>
        <v>0.00%</v>
      </c>
      <c r="X26" s="340">
        <f>ROUND(T26*(1+Y19),0)</f>
        <v>0</v>
      </c>
      <c r="Y26" s="455" t="str">
        <f>TEXT(Y19,"0.0%")&amp;" = Est. S &amp; C"</f>
        <v>2.0% = Est. S &amp; C</v>
      </c>
      <c r="AA26" s="456" t="str">
        <f t="shared" si="7"/>
        <v>0.00%</v>
      </c>
      <c r="AB26" s="340">
        <f>ROUND(X26*(1+AC19),0)</f>
        <v>0</v>
      </c>
      <c r="AC26" s="455" t="str">
        <f>TEXT(AC19,"0.0%")&amp;" = Est. S &amp; C"</f>
        <v>2.0% = Est. S &amp; C</v>
      </c>
    </row>
    <row r="27" spans="1:29" s="457" customFormat="1" hidden="1" x14ac:dyDescent="0.25">
      <c r="A27" s="897"/>
      <c r="B27" s="2385"/>
      <c r="C27" s="2215"/>
      <c r="D27" s="340">
        <v>0</v>
      </c>
      <c r="E27" s="2386"/>
      <c r="F27" s="340"/>
      <c r="G27" s="456" t="str">
        <f t="shared" si="1"/>
        <v>0.00%</v>
      </c>
      <c r="H27" s="340">
        <f t="shared" si="2"/>
        <v>0</v>
      </c>
      <c r="I27" s="897"/>
      <c r="J27" s="455"/>
      <c r="K27" s="456" t="str">
        <f t="shared" si="3"/>
        <v>0.00%</v>
      </c>
      <c r="L27" s="340">
        <f>ROUND(H27*(1+M19),0)</f>
        <v>0</v>
      </c>
      <c r="M27" s="897" t="str">
        <f>TEXT(M19,"0.0%")&amp;" = Est. S &amp; C"</f>
        <v>0.0% = Est. S &amp; C</v>
      </c>
      <c r="O27" s="456" t="str">
        <f t="shared" si="4"/>
        <v>0.00%</v>
      </c>
      <c r="P27" s="340">
        <f>ROUND(L27*(1+Q19),0)</f>
        <v>0</v>
      </c>
      <c r="Q27" s="897" t="str">
        <f>TEXT(Q19,"0.0%")&amp;" = Est. S &amp; C"</f>
        <v>2.0% = Est. S &amp; C</v>
      </c>
      <c r="R27" s="592"/>
      <c r="S27" s="2238" t="str">
        <f t="shared" si="5"/>
        <v>0.00%</v>
      </c>
      <c r="T27" s="340">
        <f>ROUND(P27*(1+U19),0)</f>
        <v>0</v>
      </c>
      <c r="U27" s="455" t="str">
        <f>TEXT(U19,"0.0%")&amp;" = Est. S &amp; C"</f>
        <v>2.0% = Est. S &amp; C</v>
      </c>
      <c r="V27" s="952"/>
      <c r="W27" s="2241" t="str">
        <f t="shared" si="6"/>
        <v>0.00%</v>
      </c>
      <c r="X27" s="340">
        <f>ROUND(T27*(1+Y19),0)</f>
        <v>0</v>
      </c>
      <c r="Y27" s="455" t="str">
        <f>TEXT(Y19,"0.0%")&amp;" = Est. S &amp; C"</f>
        <v>2.0% = Est. S &amp; C</v>
      </c>
      <c r="AA27" s="456" t="str">
        <f t="shared" si="7"/>
        <v>0.00%</v>
      </c>
      <c r="AB27" s="340">
        <f>ROUND(X27*(1+AC19),0)</f>
        <v>0</v>
      </c>
      <c r="AC27" s="455" t="str">
        <f>TEXT(AC19,"0.0%")&amp;" = Est. S &amp; C"</f>
        <v>2.0% = Est. S &amp; C</v>
      </c>
    </row>
    <row r="28" spans="1:29" s="457" customFormat="1" hidden="1" x14ac:dyDescent="0.25">
      <c r="A28" s="897"/>
      <c r="B28" s="2385"/>
      <c r="C28" s="2215"/>
      <c r="D28" s="340">
        <v>0</v>
      </c>
      <c r="E28" s="2386"/>
      <c r="F28" s="340"/>
      <c r="G28" s="456" t="str">
        <f>IF(D28=0,"0.00%",(H28-D28)/D28)</f>
        <v>0.00%</v>
      </c>
      <c r="H28" s="340">
        <f>ROUND(D28*(1+$I$19),0)</f>
        <v>0</v>
      </c>
      <c r="I28" s="897"/>
      <c r="J28" s="455"/>
      <c r="K28" s="456" t="str">
        <f>IF(H28=0,"0.00%",(L28-H28)/H28)</f>
        <v>0.00%</v>
      </c>
      <c r="L28" s="340">
        <f>ROUND(H28*(1+M20),0)</f>
        <v>0</v>
      </c>
      <c r="M28" s="897" t="str">
        <f>TEXT(M20,"0.0%")&amp;" = Est. S &amp; C"</f>
        <v>0.0% = Est. S &amp; C</v>
      </c>
      <c r="O28" s="456" t="str">
        <f>IF(L28=0,"0.00%",(P28-L28)/L28)</f>
        <v>0.00%</v>
      </c>
      <c r="P28" s="340">
        <f>ROUND(L28*(1+Q20),0)</f>
        <v>0</v>
      </c>
      <c r="Q28" s="897" t="str">
        <f>TEXT(Q20,"0.0%")&amp;" = Est. S &amp; C"</f>
        <v>0.0% = Est. S &amp; C</v>
      </c>
      <c r="R28" s="592"/>
      <c r="S28" s="2238" t="str">
        <f>IF(P28=0,"0.00%",(T28-P28)/P28)</f>
        <v>0.00%</v>
      </c>
      <c r="T28" s="340">
        <f>ROUND(P28*(1+U20),0)</f>
        <v>0</v>
      </c>
      <c r="U28" s="455" t="str">
        <f>TEXT(U20,"0.0%")&amp;" = Est. S &amp; C"</f>
        <v>0.0% = Est. S &amp; C</v>
      </c>
      <c r="V28" s="952"/>
      <c r="W28" s="2241" t="str">
        <f>IF(T28=0,"0.00%",(X28-T28)/T28)</f>
        <v>0.00%</v>
      </c>
      <c r="X28" s="340">
        <f>ROUND(T28*(1+Y20),0)</f>
        <v>0</v>
      </c>
      <c r="Y28" s="455" t="str">
        <f>TEXT(Y20,"0.0%")&amp;" = Est. S &amp; C"</f>
        <v>0.0% = Est. S &amp; C</v>
      </c>
      <c r="AA28" s="456" t="str">
        <f>IF(X28=0,"0.00%",(AB28-X28)/X28)</f>
        <v>0.00%</v>
      </c>
      <c r="AB28" s="340">
        <f>ROUND(X28*(1+AC20),0)</f>
        <v>0</v>
      </c>
      <c r="AC28" s="455" t="str">
        <f>TEXT(AC20,"0.0%")&amp;" = Est. S &amp; C"</f>
        <v>0.0% = Est. S &amp; C</v>
      </c>
    </row>
    <row r="29" spans="1:29" s="457" customFormat="1" ht="6" hidden="1" customHeight="1" x14ac:dyDescent="0.25">
      <c r="A29" s="897"/>
      <c r="B29" s="2385"/>
      <c r="C29" s="2215"/>
      <c r="D29" s="340"/>
      <c r="E29" s="2386"/>
      <c r="F29" s="340"/>
      <c r="G29" s="456"/>
      <c r="H29" s="340"/>
      <c r="I29" s="897"/>
      <c r="J29" s="455"/>
      <c r="K29" s="1668"/>
      <c r="L29" s="340"/>
      <c r="M29" s="901"/>
      <c r="O29" s="1668"/>
      <c r="P29" s="340"/>
      <c r="Q29" s="901"/>
      <c r="R29" s="592"/>
      <c r="S29" s="2341"/>
      <c r="T29" s="340"/>
      <c r="U29" s="2344"/>
      <c r="V29" s="952"/>
      <c r="W29" s="2343"/>
      <c r="X29" s="340"/>
      <c r="Y29" s="2344"/>
      <c r="AA29" s="1668"/>
      <c r="AB29" s="340"/>
      <c r="AC29" s="2344"/>
    </row>
    <row r="30" spans="1:29" s="457" customFormat="1" hidden="1" x14ac:dyDescent="0.25">
      <c r="A30" s="898"/>
      <c r="B30" s="2385"/>
      <c r="C30" s="2215"/>
      <c r="D30" s="458">
        <f>SUM(D21:D29)</f>
        <v>0</v>
      </c>
      <c r="E30" s="2386"/>
      <c r="F30" s="340"/>
      <c r="G30" s="456" t="str">
        <f t="shared" si="1"/>
        <v>0.00%</v>
      </c>
      <c r="H30" s="458">
        <f>SUM(H21:H29)</f>
        <v>0</v>
      </c>
      <c r="I30" s="898"/>
      <c r="J30" s="459"/>
      <c r="K30" s="456" t="str">
        <f>IF(H30=0,"0.00%",(L30-H30)/H30)</f>
        <v>0.00%</v>
      </c>
      <c r="L30" s="458">
        <f>SUM(L21:L29)</f>
        <v>0</v>
      </c>
      <c r="M30" s="901"/>
      <c r="O30" s="456" t="str">
        <f>IF(L30=0,"0.00%",(P30-L30)/L30)</f>
        <v>0.00%</v>
      </c>
      <c r="P30" s="458">
        <f>SUM(P21:P29)</f>
        <v>0</v>
      </c>
      <c r="Q30" s="901"/>
      <c r="R30" s="592"/>
      <c r="S30" s="2238" t="str">
        <f>IF(P30=0,"0.00%",(T30-P30)/P30)</f>
        <v>0.00%</v>
      </c>
      <c r="T30" s="458">
        <f>SUM(T21:T29)</f>
        <v>0</v>
      </c>
      <c r="U30" s="2344"/>
      <c r="V30" s="952"/>
      <c r="W30" s="2241" t="str">
        <f>IF(T30=0,"0.00%",(X30-T30)/T30)</f>
        <v>0.00%</v>
      </c>
      <c r="X30" s="458">
        <f>SUM(X21:X29)</f>
        <v>0</v>
      </c>
      <c r="Y30" s="2344"/>
      <c r="AA30" s="456" t="str">
        <f>IF(X30=0,"0.00%",(AB30-X30)/X30)</f>
        <v>0.00%</v>
      </c>
      <c r="AB30" s="458">
        <f>SUM(AB21:AB29)</f>
        <v>0</v>
      </c>
      <c r="AC30" s="2344"/>
    </row>
    <row r="31" spans="1:29" s="457" customFormat="1" x14ac:dyDescent="0.25">
      <c r="A31" s="897"/>
      <c r="B31" s="2345"/>
      <c r="C31" s="2215"/>
      <c r="D31" s="340"/>
      <c r="E31" s="2386"/>
      <c r="F31" s="340"/>
      <c r="G31" s="2338"/>
      <c r="H31" s="340"/>
      <c r="I31" s="899"/>
      <c r="J31" s="455"/>
      <c r="K31" s="1668"/>
      <c r="L31" s="340"/>
      <c r="M31" s="2388"/>
      <c r="O31" s="1668"/>
      <c r="P31" s="340"/>
      <c r="Q31" s="2388"/>
      <c r="R31" s="592"/>
      <c r="S31" s="2341"/>
      <c r="T31" s="340"/>
      <c r="U31" s="2344"/>
      <c r="V31" s="952"/>
      <c r="W31" s="2343"/>
      <c r="X31" s="340"/>
      <c r="Y31" s="2344"/>
      <c r="AA31" s="1668"/>
      <c r="AB31" s="340"/>
      <c r="AC31" s="2344"/>
    </row>
    <row r="32" spans="1:29" s="461" customFormat="1" x14ac:dyDescent="0.25">
      <c r="A32" s="900"/>
      <c r="B32" s="2440" t="s">
        <v>35</v>
      </c>
      <c r="C32" s="2225"/>
      <c r="D32" s="460"/>
      <c r="E32" s="868"/>
      <c r="F32" s="460"/>
      <c r="G32" s="2389"/>
      <c r="H32" s="460"/>
      <c r="I32" s="868"/>
      <c r="J32" s="460"/>
      <c r="K32" s="1669"/>
      <c r="L32" s="460"/>
      <c r="M32" s="902"/>
      <c r="O32" s="1669"/>
      <c r="P32" s="460"/>
      <c r="Q32" s="902"/>
      <c r="S32" s="1669"/>
      <c r="T32" s="460"/>
      <c r="U32" s="2392"/>
      <c r="V32" s="2381"/>
      <c r="W32" s="2382"/>
      <c r="X32" s="460"/>
      <c r="Y32" s="2392"/>
      <c r="AA32" s="1669"/>
      <c r="AB32" s="460"/>
      <c r="AC32" s="2392"/>
    </row>
    <row r="33" spans="1:29" s="457" customFormat="1" x14ac:dyDescent="0.25">
      <c r="A33" s="897"/>
      <c r="B33" s="2385">
        <v>2102</v>
      </c>
      <c r="C33" s="2215" t="s">
        <v>405</v>
      </c>
      <c r="D33" s="340">
        <v>55180.44</v>
      </c>
      <c r="E33" s="2386"/>
      <c r="F33" s="340"/>
      <c r="G33" s="456">
        <f t="shared" ref="G33:G39" si="8">IF(D33=0,"0.00%",(H33-D33)/D33)</f>
        <v>0.11974460515356523</v>
      </c>
      <c r="H33" s="340">
        <v>61788</v>
      </c>
      <c r="I33" s="897"/>
      <c r="J33" s="455"/>
      <c r="K33" s="456">
        <f t="shared" ref="K33:K39" si="9">IF(H33=0,"0.00%",(L33-H33)/H33)</f>
        <v>-2.5150514663041367E-2</v>
      </c>
      <c r="L33" s="340">
        <v>60234</v>
      </c>
      <c r="M33" s="897"/>
      <c r="O33" s="456">
        <f t="shared" ref="O33:O39" si="10">IF(L33=0,"0.00%",(P33-L33)/L33)</f>
        <v>2.0005312614138196E-2</v>
      </c>
      <c r="P33" s="340">
        <f>ROUND(L33*(1+Q19),0)</f>
        <v>61439</v>
      </c>
      <c r="Q33" s="897" t="str">
        <f>TEXT(Q19,"0.0%")&amp;" = Est. S &amp; C"</f>
        <v>2.0% = Est. S &amp; C</v>
      </c>
      <c r="R33" s="592"/>
      <c r="S33" s="2238">
        <f t="shared" ref="S33:S39" si="11">IF(P33=0,"0.00%",(T33-P33)/P33)</f>
        <v>2.0003580787447711E-2</v>
      </c>
      <c r="T33" s="340">
        <f>ROUND(P33*(1+U19),0)</f>
        <v>62668</v>
      </c>
      <c r="U33" s="455" t="str">
        <f>TEXT(U19,"0.0%")&amp;" = Est. S &amp; C"</f>
        <v>2.0% = Est. S &amp; C</v>
      </c>
      <c r="V33" s="952"/>
      <c r="W33" s="2241">
        <f t="shared" ref="W33:W39" si="12">IF(T33=0,"0.00%",(X33-T33)/T33)</f>
        <v>1.9994255441373589E-2</v>
      </c>
      <c r="X33" s="340">
        <f>ROUND(T33*(1+Y19),0)</f>
        <v>63921</v>
      </c>
      <c r="Y33" s="455" t="str">
        <f>TEXT(Y19,"0.0%")&amp;" = Est. S &amp; C"</f>
        <v>2.0% = Est. S &amp; C</v>
      </c>
      <c r="AA33" s="456">
        <f t="shared" ref="AA33:AA39" si="13">IF(X33=0,"0.00%",(AB33-X33)/X33)</f>
        <v>1.9993429389402545E-2</v>
      </c>
      <c r="AB33" s="340">
        <f>ROUND(X33*(1+AC19),0)</f>
        <v>65199</v>
      </c>
      <c r="AC33" s="455" t="str">
        <f>TEXT(AC19,"0.0%")&amp;" = Est. S &amp; C"</f>
        <v>2.0% = Est. S &amp; C</v>
      </c>
    </row>
    <row r="34" spans="1:29" s="457" customFormat="1" x14ac:dyDescent="0.25">
      <c r="A34" s="897"/>
      <c r="B34" s="2385">
        <v>2104</v>
      </c>
      <c r="C34" s="2215" t="s">
        <v>405</v>
      </c>
      <c r="D34" s="340">
        <v>351286.91</v>
      </c>
      <c r="E34" s="2386"/>
      <c r="F34" s="340"/>
      <c r="G34" s="456">
        <f t="shared" si="8"/>
        <v>-0.13766499298251669</v>
      </c>
      <c r="H34" s="340">
        <v>302927</v>
      </c>
      <c r="I34" s="897"/>
      <c r="J34" s="455"/>
      <c r="K34" s="456">
        <f t="shared" si="9"/>
        <v>-7.876485093768466E-3</v>
      </c>
      <c r="L34" s="340">
        <v>300541</v>
      </c>
      <c r="M34" s="897"/>
      <c r="O34" s="456">
        <f t="shared" si="10"/>
        <v>2.0000598919947696E-2</v>
      </c>
      <c r="P34" s="340">
        <f>ROUND(L34*(1+Q19),0)</f>
        <v>306552</v>
      </c>
      <c r="Q34" s="897" t="str">
        <f>TEXT(Q19,"0.0%")&amp;" = Est. S &amp; C"</f>
        <v>2.0% = Est. S &amp; C</v>
      </c>
      <c r="R34" s="592"/>
      <c r="S34" s="2238">
        <f t="shared" si="11"/>
        <v>1.9999869516427883E-2</v>
      </c>
      <c r="T34" s="340">
        <f>ROUND(P34*(1+U19),0)</f>
        <v>312683</v>
      </c>
      <c r="U34" s="455" t="str">
        <f>TEXT(U19,"0.0%")&amp;" = Est. S &amp; C"</f>
        <v>2.0% = Est. S &amp; C</v>
      </c>
      <c r="V34" s="952"/>
      <c r="W34" s="2241">
        <f t="shared" si="12"/>
        <v>2.0001087363240088E-2</v>
      </c>
      <c r="X34" s="340">
        <f>ROUND(T34*(1+Y19),0)</f>
        <v>318937</v>
      </c>
      <c r="Y34" s="455" t="str">
        <f>TEXT(Y19,"0.0%")&amp;" = Est. S &amp; C"</f>
        <v>2.0% = Est. S &amp; C</v>
      </c>
      <c r="AA34" s="456">
        <f t="shared" si="13"/>
        <v>2.0000815208019138E-2</v>
      </c>
      <c r="AB34" s="340">
        <f>ROUND(X34*(1+AC19),0)</f>
        <v>325316</v>
      </c>
      <c r="AC34" s="455" t="str">
        <f>TEXT(AC19,"0.0%")&amp;" = Est. S &amp; C"</f>
        <v>2.0% = Est. S &amp; C</v>
      </c>
    </row>
    <row r="35" spans="1:29" s="457" customFormat="1" x14ac:dyDescent="0.25">
      <c r="A35" s="897"/>
      <c r="B35" s="2385">
        <v>2106</v>
      </c>
      <c r="C35" s="2215" t="s">
        <v>405</v>
      </c>
      <c r="D35" s="340">
        <v>785201.93</v>
      </c>
      <c r="E35" s="2386"/>
      <c r="F35" s="340"/>
      <c r="G35" s="456">
        <f t="shared" si="8"/>
        <v>1.6378041760544255E-2</v>
      </c>
      <c r="H35" s="340">
        <v>798062</v>
      </c>
      <c r="I35" s="897"/>
      <c r="J35" s="455"/>
      <c r="K35" s="456">
        <f t="shared" si="9"/>
        <v>4.1575717174856086E-2</v>
      </c>
      <c r="L35" s="340">
        <v>831242</v>
      </c>
      <c r="M35" s="897"/>
      <c r="O35" s="456">
        <f t="shared" si="10"/>
        <v>2.0000192483055478E-2</v>
      </c>
      <c r="P35" s="340">
        <f>ROUND(L35*(1+Q19),0)</f>
        <v>847867</v>
      </c>
      <c r="Q35" s="897" t="str">
        <f>TEXT(Q19,"0.0%")&amp;" = Est. S &amp; C"</f>
        <v>2.0% = Est. S &amp; C</v>
      </c>
      <c r="R35" s="592"/>
      <c r="S35" s="2238">
        <f t="shared" si="11"/>
        <v>1.9999598993710097E-2</v>
      </c>
      <c r="T35" s="340">
        <f>ROUND(P35*(1+U19),0)</f>
        <v>864824</v>
      </c>
      <c r="U35" s="455" t="str">
        <f>TEXT(U19,"0.0%")&amp;" = Est. S &amp; C"</f>
        <v>2.0% = Est. S &amp; C</v>
      </c>
      <c r="V35" s="952"/>
      <c r="W35" s="2241">
        <f t="shared" si="12"/>
        <v>1.999944497377501E-2</v>
      </c>
      <c r="X35" s="340">
        <f>ROUND(T35*(1+Y19),0)</f>
        <v>882120</v>
      </c>
      <c r="Y35" s="455" t="str">
        <f>TEXT(Y19,"0.0%")&amp;" = Est. S &amp; C"</f>
        <v>2.0% = Est. S &amp; C</v>
      </c>
      <c r="AA35" s="456">
        <f t="shared" si="13"/>
        <v>1.9999546546955061E-2</v>
      </c>
      <c r="AB35" s="340">
        <f>ROUND(X35*(1+AC19),0)</f>
        <v>899762</v>
      </c>
      <c r="AC35" s="455" t="str">
        <f>TEXT(AC19,"0.0%")&amp;" = Est. S &amp; C"</f>
        <v>2.0% = Est. S &amp; C</v>
      </c>
    </row>
    <row r="36" spans="1:29" s="457" customFormat="1" x14ac:dyDescent="0.25">
      <c r="A36" s="897"/>
      <c r="B36" s="2385">
        <v>2120</v>
      </c>
      <c r="C36" s="2215" t="s">
        <v>405</v>
      </c>
      <c r="D36" s="340">
        <v>2351</v>
      </c>
      <c r="E36" s="2386"/>
      <c r="F36" s="340"/>
      <c r="G36" s="456">
        <f t="shared" si="8"/>
        <v>-1</v>
      </c>
      <c r="H36" s="340">
        <v>0</v>
      </c>
      <c r="I36" s="897"/>
      <c r="J36" s="455"/>
      <c r="K36" s="456" t="str">
        <f t="shared" si="9"/>
        <v>0.00%</v>
      </c>
      <c r="L36" s="340">
        <v>0</v>
      </c>
      <c r="M36" s="897"/>
      <c r="O36" s="456" t="str">
        <f t="shared" si="10"/>
        <v>0.00%</v>
      </c>
      <c r="P36" s="340">
        <f>ROUND(L36*(1+Q19),0)</f>
        <v>0</v>
      </c>
      <c r="Q36" s="897" t="s">
        <v>173</v>
      </c>
      <c r="R36" s="592"/>
      <c r="S36" s="2238" t="str">
        <f t="shared" si="11"/>
        <v>0.00%</v>
      </c>
      <c r="T36" s="340">
        <f>ROUND(P36*(1+U19),0)</f>
        <v>0</v>
      </c>
      <c r="U36" s="897" t="s">
        <v>173</v>
      </c>
      <c r="V36" s="952"/>
      <c r="W36" s="2241" t="str">
        <f t="shared" si="12"/>
        <v>0.00%</v>
      </c>
      <c r="X36" s="340">
        <f>ROUND(T36*(1+Y19),0)</f>
        <v>0</v>
      </c>
      <c r="Y36" s="455" t="str">
        <f>TEXT(Y19,"0.0%")&amp;" = Est. S &amp; C"</f>
        <v>2.0% = Est. S &amp; C</v>
      </c>
      <c r="AA36" s="456" t="str">
        <f t="shared" si="13"/>
        <v>0.00%</v>
      </c>
      <c r="AB36" s="340">
        <f>ROUND(X36*(1+AC19),0)</f>
        <v>0</v>
      </c>
      <c r="AC36" s="455" t="str">
        <f>TEXT(AC19,"0.0%")&amp;" = Est. S &amp; C"</f>
        <v>2.0% = Est. S &amp; C</v>
      </c>
    </row>
    <row r="37" spans="1:29" s="457" customFormat="1" x14ac:dyDescent="0.25">
      <c r="A37" s="897"/>
      <c r="B37" s="2385">
        <v>2121</v>
      </c>
      <c r="C37" s="2215" t="s">
        <v>405</v>
      </c>
      <c r="D37" s="340">
        <v>28264.83</v>
      </c>
      <c r="E37" s="2386"/>
      <c r="F37" s="340"/>
      <c r="G37" s="456">
        <f t="shared" si="8"/>
        <v>-0.77441930483926491</v>
      </c>
      <c r="H37" s="340">
        <v>6376</v>
      </c>
      <c r="I37" s="897"/>
      <c r="J37" s="455"/>
      <c r="K37" s="456">
        <f t="shared" si="9"/>
        <v>-1</v>
      </c>
      <c r="L37" s="340">
        <v>0</v>
      </c>
      <c r="M37" s="897"/>
      <c r="O37" s="456" t="str">
        <f t="shared" si="10"/>
        <v>0.00%</v>
      </c>
      <c r="P37" s="340">
        <f>ROUND(L37*(1+Q20),0)</f>
        <v>0</v>
      </c>
      <c r="Q37" s="897" t="s">
        <v>173</v>
      </c>
      <c r="R37" s="592"/>
      <c r="S37" s="2238" t="str">
        <f t="shared" si="11"/>
        <v>0.00%</v>
      </c>
      <c r="T37" s="340">
        <f>ROUND(P37*(1+U20),0)</f>
        <v>0</v>
      </c>
      <c r="U37" s="897" t="s">
        <v>173</v>
      </c>
      <c r="V37" s="952"/>
      <c r="W37" s="2241" t="str">
        <f t="shared" si="12"/>
        <v>0.00%</v>
      </c>
      <c r="X37" s="340">
        <f>ROUND(T37*(1+Y19),0)</f>
        <v>0</v>
      </c>
      <c r="Y37" s="455" t="str">
        <f>TEXT(Y19,"0.0%")&amp;" = Est. S &amp; C"</f>
        <v>2.0% = Est. S &amp; C</v>
      </c>
      <c r="AA37" s="456" t="str">
        <f t="shared" si="13"/>
        <v>0.00%</v>
      </c>
      <c r="AB37" s="340">
        <f>ROUND(X37*(1+AC19),0)</f>
        <v>0</v>
      </c>
      <c r="AC37" s="455" t="str">
        <f>TEXT(AC19,"0.0%")&amp;" = Est. S &amp; C"</f>
        <v>2.0% = Est. S &amp; C</v>
      </c>
    </row>
    <row r="38" spans="1:29" s="457" customFormat="1" x14ac:dyDescent="0.25">
      <c r="A38" s="897"/>
      <c r="B38" s="2385">
        <v>2204</v>
      </c>
      <c r="C38" s="2215" t="s">
        <v>230</v>
      </c>
      <c r="D38" s="340">
        <v>54783.18</v>
      </c>
      <c r="E38" s="2386"/>
      <c r="F38" s="340"/>
      <c r="G38" s="456">
        <f t="shared" si="8"/>
        <v>7.3595946785126376E-2</v>
      </c>
      <c r="H38" s="340">
        <v>58815</v>
      </c>
      <c r="I38" s="897"/>
      <c r="J38" s="455"/>
      <c r="K38" s="456">
        <f t="shared" si="9"/>
        <v>-2.2188217291507269E-2</v>
      </c>
      <c r="L38" s="340">
        <v>57510</v>
      </c>
      <c r="M38" s="897"/>
      <c r="O38" s="456">
        <f t="shared" si="10"/>
        <v>1.9996522343940185E-2</v>
      </c>
      <c r="P38" s="340">
        <f>ROUND(L38*(1+Q19),0)</f>
        <v>58660</v>
      </c>
      <c r="Q38" s="897" t="str">
        <f>TEXT(Q19,"0.0%")&amp;" = Est. S &amp; C"</f>
        <v>2.0% = Est. S &amp; C</v>
      </c>
      <c r="R38" s="592"/>
      <c r="S38" s="2238">
        <f t="shared" si="11"/>
        <v>1.9996590521650186E-2</v>
      </c>
      <c r="T38" s="340">
        <f>ROUND(P38*(1+U19),0)</f>
        <v>59833</v>
      </c>
      <c r="U38" s="455" t="str">
        <f>TEXT(U19,"0.0%")&amp;" = Est. S &amp; C"</f>
        <v>2.0% = Est. S &amp; C</v>
      </c>
      <c r="V38" s="952"/>
      <c r="W38" s="2241">
        <f t="shared" si="12"/>
        <v>2.0005682482910767E-2</v>
      </c>
      <c r="X38" s="340">
        <f>ROUND(T38*(1+Y19),0)</f>
        <v>61030</v>
      </c>
      <c r="Y38" s="455" t="str">
        <f>TEXT(Y19,"0.0%")&amp;" = Est. S &amp; C"</f>
        <v>2.0% = Est. S &amp; C</v>
      </c>
      <c r="AA38" s="456">
        <f t="shared" si="13"/>
        <v>2.0006554153694903E-2</v>
      </c>
      <c r="AB38" s="340">
        <f>ROUND(X38*(1+AC19),0)</f>
        <v>62251</v>
      </c>
      <c r="AC38" s="455" t="str">
        <f>TEXT(AC19,"0.0%")&amp;" = Est. S &amp; C"</f>
        <v>2.0% = Est. S &amp; C</v>
      </c>
    </row>
    <row r="39" spans="1:29" s="457" customFormat="1" x14ac:dyDescent="0.25">
      <c r="A39" s="897"/>
      <c r="B39" s="2385">
        <v>2100</v>
      </c>
      <c r="C39" s="2215" t="s">
        <v>936</v>
      </c>
      <c r="D39" s="340">
        <v>0</v>
      </c>
      <c r="E39" s="2386"/>
      <c r="F39" s="340"/>
      <c r="G39" s="456" t="str">
        <f t="shared" si="8"/>
        <v>0.00%</v>
      </c>
      <c r="H39" s="1866">
        <v>65402</v>
      </c>
      <c r="I39" s="868" t="s">
        <v>1103</v>
      </c>
      <c r="J39" s="455"/>
      <c r="K39" s="456">
        <f t="shared" si="9"/>
        <v>-1.9052169658420233</v>
      </c>
      <c r="L39" s="1866">
        <v>-59203</v>
      </c>
      <c r="M39" s="868" t="s">
        <v>1103</v>
      </c>
      <c r="N39" s="2378"/>
      <c r="O39" s="456">
        <f t="shared" si="10"/>
        <v>0.53485465263584619</v>
      </c>
      <c r="P39" s="1866">
        <v>-90868</v>
      </c>
      <c r="Q39" s="868" t="str">
        <f>+M39</f>
        <v>Bal. w/ RS 6500</v>
      </c>
      <c r="R39" s="592"/>
      <c r="S39" s="2238">
        <f t="shared" si="11"/>
        <v>0.56623894000088038</v>
      </c>
      <c r="T39" s="1866">
        <v>-142321</v>
      </c>
      <c r="U39" s="868" t="str">
        <f>+Q39</f>
        <v>Bal. w/ RS 6500</v>
      </c>
      <c r="V39" s="952"/>
      <c r="W39" s="2241">
        <f t="shared" si="12"/>
        <v>1.9997048924614076E-2</v>
      </c>
      <c r="X39" s="340">
        <f>ROUND(T39*(1+Y19),0)</f>
        <v>-145167</v>
      </c>
      <c r="Y39" s="455" t="str">
        <f>TEXT(Y19,"0.0%")&amp;" = Est. S &amp; C"</f>
        <v>2.0% = Est. S &amp; C</v>
      </c>
      <c r="AA39" s="456">
        <f t="shared" si="13"/>
        <v>1.9997657869901563E-2</v>
      </c>
      <c r="AB39" s="340">
        <f>ROUND(X39*(1+AC19),0)</f>
        <v>-148070</v>
      </c>
      <c r="AC39" s="455" t="str">
        <f>TEXT(AC19,"0.0%")&amp;" = Est. S &amp; C"</f>
        <v>2.0% = Est. S &amp; C</v>
      </c>
    </row>
    <row r="40" spans="1:29" s="457" customFormat="1" x14ac:dyDescent="0.25">
      <c r="A40" s="897"/>
      <c r="B40" s="2385"/>
      <c r="C40" s="2215"/>
      <c r="D40" s="340"/>
      <c r="E40" s="2386"/>
      <c r="F40" s="340"/>
      <c r="G40" s="2338"/>
      <c r="H40" s="340"/>
      <c r="I40" s="897"/>
      <c r="J40" s="455"/>
      <c r="K40" s="1668"/>
      <c r="L40" s="340"/>
      <c r="M40" s="901"/>
      <c r="O40" s="1668"/>
      <c r="P40" s="340"/>
      <c r="Q40" s="901"/>
      <c r="R40" s="592"/>
      <c r="S40" s="2341"/>
      <c r="T40" s="340"/>
      <c r="U40" s="2344"/>
      <c r="V40" s="952"/>
      <c r="W40" s="2343"/>
      <c r="X40" s="340"/>
      <c r="Y40" s="2344"/>
      <c r="AA40" s="1668"/>
      <c r="AB40" s="340"/>
      <c r="AC40" s="2344"/>
    </row>
    <row r="41" spans="1:29" s="457" customFormat="1" x14ac:dyDescent="0.25">
      <c r="A41" s="898"/>
      <c r="B41" s="2385"/>
      <c r="C41" s="2215"/>
      <c r="D41" s="458">
        <f>SUM(D33:D40)</f>
        <v>1277068.29</v>
      </c>
      <c r="E41" s="2386"/>
      <c r="F41" s="340"/>
      <c r="G41" s="456">
        <f>IF(D41=0,"0.00%",(H41-D41)/D41)</f>
        <v>1.2764947753890249E-2</v>
      </c>
      <c r="H41" s="458">
        <f>SUM(H33:H40)</f>
        <v>1293370</v>
      </c>
      <c r="I41" s="2316">
        <f>+H41-D41</f>
        <v>16301.709999999963</v>
      </c>
      <c r="J41" s="459"/>
      <c r="K41" s="456">
        <f>IF(H41=0,"0.00%",(L41-H41)/H41)</f>
        <v>-7.9672483512065378E-2</v>
      </c>
      <c r="L41" s="458">
        <f>SUM(L33:L40)</f>
        <v>1190324</v>
      </c>
      <c r="M41" s="2316">
        <f>+L41-H41</f>
        <v>-103046</v>
      </c>
      <c r="O41" s="456">
        <f>IF(L41=0,"0.00%",(P41-L41)/L41)</f>
        <v>-5.6068767831279551E-3</v>
      </c>
      <c r="P41" s="458">
        <f>SUM(P33:P40)</f>
        <v>1183650</v>
      </c>
      <c r="Q41" s="2316">
        <f>+P41-L41</f>
        <v>-6674</v>
      </c>
      <c r="R41" s="592"/>
      <c r="S41" s="2238">
        <f>IF(P41=0,"0.00%",(T41-P41)/P41)</f>
        <v>-2.1934693532716598E-2</v>
      </c>
      <c r="T41" s="458">
        <f>SUM(T33:T40)</f>
        <v>1157687</v>
      </c>
      <c r="U41" s="2316">
        <f>+T41-P41</f>
        <v>-25963</v>
      </c>
      <c r="V41" s="952"/>
      <c r="W41" s="2241">
        <f>IF(T41=0,"0.00%",(X41-T41)/T41)</f>
        <v>2.0000224585747271E-2</v>
      </c>
      <c r="X41" s="458">
        <f>SUM(X33:X40)</f>
        <v>1180841</v>
      </c>
      <c r="Y41" s="2344"/>
      <c r="AA41" s="456">
        <f>IF(X41=0,"0.00%",(AB41-X41)/X41)</f>
        <v>2.0000152433731551E-2</v>
      </c>
      <c r="AB41" s="458">
        <f>SUM(AB33:AB40)</f>
        <v>1204458</v>
      </c>
      <c r="AC41" s="2344"/>
    </row>
    <row r="42" spans="1:29" s="457" customFormat="1" x14ac:dyDescent="0.25">
      <c r="A42" s="897"/>
      <c r="B42" s="2345" t="s">
        <v>28</v>
      </c>
      <c r="C42" s="2215"/>
      <c r="D42" s="340"/>
      <c r="E42" s="2386"/>
      <c r="F42" s="340"/>
      <c r="G42" s="2338"/>
      <c r="H42" s="340"/>
      <c r="I42" s="897"/>
      <c r="J42" s="455"/>
      <c r="K42" s="1668"/>
      <c r="L42" s="340"/>
      <c r="M42" s="901"/>
      <c r="O42" s="1668"/>
      <c r="P42" s="340"/>
      <c r="Q42" s="901"/>
      <c r="R42" s="592"/>
      <c r="S42" s="2341"/>
      <c r="T42" s="340"/>
      <c r="U42" s="2344"/>
      <c r="V42" s="952"/>
      <c r="W42" s="2343"/>
      <c r="X42" s="340"/>
      <c r="Y42" s="2344"/>
      <c r="AA42" s="1668"/>
      <c r="AB42" s="340"/>
      <c r="AC42" s="2344"/>
    </row>
    <row r="43" spans="1:29" s="457" customFormat="1" x14ac:dyDescent="0.25">
      <c r="A43" s="868"/>
      <c r="B43" s="2337" t="s">
        <v>27</v>
      </c>
      <c r="C43" s="2215"/>
      <c r="D43" s="340"/>
      <c r="E43" s="2386"/>
      <c r="F43" s="340"/>
      <c r="G43" s="2338"/>
      <c r="H43" s="340"/>
      <c r="I43" s="897"/>
      <c r="J43" s="455"/>
      <c r="K43" s="1668"/>
      <c r="L43" s="340"/>
      <c r="M43" s="901"/>
      <c r="O43" s="1668"/>
      <c r="P43" s="340"/>
      <c r="Q43" s="901"/>
      <c r="R43" s="592"/>
      <c r="S43" s="2341"/>
      <c r="T43" s="340"/>
      <c r="U43" s="2344"/>
      <c r="V43" s="952"/>
      <c r="W43" s="2343"/>
      <c r="X43" s="340"/>
      <c r="Y43" s="2344"/>
      <c r="AA43" s="1668"/>
      <c r="AB43" s="340"/>
      <c r="AC43" s="2344"/>
    </row>
    <row r="44" spans="1:29" s="457" customFormat="1" x14ac:dyDescent="0.25">
      <c r="A44" s="897"/>
      <c r="B44" s="2385" t="s">
        <v>83</v>
      </c>
      <c r="C44" s="2215" t="s">
        <v>76</v>
      </c>
      <c r="D44" s="340">
        <v>6583.1</v>
      </c>
      <c r="E44" s="899" t="str">
        <f>TEXT('MYP Assumptions'!$D$57,"0.00%")&amp;", STRS rate"</f>
        <v>12.58%, STRS rate</v>
      </c>
      <c r="F44" s="340"/>
      <c r="G44" s="456">
        <f t="shared" ref="G44:G53" si="14">IF(D44=0,"0.00%",(H44-D44)/D44)</f>
        <v>0.24242378210873289</v>
      </c>
      <c r="H44" s="340">
        <v>8179</v>
      </c>
      <c r="I44" s="899" t="str">
        <f>TEXT('MYP Assumptions'!E57,"0.00%")&amp;", projected STRS rate"</f>
        <v>14.43%, projected STRS rate</v>
      </c>
      <c r="J44" s="455"/>
      <c r="K44" s="456">
        <f t="shared" ref="K44:K53" si="15">IF(H44=0,"0.00%",(L44-H44)/H44)</f>
        <v>-1</v>
      </c>
      <c r="L44" s="340">
        <v>0</v>
      </c>
      <c r="M44" s="899" t="str">
        <f>TEXT('MYP Assumptions'!F57,"0.00%")&amp;", projected STRS rate"</f>
        <v>16.28%, projected STRS rate</v>
      </c>
      <c r="O44" s="456" t="str">
        <f t="shared" ref="O44:O53" si="16">IF(L44=0,"0.00%",(P44-L44)/L44)</f>
        <v>0.00%</v>
      </c>
      <c r="P44" s="340">
        <f>ROUND(+L44*1.0185,0)</f>
        <v>0</v>
      </c>
      <c r="Q44" s="899" t="str">
        <f>TEXT('MYP Assumptions'!G57,"0.00%")&amp;", projected STRS rate"</f>
        <v>18.13%, projected STRS rate</v>
      </c>
      <c r="R44" s="592"/>
      <c r="S44" s="2238" t="str">
        <f t="shared" ref="S44:S53" si="17">IF(P44=0,"0.00%",(T44-P44)/P44)</f>
        <v>0.00%</v>
      </c>
      <c r="T44" s="340">
        <v>-1</v>
      </c>
      <c r="U44" s="953" t="str">
        <f>TEXT('MYP Assumptions'!H57,"0.00%")&amp;", projected STRS rate"</f>
        <v>19.10%, projected STRS rate</v>
      </c>
      <c r="V44" s="952"/>
      <c r="W44" s="2241">
        <f t="shared" ref="W44:W53" si="18">IF(T44=0,"0.00%",(X44-T44)/T44)</f>
        <v>-1</v>
      </c>
      <c r="X44" s="340">
        <f>ROUND(X30*LEFT(Y44,6),0)</f>
        <v>0</v>
      </c>
      <c r="Y44" s="953" t="str">
        <f>TEXT('MYP Assumptions'!I57,"0.00%")&amp;", projected STRS rate"</f>
        <v>19.10%, projected STRS rate</v>
      </c>
      <c r="AA44" s="456" t="str">
        <f t="shared" ref="AA44:AA53" si="19">IF(X44=0,"0.00%",(AB44-X44)/X44)</f>
        <v>0.00%</v>
      </c>
      <c r="AB44" s="340" t="e">
        <f>ROUND(AB30*LEFT(AC44,6),0)</f>
        <v>#VALUE!</v>
      </c>
      <c r="AC44" s="953" t="str">
        <f>TEXT('MYP Assumptions'!J57,"0.00%")&amp;", projected STRS rate"</f>
        <v>0.00%, projected STRS rate</v>
      </c>
    </row>
    <row r="45" spans="1:29" s="457" customFormat="1" x14ac:dyDescent="0.25">
      <c r="A45" s="897"/>
      <c r="B45" s="2385" t="s">
        <v>84</v>
      </c>
      <c r="C45" s="2215" t="s">
        <v>77</v>
      </c>
      <c r="D45" s="340">
        <v>169521.17</v>
      </c>
      <c r="E45" s="899" t="str">
        <f>TEXT('MYP Assumptions'!$D$58,"0.00%")&amp;", PERS rate"</f>
        <v>13.89%, PERS rate</v>
      </c>
      <c r="F45" s="340"/>
      <c r="G45" s="456">
        <f t="shared" si="14"/>
        <v>9.5520990092269803E-2</v>
      </c>
      <c r="H45" s="340">
        <v>185714</v>
      </c>
      <c r="I45" s="899" t="str">
        <f>TEXT('MYP Assumptions'!E58,"0.00%")&amp;", projected PERS rate"</f>
        <v>15.53%, projected PERS rate</v>
      </c>
      <c r="J45" s="455"/>
      <c r="K45" s="456">
        <f t="shared" si="15"/>
        <v>0.21526110040169291</v>
      </c>
      <c r="L45" s="340">
        <v>225691</v>
      </c>
      <c r="M45" s="899" t="str">
        <f>TEXT('MYP Assumptions'!F58,"0.00%")&amp;", projected PERS rate"</f>
        <v>18.06%, projected PERS rate</v>
      </c>
      <c r="O45" s="456">
        <f t="shared" si="16"/>
        <v>3.6802530894009949E-2</v>
      </c>
      <c r="P45" s="340">
        <f>ROUND((P41-P37-P38)*LEFT(Q45,6),0)-1</f>
        <v>233997</v>
      </c>
      <c r="Q45" s="899" t="str">
        <f>TEXT('MYP Assumptions'!G58,"0.00%")&amp;", projected PERS rate"</f>
        <v>20.80%, projected PERS rate</v>
      </c>
      <c r="R45" s="592"/>
      <c r="S45" s="2238">
        <f t="shared" si="17"/>
        <v>0.10255687038722719</v>
      </c>
      <c r="T45" s="340">
        <f>ROUND((T41-T37-T38)*LEFT(U45,6),0)-1</f>
        <v>257995</v>
      </c>
      <c r="U45" s="953" t="str">
        <f>TEXT('MYP Assumptions'!H58,"0.00%")&amp;", projected PERS rate"</f>
        <v>23.50%, projected PERS rate</v>
      </c>
      <c r="V45" s="952"/>
      <c r="W45" s="2241">
        <f t="shared" si="18"/>
        <v>0.1259404252020388</v>
      </c>
      <c r="X45" s="340">
        <f>ROUND(X41*LEFT(Y45,6),0)</f>
        <v>290487</v>
      </c>
      <c r="Y45" s="953" t="str">
        <f>TEXT('MYP Assumptions'!I58,"0.00%")&amp;", projected PERS rate"</f>
        <v>24.60%, projected PERS rate</v>
      </c>
      <c r="AA45" s="456" t="e">
        <f t="shared" si="19"/>
        <v>#VALUE!</v>
      </c>
      <c r="AB45" s="340" t="e">
        <f>ROUND(AB41*LEFT(AC45,6),0)</f>
        <v>#VALUE!</v>
      </c>
      <c r="AC45" s="953" t="str">
        <f>TEXT('MYP Assumptions'!J58,"0.00%")&amp;", projected PERS rate"</f>
        <v>0.00%, projected PERS rate</v>
      </c>
    </row>
    <row r="46" spans="1:29" s="457" customFormat="1" x14ac:dyDescent="0.25">
      <c r="A46" s="897"/>
      <c r="B46" s="2385" t="s">
        <v>85</v>
      </c>
      <c r="C46" s="2215" t="s">
        <v>78</v>
      </c>
      <c r="D46" s="340">
        <v>72192.75</v>
      </c>
      <c r="E46" s="899" t="str">
        <f>TEXT('MYP Assumptions'!$D$60,"0.00%")&amp;", SS rate"</f>
        <v>6.20%, SS rate</v>
      </c>
      <c r="F46" s="340"/>
      <c r="G46" s="456">
        <f t="shared" si="14"/>
        <v>1.5960743980524359E-2</v>
      </c>
      <c r="H46" s="340">
        <v>73345</v>
      </c>
      <c r="I46" s="899" t="str">
        <f>TEXT('MYP Assumptions'!E60,"0.00%")&amp;", no rate change"</f>
        <v>6.20%, no rate change</v>
      </c>
      <c r="J46" s="455"/>
      <c r="K46" s="456">
        <f t="shared" si="15"/>
        <v>5.6268320948939944E-2</v>
      </c>
      <c r="L46" s="340">
        <v>77472</v>
      </c>
      <c r="M46" s="899" t="str">
        <f>TEXT('MYP Assumptions'!F60,"0.00%")&amp;", no rate change"</f>
        <v>6.20%, no rate change</v>
      </c>
      <c r="O46" s="456">
        <f t="shared" si="16"/>
        <v>-5.2741635687732345E-2</v>
      </c>
      <c r="P46" s="340">
        <f>ROUND(P41*LEFT(Q46,5),0)</f>
        <v>73386</v>
      </c>
      <c r="Q46" s="899" t="str">
        <f>TEXT('MYP Assumptions'!G60,"0.00%")&amp;", no rate change"</f>
        <v>6.20%, no rate change</v>
      </c>
      <c r="R46" s="592"/>
      <c r="S46" s="2238">
        <f t="shared" si="17"/>
        <v>-2.192516283759845E-2</v>
      </c>
      <c r="T46" s="340">
        <f>ROUND(T41*LEFT(U46,5),0)</f>
        <v>71777</v>
      </c>
      <c r="U46" s="953" t="str">
        <f>TEXT('MYP Assumptions'!H60,"0.00%")&amp;", no rate change"</f>
        <v>6.20%, no rate change</v>
      </c>
      <c r="V46" s="952"/>
      <c r="W46" s="2241">
        <f t="shared" si="18"/>
        <v>1.9992476698663917E-2</v>
      </c>
      <c r="X46" s="340">
        <f>ROUND(X41*LEFT(Y46,5),0)</f>
        <v>73212</v>
      </c>
      <c r="Y46" s="953" t="str">
        <f>TEXT('MYP Assumptions'!I60,"0.00%")&amp;", no rate change"</f>
        <v>6.20%, no rate change</v>
      </c>
      <c r="AA46" s="456">
        <f t="shared" si="19"/>
        <v>-1</v>
      </c>
      <c r="AB46" s="340">
        <f>ROUND(AB41*LEFT(AC46,5),0)</f>
        <v>0</v>
      </c>
      <c r="AC46" s="953" t="str">
        <f>TEXT('MYP Assumptions'!J60,"0.00%")&amp;", no rate change"</f>
        <v>0.00%, no rate change</v>
      </c>
    </row>
    <row r="47" spans="1:29" s="457" customFormat="1" x14ac:dyDescent="0.25">
      <c r="A47" s="897"/>
      <c r="B47" s="2385" t="s">
        <v>86</v>
      </c>
      <c r="C47" s="2215" t="s">
        <v>79</v>
      </c>
      <c r="D47" s="340">
        <v>17641.25</v>
      </c>
      <c r="E47" s="899" t="str">
        <f>TEXT('MYP Assumptions'!$D$61,"0.00%")&amp;", Medicare rate"</f>
        <v>1.45%, Medicare rate</v>
      </c>
      <c r="F47" s="340"/>
      <c r="G47" s="456">
        <f t="shared" si="14"/>
        <v>2.1016084461135124E-2</v>
      </c>
      <c r="H47" s="340">
        <v>18012</v>
      </c>
      <c r="I47" s="899" t="str">
        <f>TEXT('MYP Assumptions'!E61,"0.00%")&amp;", no rate change"</f>
        <v>1.45%, no rate change</v>
      </c>
      <c r="J47" s="455"/>
      <c r="K47" s="456">
        <f t="shared" si="15"/>
        <v>6.0515212080834999E-3</v>
      </c>
      <c r="L47" s="340">
        <v>18121</v>
      </c>
      <c r="M47" s="899" t="str">
        <f>TEXT('MYP Assumptions'!F61,"0.00%")&amp;", no rate change"</f>
        <v>1.45%, no rate change</v>
      </c>
      <c r="O47" s="456">
        <f t="shared" si="16"/>
        <v>-5.2866839578389717E-2</v>
      </c>
      <c r="P47" s="340">
        <f>ROUND((P41+P30)*LEFT(Q47,5),0)</f>
        <v>17163</v>
      </c>
      <c r="Q47" s="899" t="str">
        <f>TEXT('MYP Assumptions'!G61,"0.00%")&amp;", no rate change"</f>
        <v>1.45%, no rate change</v>
      </c>
      <c r="R47" s="592"/>
      <c r="S47" s="2238">
        <f t="shared" si="17"/>
        <v>-2.1965856784944358E-2</v>
      </c>
      <c r="T47" s="340">
        <f>ROUND((T41+T30)*LEFT(U47,5),0)</f>
        <v>16786</v>
      </c>
      <c r="U47" s="953" t="str">
        <f>TEXT('MYP Assumptions'!H61,"0.00%")&amp;", no rate change"</f>
        <v>1.45%, no rate change</v>
      </c>
      <c r="V47" s="952"/>
      <c r="W47" s="2241">
        <f t="shared" si="18"/>
        <v>2.0016680567139282E-2</v>
      </c>
      <c r="X47" s="340">
        <f>ROUND((X41+X30)*LEFT(Y47,5),0)</f>
        <v>17122</v>
      </c>
      <c r="Y47" s="953" t="str">
        <f>TEXT('MYP Assumptions'!I61,"0.00%")&amp;", no rate change"</f>
        <v>1.45%, no rate change</v>
      </c>
      <c r="AA47" s="456">
        <f t="shared" si="19"/>
        <v>-1</v>
      </c>
      <c r="AB47" s="340">
        <f>ROUND((AB41+AB30)*LEFT(AC47,5),0)</f>
        <v>0</v>
      </c>
      <c r="AC47" s="953" t="str">
        <f>TEXT('MYP Assumptions'!J61,"0.00%")&amp;", no rate change"</f>
        <v>0.00%, no rate change</v>
      </c>
    </row>
    <row r="48" spans="1:29" s="457" customFormat="1" x14ac:dyDescent="0.25">
      <c r="A48" s="897"/>
      <c r="B48" s="2385" t="s">
        <v>87</v>
      </c>
      <c r="C48" s="2215" t="s">
        <v>80</v>
      </c>
      <c r="D48" s="340">
        <v>74530.429999999993</v>
      </c>
      <c r="E48" s="899"/>
      <c r="F48" s="340"/>
      <c r="G48" s="456">
        <f t="shared" si="14"/>
        <v>8.5294020174051042E-4</v>
      </c>
      <c r="H48" s="340">
        <v>74594</v>
      </c>
      <c r="I48" s="899"/>
      <c r="J48" s="455"/>
      <c r="K48" s="456">
        <f t="shared" si="15"/>
        <v>6.5608493980749125E-2</v>
      </c>
      <c r="L48" s="340">
        <v>79488</v>
      </c>
      <c r="M48" s="899" t="str">
        <f>TEXT('MYP Assumptions'!$I$68,"0.00%")&amp;", projected increase"</f>
        <v>5.00%, projected increase</v>
      </c>
      <c r="O48" s="456">
        <f t="shared" si="16"/>
        <v>4.9994967793880837E-2</v>
      </c>
      <c r="P48" s="340">
        <f>ROUND((L48)*(LEFT(Q48,5)+1),0)</f>
        <v>83462</v>
      </c>
      <c r="Q48" s="899" t="str">
        <f>TEXT('MYP Assumptions'!$I$68,"0.00%")&amp;", projected increase"</f>
        <v>5.00%, projected increase</v>
      </c>
      <c r="R48" s="592"/>
      <c r="S48" s="2238">
        <f t="shared" si="17"/>
        <v>4.9998801849943687E-2</v>
      </c>
      <c r="T48" s="340">
        <f>ROUND((P48)*(LEFT(U48,5)+1),0)</f>
        <v>87635</v>
      </c>
      <c r="U48" s="953" t="str">
        <f>TEXT('MYP Assumptions'!$I$68,"0.00%")&amp;", projected increase"</f>
        <v>5.00%, projected increase</v>
      </c>
      <c r="V48" s="952"/>
      <c r="W48" s="2241">
        <f t="shared" si="18"/>
        <v>5.0002852741484569E-2</v>
      </c>
      <c r="X48" s="340">
        <f>ROUND((T48)*(LEFT(Y48,5)+1),0)</f>
        <v>92017</v>
      </c>
      <c r="Y48" s="953" t="str">
        <f>TEXT('MYP Assumptions'!$I$68,"0.00%")&amp;", projected increase"</f>
        <v>5.00%, projected increase</v>
      </c>
      <c r="AA48" s="456">
        <f t="shared" si="19"/>
        <v>5.0001630133562278E-2</v>
      </c>
      <c r="AB48" s="340">
        <f>ROUND((X48)*(LEFT(AC48,5)+1),0)</f>
        <v>96618</v>
      </c>
      <c r="AC48" s="953" t="str">
        <f>TEXT('MYP Assumptions'!$I$68,"0.00%")&amp;", projected increase"</f>
        <v>5.00%, projected increase</v>
      </c>
    </row>
    <row r="49" spans="1:29" s="457" customFormat="1" x14ac:dyDescent="0.25">
      <c r="A49" s="897"/>
      <c r="B49" s="2385" t="s">
        <v>88</v>
      </c>
      <c r="C49" s="2215" t="s">
        <v>81</v>
      </c>
      <c r="D49" s="340">
        <v>609.35</v>
      </c>
      <c r="E49" s="899" t="str">
        <f>TEXT('MYP Assumptions'!$D$62,"0.00%")&amp;", SUI rate"</f>
        <v>0.05%, SUI rate</v>
      </c>
      <c r="F49" s="340"/>
      <c r="G49" s="456">
        <f t="shared" si="14"/>
        <v>2.0759826044145363E-2</v>
      </c>
      <c r="H49" s="340">
        <v>622</v>
      </c>
      <c r="I49" s="899" t="str">
        <f>TEXT('MYP Assumptions'!E62,"0.00%")&amp;", no rate change"</f>
        <v>0.05%, no rate change</v>
      </c>
      <c r="J49" s="455"/>
      <c r="K49" s="456">
        <f t="shared" si="15"/>
        <v>6.4308681672025723E-3</v>
      </c>
      <c r="L49" s="340">
        <v>626</v>
      </c>
      <c r="M49" s="899" t="str">
        <f>TEXT('MYP Assumptions'!F62,"0.00%")&amp;", no rate change"</f>
        <v>0.05%, no rate change</v>
      </c>
      <c r="O49" s="456">
        <f t="shared" si="16"/>
        <v>-5.4313099041533544E-2</v>
      </c>
      <c r="P49" s="340">
        <f>ROUND((P41+P30)*LEFT(Q49,5),0)</f>
        <v>592</v>
      </c>
      <c r="Q49" s="899" t="str">
        <f>TEXT('MYP Assumptions'!G62,"0.00%")&amp;", no rate change"</f>
        <v>0.05%, no rate change</v>
      </c>
      <c r="R49" s="592"/>
      <c r="S49" s="2238">
        <f t="shared" si="17"/>
        <v>-2.1959459459459461E-2</v>
      </c>
      <c r="T49" s="340">
        <f>ROUND((T41+T30)*LEFT(U49,5),0)</f>
        <v>579</v>
      </c>
      <c r="U49" s="953" t="str">
        <f>TEXT('MYP Assumptions'!H62,"0.00%")&amp;", no rate change"</f>
        <v>0.05%, no rate change</v>
      </c>
      <c r="V49" s="952"/>
      <c r="W49" s="2241">
        <f t="shared" si="18"/>
        <v>1.8998272884283247E-2</v>
      </c>
      <c r="X49" s="340">
        <f>ROUND((X41+X30)*LEFT(Y49,5),0)</f>
        <v>590</v>
      </c>
      <c r="Y49" s="953" t="str">
        <f>TEXT('MYP Assumptions'!I62,"0.00%")&amp;", no rate change"</f>
        <v>0.05%, no rate change</v>
      </c>
      <c r="AA49" s="456">
        <f t="shared" si="19"/>
        <v>-1</v>
      </c>
      <c r="AB49" s="340">
        <f>ROUND((AB41+AB30)*LEFT(AC49,5),0)</f>
        <v>0</v>
      </c>
      <c r="AC49" s="953" t="str">
        <f>TEXT('MYP Assumptions'!J62,"0.00%")&amp;", no rate change"</f>
        <v>0.00%, no rate change</v>
      </c>
    </row>
    <row r="50" spans="1:29" s="457" customFormat="1" x14ac:dyDescent="0.25">
      <c r="A50" s="897"/>
      <c r="B50" s="2385" t="s">
        <v>89</v>
      </c>
      <c r="C50" s="2215" t="s">
        <v>82</v>
      </c>
      <c r="D50" s="340">
        <v>13382.5</v>
      </c>
      <c r="E50" s="899" t="str">
        <f>TEXT('MYP Assumptions'!$D$63,"0.00%")&amp;", W/C rate"</f>
        <v>1.10%, W/C rate</v>
      </c>
      <c r="F50" s="340"/>
      <c r="G50" s="456">
        <f t="shared" si="14"/>
        <v>-0.14522697552774144</v>
      </c>
      <c r="H50" s="340">
        <v>11439</v>
      </c>
      <c r="I50" s="899" t="str">
        <f>TEXT('MYP Assumptions'!E63,"0.00%")&amp;", no rate change"</f>
        <v>0.80%, no rate change</v>
      </c>
      <c r="J50" s="455"/>
      <c r="K50" s="456">
        <f t="shared" si="15"/>
        <v>-0.12605997027712212</v>
      </c>
      <c r="L50" s="340">
        <v>9997</v>
      </c>
      <c r="M50" s="899" t="str">
        <f>TEXT('MYP Assumptions'!F63,"0.00%")&amp;", no rate change"</f>
        <v>0.80%, no rate change</v>
      </c>
      <c r="O50" s="456">
        <f t="shared" si="16"/>
        <v>-5.2815844753426031E-2</v>
      </c>
      <c r="P50" s="340">
        <f>ROUND((P41+P30)*LEFT(Q50,5),0)</f>
        <v>9469</v>
      </c>
      <c r="Q50" s="899" t="str">
        <f>TEXT('MYP Assumptions'!G63,"0.00%")&amp;", no rate change"</f>
        <v>0.80%, no rate change</v>
      </c>
      <c r="R50" s="592"/>
      <c r="S50" s="2238">
        <f t="shared" si="17"/>
        <v>-2.1966416728271199E-2</v>
      </c>
      <c r="T50" s="340">
        <f>ROUND((T41+T30)*LEFT(U50,5),0)</f>
        <v>9261</v>
      </c>
      <c r="U50" s="953" t="str">
        <f>TEXT('MYP Assumptions'!H63,"0.00%")&amp;", no rate change"</f>
        <v>0.80%, no rate change</v>
      </c>
      <c r="V50" s="952"/>
      <c r="W50" s="2241">
        <f t="shared" si="18"/>
        <v>2.0084224165856819E-2</v>
      </c>
      <c r="X50" s="340">
        <f>ROUND((X41+X30)*LEFT(Y50,5),0)</f>
        <v>9447</v>
      </c>
      <c r="Y50" s="953" t="str">
        <f>TEXT('MYP Assumptions'!I63,"0.00%")&amp;", no rate change"</f>
        <v>0.80%, no rate change</v>
      </c>
      <c r="AA50" s="456">
        <f t="shared" si="19"/>
        <v>-1</v>
      </c>
      <c r="AB50" s="340">
        <f>ROUND((AB41+AB30)*LEFT(AC50,5),0)</f>
        <v>0</v>
      </c>
      <c r="AC50" s="953" t="str">
        <f>TEXT('MYP Assumptions'!J63,"0.00%")&amp;", no rate change"</f>
        <v>0.00%, no rate change</v>
      </c>
    </row>
    <row r="51" spans="1:29" s="457" customFormat="1" x14ac:dyDescent="0.25">
      <c r="A51" s="897"/>
      <c r="B51" s="2441" t="s">
        <v>469</v>
      </c>
      <c r="C51" s="2451" t="s">
        <v>470</v>
      </c>
      <c r="D51" s="340">
        <v>0</v>
      </c>
      <c r="E51" s="2386"/>
      <c r="F51" s="340"/>
      <c r="G51" s="456" t="str">
        <f t="shared" ref="G51" si="20">IF(D51=0,"0.00%",(H51-D51)/D51)</f>
        <v>0.00%</v>
      </c>
      <c r="H51" s="340">
        <f>D51</f>
        <v>0</v>
      </c>
      <c r="I51" s="899"/>
      <c r="J51" s="455"/>
      <c r="K51" s="456" t="str">
        <f t="shared" ref="K51" si="21">IF(H51=0,"0.00%",(L51-H51)/H51)</f>
        <v>0.00%</v>
      </c>
      <c r="L51" s="340">
        <f>H51</f>
        <v>0</v>
      </c>
      <c r="M51" s="899"/>
      <c r="O51" s="456" t="str">
        <f t="shared" ref="O51" si="22">IF(L51=0,"0.00%",(P51-L51)/L51)</f>
        <v>0.00%</v>
      </c>
      <c r="P51" s="340">
        <f>L51</f>
        <v>0</v>
      </c>
      <c r="Q51" s="899"/>
      <c r="R51" s="592"/>
      <c r="S51" s="2238" t="str">
        <f t="shared" ref="S51" si="23">IF(P51=0,"0.00%",(T51-P51)/P51)</f>
        <v>0.00%</v>
      </c>
      <c r="T51" s="340">
        <f>P51</f>
        <v>0</v>
      </c>
      <c r="U51" s="953"/>
      <c r="V51" s="952"/>
      <c r="W51" s="2241" t="str">
        <f t="shared" ref="W51" si="24">IF(T51=0,"0.00%",(X51-T51)/T51)</f>
        <v>0.00%</v>
      </c>
      <c r="X51" s="340">
        <f>T51</f>
        <v>0</v>
      </c>
      <c r="Y51" s="953" t="s">
        <v>165</v>
      </c>
      <c r="AA51" s="456" t="str">
        <f t="shared" ref="AA51" si="25">IF(X51=0,"0.00%",(AB51-X51)/X51)</f>
        <v>0.00%</v>
      </c>
      <c r="AB51" s="340">
        <f>X51</f>
        <v>0</v>
      </c>
      <c r="AC51" s="953" t="s">
        <v>165</v>
      </c>
    </row>
    <row r="52" spans="1:29" s="457" customFormat="1" x14ac:dyDescent="0.25">
      <c r="A52" s="897"/>
      <c r="B52" s="2441" t="s">
        <v>91</v>
      </c>
      <c r="C52" s="2451" t="s">
        <v>93</v>
      </c>
      <c r="D52" s="340">
        <v>0</v>
      </c>
      <c r="E52" s="2386"/>
      <c r="F52" s="340"/>
      <c r="G52" s="456" t="str">
        <f t="shared" ref="G52" si="26">IF(D52=0,"0.00%",(H52-D52)/D52)</f>
        <v>0.00%</v>
      </c>
      <c r="H52" s="340">
        <f>D52</f>
        <v>0</v>
      </c>
      <c r="I52" s="899"/>
      <c r="J52" s="455"/>
      <c r="K52" s="456" t="str">
        <f t="shared" ref="K52" si="27">IF(H52=0,"0.00%",(L52-H52)/H52)</f>
        <v>0.00%</v>
      </c>
      <c r="L52" s="340">
        <f>H52</f>
        <v>0</v>
      </c>
      <c r="M52" s="899"/>
      <c r="O52" s="456" t="str">
        <f t="shared" ref="O52" si="28">IF(L52=0,"0.00%",(P52-L52)/L52)</f>
        <v>0.00%</v>
      </c>
      <c r="P52" s="340">
        <f>L52</f>
        <v>0</v>
      </c>
      <c r="Q52" s="899"/>
      <c r="R52" s="592"/>
      <c r="S52" s="2238" t="str">
        <f t="shared" ref="S52" si="29">IF(P52=0,"0.00%",(T52-P52)/P52)</f>
        <v>0.00%</v>
      </c>
      <c r="T52" s="340">
        <f>P52</f>
        <v>0</v>
      </c>
      <c r="U52" s="953"/>
      <c r="V52" s="952"/>
      <c r="W52" s="2241"/>
      <c r="X52" s="340"/>
      <c r="Y52" s="953"/>
      <c r="AA52" s="456"/>
      <c r="AB52" s="340"/>
      <c r="AC52" s="953"/>
    </row>
    <row r="53" spans="1:29" s="457" customFormat="1" x14ac:dyDescent="0.25">
      <c r="A53" s="898"/>
      <c r="B53" s="2385"/>
      <c r="C53" s="2215"/>
      <c r="D53" s="458">
        <f>SUM(D44:D52)</f>
        <v>354460.55</v>
      </c>
      <c r="E53" s="2386"/>
      <c r="F53" s="340"/>
      <c r="G53" s="456">
        <f t="shared" si="14"/>
        <v>4.9214080382146932E-2</v>
      </c>
      <c r="H53" s="458">
        <f>SUM(H44:H52)</f>
        <v>371905</v>
      </c>
      <c r="I53" s="2316">
        <f>+H53-D53</f>
        <v>17444.450000000012</v>
      </c>
      <c r="J53" s="459"/>
      <c r="K53" s="456">
        <f t="shared" si="15"/>
        <v>0.10618303061265645</v>
      </c>
      <c r="L53" s="458">
        <f>SUM(L44:L52)</f>
        <v>411395</v>
      </c>
      <c r="M53" s="2316">
        <f>+L53-H53</f>
        <v>39490</v>
      </c>
      <c r="O53" s="456">
        <f t="shared" si="16"/>
        <v>1.6222851517398121E-2</v>
      </c>
      <c r="P53" s="458">
        <f>SUM(P44:P52)</f>
        <v>418069</v>
      </c>
      <c r="Q53" s="2316">
        <f>+P53-L53</f>
        <v>6674</v>
      </c>
      <c r="R53" s="592"/>
      <c r="S53" s="2238">
        <f t="shared" si="17"/>
        <v>6.21021888731286E-2</v>
      </c>
      <c r="T53" s="458">
        <f>SUM(T44:T52)</f>
        <v>444032</v>
      </c>
      <c r="U53" s="2316"/>
      <c r="V53" s="952"/>
      <c r="W53" s="2241">
        <f t="shared" si="18"/>
        <v>8.7477929518593248E-2</v>
      </c>
      <c r="X53" s="458">
        <f>SUM(X44:X52)</f>
        <v>482875</v>
      </c>
      <c r="Y53" s="2344"/>
      <c r="AA53" s="456" t="e">
        <f t="shared" si="19"/>
        <v>#VALUE!</v>
      </c>
      <c r="AB53" s="458" t="e">
        <f>SUM(AB44:AB52)</f>
        <v>#VALUE!</v>
      </c>
      <c r="AC53" s="2344"/>
    </row>
    <row r="54" spans="1:29" s="457" customFormat="1" x14ac:dyDescent="0.25">
      <c r="A54" s="868"/>
      <c r="B54" s="2385"/>
      <c r="C54" s="2215"/>
      <c r="D54" s="340"/>
      <c r="E54" s="2386"/>
      <c r="F54" s="340"/>
      <c r="G54" s="2338"/>
      <c r="H54" s="340"/>
      <c r="I54" s="897"/>
      <c r="J54" s="455"/>
      <c r="K54" s="1668"/>
      <c r="L54" s="340"/>
      <c r="M54" s="901"/>
      <c r="O54" s="1668"/>
      <c r="P54" s="340"/>
      <c r="Q54" s="901"/>
      <c r="R54" s="592"/>
      <c r="S54" s="2341"/>
      <c r="T54" s="340"/>
      <c r="U54" s="901"/>
      <c r="V54" s="952"/>
      <c r="W54" s="2343"/>
      <c r="X54" s="340"/>
      <c r="Y54" s="2344"/>
      <c r="AA54" s="1668"/>
      <c r="AB54" s="340"/>
      <c r="AC54" s="2344"/>
    </row>
    <row r="55" spans="1:29" s="457" customFormat="1" x14ac:dyDescent="0.25">
      <c r="A55" s="898"/>
      <c r="B55" s="2337" t="s">
        <v>26</v>
      </c>
      <c r="C55" s="2215"/>
      <c r="D55" s="458">
        <f>SUM(D53,D41,D30)</f>
        <v>1631528.84</v>
      </c>
      <c r="E55" s="2386"/>
      <c r="F55" s="340"/>
      <c r="G55" s="456">
        <f>IF(D55=0,"0.00%",(H55-D55)/D55)</f>
        <v>2.0683765541036906E-2</v>
      </c>
      <c r="H55" s="458">
        <f>SUM(H53,H41,H30)</f>
        <v>1665275</v>
      </c>
      <c r="I55" s="2316">
        <f>+H55-D55</f>
        <v>33746.159999999916</v>
      </c>
      <c r="J55" s="459"/>
      <c r="K55" s="456">
        <f>IF(H55=0,"0.00%",(L55-H55)/H55)</f>
        <v>-3.8165468165918544E-2</v>
      </c>
      <c r="L55" s="458">
        <f>SUM(L53,L41,L30)</f>
        <v>1601719</v>
      </c>
      <c r="M55" s="2316">
        <f>+L55-H55</f>
        <v>-63556</v>
      </c>
      <c r="O55" s="456">
        <f>IF(L55=0,"0.00%",(P55-L55)/L55)</f>
        <v>0</v>
      </c>
      <c r="P55" s="458">
        <f>SUM(P53,P41,P30)</f>
        <v>1601719</v>
      </c>
      <c r="Q55" s="2316">
        <f>+P55-L55</f>
        <v>0</v>
      </c>
      <c r="R55" s="592"/>
      <c r="S55" s="2238">
        <f>IF(P55=0,"0.00%",(T55-P55)/P55)</f>
        <v>0</v>
      </c>
      <c r="T55" s="458">
        <f>SUM(T53,T41,T30)</f>
        <v>1601719</v>
      </c>
      <c r="U55" s="2316">
        <f>+T55-P55</f>
        <v>0</v>
      </c>
      <c r="V55" s="952"/>
      <c r="W55" s="2241">
        <f>IF(T55=0,"0.00%",(X55-T55)/T55)</f>
        <v>3.8706539661451225E-2</v>
      </c>
      <c r="X55" s="458">
        <f>SUM(X53,X41,X30)</f>
        <v>1663716</v>
      </c>
      <c r="Y55" s="2344"/>
      <c r="AA55" s="456" t="e">
        <f>IF(X55=0,"0.00%",(AB55-X55)/X55)</f>
        <v>#VALUE!</v>
      </c>
      <c r="AB55" s="458" t="e">
        <f>SUM(AB53,AB41,AB30)</f>
        <v>#VALUE!</v>
      </c>
      <c r="AC55" s="2344"/>
    </row>
    <row r="56" spans="1:29" s="457" customFormat="1" x14ac:dyDescent="0.25">
      <c r="A56" s="2339"/>
      <c r="B56" s="2345"/>
      <c r="C56" s="2215"/>
      <c r="D56" s="340"/>
      <c r="E56" s="2386"/>
      <c r="F56" s="340"/>
      <c r="G56" s="2338"/>
      <c r="H56" s="340"/>
      <c r="I56" s="897"/>
      <c r="J56" s="455"/>
      <c r="K56" s="1668"/>
      <c r="L56" s="340"/>
      <c r="M56" s="901"/>
      <c r="O56" s="1668"/>
      <c r="P56" s="340"/>
      <c r="Q56" s="901"/>
      <c r="R56" s="592"/>
      <c r="S56" s="2341"/>
      <c r="T56" s="340"/>
      <c r="U56" s="2344"/>
      <c r="V56" s="952"/>
      <c r="W56" s="2343"/>
      <c r="X56" s="340"/>
      <c r="Y56" s="2344"/>
      <c r="AA56" s="1668"/>
      <c r="AB56" s="340"/>
      <c r="AC56" s="2344"/>
    </row>
    <row r="57" spans="1:29" s="457" customFormat="1" x14ac:dyDescent="0.25">
      <c r="A57" s="897"/>
      <c r="B57" s="2345"/>
      <c r="C57" s="2215"/>
      <c r="D57" s="340"/>
      <c r="E57" s="2386"/>
      <c r="F57" s="340"/>
      <c r="G57" s="2338"/>
      <c r="H57" s="340"/>
      <c r="I57" s="897"/>
      <c r="J57" s="455"/>
      <c r="K57" s="1668"/>
      <c r="L57" s="340"/>
      <c r="M57" s="901"/>
      <c r="O57" s="1668"/>
      <c r="P57" s="340"/>
      <c r="Q57" s="901"/>
      <c r="R57" s="592"/>
      <c r="S57" s="2341"/>
      <c r="T57" s="340"/>
      <c r="U57" s="2344"/>
      <c r="V57" s="952"/>
      <c r="W57" s="2343"/>
      <c r="X57" s="340"/>
      <c r="Y57" s="2344"/>
      <c r="AA57" s="1668"/>
      <c r="AB57" s="340"/>
      <c r="AC57" s="2344"/>
    </row>
    <row r="58" spans="1:29" s="457" customFormat="1" x14ac:dyDescent="0.25">
      <c r="A58" s="2339"/>
      <c r="B58" s="2440" t="s">
        <v>25</v>
      </c>
      <c r="C58" s="2225"/>
      <c r="D58" s="340"/>
      <c r="E58" s="2386"/>
      <c r="F58" s="340"/>
      <c r="G58" s="2338"/>
      <c r="H58" s="340"/>
      <c r="I58" s="897"/>
      <c r="J58" s="455"/>
      <c r="K58" s="1668"/>
      <c r="L58" s="340"/>
      <c r="M58" s="901"/>
      <c r="O58" s="1668"/>
      <c r="P58" s="340"/>
      <c r="Q58" s="901"/>
      <c r="R58" s="592"/>
      <c r="S58" s="2341"/>
      <c r="T58" s="340"/>
      <c r="U58" s="2344"/>
      <c r="V58" s="952"/>
      <c r="W58" s="2343"/>
      <c r="X58" s="340"/>
      <c r="Y58" s="2344"/>
      <c r="AA58" s="1668"/>
      <c r="AB58" s="340"/>
      <c r="AC58" s="2344"/>
    </row>
    <row r="59" spans="1:29" s="457" customFormat="1" hidden="1" x14ac:dyDescent="0.25">
      <c r="A59" s="897"/>
      <c r="B59" s="2385"/>
      <c r="C59" s="2215"/>
      <c r="D59" s="340">
        <v>0</v>
      </c>
      <c r="E59" s="2386"/>
      <c r="F59" s="340"/>
      <c r="G59" s="456" t="str">
        <f t="shared" ref="G59:G66" si="30">IF(D59=0,"0.00%",(H59-D59)/D59)</f>
        <v>0.00%</v>
      </c>
      <c r="H59" s="340">
        <f t="shared" ref="H59:H65" si="31">ROUND(D59*(LEFT(I59,5)+1),0)</f>
        <v>0</v>
      </c>
      <c r="I59" s="899" t="str">
        <f>TEXT('MYP Assumptions'!E78,"0.00%")&amp;", CPI"</f>
        <v>3.37%, CPI</v>
      </c>
      <c r="J59" s="455"/>
      <c r="K59" s="456" t="str">
        <f t="shared" ref="K59:K66" si="32">IF(H59=0,"0.00%",(L59-H59)/H59)</f>
        <v>0.00%</v>
      </c>
      <c r="L59" s="340">
        <f>ROUND(H59*(LEFT(M59,5)+1),0)</f>
        <v>0</v>
      </c>
      <c r="M59" s="899" t="str">
        <f>TEXT('MYP Assumptions'!F78,"0.00%")&amp;", CPI"</f>
        <v>3.58%, CPI</v>
      </c>
      <c r="O59" s="456" t="str">
        <f t="shared" ref="O59:O66" si="33">IF(L59=0,"0.00%",(P59-L59)/L59)</f>
        <v>0.00%</v>
      </c>
      <c r="P59" s="340">
        <f>ROUND(L59*(LEFT(Q59,5)+1),0)</f>
        <v>0</v>
      </c>
      <c r="Q59" s="899" t="str">
        <f>TEXT('MYP Assumptions'!G78,"0.00%")&amp;", CPI"</f>
        <v>3.36%, CPI</v>
      </c>
      <c r="R59" s="592"/>
      <c r="S59" s="2238" t="str">
        <f t="shared" ref="S59:S66" si="34">IF(P59=0,"0.00%",(T59-P59)/P59)</f>
        <v>0.00%</v>
      </c>
      <c r="T59" s="340">
        <f>ROUND(P59*(LEFT(U59,5)+1),0)</f>
        <v>0</v>
      </c>
      <c r="U59" s="953" t="str">
        <f>TEXT('MYP Assumptions'!H78,"0.00%")&amp;", CPI"</f>
        <v>3.23%, CPI</v>
      </c>
      <c r="V59" s="952"/>
      <c r="W59" s="2241" t="str">
        <f t="shared" ref="W59:W66" si="35">IF(T59=0,"0.00%",(X59-T59)/T59)</f>
        <v>0.00%</v>
      </c>
      <c r="X59" s="340">
        <f>ROUND(T59*(LEFT(Y59,5)+1),0)</f>
        <v>0</v>
      </c>
      <c r="Y59" s="953" t="str">
        <f>TEXT('MYP Assumptions'!I78,"0.00%")&amp;", CPI"</f>
        <v>2.73%, CPI</v>
      </c>
      <c r="AA59" s="456" t="str">
        <f t="shared" ref="AA59:AA66" si="36">IF(X59=0,"0.00%",(AB59-X59)/X59)</f>
        <v>0.00%</v>
      </c>
      <c r="AB59" s="340">
        <f>ROUND(X59*(LEFT(AC59,5)+1),0)</f>
        <v>0</v>
      </c>
      <c r="AC59" s="953" t="str">
        <f>TEXT('MYP Assumptions'!J78,"0.00%")&amp;", CPI"</f>
        <v>2.73%, CPI</v>
      </c>
    </row>
    <row r="60" spans="1:29" s="457" customFormat="1" hidden="1" x14ac:dyDescent="0.25">
      <c r="A60" s="897"/>
      <c r="B60" s="2385"/>
      <c r="C60" s="2215"/>
      <c r="D60" s="340">
        <v>0</v>
      </c>
      <c r="E60" s="2386"/>
      <c r="F60" s="340"/>
      <c r="G60" s="456" t="str">
        <f t="shared" si="30"/>
        <v>0.00%</v>
      </c>
      <c r="H60" s="340">
        <f t="shared" si="31"/>
        <v>0</v>
      </c>
      <c r="I60" s="899" t="str">
        <f>TEXT('MYP Assumptions'!E78,"0.00%")&amp;", CPI"</f>
        <v>3.37%, CPI</v>
      </c>
      <c r="J60" s="455"/>
      <c r="K60" s="456" t="str">
        <f t="shared" si="32"/>
        <v>0.00%</v>
      </c>
      <c r="L60" s="340">
        <f t="shared" ref="L60:L65" si="37">ROUND(H60*(LEFT(M60,5)+1),0)</f>
        <v>0</v>
      </c>
      <c r="M60" s="899" t="str">
        <f>TEXT('MYP Assumptions'!F78,"0.00%")&amp;", CPI"</f>
        <v>3.58%, CPI</v>
      </c>
      <c r="O60" s="456" t="str">
        <f t="shared" si="33"/>
        <v>0.00%</v>
      </c>
      <c r="P60" s="340">
        <f t="shared" ref="P60:P65" si="38">ROUND(L60*(LEFT(Q60,5)+1),0)</f>
        <v>0</v>
      </c>
      <c r="Q60" s="899" t="str">
        <f>TEXT('MYP Assumptions'!G78,"0.00%")&amp;", CPI"</f>
        <v>3.36%, CPI</v>
      </c>
      <c r="R60" s="592"/>
      <c r="S60" s="2238" t="str">
        <f t="shared" si="34"/>
        <v>0.00%</v>
      </c>
      <c r="T60" s="340">
        <f t="shared" ref="T60:T65" si="39">ROUND(P60*(LEFT(U60,5)+1),0)</f>
        <v>0</v>
      </c>
      <c r="U60" s="953" t="str">
        <f>TEXT('MYP Assumptions'!H78,"0.00%")&amp;", CPI"</f>
        <v>3.23%, CPI</v>
      </c>
      <c r="V60" s="952"/>
      <c r="W60" s="2241" t="str">
        <f t="shared" si="35"/>
        <v>0.00%</v>
      </c>
      <c r="X60" s="340">
        <f t="shared" ref="X60:X65" si="40">ROUND(T60*(LEFT(Y60,5)+1),0)</f>
        <v>0</v>
      </c>
      <c r="Y60" s="953" t="str">
        <f>TEXT('MYP Assumptions'!I78,"0.00%")&amp;", CPI"</f>
        <v>2.73%, CPI</v>
      </c>
      <c r="AA60" s="456" t="str">
        <f t="shared" si="36"/>
        <v>0.00%</v>
      </c>
      <c r="AB60" s="340">
        <f t="shared" ref="AB60:AB65" si="41">ROUND(X60*(LEFT(AC60,5)+1),0)</f>
        <v>0</v>
      </c>
      <c r="AC60" s="953" t="str">
        <f>TEXT('MYP Assumptions'!J78,"0.00%")&amp;", CPI"</f>
        <v>2.73%, CPI</v>
      </c>
    </row>
    <row r="61" spans="1:29" s="457" customFormat="1" hidden="1" x14ac:dyDescent="0.25">
      <c r="A61" s="897"/>
      <c r="B61" s="2385"/>
      <c r="C61" s="2215"/>
      <c r="D61" s="340">
        <v>0</v>
      </c>
      <c r="E61" s="2386"/>
      <c r="F61" s="340"/>
      <c r="G61" s="456" t="str">
        <f t="shared" si="30"/>
        <v>0.00%</v>
      </c>
      <c r="H61" s="340">
        <f t="shared" si="31"/>
        <v>0</v>
      </c>
      <c r="I61" s="899" t="str">
        <f>TEXT('MYP Assumptions'!E78,"0.00%")&amp;", CPI"</f>
        <v>3.37%, CPI</v>
      </c>
      <c r="J61" s="455"/>
      <c r="K61" s="456" t="str">
        <f t="shared" si="32"/>
        <v>0.00%</v>
      </c>
      <c r="L61" s="340">
        <f t="shared" si="37"/>
        <v>0</v>
      </c>
      <c r="M61" s="899" t="str">
        <f>TEXT('MYP Assumptions'!F78,"0.00%")&amp;", CPI"</f>
        <v>3.58%, CPI</v>
      </c>
      <c r="O61" s="456" t="str">
        <f t="shared" si="33"/>
        <v>0.00%</v>
      </c>
      <c r="P61" s="340">
        <f t="shared" si="38"/>
        <v>0</v>
      </c>
      <c r="Q61" s="899" t="str">
        <f>TEXT('MYP Assumptions'!G78,"0.00%")&amp;", CPI"</f>
        <v>3.36%, CPI</v>
      </c>
      <c r="R61" s="592"/>
      <c r="S61" s="2238" t="str">
        <f t="shared" si="34"/>
        <v>0.00%</v>
      </c>
      <c r="T61" s="340">
        <f t="shared" si="39"/>
        <v>0</v>
      </c>
      <c r="U61" s="953" t="str">
        <f>TEXT('MYP Assumptions'!H78,"0.00%")&amp;", CPI"</f>
        <v>3.23%, CPI</v>
      </c>
      <c r="V61" s="952"/>
      <c r="W61" s="2241" t="str">
        <f t="shared" si="35"/>
        <v>0.00%</v>
      </c>
      <c r="X61" s="340">
        <f t="shared" si="40"/>
        <v>0</v>
      </c>
      <c r="Y61" s="953" t="str">
        <f>TEXT('MYP Assumptions'!I78,"0.00%")&amp;", CPI"</f>
        <v>2.73%, CPI</v>
      </c>
      <c r="AA61" s="456" t="str">
        <f t="shared" si="36"/>
        <v>0.00%</v>
      </c>
      <c r="AB61" s="340">
        <f t="shared" si="41"/>
        <v>0</v>
      </c>
      <c r="AC61" s="953" t="str">
        <f>TEXT('MYP Assumptions'!J78,"0.00%")&amp;", CPI"</f>
        <v>2.73%, CPI</v>
      </c>
    </row>
    <row r="62" spans="1:29" s="457" customFormat="1" hidden="1" x14ac:dyDescent="0.25">
      <c r="A62" s="897"/>
      <c r="B62" s="2385"/>
      <c r="C62" s="2215"/>
      <c r="D62" s="340">
        <v>0</v>
      </c>
      <c r="E62" s="2386"/>
      <c r="F62" s="340"/>
      <c r="G62" s="456" t="str">
        <f t="shared" si="30"/>
        <v>0.00%</v>
      </c>
      <c r="H62" s="340">
        <f t="shared" si="31"/>
        <v>0</v>
      </c>
      <c r="I62" s="899" t="str">
        <f>TEXT('MYP Assumptions'!E78,"0.00%")&amp;", CPI"</f>
        <v>3.37%, CPI</v>
      </c>
      <c r="J62" s="455"/>
      <c r="K62" s="456" t="str">
        <f t="shared" si="32"/>
        <v>0.00%</v>
      </c>
      <c r="L62" s="340">
        <f t="shared" si="37"/>
        <v>0</v>
      </c>
      <c r="M62" s="899" t="str">
        <f>TEXT('MYP Assumptions'!F78,"0.00%")&amp;", CPI"</f>
        <v>3.58%, CPI</v>
      </c>
      <c r="O62" s="456" t="str">
        <f t="shared" si="33"/>
        <v>0.00%</v>
      </c>
      <c r="P62" s="340">
        <f t="shared" si="38"/>
        <v>0</v>
      </c>
      <c r="Q62" s="899" t="str">
        <f>TEXT('MYP Assumptions'!G78,"0.00%")&amp;", CPI"</f>
        <v>3.36%, CPI</v>
      </c>
      <c r="R62" s="592"/>
      <c r="S62" s="2238" t="str">
        <f t="shared" si="34"/>
        <v>0.00%</v>
      </c>
      <c r="T62" s="340">
        <f t="shared" si="39"/>
        <v>0</v>
      </c>
      <c r="U62" s="953" t="str">
        <f>TEXT('MYP Assumptions'!H78,"0.00%")&amp;", CPI"</f>
        <v>3.23%, CPI</v>
      </c>
      <c r="V62" s="952"/>
      <c r="W62" s="2241" t="str">
        <f t="shared" si="35"/>
        <v>0.00%</v>
      </c>
      <c r="X62" s="340">
        <f t="shared" si="40"/>
        <v>0</v>
      </c>
      <c r="Y62" s="953" t="str">
        <f>TEXT('MYP Assumptions'!I78,"0.00%")&amp;", CPI"</f>
        <v>2.73%, CPI</v>
      </c>
      <c r="AA62" s="456" t="str">
        <f t="shared" si="36"/>
        <v>0.00%</v>
      </c>
      <c r="AB62" s="340">
        <f t="shared" si="41"/>
        <v>0</v>
      </c>
      <c r="AC62" s="953" t="str">
        <f>TEXT('MYP Assumptions'!J78,"0.00%")&amp;", CPI"</f>
        <v>2.73%, CPI</v>
      </c>
    </row>
    <row r="63" spans="1:29" s="457" customFormat="1" hidden="1" x14ac:dyDescent="0.25">
      <c r="A63" s="897"/>
      <c r="B63" s="2385"/>
      <c r="C63" s="2215"/>
      <c r="D63" s="340">
        <v>0</v>
      </c>
      <c r="E63" s="2386"/>
      <c r="F63" s="340"/>
      <c r="G63" s="456" t="str">
        <f t="shared" si="30"/>
        <v>0.00%</v>
      </c>
      <c r="H63" s="340">
        <f t="shared" si="31"/>
        <v>0</v>
      </c>
      <c r="I63" s="899" t="str">
        <f>TEXT('MYP Assumptions'!E78,"0.00%")&amp;", CPI"</f>
        <v>3.37%, CPI</v>
      </c>
      <c r="J63" s="455"/>
      <c r="K63" s="456" t="str">
        <f t="shared" si="32"/>
        <v>0.00%</v>
      </c>
      <c r="L63" s="340">
        <f t="shared" si="37"/>
        <v>0</v>
      </c>
      <c r="M63" s="899" t="str">
        <f>TEXT('MYP Assumptions'!F78,"0.00%")&amp;", CPI"</f>
        <v>3.58%, CPI</v>
      </c>
      <c r="O63" s="456" t="str">
        <f t="shared" si="33"/>
        <v>0.00%</v>
      </c>
      <c r="P63" s="340">
        <f t="shared" si="38"/>
        <v>0</v>
      </c>
      <c r="Q63" s="899" t="str">
        <f>TEXT('MYP Assumptions'!G78,"0.00%")&amp;", CPI"</f>
        <v>3.36%, CPI</v>
      </c>
      <c r="R63" s="592"/>
      <c r="S63" s="2238" t="str">
        <f t="shared" si="34"/>
        <v>0.00%</v>
      </c>
      <c r="T63" s="340">
        <f t="shared" si="39"/>
        <v>0</v>
      </c>
      <c r="U63" s="953" t="str">
        <f>TEXT('MYP Assumptions'!H78,"0.00%")&amp;", CPI"</f>
        <v>3.23%, CPI</v>
      </c>
      <c r="V63" s="952"/>
      <c r="W63" s="2241" t="str">
        <f t="shared" si="35"/>
        <v>0.00%</v>
      </c>
      <c r="X63" s="340">
        <f t="shared" si="40"/>
        <v>0</v>
      </c>
      <c r="Y63" s="953" t="str">
        <f>TEXT('MYP Assumptions'!I78,"0.00%")&amp;", CPI"</f>
        <v>2.73%, CPI</v>
      </c>
      <c r="AA63" s="456" t="str">
        <f t="shared" si="36"/>
        <v>0.00%</v>
      </c>
      <c r="AB63" s="340">
        <f t="shared" si="41"/>
        <v>0</v>
      </c>
      <c r="AC63" s="953" t="str">
        <f>TEXT('MYP Assumptions'!J78,"0.00%")&amp;", CPI"</f>
        <v>2.73%, CPI</v>
      </c>
    </row>
    <row r="64" spans="1:29" s="457" customFormat="1" hidden="1" x14ac:dyDescent="0.25">
      <c r="A64" s="897"/>
      <c r="B64" s="2385"/>
      <c r="C64" s="2215"/>
      <c r="D64" s="340">
        <v>0</v>
      </c>
      <c r="E64" s="2386"/>
      <c r="F64" s="340"/>
      <c r="G64" s="456" t="str">
        <f t="shared" si="30"/>
        <v>0.00%</v>
      </c>
      <c r="H64" s="340">
        <f t="shared" si="31"/>
        <v>0</v>
      </c>
      <c r="I64" s="899" t="str">
        <f>TEXT('MYP Assumptions'!E78,"0.00%")&amp;", CPI"</f>
        <v>3.37%, CPI</v>
      </c>
      <c r="J64" s="455"/>
      <c r="K64" s="456" t="str">
        <f t="shared" si="32"/>
        <v>0.00%</v>
      </c>
      <c r="L64" s="340">
        <f t="shared" si="37"/>
        <v>0</v>
      </c>
      <c r="M64" s="899" t="str">
        <f>TEXT('MYP Assumptions'!F78,"0.00%")&amp;", CPI"</f>
        <v>3.58%, CPI</v>
      </c>
      <c r="O64" s="456" t="str">
        <f t="shared" si="33"/>
        <v>0.00%</v>
      </c>
      <c r="P64" s="340">
        <f t="shared" si="38"/>
        <v>0</v>
      </c>
      <c r="Q64" s="899" t="str">
        <f>TEXT('MYP Assumptions'!G78,"0.00%")&amp;", CPI"</f>
        <v>3.36%, CPI</v>
      </c>
      <c r="R64" s="592"/>
      <c r="S64" s="2238" t="str">
        <f t="shared" si="34"/>
        <v>0.00%</v>
      </c>
      <c r="T64" s="340">
        <f t="shared" si="39"/>
        <v>0</v>
      </c>
      <c r="U64" s="953" t="str">
        <f>TEXT('MYP Assumptions'!H78,"0.00%")&amp;", CPI"</f>
        <v>3.23%, CPI</v>
      </c>
      <c r="V64" s="952"/>
      <c r="W64" s="2241" t="str">
        <f t="shared" si="35"/>
        <v>0.00%</v>
      </c>
      <c r="X64" s="340">
        <f t="shared" si="40"/>
        <v>0</v>
      </c>
      <c r="Y64" s="953" t="str">
        <f>TEXT('MYP Assumptions'!I78,"0.00%")&amp;", CPI"</f>
        <v>2.73%, CPI</v>
      </c>
      <c r="AA64" s="456" t="str">
        <f t="shared" si="36"/>
        <v>0.00%</v>
      </c>
      <c r="AB64" s="340">
        <f t="shared" si="41"/>
        <v>0</v>
      </c>
      <c r="AC64" s="953" t="str">
        <f>TEXT('MYP Assumptions'!J78,"0.00%")&amp;", CPI"</f>
        <v>2.73%, CPI</v>
      </c>
    </row>
    <row r="65" spans="1:29" s="457" customFormat="1" hidden="1" x14ac:dyDescent="0.25">
      <c r="A65" s="897"/>
      <c r="B65" s="2385"/>
      <c r="C65" s="2349"/>
      <c r="D65" s="340">
        <v>0</v>
      </c>
      <c r="E65" s="2386"/>
      <c r="F65" s="340"/>
      <c r="G65" s="456" t="str">
        <f t="shared" si="30"/>
        <v>0.00%</v>
      </c>
      <c r="H65" s="340">
        <f t="shared" si="31"/>
        <v>0</v>
      </c>
      <c r="I65" s="899" t="str">
        <f>TEXT('MYP Assumptions'!E78,"0.00%")&amp;", CPI"</f>
        <v>3.37%, CPI</v>
      </c>
      <c r="J65" s="455"/>
      <c r="K65" s="456" t="str">
        <f t="shared" si="32"/>
        <v>0.00%</v>
      </c>
      <c r="L65" s="340">
        <f t="shared" si="37"/>
        <v>0</v>
      </c>
      <c r="M65" s="899" t="str">
        <f>TEXT('MYP Assumptions'!F78,"0.00%")&amp;", CPI"</f>
        <v>3.58%, CPI</v>
      </c>
      <c r="O65" s="456" t="str">
        <f t="shared" si="33"/>
        <v>0.00%</v>
      </c>
      <c r="P65" s="340">
        <f t="shared" si="38"/>
        <v>0</v>
      </c>
      <c r="Q65" s="899" t="str">
        <f>TEXT('MYP Assumptions'!G78,"0.00%")&amp;", CPI"</f>
        <v>3.36%, CPI</v>
      </c>
      <c r="R65" s="592"/>
      <c r="S65" s="2238" t="str">
        <f t="shared" si="34"/>
        <v>0.00%</v>
      </c>
      <c r="T65" s="340">
        <f t="shared" si="39"/>
        <v>0</v>
      </c>
      <c r="U65" s="953" t="str">
        <f>TEXT('MYP Assumptions'!H78,"0.00%")&amp;", CPI"</f>
        <v>3.23%, CPI</v>
      </c>
      <c r="V65" s="952"/>
      <c r="W65" s="2241" t="str">
        <f t="shared" si="35"/>
        <v>0.00%</v>
      </c>
      <c r="X65" s="340">
        <f t="shared" si="40"/>
        <v>0</v>
      </c>
      <c r="Y65" s="953" t="str">
        <f>TEXT('MYP Assumptions'!I78,"0.00%")&amp;", CPI"</f>
        <v>2.73%, CPI</v>
      </c>
      <c r="AA65" s="456" t="str">
        <f t="shared" si="36"/>
        <v>0.00%</v>
      </c>
      <c r="AB65" s="340">
        <f t="shared" si="41"/>
        <v>0</v>
      </c>
      <c r="AC65" s="953" t="str">
        <f>TEXT('MYP Assumptions'!J78,"0.00%")&amp;", CPI"</f>
        <v>2.73%, CPI</v>
      </c>
    </row>
    <row r="66" spans="1:29" s="457" customFormat="1" x14ac:dyDescent="0.25">
      <c r="A66" s="898"/>
      <c r="B66" s="2215"/>
      <c r="C66" s="2215"/>
      <c r="D66" s="458">
        <f>SUM(D59:D65)</f>
        <v>0</v>
      </c>
      <c r="E66" s="2386"/>
      <c r="F66" s="340"/>
      <c r="G66" s="456" t="str">
        <f t="shared" si="30"/>
        <v>0.00%</v>
      </c>
      <c r="H66" s="458">
        <f>SUM(H59:H65)</f>
        <v>0</v>
      </c>
      <c r="I66" s="898"/>
      <c r="J66" s="459"/>
      <c r="K66" s="456" t="str">
        <f t="shared" si="32"/>
        <v>0.00%</v>
      </c>
      <c r="L66" s="458">
        <f>SUM(L59:L65)</f>
        <v>0</v>
      </c>
      <c r="M66" s="901"/>
      <c r="O66" s="456" t="str">
        <f t="shared" si="33"/>
        <v>0.00%</v>
      </c>
      <c r="P66" s="458">
        <f>SUM(P59:P65)</f>
        <v>0</v>
      </c>
      <c r="Q66" s="901"/>
      <c r="R66" s="592"/>
      <c r="S66" s="2238" t="str">
        <f t="shared" si="34"/>
        <v>0.00%</v>
      </c>
      <c r="T66" s="458">
        <f>SUM(T59:T65)</f>
        <v>0</v>
      </c>
      <c r="U66" s="2344"/>
      <c r="V66" s="952"/>
      <c r="W66" s="2241" t="str">
        <f t="shared" si="35"/>
        <v>0.00%</v>
      </c>
      <c r="X66" s="458">
        <f>SUM(X59:X65)</f>
        <v>0</v>
      </c>
      <c r="Y66" s="2344"/>
      <c r="AA66" s="456" t="str">
        <f t="shared" si="36"/>
        <v>0.00%</v>
      </c>
      <c r="AB66" s="458">
        <f>SUM(AB59:AB65)</f>
        <v>0</v>
      </c>
      <c r="AC66" s="2344"/>
    </row>
    <row r="67" spans="1:29" s="457" customFormat="1" x14ac:dyDescent="0.25">
      <c r="A67" s="897"/>
      <c r="B67" s="2345"/>
      <c r="C67" s="2215"/>
      <c r="D67" s="340"/>
      <c r="E67" s="2386"/>
      <c r="F67" s="340"/>
      <c r="G67" s="2338"/>
      <c r="H67" s="340"/>
      <c r="I67" s="897"/>
      <c r="J67" s="455"/>
      <c r="K67" s="1668"/>
      <c r="L67" s="340"/>
      <c r="M67" s="901"/>
      <c r="O67" s="1668"/>
      <c r="P67" s="340"/>
      <c r="Q67" s="901"/>
      <c r="R67" s="592"/>
      <c r="S67" s="2341"/>
      <c r="T67" s="340"/>
      <c r="U67" s="2344"/>
      <c r="V67" s="952"/>
      <c r="W67" s="2343"/>
      <c r="X67" s="340"/>
      <c r="Y67" s="2344"/>
      <c r="AA67" s="1668"/>
      <c r="AB67" s="340"/>
      <c r="AC67" s="2344"/>
    </row>
    <row r="68" spans="1:29" s="461" customFormat="1" x14ac:dyDescent="0.25">
      <c r="A68" s="900"/>
      <c r="B68" s="2337" t="s">
        <v>16</v>
      </c>
      <c r="C68" s="2225"/>
      <c r="D68" s="460"/>
      <c r="E68" s="868"/>
      <c r="F68" s="460"/>
      <c r="G68" s="2389"/>
      <c r="H68" s="460"/>
      <c r="I68" s="900"/>
      <c r="K68" s="1669"/>
      <c r="L68" s="460"/>
      <c r="M68" s="902"/>
      <c r="O68" s="1669"/>
      <c r="P68" s="460"/>
      <c r="Q68" s="902"/>
      <c r="S68" s="1669"/>
      <c r="U68" s="2392"/>
      <c r="V68" s="2381"/>
      <c r="W68" s="2382"/>
      <c r="Y68" s="2392"/>
      <c r="AA68" s="1669"/>
      <c r="AC68" s="2392"/>
    </row>
    <row r="69" spans="1:29" s="457" customFormat="1" hidden="1" x14ac:dyDescent="0.25">
      <c r="A69" s="897"/>
      <c r="B69" s="2385"/>
      <c r="C69" s="2215"/>
      <c r="D69" s="340">
        <v>0</v>
      </c>
      <c r="E69" s="2386"/>
      <c r="F69" s="340"/>
      <c r="G69" s="456" t="str">
        <f t="shared" ref="G69:G74" si="42">IF(D69=0,"0.00%",(H69-D69)/D69)</f>
        <v>0.00%</v>
      </c>
      <c r="H69" s="340">
        <f>ROUND(D69*(LEFT(I69,5)+1),0)</f>
        <v>0</v>
      </c>
      <c r="I69" s="899" t="str">
        <f>TEXT('MYP Assumptions'!E78,"0.00%")&amp;", CPI"</f>
        <v>3.37%, CPI</v>
      </c>
      <c r="J69" s="455"/>
      <c r="K69" s="456" t="str">
        <f t="shared" ref="K69:K82" si="43">IF(H69=0,"0.00%",(L69-H69)/H69)</f>
        <v>0.00%</v>
      </c>
      <c r="L69" s="340">
        <f>ROUND(H69*(LEFT(M69,5)+1),0)</f>
        <v>0</v>
      </c>
      <c r="M69" s="899" t="str">
        <f>TEXT('MYP Assumptions'!F78,"0.00%")&amp;", CPI"</f>
        <v>3.58%, CPI</v>
      </c>
      <c r="O69" s="456" t="str">
        <f t="shared" ref="O69:O82" si="44">IF(L69=0,"0.00%",(P69-L69)/L69)</f>
        <v>0.00%</v>
      </c>
      <c r="P69" s="340">
        <f>ROUND(L69*(LEFT(Q69,5)+1),0)</f>
        <v>0</v>
      </c>
      <c r="Q69" s="899" t="str">
        <f>TEXT('MYP Assumptions'!G78,"0.00%")&amp;", CPI"</f>
        <v>3.36%, CPI</v>
      </c>
      <c r="R69" s="592"/>
      <c r="S69" s="2238" t="str">
        <f t="shared" ref="S69:S82" si="45">IF(P69=0,"0.00%",(T69-P69)/P69)</f>
        <v>0.00%</v>
      </c>
      <c r="T69" s="340">
        <f>ROUND(P69*(LEFT(U69,5)+1),0)</f>
        <v>0</v>
      </c>
      <c r="U69" s="953" t="str">
        <f>TEXT('MYP Assumptions'!H78,"0.00%")&amp;", CPI"</f>
        <v>3.23%, CPI</v>
      </c>
      <c r="V69" s="952"/>
      <c r="W69" s="2241" t="str">
        <f t="shared" ref="W69:W82" si="46">IF(T69=0,"0.00%",(X69-T69)/T69)</f>
        <v>0.00%</v>
      </c>
      <c r="X69" s="340">
        <f>ROUND(T69*(LEFT(Y69,5)+1),0)</f>
        <v>0</v>
      </c>
      <c r="Y69" s="953" t="str">
        <f>TEXT('MYP Assumptions'!I78,"0.00%")&amp;", CPI"</f>
        <v>2.73%, CPI</v>
      </c>
      <c r="AA69" s="456" t="str">
        <f t="shared" ref="AA69:AA82" si="47">IF(X69=0,"0.00%",(AB69-X69)/X69)</f>
        <v>0.00%</v>
      </c>
      <c r="AB69" s="340">
        <f>ROUND(X69*(LEFT(AC69,5)+1),0)</f>
        <v>0</v>
      </c>
      <c r="AC69" s="953" t="str">
        <f>TEXT('MYP Assumptions'!J78,"0.00%")&amp;", CPI"</f>
        <v>2.73%, CPI</v>
      </c>
    </row>
    <row r="70" spans="1:29" s="457" customFormat="1" hidden="1" x14ac:dyDescent="0.25">
      <c r="A70" s="897"/>
      <c r="B70" s="2385"/>
      <c r="C70" s="2215"/>
      <c r="D70" s="340">
        <v>0</v>
      </c>
      <c r="E70" s="2386"/>
      <c r="F70" s="340"/>
      <c r="G70" s="456" t="str">
        <f t="shared" si="42"/>
        <v>0.00%</v>
      </c>
      <c r="H70" s="340">
        <f>ROUND(D70*(LEFT(I70,5)+1),0)</f>
        <v>0</v>
      </c>
      <c r="I70" s="899" t="str">
        <f>TEXT('MYP Assumptions'!E78,"0.00%")&amp;", CPI"</f>
        <v>3.37%, CPI</v>
      </c>
      <c r="J70" s="455"/>
      <c r="K70" s="456" t="str">
        <f t="shared" si="43"/>
        <v>0.00%</v>
      </c>
      <c r="L70" s="340">
        <f t="shared" ref="L70:L81" si="48">ROUND(H70*(LEFT(M70,5)+1),0)</f>
        <v>0</v>
      </c>
      <c r="M70" s="899" t="str">
        <f>TEXT('MYP Assumptions'!F78,"0.00%")&amp;", CPI"</f>
        <v>3.58%, CPI</v>
      </c>
      <c r="O70" s="456" t="str">
        <f t="shared" si="44"/>
        <v>0.00%</v>
      </c>
      <c r="P70" s="340">
        <f t="shared" ref="P70:P81" si="49">ROUND(L70*(LEFT(Q70,5)+1),0)</f>
        <v>0</v>
      </c>
      <c r="Q70" s="899" t="str">
        <f>TEXT('MYP Assumptions'!G78,"0.00%")&amp;", CPI"</f>
        <v>3.36%, CPI</v>
      </c>
      <c r="R70" s="592"/>
      <c r="S70" s="2238" t="str">
        <f t="shared" si="45"/>
        <v>0.00%</v>
      </c>
      <c r="T70" s="340">
        <f t="shared" ref="T70:T81" si="50">ROUND(P70*(LEFT(U70,5)+1),0)</f>
        <v>0</v>
      </c>
      <c r="U70" s="953" t="str">
        <f>TEXT('MYP Assumptions'!H78,"0.00%")&amp;", CPI"</f>
        <v>3.23%, CPI</v>
      </c>
      <c r="V70" s="952"/>
      <c r="W70" s="2241" t="str">
        <f t="shared" si="46"/>
        <v>0.00%</v>
      </c>
      <c r="X70" s="340">
        <f t="shared" ref="X70:X81" si="51">ROUND(T70*(LEFT(Y70,5)+1),0)</f>
        <v>0</v>
      </c>
      <c r="Y70" s="953" t="str">
        <f>TEXT('MYP Assumptions'!I78,"0.00%")&amp;", CPI"</f>
        <v>2.73%, CPI</v>
      </c>
      <c r="AA70" s="456" t="str">
        <f t="shared" si="47"/>
        <v>0.00%</v>
      </c>
      <c r="AB70" s="340">
        <f t="shared" ref="AB70:AB81" si="52">ROUND(X70*(LEFT(AC70,5)+1),0)</f>
        <v>0</v>
      </c>
      <c r="AC70" s="953" t="str">
        <f>TEXT('MYP Assumptions'!J78,"0.00%")&amp;", CPI"</f>
        <v>2.73%, CPI</v>
      </c>
    </row>
    <row r="71" spans="1:29" s="457" customFormat="1" hidden="1" x14ac:dyDescent="0.25">
      <c r="A71" s="897"/>
      <c r="B71" s="2385"/>
      <c r="C71" s="2215"/>
      <c r="D71" s="340">
        <v>0</v>
      </c>
      <c r="E71" s="2386"/>
      <c r="F71" s="340"/>
      <c r="G71" s="456" t="str">
        <f t="shared" si="42"/>
        <v>0.00%</v>
      </c>
      <c r="H71" s="340">
        <f t="shared" ref="H71:H76" si="53">ROUND(D71*(LEFT(I71,5)+1),0)</f>
        <v>0</v>
      </c>
      <c r="I71" s="899" t="str">
        <f>TEXT('MYP Assumptions'!E78,"0.00%")&amp;", CPI"</f>
        <v>3.37%, CPI</v>
      </c>
      <c r="J71" s="455"/>
      <c r="K71" s="456" t="str">
        <f t="shared" si="43"/>
        <v>0.00%</v>
      </c>
      <c r="L71" s="340">
        <f t="shared" si="48"/>
        <v>0</v>
      </c>
      <c r="M71" s="899" t="str">
        <f>TEXT('MYP Assumptions'!F78,"0.00%")&amp;", CPI"</f>
        <v>3.58%, CPI</v>
      </c>
      <c r="O71" s="456" t="str">
        <f t="shared" si="44"/>
        <v>0.00%</v>
      </c>
      <c r="P71" s="340">
        <f t="shared" si="49"/>
        <v>0</v>
      </c>
      <c r="Q71" s="899" t="str">
        <f>TEXT('MYP Assumptions'!G78,"0.00%")&amp;", CPI"</f>
        <v>3.36%, CPI</v>
      </c>
      <c r="R71" s="592"/>
      <c r="S71" s="2238" t="str">
        <f t="shared" si="45"/>
        <v>0.00%</v>
      </c>
      <c r="T71" s="340">
        <f t="shared" si="50"/>
        <v>0</v>
      </c>
      <c r="U71" s="953" t="str">
        <f>TEXT('MYP Assumptions'!H78,"0.00%")&amp;", CPI"</f>
        <v>3.23%, CPI</v>
      </c>
      <c r="V71" s="952"/>
      <c r="W71" s="2241" t="str">
        <f t="shared" si="46"/>
        <v>0.00%</v>
      </c>
      <c r="X71" s="340">
        <f t="shared" si="51"/>
        <v>0</v>
      </c>
      <c r="Y71" s="953" t="str">
        <f>TEXT('MYP Assumptions'!I78,"0.00%")&amp;", CPI"</f>
        <v>2.73%, CPI</v>
      </c>
      <c r="AA71" s="456" t="str">
        <f t="shared" si="47"/>
        <v>0.00%</v>
      </c>
      <c r="AB71" s="340">
        <f t="shared" si="52"/>
        <v>0</v>
      </c>
      <c r="AC71" s="953" t="str">
        <f>TEXT('MYP Assumptions'!J78,"0.00%")&amp;", CPI"</f>
        <v>2.73%, CPI</v>
      </c>
    </row>
    <row r="72" spans="1:29" s="457" customFormat="1" hidden="1" x14ac:dyDescent="0.25">
      <c r="A72" s="897"/>
      <c r="B72" s="2385"/>
      <c r="C72" s="2215"/>
      <c r="D72" s="340">
        <v>0</v>
      </c>
      <c r="E72" s="2386"/>
      <c r="F72" s="340"/>
      <c r="G72" s="456" t="str">
        <f t="shared" si="42"/>
        <v>0.00%</v>
      </c>
      <c r="H72" s="340">
        <f t="shared" si="53"/>
        <v>0</v>
      </c>
      <c r="I72" s="899" t="str">
        <f>TEXT('MYP Assumptions'!E78,"0.00%")&amp;", CPI"</f>
        <v>3.37%, CPI</v>
      </c>
      <c r="J72" s="455"/>
      <c r="K72" s="456" t="str">
        <f t="shared" si="43"/>
        <v>0.00%</v>
      </c>
      <c r="L72" s="340">
        <f t="shared" si="48"/>
        <v>0</v>
      </c>
      <c r="M72" s="899" t="str">
        <f>TEXT('MYP Assumptions'!F78,"0.00%")&amp;", CPI"</f>
        <v>3.58%, CPI</v>
      </c>
      <c r="O72" s="456" t="str">
        <f t="shared" si="44"/>
        <v>0.00%</v>
      </c>
      <c r="P72" s="340">
        <f t="shared" si="49"/>
        <v>0</v>
      </c>
      <c r="Q72" s="899" t="str">
        <f>TEXT('MYP Assumptions'!G78,"0.00%")&amp;", CPI"</f>
        <v>3.36%, CPI</v>
      </c>
      <c r="R72" s="592"/>
      <c r="S72" s="2238" t="str">
        <f t="shared" si="45"/>
        <v>0.00%</v>
      </c>
      <c r="T72" s="340">
        <f t="shared" si="50"/>
        <v>0</v>
      </c>
      <c r="U72" s="953" t="str">
        <f>TEXT('MYP Assumptions'!H78,"0.00%")&amp;", CPI"</f>
        <v>3.23%, CPI</v>
      </c>
      <c r="V72" s="952"/>
      <c r="W72" s="2241" t="str">
        <f t="shared" si="46"/>
        <v>0.00%</v>
      </c>
      <c r="X72" s="340">
        <f t="shared" si="51"/>
        <v>0</v>
      </c>
      <c r="Y72" s="953" t="str">
        <f>TEXT('MYP Assumptions'!I78,"0.00%")&amp;", CPI"</f>
        <v>2.73%, CPI</v>
      </c>
      <c r="AA72" s="456" t="str">
        <f t="shared" si="47"/>
        <v>0.00%</v>
      </c>
      <c r="AB72" s="340">
        <f t="shared" si="52"/>
        <v>0</v>
      </c>
      <c r="AC72" s="953" t="str">
        <f>TEXT('MYP Assumptions'!J78,"0.00%")&amp;", CPI"</f>
        <v>2.73%, CPI</v>
      </c>
    </row>
    <row r="73" spans="1:29" s="457" customFormat="1" hidden="1" x14ac:dyDescent="0.25">
      <c r="A73" s="897"/>
      <c r="B73" s="2385"/>
      <c r="C73" s="2215"/>
      <c r="D73" s="340">
        <v>0</v>
      </c>
      <c r="E73" s="2386"/>
      <c r="F73" s="340"/>
      <c r="G73" s="456" t="str">
        <f t="shared" si="42"/>
        <v>0.00%</v>
      </c>
      <c r="H73" s="340">
        <f t="shared" si="53"/>
        <v>0</v>
      </c>
      <c r="I73" s="899" t="str">
        <f>TEXT('MYP Assumptions'!E78,"0.00%")&amp;", CPI"</f>
        <v>3.37%, CPI</v>
      </c>
      <c r="J73" s="455"/>
      <c r="K73" s="456" t="str">
        <f t="shared" si="43"/>
        <v>0.00%</v>
      </c>
      <c r="L73" s="340">
        <f t="shared" si="48"/>
        <v>0</v>
      </c>
      <c r="M73" s="899" t="str">
        <f>TEXT('MYP Assumptions'!F78,"0.00%")&amp;", CPI"</f>
        <v>3.58%, CPI</v>
      </c>
      <c r="O73" s="456" t="str">
        <f t="shared" si="44"/>
        <v>0.00%</v>
      </c>
      <c r="P73" s="340">
        <f t="shared" si="49"/>
        <v>0</v>
      </c>
      <c r="Q73" s="899" t="str">
        <f>TEXT('MYP Assumptions'!G78,"0.00%")&amp;", CPI"</f>
        <v>3.36%, CPI</v>
      </c>
      <c r="R73" s="592"/>
      <c r="S73" s="2238" t="str">
        <f t="shared" si="45"/>
        <v>0.00%</v>
      </c>
      <c r="T73" s="340">
        <f t="shared" si="50"/>
        <v>0</v>
      </c>
      <c r="U73" s="953" t="str">
        <f>TEXT('MYP Assumptions'!H78,"0.00%")&amp;", CPI"</f>
        <v>3.23%, CPI</v>
      </c>
      <c r="V73" s="952"/>
      <c r="W73" s="2241" t="str">
        <f t="shared" si="46"/>
        <v>0.00%</v>
      </c>
      <c r="X73" s="340">
        <f t="shared" si="51"/>
        <v>0</v>
      </c>
      <c r="Y73" s="953" t="str">
        <f>TEXT('MYP Assumptions'!I78,"0.00%")&amp;", CPI"</f>
        <v>2.73%, CPI</v>
      </c>
      <c r="AA73" s="456" t="str">
        <f t="shared" si="47"/>
        <v>0.00%</v>
      </c>
      <c r="AB73" s="340">
        <f t="shared" si="52"/>
        <v>0</v>
      </c>
      <c r="AC73" s="953" t="str">
        <f>TEXT('MYP Assumptions'!J78,"0.00%")&amp;", CPI"</f>
        <v>2.73%, CPI</v>
      </c>
    </row>
    <row r="74" spans="1:29" s="457" customFormat="1" hidden="1" x14ac:dyDescent="0.25">
      <c r="A74" s="897"/>
      <c r="B74" s="2385"/>
      <c r="C74" s="2215"/>
      <c r="D74" s="340">
        <v>0</v>
      </c>
      <c r="E74" s="2386"/>
      <c r="F74" s="340"/>
      <c r="G74" s="456" t="str">
        <f t="shared" si="42"/>
        <v>0.00%</v>
      </c>
      <c r="H74" s="340">
        <f t="shared" si="53"/>
        <v>0</v>
      </c>
      <c r="I74" s="899" t="str">
        <f>TEXT('MYP Assumptions'!E78,"0.00%")&amp;", CPI"</f>
        <v>3.37%, CPI</v>
      </c>
      <c r="J74" s="455"/>
      <c r="K74" s="456" t="str">
        <f t="shared" si="43"/>
        <v>0.00%</v>
      </c>
      <c r="L74" s="340">
        <f t="shared" si="48"/>
        <v>0</v>
      </c>
      <c r="M74" s="899" t="str">
        <f>TEXT('MYP Assumptions'!F78,"0.00%")&amp;", CPI"</f>
        <v>3.58%, CPI</v>
      </c>
      <c r="O74" s="456" t="str">
        <f t="shared" si="44"/>
        <v>0.00%</v>
      </c>
      <c r="P74" s="340">
        <f t="shared" si="49"/>
        <v>0</v>
      </c>
      <c r="Q74" s="899" t="str">
        <f>TEXT('MYP Assumptions'!G78,"0.00%")&amp;", CPI"</f>
        <v>3.36%, CPI</v>
      </c>
      <c r="R74" s="592"/>
      <c r="S74" s="2238" t="str">
        <f t="shared" si="45"/>
        <v>0.00%</v>
      </c>
      <c r="T74" s="340">
        <f t="shared" si="50"/>
        <v>0</v>
      </c>
      <c r="U74" s="953" t="str">
        <f>TEXT('MYP Assumptions'!H78,"0.00%")&amp;", CPI"</f>
        <v>3.23%, CPI</v>
      </c>
      <c r="V74" s="952"/>
      <c r="W74" s="2241" t="str">
        <f t="shared" si="46"/>
        <v>0.00%</v>
      </c>
      <c r="X74" s="340">
        <f t="shared" si="51"/>
        <v>0</v>
      </c>
      <c r="Y74" s="953" t="str">
        <f>TEXT('MYP Assumptions'!I78,"0.00%")&amp;", CPI"</f>
        <v>2.73%, CPI</v>
      </c>
      <c r="AA74" s="456" t="str">
        <f t="shared" si="47"/>
        <v>0.00%</v>
      </c>
      <c r="AB74" s="340">
        <f t="shared" si="52"/>
        <v>0</v>
      </c>
      <c r="AC74" s="953" t="str">
        <f>TEXT('MYP Assumptions'!J78,"0.00%")&amp;", CPI"</f>
        <v>2.73%, CPI</v>
      </c>
    </row>
    <row r="75" spans="1:29" s="457" customFormat="1" hidden="1" x14ac:dyDescent="0.25">
      <c r="A75" s="897"/>
      <c r="B75" s="2385"/>
      <c r="C75" s="2215"/>
      <c r="D75" s="340">
        <v>0</v>
      </c>
      <c r="E75" s="2386"/>
      <c r="F75" s="340"/>
      <c r="G75" s="456" t="str">
        <f>IF(D75=0,"0.00%",(H75-D75)/D75)</f>
        <v>0.00%</v>
      </c>
      <c r="H75" s="340">
        <f t="shared" si="53"/>
        <v>0</v>
      </c>
      <c r="I75" s="899" t="str">
        <f>TEXT('MYP Assumptions'!E78,"0.00%")&amp;", CPI"</f>
        <v>3.37%, CPI</v>
      </c>
      <c r="J75" s="455"/>
      <c r="K75" s="456" t="str">
        <f t="shared" si="43"/>
        <v>0.00%</v>
      </c>
      <c r="L75" s="340">
        <f t="shared" si="48"/>
        <v>0</v>
      </c>
      <c r="M75" s="899" t="str">
        <f>TEXT('MYP Assumptions'!F78,"0.00%")&amp;", CPI"</f>
        <v>3.58%, CPI</v>
      </c>
      <c r="O75" s="456" t="str">
        <f t="shared" si="44"/>
        <v>0.00%</v>
      </c>
      <c r="P75" s="340">
        <f t="shared" si="49"/>
        <v>0</v>
      </c>
      <c r="Q75" s="899" t="str">
        <f>TEXT('MYP Assumptions'!G78,"0.00%")&amp;", CPI"</f>
        <v>3.36%, CPI</v>
      </c>
      <c r="R75" s="592"/>
      <c r="S75" s="2238" t="str">
        <f t="shared" si="45"/>
        <v>0.00%</v>
      </c>
      <c r="T75" s="340">
        <f t="shared" si="50"/>
        <v>0</v>
      </c>
      <c r="U75" s="953" t="str">
        <f>TEXT('MYP Assumptions'!H78,"0.00%")&amp;", CPI"</f>
        <v>3.23%, CPI</v>
      </c>
      <c r="V75" s="952"/>
      <c r="W75" s="2241" t="str">
        <f t="shared" si="46"/>
        <v>0.00%</v>
      </c>
      <c r="X75" s="340">
        <f t="shared" si="51"/>
        <v>0</v>
      </c>
      <c r="Y75" s="953" t="str">
        <f>TEXT('MYP Assumptions'!I78,"0.00%")&amp;", CPI"</f>
        <v>2.73%, CPI</v>
      </c>
      <c r="AA75" s="456" t="str">
        <f t="shared" si="47"/>
        <v>0.00%</v>
      </c>
      <c r="AB75" s="340">
        <f t="shared" si="52"/>
        <v>0</v>
      </c>
      <c r="AC75" s="953" t="str">
        <f>TEXT('MYP Assumptions'!J78,"0.00%")&amp;", CPI"</f>
        <v>2.73%, CPI</v>
      </c>
    </row>
    <row r="76" spans="1:29" s="457" customFormat="1" hidden="1" x14ac:dyDescent="0.25">
      <c r="A76" s="897"/>
      <c r="B76" s="2385"/>
      <c r="C76" s="2215"/>
      <c r="D76" s="340">
        <v>0</v>
      </c>
      <c r="E76" s="2386"/>
      <c r="F76" s="340"/>
      <c r="G76" s="456" t="str">
        <f t="shared" ref="G76:G82" si="54">IF(D76=0,"0.00%",(H76-D76)/D76)</f>
        <v>0.00%</v>
      </c>
      <c r="H76" s="340">
        <f t="shared" si="53"/>
        <v>0</v>
      </c>
      <c r="I76" s="899" t="str">
        <f>TEXT('MYP Assumptions'!E78,"0.00%")&amp;", CPI"</f>
        <v>3.37%, CPI</v>
      </c>
      <c r="J76" s="455"/>
      <c r="K76" s="456" t="str">
        <f t="shared" si="43"/>
        <v>0.00%</v>
      </c>
      <c r="L76" s="340">
        <f t="shared" si="48"/>
        <v>0</v>
      </c>
      <c r="M76" s="899" t="str">
        <f>TEXT('MYP Assumptions'!F78,"0.00%")&amp;", CPI"</f>
        <v>3.58%, CPI</v>
      </c>
      <c r="O76" s="456" t="str">
        <f t="shared" si="44"/>
        <v>0.00%</v>
      </c>
      <c r="P76" s="340">
        <f t="shared" si="49"/>
        <v>0</v>
      </c>
      <c r="Q76" s="899" t="str">
        <f>TEXT('MYP Assumptions'!G78,"0.00%")&amp;", CPI"</f>
        <v>3.36%, CPI</v>
      </c>
      <c r="R76" s="592"/>
      <c r="S76" s="2238" t="str">
        <f t="shared" si="45"/>
        <v>0.00%</v>
      </c>
      <c r="T76" s="340">
        <f t="shared" si="50"/>
        <v>0</v>
      </c>
      <c r="U76" s="953" t="str">
        <f>TEXT('MYP Assumptions'!H78,"0.00%")&amp;", CPI"</f>
        <v>3.23%, CPI</v>
      </c>
      <c r="V76" s="952"/>
      <c r="W76" s="2241" t="str">
        <f t="shared" si="46"/>
        <v>0.00%</v>
      </c>
      <c r="X76" s="340">
        <f t="shared" si="51"/>
        <v>0</v>
      </c>
      <c r="Y76" s="953" t="str">
        <f>TEXT('MYP Assumptions'!I78,"0.00%")&amp;", CPI"</f>
        <v>2.73%, CPI</v>
      </c>
      <c r="AA76" s="456" t="str">
        <f t="shared" si="47"/>
        <v>0.00%</v>
      </c>
      <c r="AB76" s="340">
        <f t="shared" si="52"/>
        <v>0</v>
      </c>
      <c r="AC76" s="953" t="str">
        <f>TEXT('MYP Assumptions'!J78,"0.00%")&amp;", CPI"</f>
        <v>2.73%, CPI</v>
      </c>
    </row>
    <row r="77" spans="1:29" s="457" customFormat="1" hidden="1" x14ac:dyDescent="0.25">
      <c r="A77" s="897"/>
      <c r="B77" s="2385"/>
      <c r="C77" s="2215"/>
      <c r="D77" s="340">
        <v>0</v>
      </c>
      <c r="E77" s="2386"/>
      <c r="F77" s="340"/>
      <c r="G77" s="456" t="str">
        <f t="shared" si="54"/>
        <v>0.00%</v>
      </c>
      <c r="H77" s="340">
        <f>ROUND(D77*(LEFT(I77,5)+1),0)</f>
        <v>0</v>
      </c>
      <c r="I77" s="899" t="str">
        <f>TEXT('MYP Assumptions'!E78,"0.00%")&amp;", CPI"</f>
        <v>3.37%, CPI</v>
      </c>
      <c r="J77" s="455"/>
      <c r="K77" s="456" t="str">
        <f t="shared" si="43"/>
        <v>0.00%</v>
      </c>
      <c r="L77" s="340">
        <f t="shared" si="48"/>
        <v>0</v>
      </c>
      <c r="M77" s="899" t="str">
        <f>TEXT('MYP Assumptions'!F78,"0.00%")&amp;", CPI"</f>
        <v>3.58%, CPI</v>
      </c>
      <c r="O77" s="456" t="str">
        <f t="shared" si="44"/>
        <v>0.00%</v>
      </c>
      <c r="P77" s="340">
        <f t="shared" si="49"/>
        <v>0</v>
      </c>
      <c r="Q77" s="899" t="str">
        <f>TEXT('MYP Assumptions'!G78,"0.00%")&amp;", CPI"</f>
        <v>3.36%, CPI</v>
      </c>
      <c r="R77" s="592"/>
      <c r="S77" s="2238" t="str">
        <f t="shared" si="45"/>
        <v>0.00%</v>
      </c>
      <c r="T77" s="340">
        <f t="shared" si="50"/>
        <v>0</v>
      </c>
      <c r="U77" s="953" t="str">
        <f>TEXT('MYP Assumptions'!H78,"0.00%")&amp;", CPI"</f>
        <v>3.23%, CPI</v>
      </c>
      <c r="V77" s="952"/>
      <c r="W77" s="2241" t="str">
        <f t="shared" si="46"/>
        <v>0.00%</v>
      </c>
      <c r="X77" s="340">
        <f t="shared" si="51"/>
        <v>0</v>
      </c>
      <c r="Y77" s="953" t="str">
        <f>TEXT('MYP Assumptions'!I78,"0.00%")&amp;", CPI"</f>
        <v>2.73%, CPI</v>
      </c>
      <c r="AA77" s="456" t="str">
        <f t="shared" si="47"/>
        <v>0.00%</v>
      </c>
      <c r="AB77" s="340">
        <f t="shared" si="52"/>
        <v>0</v>
      </c>
      <c r="AC77" s="953" t="str">
        <f>TEXT('MYP Assumptions'!J78,"0.00%")&amp;", CPI"</f>
        <v>2.73%, CPI</v>
      </c>
    </row>
    <row r="78" spans="1:29" s="457" customFormat="1" hidden="1" x14ac:dyDescent="0.25">
      <c r="A78" s="897"/>
      <c r="B78" s="2385"/>
      <c r="C78" s="2215"/>
      <c r="D78" s="340">
        <v>0</v>
      </c>
      <c r="E78" s="2386"/>
      <c r="F78" s="340"/>
      <c r="G78" s="456" t="str">
        <f t="shared" si="54"/>
        <v>0.00%</v>
      </c>
      <c r="H78" s="340">
        <f>ROUND(D78*(LEFT(I78,5)+1),0)</f>
        <v>0</v>
      </c>
      <c r="I78" s="899" t="str">
        <f>TEXT('MYP Assumptions'!E78,"0.00%")&amp;", CPI"</f>
        <v>3.37%, CPI</v>
      </c>
      <c r="J78" s="455"/>
      <c r="K78" s="456" t="str">
        <f t="shared" si="43"/>
        <v>0.00%</v>
      </c>
      <c r="L78" s="340">
        <f t="shared" si="48"/>
        <v>0</v>
      </c>
      <c r="M78" s="899" t="str">
        <f>TEXT('MYP Assumptions'!F78,"0.00%")&amp;", CPI"</f>
        <v>3.58%, CPI</v>
      </c>
      <c r="O78" s="456" t="str">
        <f t="shared" si="44"/>
        <v>0.00%</v>
      </c>
      <c r="P78" s="340">
        <f t="shared" si="49"/>
        <v>0</v>
      </c>
      <c r="Q78" s="899" t="str">
        <f>TEXT('MYP Assumptions'!G78,"0.00%")&amp;", CPI"</f>
        <v>3.36%, CPI</v>
      </c>
      <c r="R78" s="592"/>
      <c r="S78" s="2238" t="str">
        <f t="shared" si="45"/>
        <v>0.00%</v>
      </c>
      <c r="T78" s="340">
        <f t="shared" si="50"/>
        <v>0</v>
      </c>
      <c r="U78" s="953" t="str">
        <f>TEXT('MYP Assumptions'!H78,"0.00%")&amp;", CPI"</f>
        <v>3.23%, CPI</v>
      </c>
      <c r="V78" s="952"/>
      <c r="W78" s="2241" t="str">
        <f t="shared" si="46"/>
        <v>0.00%</v>
      </c>
      <c r="X78" s="340">
        <f t="shared" si="51"/>
        <v>0</v>
      </c>
      <c r="Y78" s="953" t="str">
        <f>TEXT('MYP Assumptions'!I78,"0.00%")&amp;", CPI"</f>
        <v>2.73%, CPI</v>
      </c>
      <c r="AA78" s="456" t="str">
        <f t="shared" si="47"/>
        <v>0.00%</v>
      </c>
      <c r="AB78" s="340">
        <f t="shared" si="52"/>
        <v>0</v>
      </c>
      <c r="AC78" s="953" t="str">
        <f>TEXT('MYP Assumptions'!J78,"0.00%")&amp;", CPI"</f>
        <v>2.73%, CPI</v>
      </c>
    </row>
    <row r="79" spans="1:29" s="457" customFormat="1" hidden="1" x14ac:dyDescent="0.25">
      <c r="A79" s="897"/>
      <c r="B79" s="2385"/>
      <c r="C79" s="2215"/>
      <c r="D79" s="340">
        <v>0</v>
      </c>
      <c r="E79" s="2386"/>
      <c r="F79" s="340"/>
      <c r="G79" s="456" t="str">
        <f t="shared" si="54"/>
        <v>0.00%</v>
      </c>
      <c r="H79" s="340">
        <f>ROUND(D79*(LEFT(I79,5)+1),0)</f>
        <v>0</v>
      </c>
      <c r="I79" s="899" t="str">
        <f>TEXT('MYP Assumptions'!E78,"0.00%")&amp;", CPI"</f>
        <v>3.37%, CPI</v>
      </c>
      <c r="J79" s="455"/>
      <c r="K79" s="456" t="str">
        <f t="shared" si="43"/>
        <v>0.00%</v>
      </c>
      <c r="L79" s="340">
        <f t="shared" si="48"/>
        <v>0</v>
      </c>
      <c r="M79" s="899" t="str">
        <f>TEXT('MYP Assumptions'!F78,"0.00%")&amp;", CPI"</f>
        <v>3.58%, CPI</v>
      </c>
      <c r="O79" s="456" t="str">
        <f t="shared" si="44"/>
        <v>0.00%</v>
      </c>
      <c r="P79" s="340">
        <f t="shared" si="49"/>
        <v>0</v>
      </c>
      <c r="Q79" s="899" t="str">
        <f>TEXT('MYP Assumptions'!G78,"0.00%")&amp;", CPI"</f>
        <v>3.36%, CPI</v>
      </c>
      <c r="R79" s="592"/>
      <c r="S79" s="2238" t="str">
        <f t="shared" si="45"/>
        <v>0.00%</v>
      </c>
      <c r="T79" s="340">
        <f t="shared" si="50"/>
        <v>0</v>
      </c>
      <c r="U79" s="953" t="str">
        <f>TEXT('MYP Assumptions'!H78,"0.00%")&amp;", CPI"</f>
        <v>3.23%, CPI</v>
      </c>
      <c r="V79" s="952"/>
      <c r="W79" s="2241" t="str">
        <f t="shared" si="46"/>
        <v>0.00%</v>
      </c>
      <c r="X79" s="340">
        <f t="shared" si="51"/>
        <v>0</v>
      </c>
      <c r="Y79" s="953" t="str">
        <f>TEXT('MYP Assumptions'!I78,"0.00%")&amp;", CPI"</f>
        <v>2.73%, CPI</v>
      </c>
      <c r="AA79" s="456" t="str">
        <f t="shared" si="47"/>
        <v>0.00%</v>
      </c>
      <c r="AB79" s="340">
        <f t="shared" si="52"/>
        <v>0</v>
      </c>
      <c r="AC79" s="953" t="str">
        <f>TEXT('MYP Assumptions'!J78,"0.00%")&amp;", CPI"</f>
        <v>2.73%, CPI</v>
      </c>
    </row>
    <row r="80" spans="1:29" s="457" customFormat="1" hidden="1" x14ac:dyDescent="0.25">
      <c r="A80" s="897"/>
      <c r="B80" s="2385"/>
      <c r="C80" s="2215"/>
      <c r="D80" s="340">
        <v>0</v>
      </c>
      <c r="E80" s="2386"/>
      <c r="F80" s="340"/>
      <c r="G80" s="456" t="str">
        <f t="shared" si="54"/>
        <v>0.00%</v>
      </c>
      <c r="H80" s="340">
        <f>ROUND(D80*(LEFT(I80,5)+1),0)</f>
        <v>0</v>
      </c>
      <c r="I80" s="899" t="str">
        <f>TEXT('MYP Assumptions'!E78,"0.00%")&amp;", CPI"</f>
        <v>3.37%, CPI</v>
      </c>
      <c r="J80" s="455"/>
      <c r="K80" s="456" t="str">
        <f t="shared" si="43"/>
        <v>0.00%</v>
      </c>
      <c r="L80" s="340">
        <f t="shared" si="48"/>
        <v>0</v>
      </c>
      <c r="M80" s="899" t="str">
        <f>TEXT('MYP Assumptions'!F78,"0.00%")&amp;", CPI"</f>
        <v>3.58%, CPI</v>
      </c>
      <c r="O80" s="456" t="str">
        <f t="shared" si="44"/>
        <v>0.00%</v>
      </c>
      <c r="P80" s="340">
        <f t="shared" si="49"/>
        <v>0</v>
      </c>
      <c r="Q80" s="899" t="str">
        <f>TEXT('MYP Assumptions'!G78,"0.00%")&amp;", CPI"</f>
        <v>3.36%, CPI</v>
      </c>
      <c r="R80" s="592"/>
      <c r="S80" s="2238" t="str">
        <f t="shared" si="45"/>
        <v>0.00%</v>
      </c>
      <c r="T80" s="340">
        <f t="shared" si="50"/>
        <v>0</v>
      </c>
      <c r="U80" s="953" t="str">
        <f>TEXT('MYP Assumptions'!H78,"0.00%")&amp;", CPI"</f>
        <v>3.23%, CPI</v>
      </c>
      <c r="V80" s="952"/>
      <c r="W80" s="2241" t="str">
        <f t="shared" si="46"/>
        <v>0.00%</v>
      </c>
      <c r="X80" s="340">
        <f t="shared" si="51"/>
        <v>0</v>
      </c>
      <c r="Y80" s="953" t="str">
        <f>TEXT('MYP Assumptions'!I78,"0.00%")&amp;", CPI"</f>
        <v>2.73%, CPI</v>
      </c>
      <c r="AA80" s="456" t="str">
        <f t="shared" si="47"/>
        <v>0.00%</v>
      </c>
      <c r="AB80" s="340">
        <f t="shared" si="52"/>
        <v>0</v>
      </c>
      <c r="AC80" s="953" t="str">
        <f>TEXT('MYP Assumptions'!J78,"0.00%")&amp;", CPI"</f>
        <v>2.73%, CPI</v>
      </c>
    </row>
    <row r="81" spans="1:29" s="457" customFormat="1" hidden="1" x14ac:dyDescent="0.25">
      <c r="A81" s="897"/>
      <c r="B81" s="2385"/>
      <c r="C81" s="2215"/>
      <c r="D81" s="340">
        <f>'18-19 Budget RS 3010-ALL'!AF80</f>
        <v>0</v>
      </c>
      <c r="E81" s="2386"/>
      <c r="F81" s="340"/>
      <c r="G81" s="456" t="str">
        <f t="shared" si="54"/>
        <v>0.00%</v>
      </c>
      <c r="H81" s="340">
        <f>ROUND(D81*(LEFT(I81,5)+1),0)</f>
        <v>0</v>
      </c>
      <c r="I81" s="899" t="str">
        <f>TEXT('MYP Assumptions'!E78,"0.00%")&amp;", CPI"</f>
        <v>3.37%, CPI</v>
      </c>
      <c r="J81" s="455"/>
      <c r="K81" s="456" t="str">
        <f t="shared" si="43"/>
        <v>0.00%</v>
      </c>
      <c r="L81" s="340">
        <f t="shared" si="48"/>
        <v>0</v>
      </c>
      <c r="M81" s="899" t="str">
        <f>TEXT('MYP Assumptions'!F78,"0.00%")&amp;", CPI"</f>
        <v>3.58%, CPI</v>
      </c>
      <c r="O81" s="456" t="str">
        <f t="shared" si="44"/>
        <v>0.00%</v>
      </c>
      <c r="P81" s="340">
        <f t="shared" si="49"/>
        <v>0</v>
      </c>
      <c r="Q81" s="899" t="str">
        <f>TEXT('MYP Assumptions'!G78,"0.00%")&amp;", CPI"</f>
        <v>3.36%, CPI</v>
      </c>
      <c r="R81" s="592"/>
      <c r="S81" s="2238" t="str">
        <f t="shared" si="45"/>
        <v>0.00%</v>
      </c>
      <c r="T81" s="340">
        <f t="shared" si="50"/>
        <v>0</v>
      </c>
      <c r="U81" s="953" t="str">
        <f>TEXT('MYP Assumptions'!H78,"0.00%")&amp;", CPI"</f>
        <v>3.23%, CPI</v>
      </c>
      <c r="V81" s="952"/>
      <c r="W81" s="2241" t="str">
        <f t="shared" si="46"/>
        <v>0.00%</v>
      </c>
      <c r="X81" s="340">
        <f t="shared" si="51"/>
        <v>0</v>
      </c>
      <c r="Y81" s="953" t="str">
        <f>TEXT('MYP Assumptions'!I78,"0.00%")&amp;", CPI"</f>
        <v>2.73%, CPI</v>
      </c>
      <c r="AA81" s="456" t="str">
        <f t="shared" si="47"/>
        <v>0.00%</v>
      </c>
      <c r="AB81" s="340">
        <f t="shared" si="52"/>
        <v>0</v>
      </c>
      <c r="AC81" s="953" t="str">
        <f>TEXT('MYP Assumptions'!J78,"0.00%")&amp;", CPI"</f>
        <v>2.73%, CPI</v>
      </c>
    </row>
    <row r="82" spans="1:29" s="457" customFormat="1" x14ac:dyDescent="0.25">
      <c r="A82" s="898"/>
      <c r="B82" s="2345"/>
      <c r="C82" s="2215"/>
      <c r="D82" s="458">
        <f>SUM(D69:D81)</f>
        <v>0</v>
      </c>
      <c r="E82" s="2386"/>
      <c r="F82" s="340"/>
      <c r="G82" s="456" t="str">
        <f t="shared" si="54"/>
        <v>0.00%</v>
      </c>
      <c r="H82" s="458">
        <f>SUM(H69:H81)</f>
        <v>0</v>
      </c>
      <c r="I82" s="898"/>
      <c r="J82" s="459"/>
      <c r="K82" s="456" t="str">
        <f t="shared" si="43"/>
        <v>0.00%</v>
      </c>
      <c r="L82" s="458">
        <f>SUM(L69:L81)</f>
        <v>0</v>
      </c>
      <c r="M82" s="901"/>
      <c r="O82" s="456" t="str">
        <f t="shared" si="44"/>
        <v>0.00%</v>
      </c>
      <c r="P82" s="458">
        <f>SUM(P69:P81)</f>
        <v>0</v>
      </c>
      <c r="Q82" s="901"/>
      <c r="R82" s="592"/>
      <c r="S82" s="2238" t="str">
        <f t="shared" si="45"/>
        <v>0.00%</v>
      </c>
      <c r="T82" s="458">
        <f>SUM(T69:T81)</f>
        <v>0</v>
      </c>
      <c r="U82" s="2344"/>
      <c r="V82" s="952"/>
      <c r="W82" s="2241" t="str">
        <f t="shared" si="46"/>
        <v>0.00%</v>
      </c>
      <c r="X82" s="458">
        <f>SUM(X69:X81)</f>
        <v>0</v>
      </c>
      <c r="Y82" s="2344"/>
      <c r="AA82" s="456" t="str">
        <f t="shared" si="47"/>
        <v>0.00%</v>
      </c>
      <c r="AB82" s="458">
        <f>SUM(AB69:AB81)</f>
        <v>0</v>
      </c>
      <c r="AC82" s="2344"/>
    </row>
    <row r="83" spans="1:29" s="457" customFormat="1" x14ac:dyDescent="0.25">
      <c r="A83" s="897"/>
      <c r="B83" s="2337"/>
      <c r="C83" s="2215"/>
      <c r="D83" s="340"/>
      <c r="E83" s="2386"/>
      <c r="F83" s="340"/>
      <c r="G83" s="456"/>
      <c r="H83" s="340"/>
      <c r="I83" s="897"/>
      <c r="J83" s="455"/>
      <c r="K83" s="1668"/>
      <c r="L83" s="340"/>
      <c r="M83" s="901"/>
      <c r="O83" s="1668"/>
      <c r="P83" s="340"/>
      <c r="Q83" s="901"/>
      <c r="R83" s="592"/>
      <c r="S83" s="2341"/>
      <c r="T83" s="340"/>
      <c r="U83" s="2344"/>
      <c r="V83" s="952"/>
      <c r="W83" s="2343"/>
      <c r="X83" s="340"/>
      <c r="Y83" s="2344"/>
      <c r="AA83" s="1668"/>
      <c r="AB83" s="340"/>
      <c r="AC83" s="2344"/>
    </row>
    <row r="84" spans="1:29" s="457" customFormat="1" x14ac:dyDescent="0.25">
      <c r="A84" s="897"/>
      <c r="B84" s="2337" t="s">
        <v>231</v>
      </c>
      <c r="C84" s="2215"/>
      <c r="D84" s="340"/>
      <c r="E84" s="2386"/>
      <c r="F84" s="340"/>
      <c r="G84" s="456"/>
      <c r="H84" s="340"/>
      <c r="I84" s="897"/>
      <c r="J84" s="455"/>
      <c r="K84" s="1668"/>
      <c r="L84" s="340"/>
      <c r="M84" s="901"/>
      <c r="O84" s="1668"/>
      <c r="P84" s="340"/>
      <c r="Q84" s="901"/>
      <c r="R84" s="592"/>
      <c r="S84" s="2341"/>
      <c r="T84" s="340"/>
      <c r="U84" s="2344"/>
      <c r="V84" s="952"/>
      <c r="W84" s="2343"/>
      <c r="X84" s="340"/>
      <c r="Y84" s="2344"/>
      <c r="AA84" s="1668"/>
      <c r="AB84" s="340"/>
      <c r="AC84" s="2344"/>
    </row>
    <row r="85" spans="1:29" s="457" customFormat="1" x14ac:dyDescent="0.25">
      <c r="A85" s="897"/>
      <c r="B85" s="2385">
        <v>7211</v>
      </c>
      <c r="C85" s="2215" t="s">
        <v>233</v>
      </c>
      <c r="D85" s="340">
        <v>7775</v>
      </c>
      <c r="E85" s="2386"/>
      <c r="F85" s="340"/>
      <c r="G85" s="456"/>
      <c r="H85" s="340">
        <v>10423</v>
      </c>
      <c r="I85" s="897" t="s">
        <v>173</v>
      </c>
      <c r="J85" s="455"/>
      <c r="K85" s="1668"/>
      <c r="L85" s="340">
        <v>18808</v>
      </c>
      <c r="M85" s="897" t="s">
        <v>173</v>
      </c>
      <c r="O85" s="1668"/>
      <c r="P85" s="340">
        <f>+L85</f>
        <v>18808</v>
      </c>
      <c r="Q85" s="897" t="s">
        <v>173</v>
      </c>
      <c r="R85" s="592"/>
      <c r="S85" s="2341"/>
      <c r="T85" s="340">
        <f>+P85</f>
        <v>18808</v>
      </c>
      <c r="U85" s="455" t="s">
        <v>173</v>
      </c>
      <c r="V85" s="952"/>
      <c r="W85" s="2343"/>
      <c r="X85" s="340">
        <f>+T85</f>
        <v>18808</v>
      </c>
      <c r="Y85" s="455" t="s">
        <v>173</v>
      </c>
      <c r="AA85" s="1668"/>
      <c r="AB85" s="340">
        <f>+X85</f>
        <v>18808</v>
      </c>
      <c r="AC85" s="455" t="s">
        <v>173</v>
      </c>
    </row>
    <row r="86" spans="1:29" s="457" customFormat="1" hidden="1" x14ac:dyDescent="0.25">
      <c r="A86" s="897"/>
      <c r="B86" s="2337"/>
      <c r="C86" s="2215"/>
      <c r="D86" s="340">
        <v>0</v>
      </c>
      <c r="E86" s="2386"/>
      <c r="F86" s="340"/>
      <c r="G86" s="456"/>
      <c r="H86" s="340">
        <v>0</v>
      </c>
      <c r="I86" s="897"/>
      <c r="J86" s="455"/>
      <c r="K86" s="1668"/>
      <c r="L86" s="340">
        <v>0</v>
      </c>
      <c r="M86" s="897"/>
      <c r="O86" s="1668"/>
      <c r="P86" s="340">
        <v>0</v>
      </c>
      <c r="Q86" s="897"/>
      <c r="R86" s="592"/>
      <c r="S86" s="2341"/>
      <c r="T86" s="340">
        <v>0</v>
      </c>
      <c r="U86" s="455"/>
      <c r="V86" s="952"/>
      <c r="W86" s="2343"/>
      <c r="X86" s="340">
        <v>0</v>
      </c>
      <c r="Y86" s="455"/>
      <c r="AA86" s="1668"/>
      <c r="AB86" s="340">
        <v>0</v>
      </c>
      <c r="AC86" s="455"/>
    </row>
    <row r="87" spans="1:29" s="457" customFormat="1" hidden="1" x14ac:dyDescent="0.25">
      <c r="A87" s="897"/>
      <c r="B87" s="2337"/>
      <c r="C87" s="2215"/>
      <c r="D87" s="340">
        <v>0</v>
      </c>
      <c r="E87" s="2386"/>
      <c r="F87" s="340"/>
      <c r="G87" s="456"/>
      <c r="H87" s="340">
        <v>0</v>
      </c>
      <c r="I87" s="897"/>
      <c r="J87" s="455"/>
      <c r="K87" s="1668"/>
      <c r="L87" s="340">
        <v>0</v>
      </c>
      <c r="M87" s="897"/>
      <c r="O87" s="1668"/>
      <c r="P87" s="340">
        <v>0</v>
      </c>
      <c r="Q87" s="897"/>
      <c r="R87" s="592"/>
      <c r="S87" s="2341"/>
      <c r="T87" s="340">
        <v>0</v>
      </c>
      <c r="U87" s="455"/>
      <c r="V87" s="952"/>
      <c r="W87" s="2343"/>
      <c r="X87" s="340">
        <v>0</v>
      </c>
      <c r="Y87" s="455"/>
      <c r="AA87" s="1668"/>
      <c r="AB87" s="340">
        <v>0</v>
      </c>
      <c r="AC87" s="455"/>
    </row>
    <row r="88" spans="1:29" s="457" customFormat="1" ht="6.75" hidden="1" customHeight="1" x14ac:dyDescent="0.25">
      <c r="A88" s="897"/>
      <c r="B88" s="2337"/>
      <c r="C88" s="2215"/>
      <c r="D88" s="340"/>
      <c r="E88" s="2386"/>
      <c r="F88" s="340"/>
      <c r="G88" s="456"/>
      <c r="H88" s="340"/>
      <c r="I88" s="897"/>
      <c r="J88" s="455"/>
      <c r="K88" s="1668"/>
      <c r="L88" s="340"/>
      <c r="M88" s="897"/>
      <c r="O88" s="1668"/>
      <c r="P88" s="340"/>
      <c r="Q88" s="897"/>
      <c r="R88" s="592"/>
      <c r="S88" s="2341"/>
      <c r="T88" s="340"/>
      <c r="U88" s="455"/>
      <c r="V88" s="952"/>
      <c r="W88" s="2343"/>
      <c r="X88" s="340"/>
      <c r="Y88" s="455"/>
      <c r="AA88" s="1668"/>
      <c r="AB88" s="340"/>
      <c r="AC88" s="455"/>
    </row>
    <row r="89" spans="1:29" s="2378" customFormat="1" x14ac:dyDescent="0.25">
      <c r="A89" s="868"/>
      <c r="B89" s="2358"/>
      <c r="C89" s="2358"/>
      <c r="D89" s="2442">
        <f>SUM(D85:D88)</f>
        <v>7775</v>
      </c>
      <c r="E89" s="2375"/>
      <c r="F89" s="1866"/>
      <c r="G89" s="2376"/>
      <c r="H89" s="2442">
        <f>SUM(H85:H88)</f>
        <v>10423</v>
      </c>
      <c r="I89" s="2316">
        <f>+H89-D89</f>
        <v>2648</v>
      </c>
      <c r="J89" s="460"/>
      <c r="K89" s="606"/>
      <c r="L89" s="2442">
        <f>SUM(L85:L88)</f>
        <v>18808</v>
      </c>
      <c r="M89" s="2316">
        <f>+L89-H89</f>
        <v>8385</v>
      </c>
      <c r="O89" s="606"/>
      <c r="P89" s="2442">
        <f>SUM(P85:P88)</f>
        <v>18808</v>
      </c>
      <c r="Q89" s="2316">
        <f>+P89-L89</f>
        <v>0</v>
      </c>
      <c r="R89" s="461"/>
      <c r="S89" s="1669"/>
      <c r="T89" s="2442">
        <f>SUM(T85:T88)</f>
        <v>18808</v>
      </c>
      <c r="U89" s="460"/>
      <c r="V89" s="2381"/>
      <c r="W89" s="2382"/>
      <c r="X89" s="2442">
        <f>SUM(X85:X88)</f>
        <v>18808</v>
      </c>
      <c r="Y89" s="460"/>
      <c r="AA89" s="606"/>
      <c r="AB89" s="2442">
        <f>SUM(AB85:AB88)</f>
        <v>18808</v>
      </c>
      <c r="AC89" s="460"/>
    </row>
    <row r="90" spans="1:29" s="457" customFormat="1" x14ac:dyDescent="0.25">
      <c r="A90" s="897"/>
      <c r="B90" s="2345"/>
      <c r="C90" s="2215"/>
      <c r="D90" s="340"/>
      <c r="E90" s="2386"/>
      <c r="F90" s="340"/>
      <c r="G90" s="2338"/>
      <c r="H90" s="340"/>
      <c r="I90" s="897"/>
      <c r="J90" s="455"/>
      <c r="K90" s="1668"/>
      <c r="L90" s="340"/>
      <c r="M90" s="897"/>
      <c r="O90" s="1668"/>
      <c r="P90" s="340"/>
      <c r="Q90" s="897"/>
      <c r="R90" s="592"/>
      <c r="S90" s="2341"/>
      <c r="T90" s="340"/>
      <c r="U90" s="455"/>
      <c r="V90" s="952"/>
      <c r="W90" s="2343"/>
      <c r="X90" s="340"/>
      <c r="Y90" s="455"/>
      <c r="AA90" s="1668"/>
      <c r="AB90" s="340"/>
      <c r="AC90" s="455"/>
    </row>
    <row r="91" spans="1:29" s="457" customFormat="1" x14ac:dyDescent="0.25">
      <c r="A91" s="897"/>
      <c r="B91" s="2345"/>
      <c r="C91" s="2215"/>
      <c r="D91" s="340"/>
      <c r="E91" s="2386"/>
      <c r="F91" s="340"/>
      <c r="G91" s="2338"/>
      <c r="H91" s="340"/>
      <c r="I91" s="897"/>
      <c r="J91" s="455"/>
      <c r="K91" s="1668"/>
      <c r="L91" s="340"/>
      <c r="M91" s="897"/>
      <c r="O91" s="1668"/>
      <c r="P91" s="340"/>
      <c r="Q91" s="897"/>
      <c r="R91" s="592"/>
      <c r="S91" s="2341"/>
      <c r="T91" s="340"/>
      <c r="U91" s="455"/>
      <c r="V91" s="952"/>
      <c r="W91" s="2343"/>
      <c r="X91" s="340"/>
      <c r="Y91" s="455"/>
      <c r="AA91" s="1668"/>
      <c r="AB91" s="340"/>
      <c r="AC91" s="455"/>
    </row>
    <row r="92" spans="1:29" s="457" customFormat="1" x14ac:dyDescent="0.25">
      <c r="A92" s="898"/>
      <c r="B92" s="2337" t="s">
        <v>0</v>
      </c>
      <c r="C92" s="2215"/>
      <c r="D92" s="458">
        <f>SUM(D82,D66,D55,D13,D89)</f>
        <v>1699671</v>
      </c>
      <c r="E92" s="2386"/>
      <c r="F92" s="340"/>
      <c r="G92" s="456">
        <f>IF(D92=0,"0.00%",(H92-D92)/D92)</f>
        <v>2.9397453977858069E-2</v>
      </c>
      <c r="H92" s="458">
        <f>SUM(H82,H66,H55,H13,H89)</f>
        <v>1749637</v>
      </c>
      <c r="I92" s="2316">
        <f>+H92-D92</f>
        <v>49966</v>
      </c>
      <c r="J92" s="459"/>
      <c r="K92" s="456">
        <f>IF(H92=0,"0.00%",(L92-H92)/H92)</f>
        <v>-2.4266176355438301E-2</v>
      </c>
      <c r="L92" s="458">
        <f>SUM(L82,L66,L55,L13,L89)</f>
        <v>1707180</v>
      </c>
      <c r="M92" s="2316">
        <f>+L92-H92</f>
        <v>-42457</v>
      </c>
      <c r="O92" s="456">
        <f>IF(L92=0,"0.00%",(P92-L92)/L92)</f>
        <v>0</v>
      </c>
      <c r="P92" s="458">
        <f>SUM(P82,P66,P55,P13,P89)</f>
        <v>1707180</v>
      </c>
      <c r="Q92" s="2316">
        <f>+P92-L92</f>
        <v>0</v>
      </c>
      <c r="R92" s="592"/>
      <c r="S92" s="2238">
        <f>IF(P92=0,"0.00%",(T92-P92)/P92)</f>
        <v>0</v>
      </c>
      <c r="T92" s="458">
        <f>SUM(T82,T66,T55,T13,T89)</f>
        <v>1707180</v>
      </c>
      <c r="U92" s="459"/>
      <c r="V92" s="952"/>
      <c r="W92" s="2241">
        <f>IF(T92=0,"0.00%",(X92-T92)/T92)</f>
        <v>2.0451270516290022E-2</v>
      </c>
      <c r="X92" s="458">
        <f>SUM(X82,X66,X55,X13,X89)</f>
        <v>1742094</v>
      </c>
      <c r="Y92" s="459"/>
      <c r="AA92" s="456" t="e">
        <f>IF(X92=0,"0.00%",(AB92-X92)/X92)</f>
        <v>#VALUE!</v>
      </c>
      <c r="AB92" s="458" t="e">
        <f>SUM(AB82,AB66,AB55,AB13,AB89)</f>
        <v>#VALUE!</v>
      </c>
      <c r="AC92" s="459"/>
    </row>
    <row r="93" spans="1:29" s="457" customFormat="1" x14ac:dyDescent="0.25">
      <c r="A93" s="897"/>
      <c r="B93" s="2345"/>
      <c r="C93" s="2215"/>
      <c r="D93" s="340"/>
      <c r="E93" s="2386"/>
      <c r="F93" s="340"/>
      <c r="G93" s="2338"/>
      <c r="H93" s="340"/>
      <c r="I93" s="897"/>
      <c r="J93" s="455"/>
      <c r="K93" s="1668"/>
      <c r="L93" s="340"/>
      <c r="M93" s="901"/>
      <c r="O93" s="1668"/>
      <c r="P93" s="340"/>
      <c r="Q93" s="901"/>
      <c r="R93" s="592"/>
      <c r="S93" s="2341"/>
      <c r="T93" s="340"/>
      <c r="U93" s="2344"/>
      <c r="V93" s="952"/>
      <c r="W93" s="2343"/>
      <c r="X93" s="340"/>
      <c r="Y93" s="2344"/>
      <c r="AA93" s="1668"/>
      <c r="AB93" s="340"/>
      <c r="AC93" s="2344"/>
    </row>
    <row r="94" spans="1:29" s="457" customFormat="1" x14ac:dyDescent="0.25">
      <c r="A94" s="897"/>
      <c r="B94" s="2337" t="s">
        <v>138</v>
      </c>
      <c r="C94" s="2215"/>
      <c r="D94" s="833">
        <f>D11-D92</f>
        <v>0</v>
      </c>
      <c r="E94" s="1656"/>
      <c r="G94" s="456" t="str">
        <f>IF(D94=0,"0.00%",(H94-D94)/D94)</f>
        <v>0.00%</v>
      </c>
      <c r="H94" s="833">
        <f>H11-H92</f>
        <v>0</v>
      </c>
      <c r="I94" s="897"/>
      <c r="J94" s="455"/>
      <c r="K94" s="456" t="str">
        <f>IF(H94=0,"0.00%",(L94-H94)/H94)</f>
        <v>0.00%</v>
      </c>
      <c r="L94" s="833">
        <f>L11-L92</f>
        <v>0</v>
      </c>
      <c r="M94" s="901"/>
      <c r="O94" s="456" t="str">
        <f>IF(L94=0,"0.00%",(P94-L94)/L94)</f>
        <v>0.00%</v>
      </c>
      <c r="P94" s="833">
        <f>P11-P92</f>
        <v>0</v>
      </c>
      <c r="Q94" s="901"/>
      <c r="R94" s="592"/>
      <c r="S94" s="2238" t="str">
        <f>IF(P94=0,"0.00%",(T94-P94)/P94)</f>
        <v>0.00%</v>
      </c>
      <c r="T94" s="833">
        <f>T11-T92</f>
        <v>0</v>
      </c>
      <c r="U94" s="2344"/>
      <c r="V94" s="952"/>
      <c r="W94" s="2241" t="str">
        <f>IF(T94=0,"0.00%",(X94-T94)/T94)</f>
        <v>0.00%</v>
      </c>
      <c r="X94" s="833">
        <f>X11-X92</f>
        <v>-53722</v>
      </c>
      <c r="Y94" s="2344"/>
      <c r="AA94" s="456" t="e">
        <f>IF(X94=0,"0.00%",(AB94-X94)/X94)</f>
        <v>#VALUE!</v>
      </c>
      <c r="AB94" s="833" t="e">
        <f>AB11-AB92</f>
        <v>#VALUE!</v>
      </c>
      <c r="AC94" s="2344"/>
    </row>
    <row r="95" spans="1:29" s="457" customFormat="1" x14ac:dyDescent="0.25">
      <c r="A95" s="1656"/>
      <c r="B95" s="2337"/>
      <c r="C95" s="2345"/>
      <c r="D95" s="833"/>
      <c r="E95" s="1656"/>
      <c r="G95" s="2338"/>
      <c r="H95" s="833"/>
      <c r="I95" s="897"/>
      <c r="J95" s="455"/>
      <c r="K95" s="1668"/>
      <c r="L95" s="833"/>
      <c r="M95" s="901"/>
      <c r="O95" s="1668"/>
      <c r="P95" s="833"/>
      <c r="Q95" s="901"/>
      <c r="R95" s="592"/>
      <c r="S95" s="2341"/>
      <c r="T95" s="2356"/>
      <c r="U95" s="2344"/>
      <c r="V95" s="952"/>
      <c r="W95" s="2343"/>
      <c r="X95" s="2356"/>
      <c r="Y95" s="2344"/>
      <c r="AA95" s="1668"/>
      <c r="AB95" s="2356"/>
      <c r="AC95" s="2344"/>
    </row>
    <row r="96" spans="1:29" s="457" customFormat="1" x14ac:dyDescent="0.25">
      <c r="A96" s="1656"/>
      <c r="B96" s="2337" t="s">
        <v>136</v>
      </c>
      <c r="C96" s="2394"/>
      <c r="D96" s="833">
        <f>D7+D94</f>
        <v>0</v>
      </c>
      <c r="E96" s="1656"/>
      <c r="G96" s="456" t="str">
        <f>IF(D96=0,"0.00%",(H96-D96)/D96)</f>
        <v>0.00%</v>
      </c>
      <c r="H96" s="833">
        <f>H7+H94</f>
        <v>0</v>
      </c>
      <c r="I96" s="897"/>
      <c r="J96" s="455"/>
      <c r="K96" s="456" t="str">
        <f>IF(H96=0,"0.00%",(L96-H96)/H96)</f>
        <v>0.00%</v>
      </c>
      <c r="L96" s="833">
        <f>L7+L94</f>
        <v>0</v>
      </c>
      <c r="M96" s="901"/>
      <c r="O96" s="456" t="str">
        <f>IF(L96=0,"0.00%",(P96-L96)/L96)</f>
        <v>0.00%</v>
      </c>
      <c r="P96" s="833">
        <f>P7+P94</f>
        <v>0</v>
      </c>
      <c r="Q96" s="901"/>
      <c r="R96" s="592"/>
      <c r="S96" s="2238" t="str">
        <f>IF(P96=0,"0.00%",(T96-P96)/P96)</f>
        <v>0.00%</v>
      </c>
      <c r="T96" s="2367">
        <f>T7+T94</f>
        <v>0</v>
      </c>
      <c r="U96" s="2344"/>
      <c r="V96" s="952"/>
      <c r="W96" s="2241" t="str">
        <f>IF(T96=0,"0.00%",(X96-T96)/T96)</f>
        <v>0.00%</v>
      </c>
      <c r="X96" s="2367">
        <f>X7+X94</f>
        <v>-53722</v>
      </c>
      <c r="Y96" s="2344"/>
      <c r="AA96" s="456" t="e">
        <f>IF(X96=0,"0.00%",(AB96-X96)/X96)</f>
        <v>#VALUE!</v>
      </c>
      <c r="AB96" s="2367" t="e">
        <f>AB7+AB94</f>
        <v>#VALUE!</v>
      </c>
      <c r="AC96" s="2344"/>
    </row>
    <row r="97" spans="1:29" s="457" customFormat="1" x14ac:dyDescent="0.25">
      <c r="A97" s="1656"/>
      <c r="B97" s="2345"/>
      <c r="C97" s="2225"/>
      <c r="D97" s="340"/>
      <c r="E97" s="1656"/>
      <c r="G97" s="2355"/>
      <c r="H97" s="459"/>
      <c r="I97" s="898"/>
      <c r="J97" s="459"/>
      <c r="K97" s="1668"/>
      <c r="L97" s="459"/>
      <c r="M97" s="901"/>
      <c r="O97" s="1668"/>
      <c r="P97" s="459"/>
      <c r="Q97" s="901"/>
      <c r="R97" s="592"/>
      <c r="S97" s="2341"/>
      <c r="T97" s="459"/>
      <c r="U97" s="2344"/>
      <c r="V97" s="952"/>
      <c r="W97" s="2343"/>
      <c r="X97" s="459"/>
      <c r="Y97" s="2344"/>
      <c r="AA97" s="1668"/>
      <c r="AB97" s="459"/>
      <c r="AC97" s="2344"/>
    </row>
    <row r="98" spans="1:29" s="457" customFormat="1" x14ac:dyDescent="0.25">
      <c r="A98" s="1656"/>
      <c r="B98" s="2345"/>
      <c r="C98" s="2230"/>
      <c r="D98" s="340"/>
      <c r="E98" s="1656"/>
      <c r="G98" s="2355"/>
      <c r="H98" s="455"/>
      <c r="I98" s="897"/>
      <c r="J98" s="455"/>
      <c r="K98" s="1668"/>
      <c r="L98" s="340"/>
      <c r="M98" s="901"/>
      <c r="O98" s="1668"/>
      <c r="P98" s="340"/>
      <c r="Q98" s="901"/>
      <c r="R98" s="592"/>
      <c r="S98" s="2341"/>
      <c r="T98" s="340"/>
      <c r="U98" s="2344"/>
      <c r="V98" s="952"/>
      <c r="W98" s="2343"/>
      <c r="X98" s="340"/>
      <c r="Y98" s="2344"/>
      <c r="AA98" s="1668"/>
      <c r="AB98" s="340"/>
      <c r="AC98" s="2344"/>
    </row>
    <row r="99" spans="1:29" s="457" customFormat="1" x14ac:dyDescent="0.25">
      <c r="A99" s="1656"/>
      <c r="B99" s="2345"/>
      <c r="C99" s="2230"/>
      <c r="D99" s="340"/>
      <c r="E99" s="1656"/>
      <c r="G99" s="2355"/>
      <c r="H99" s="455"/>
      <c r="I99" s="897"/>
      <c r="J99" s="455"/>
      <c r="K99" s="1668"/>
      <c r="L99" s="340"/>
      <c r="M99" s="901"/>
      <c r="O99" s="1668"/>
      <c r="P99" s="340"/>
      <c r="Q99" s="901"/>
      <c r="R99" s="592"/>
      <c r="S99" s="2341"/>
      <c r="T99" s="340"/>
      <c r="U99" s="2344"/>
      <c r="V99" s="952"/>
      <c r="W99" s="2343"/>
      <c r="X99" s="340"/>
      <c r="Y99" s="2344"/>
      <c r="AA99" s="1668"/>
      <c r="AB99" s="340"/>
      <c r="AC99" s="2344"/>
    </row>
    <row r="100" spans="1:29" s="457" customFormat="1" x14ac:dyDescent="0.25">
      <c r="A100" s="1656"/>
      <c r="B100" s="2345"/>
      <c r="C100" s="2230"/>
      <c r="D100" s="340"/>
      <c r="E100" s="1656"/>
      <c r="G100" s="2355"/>
      <c r="H100" s="455"/>
      <c r="I100" s="897"/>
      <c r="J100" s="455"/>
      <c r="K100" s="1668"/>
      <c r="L100" s="340">
        <f>+L96*1.0444</f>
        <v>0</v>
      </c>
      <c r="M100" s="901"/>
      <c r="O100" s="1668"/>
      <c r="P100" s="340"/>
      <c r="Q100" s="901"/>
      <c r="R100" s="592"/>
      <c r="S100" s="2341"/>
      <c r="T100" s="340"/>
      <c r="U100" s="2344"/>
      <c r="V100" s="952"/>
      <c r="W100" s="2343"/>
      <c r="X100" s="340"/>
      <c r="Y100" s="2344"/>
      <c r="AA100" s="1668"/>
      <c r="AB100" s="340"/>
      <c r="AC100" s="2344"/>
    </row>
    <row r="101" spans="1:29" s="457" customFormat="1" x14ac:dyDescent="0.25">
      <c r="A101" s="1656"/>
      <c r="B101" s="2345"/>
      <c r="C101" s="2230"/>
      <c r="D101" s="340"/>
      <c r="E101" s="1656"/>
      <c r="G101" s="2355"/>
      <c r="H101" s="455"/>
      <c r="I101" s="897"/>
      <c r="J101" s="455"/>
      <c r="K101" s="1668"/>
      <c r="L101" s="340"/>
      <c r="M101" s="901"/>
      <c r="O101" s="1668"/>
      <c r="P101" s="340"/>
      <c r="Q101" s="901"/>
      <c r="R101" s="592"/>
      <c r="S101" s="2341"/>
      <c r="T101" s="340"/>
      <c r="U101" s="2344"/>
      <c r="V101" s="952"/>
      <c r="W101" s="2343"/>
      <c r="X101" s="340"/>
      <c r="Y101" s="2344"/>
      <c r="AA101" s="1668"/>
      <c r="AB101" s="340"/>
      <c r="AC101" s="2344"/>
    </row>
    <row r="102" spans="1:29" s="2402" customFormat="1" ht="11.25" x14ac:dyDescent="0.2">
      <c r="A102" s="2363"/>
      <c r="B102" s="2395"/>
      <c r="C102" s="2396" t="s">
        <v>263</v>
      </c>
      <c r="D102" s="2397">
        <f>+D82+D66+D53+D41+D30+D89</f>
        <v>1639303.84</v>
      </c>
      <c r="E102" s="2363"/>
      <c r="G102" s="2399" t="s">
        <v>263</v>
      </c>
      <c r="H102" s="2397">
        <f>+H82+H66+H53+H41+H30+H89</f>
        <v>1675698</v>
      </c>
      <c r="I102" s="2400"/>
      <c r="J102" s="607"/>
      <c r="K102" s="2399" t="s">
        <v>263</v>
      </c>
      <c r="L102" s="2397">
        <f>+L82+L66+L53+L41+L30+L89</f>
        <v>1620527</v>
      </c>
      <c r="M102" s="2404"/>
      <c r="O102" s="2399" t="s">
        <v>263</v>
      </c>
      <c r="P102" s="2397">
        <f>+P82+P66+P53+P41+P30+P89</f>
        <v>1620527</v>
      </c>
      <c r="Q102" s="2404"/>
      <c r="R102" s="608"/>
      <c r="S102" s="2405" t="s">
        <v>263</v>
      </c>
      <c r="T102" s="2397">
        <f>+T82+T66+T53+T41+T30+T89</f>
        <v>1620527</v>
      </c>
      <c r="U102" s="2409"/>
      <c r="V102" s="2407"/>
      <c r="W102" s="2408" t="s">
        <v>263</v>
      </c>
      <c r="X102" s="2397">
        <f>+X82+X66+X53+X41+X30+X89</f>
        <v>1682524</v>
      </c>
      <c r="Y102" s="2409"/>
      <c r="AA102" s="2399" t="s">
        <v>263</v>
      </c>
      <c r="AB102" s="2397" t="e">
        <f>+AB82+AB66+AB53+AB41+AB30+AB89</f>
        <v>#VALUE!</v>
      </c>
      <c r="AC102" s="2409"/>
    </row>
    <row r="103" spans="1:29" s="2402" customFormat="1" ht="11.25" x14ac:dyDescent="0.2">
      <c r="A103" s="2413"/>
      <c r="B103" s="2395"/>
      <c r="C103" s="2411" t="s">
        <v>222</v>
      </c>
      <c r="D103" s="2412">
        <f>+D13</f>
        <v>60367.16</v>
      </c>
      <c r="E103" s="2419"/>
      <c r="F103" s="2410"/>
      <c r="G103" s="2415" t="s">
        <v>222</v>
      </c>
      <c r="H103" s="2412">
        <f>+H13</f>
        <v>73939</v>
      </c>
      <c r="I103" s="2398"/>
      <c r="J103" s="608"/>
      <c r="K103" s="2415" t="s">
        <v>222</v>
      </c>
      <c r="L103" s="2412">
        <f>+L13</f>
        <v>86653</v>
      </c>
      <c r="M103" s="2404"/>
      <c r="O103" s="2415" t="s">
        <v>222</v>
      </c>
      <c r="P103" s="2412">
        <f>+P13</f>
        <v>86653</v>
      </c>
      <c r="Q103" s="2363"/>
      <c r="R103" s="608"/>
      <c r="S103" s="2416" t="s">
        <v>222</v>
      </c>
      <c r="T103" s="2412">
        <f>+T13</f>
        <v>86653</v>
      </c>
      <c r="V103" s="2407"/>
      <c r="W103" s="2417" t="s">
        <v>222</v>
      </c>
      <c r="X103" s="2412">
        <f>+X13</f>
        <v>59570</v>
      </c>
      <c r="AA103" s="2415" t="s">
        <v>222</v>
      </c>
      <c r="AB103" s="2412">
        <f>+AB13</f>
        <v>59570</v>
      </c>
    </row>
    <row r="104" spans="1:29" s="2402" customFormat="1" ht="11.25" x14ac:dyDescent="0.2">
      <c r="A104" s="2413"/>
      <c r="B104" s="2395"/>
      <c r="C104" s="2411"/>
      <c r="D104" s="2418">
        <f>+D102+D103</f>
        <v>1699671</v>
      </c>
      <c r="E104" s="2419"/>
      <c r="F104" s="2410"/>
      <c r="G104" s="2415"/>
      <c r="H104" s="2418">
        <f>+H102+H103</f>
        <v>1749637</v>
      </c>
      <c r="I104" s="2398"/>
      <c r="J104" s="608"/>
      <c r="K104" s="2415"/>
      <c r="L104" s="2418">
        <f>+L102+L103</f>
        <v>1707180</v>
      </c>
      <c r="M104" s="2363"/>
      <c r="O104" s="2415"/>
      <c r="P104" s="2418">
        <f>+P102+P103</f>
        <v>1707180</v>
      </c>
      <c r="Q104" s="2363"/>
      <c r="R104" s="608"/>
      <c r="S104" s="2416"/>
      <c r="T104" s="2418">
        <f>+T102+T103</f>
        <v>1707180</v>
      </c>
      <c r="V104" s="2407"/>
      <c r="W104" s="2417"/>
      <c r="X104" s="2418">
        <f>+X102+X103</f>
        <v>1742094</v>
      </c>
      <c r="AA104" s="2415"/>
      <c r="AB104" s="2418" t="e">
        <f>+AB102+AB103</f>
        <v>#VALUE!</v>
      </c>
    </row>
    <row r="105" spans="1:29" s="457" customFormat="1" ht="15" customHeight="1" x14ac:dyDescent="0.25">
      <c r="A105" s="897"/>
      <c r="B105" s="2422"/>
      <c r="C105" s="2422"/>
      <c r="D105" s="459">
        <f>+D92-D104</f>
        <v>0</v>
      </c>
      <c r="E105" s="2386"/>
      <c r="F105" s="340"/>
      <c r="G105" s="2447"/>
      <c r="H105" s="459">
        <f>+H92-H104</f>
        <v>0</v>
      </c>
      <c r="I105" s="2339"/>
      <c r="J105" s="592"/>
      <c r="K105" s="2447"/>
      <c r="L105" s="459">
        <f>+L92-L104</f>
        <v>0</v>
      </c>
      <c r="M105" s="1656"/>
      <c r="O105" s="2447"/>
      <c r="P105" s="459">
        <f>+P92-P104</f>
        <v>0</v>
      </c>
      <c r="Q105" s="1656"/>
      <c r="R105" s="592"/>
      <c r="S105" s="2447"/>
      <c r="T105" s="459">
        <f>+T92-T104</f>
        <v>0</v>
      </c>
      <c r="V105" s="952"/>
      <c r="W105" s="2448"/>
      <c r="X105" s="459">
        <f>+X92-X104</f>
        <v>0</v>
      </c>
      <c r="AA105" s="2447"/>
      <c r="AB105" s="459" t="e">
        <f>+AB92-AB104</f>
        <v>#VALUE!</v>
      </c>
    </row>
    <row r="106" spans="1:29" s="457" customFormat="1" x14ac:dyDescent="0.25">
      <c r="A106" s="897"/>
      <c r="B106" s="2422"/>
      <c r="C106" s="2422"/>
      <c r="D106" s="455"/>
      <c r="E106" s="2386"/>
      <c r="F106" s="340"/>
      <c r="G106" s="2338"/>
      <c r="H106" s="2424"/>
      <c r="I106" s="2339"/>
      <c r="J106" s="592"/>
      <c r="K106" s="1668"/>
      <c r="L106" s="2370"/>
      <c r="M106" s="1656"/>
      <c r="O106" s="1668"/>
      <c r="P106" s="340"/>
      <c r="Q106" s="1656"/>
      <c r="R106" s="592"/>
      <c r="S106" s="2341"/>
      <c r="V106" s="952"/>
      <c r="W106" s="2343"/>
      <c r="AA106" s="1668"/>
    </row>
    <row r="107" spans="1:29" s="457" customFormat="1" x14ac:dyDescent="0.25">
      <c r="A107" s="897"/>
      <c r="B107" s="2394"/>
      <c r="C107" s="2230"/>
      <c r="D107" s="342"/>
      <c r="E107" s="2386"/>
      <c r="F107" s="340"/>
      <c r="G107" s="2338"/>
      <c r="H107" s="2424"/>
      <c r="I107" s="2339"/>
      <c r="J107" s="592"/>
      <c r="K107" s="1668"/>
      <c r="L107" s="2370"/>
      <c r="M107" s="1656"/>
      <c r="O107" s="1668"/>
      <c r="P107" s="340"/>
      <c r="Q107" s="1656"/>
      <c r="R107" s="592"/>
      <c r="S107" s="2341"/>
      <c r="V107" s="952"/>
      <c r="W107" s="2343"/>
      <c r="AA107" s="1668"/>
    </row>
    <row r="108" spans="1:29" s="457" customFormat="1" x14ac:dyDescent="0.25">
      <c r="A108" s="1656"/>
      <c r="B108" s="2394"/>
      <c r="C108" s="2230"/>
      <c r="D108" s="455"/>
      <c r="E108" s="1656"/>
      <c r="G108" s="2338"/>
      <c r="H108" s="2424"/>
      <c r="I108" s="2339"/>
      <c r="J108" s="592"/>
      <c r="K108" s="1668"/>
      <c r="L108" s="2370"/>
      <c r="M108" s="1656"/>
      <c r="O108" s="1668"/>
      <c r="P108" s="340"/>
      <c r="Q108" s="1656"/>
      <c r="R108" s="592"/>
      <c r="S108" s="2341"/>
      <c r="V108" s="952"/>
      <c r="W108" s="2343"/>
      <c r="AA108" s="1668"/>
    </row>
    <row r="109" spans="1:29" s="457" customFormat="1" x14ac:dyDescent="0.25">
      <c r="A109" s="1656"/>
      <c r="B109" s="2394"/>
      <c r="C109" s="2230"/>
      <c r="D109" s="455"/>
      <c r="E109" s="1656"/>
      <c r="G109" s="2338"/>
      <c r="H109" s="2424"/>
      <c r="I109" s="2339"/>
      <c r="J109" s="592"/>
      <c r="K109" s="1668"/>
      <c r="L109" s="2370"/>
      <c r="M109" s="1656"/>
      <c r="O109" s="1668"/>
      <c r="P109" s="340"/>
      <c r="Q109" s="1656"/>
      <c r="R109" s="592"/>
      <c r="S109" s="2341"/>
      <c r="V109" s="952"/>
      <c r="W109" s="2343"/>
      <c r="AA109" s="1668"/>
    </row>
    <row r="110" spans="1:29" s="457" customFormat="1" ht="15" customHeight="1" x14ac:dyDescent="0.25">
      <c r="A110" s="1656"/>
      <c r="B110" s="2394"/>
      <c r="C110" s="2230"/>
      <c r="D110" s="455"/>
      <c r="E110" s="1656"/>
      <c r="G110" s="2338"/>
      <c r="H110" s="2424"/>
      <c r="I110" s="2339"/>
      <c r="J110" s="592"/>
      <c r="K110" s="1668"/>
      <c r="L110" s="2370"/>
      <c r="M110" s="1656"/>
      <c r="O110" s="1668"/>
      <c r="P110" s="340"/>
      <c r="Q110" s="1656"/>
      <c r="R110" s="592"/>
      <c r="S110" s="2341"/>
      <c r="V110" s="952"/>
      <c r="W110" s="2343"/>
      <c r="AA110" s="1668"/>
    </row>
    <row r="111" spans="1:29" s="457" customFormat="1" x14ac:dyDescent="0.25">
      <c r="A111" s="1656"/>
      <c r="B111" s="2394"/>
      <c r="C111" s="2230"/>
      <c r="D111" s="455"/>
      <c r="E111" s="1656"/>
      <c r="G111" s="2338"/>
      <c r="H111" s="2424"/>
      <c r="I111" s="2339"/>
      <c r="J111" s="592"/>
      <c r="K111" s="1668"/>
      <c r="L111" s="2370"/>
      <c r="M111" s="1656"/>
      <c r="O111" s="1668"/>
      <c r="P111" s="340"/>
      <c r="Q111" s="1656"/>
      <c r="R111" s="592"/>
      <c r="S111" s="2341"/>
      <c r="V111" s="952"/>
      <c r="W111" s="2343"/>
      <c r="AA111" s="1668"/>
    </row>
    <row r="112" spans="1:29" s="457" customFormat="1" x14ac:dyDescent="0.25">
      <c r="A112" s="1656"/>
      <c r="B112" s="2394"/>
      <c r="C112" s="2230"/>
      <c r="D112" s="455"/>
      <c r="E112" s="1656"/>
      <c r="G112" s="2338"/>
      <c r="H112" s="2424"/>
      <c r="I112" s="2339"/>
      <c r="J112" s="592"/>
      <c r="K112" s="1668"/>
      <c r="L112" s="2370"/>
      <c r="M112" s="1656"/>
      <c r="O112" s="1668"/>
      <c r="P112" s="340"/>
      <c r="Q112" s="1656"/>
      <c r="R112" s="592"/>
      <c r="S112" s="2341"/>
      <c r="V112" s="952"/>
      <c r="W112" s="2343"/>
      <c r="AA112" s="1668"/>
    </row>
    <row r="113" spans="1:27" s="457" customFormat="1" ht="15" customHeight="1" x14ac:dyDescent="0.25">
      <c r="A113" s="1656"/>
      <c r="B113" s="2570"/>
      <c r="C113" s="2570"/>
      <c r="D113" s="455"/>
      <c r="E113" s="1656"/>
      <c r="G113" s="2338"/>
      <c r="H113" s="2424"/>
      <c r="I113" s="2339"/>
      <c r="J113" s="592"/>
      <c r="K113" s="1668"/>
      <c r="L113" s="2370"/>
      <c r="M113" s="1656"/>
      <c r="O113" s="1668"/>
      <c r="P113" s="340"/>
      <c r="Q113" s="1656"/>
      <c r="R113" s="592"/>
      <c r="S113" s="2341"/>
      <c r="V113" s="952"/>
      <c r="W113" s="2343"/>
      <c r="AA113" s="1668"/>
    </row>
    <row r="114" spans="1:27" s="457" customFormat="1" x14ac:dyDescent="0.25">
      <c r="A114" s="1656"/>
      <c r="B114" s="2570"/>
      <c r="C114" s="2570"/>
      <c r="D114" s="455"/>
      <c r="E114" s="1656"/>
      <c r="G114" s="2338"/>
      <c r="H114" s="2424"/>
      <c r="I114" s="2339"/>
      <c r="J114" s="592"/>
      <c r="K114" s="1668"/>
      <c r="L114" s="2370"/>
      <c r="M114" s="1656"/>
      <c r="O114" s="1668"/>
      <c r="P114" s="340"/>
      <c r="Q114" s="1656"/>
      <c r="R114" s="592"/>
      <c r="S114" s="2341"/>
      <c r="V114" s="952"/>
      <c r="W114" s="2343"/>
      <c r="AA114" s="1668"/>
    </row>
    <row r="115" spans="1:27" s="457" customFormat="1" x14ac:dyDescent="0.25">
      <c r="A115" s="1656"/>
      <c r="B115" s="2394"/>
      <c r="C115" s="2230"/>
      <c r="D115" s="460"/>
      <c r="E115" s="1656"/>
      <c r="G115" s="2338"/>
      <c r="H115" s="2424"/>
      <c r="I115" s="2339"/>
      <c r="J115" s="592"/>
      <c r="K115" s="1668"/>
      <c r="L115" s="2370"/>
      <c r="M115" s="1656"/>
      <c r="O115" s="1668"/>
      <c r="P115" s="340"/>
      <c r="Q115" s="1656"/>
      <c r="R115" s="592"/>
      <c r="S115" s="2341"/>
      <c r="V115" s="952"/>
      <c r="W115" s="2343"/>
      <c r="AA115" s="1668"/>
    </row>
    <row r="116" spans="1:27" s="457" customFormat="1" x14ac:dyDescent="0.25">
      <c r="A116" s="1656"/>
      <c r="B116" s="2394"/>
      <c r="C116" s="2230"/>
      <c r="D116" s="455"/>
      <c r="E116" s="1656"/>
      <c r="G116" s="2338"/>
      <c r="H116" s="2424"/>
      <c r="I116" s="2339"/>
      <c r="J116" s="592"/>
      <c r="K116" s="1668"/>
      <c r="L116" s="2370"/>
      <c r="M116" s="1656"/>
      <c r="O116" s="1668"/>
      <c r="P116" s="340"/>
      <c r="Q116" s="1656"/>
      <c r="R116" s="592"/>
      <c r="S116" s="2341"/>
      <c r="V116" s="952"/>
      <c r="W116" s="2343"/>
      <c r="AA116" s="1668"/>
    </row>
    <row r="117" spans="1:27" s="457" customFormat="1" x14ac:dyDescent="0.25">
      <c r="A117" s="1656"/>
      <c r="B117" s="2394"/>
      <c r="C117" s="2230"/>
      <c r="D117" s="455"/>
      <c r="E117" s="1656"/>
      <c r="G117" s="2338"/>
      <c r="H117" s="2424"/>
      <c r="I117" s="2339"/>
      <c r="J117" s="592"/>
      <c r="K117" s="1668"/>
      <c r="L117" s="2370"/>
      <c r="M117" s="1656"/>
      <c r="O117" s="1668"/>
      <c r="P117" s="340"/>
      <c r="Q117" s="1656"/>
      <c r="R117" s="592"/>
      <c r="S117" s="2341"/>
      <c r="V117" s="952"/>
      <c r="W117" s="2343"/>
      <c r="AA117" s="1668"/>
    </row>
    <row r="118" spans="1:27" s="457" customFormat="1" ht="28.5" customHeight="1" x14ac:dyDescent="0.25">
      <c r="A118" s="1656"/>
      <c r="B118" s="2394"/>
      <c r="C118" s="2230"/>
      <c r="D118" s="342"/>
      <c r="E118" s="1656"/>
      <c r="G118" s="2338"/>
      <c r="H118" s="2424"/>
      <c r="I118" s="2339"/>
      <c r="J118" s="592"/>
      <c r="K118" s="1668"/>
      <c r="L118" s="2370"/>
      <c r="M118" s="1656"/>
      <c r="O118" s="1668"/>
      <c r="P118" s="340"/>
      <c r="Q118" s="1656"/>
      <c r="R118" s="592"/>
      <c r="S118" s="2341"/>
      <c r="V118" s="952"/>
      <c r="W118" s="2343"/>
      <c r="AA118" s="1668"/>
    </row>
    <row r="119" spans="1:27" s="457" customFormat="1" x14ac:dyDescent="0.25">
      <c r="A119" s="1656"/>
      <c r="B119" s="2394"/>
      <c r="C119" s="2230"/>
      <c r="D119" s="455"/>
      <c r="E119" s="1656"/>
      <c r="G119" s="2338"/>
      <c r="H119" s="2424"/>
      <c r="I119" s="2339"/>
      <c r="J119" s="592"/>
      <c r="K119" s="1668"/>
      <c r="L119" s="2370"/>
      <c r="M119" s="1656"/>
      <c r="O119" s="1668"/>
      <c r="P119" s="340"/>
      <c r="Q119" s="1656"/>
      <c r="R119" s="592"/>
      <c r="S119" s="2341"/>
      <c r="V119" s="952"/>
      <c r="W119" s="2343"/>
      <c r="AA119" s="1668"/>
    </row>
    <row r="120" spans="1:27" s="457" customFormat="1" x14ac:dyDescent="0.25">
      <c r="A120" s="1656"/>
      <c r="B120" s="2394"/>
      <c r="C120" s="2230"/>
      <c r="D120" s="455"/>
      <c r="E120" s="1656"/>
      <c r="G120" s="2338"/>
      <c r="H120" s="2424"/>
      <c r="I120" s="2339"/>
      <c r="J120" s="592"/>
      <c r="K120" s="1668"/>
      <c r="L120" s="2370"/>
      <c r="M120" s="1656"/>
      <c r="O120" s="1668"/>
      <c r="P120" s="340"/>
      <c r="Q120" s="1656"/>
      <c r="R120" s="592"/>
      <c r="S120" s="2341"/>
      <c r="V120" s="952"/>
      <c r="W120" s="2343"/>
      <c r="AA120" s="1668"/>
    </row>
    <row r="121" spans="1:27" s="457" customFormat="1" x14ac:dyDescent="0.25">
      <c r="A121" s="1656"/>
      <c r="B121" s="2394"/>
      <c r="C121" s="2230"/>
      <c r="D121" s="455"/>
      <c r="E121" s="1656"/>
      <c r="G121" s="2338"/>
      <c r="H121" s="2424"/>
      <c r="I121" s="2339"/>
      <c r="J121" s="592"/>
      <c r="K121" s="1668"/>
      <c r="L121" s="2370"/>
      <c r="M121" s="1656"/>
      <c r="O121" s="1668"/>
      <c r="P121" s="340"/>
      <c r="Q121" s="1656"/>
      <c r="R121" s="592"/>
      <c r="S121" s="2341"/>
      <c r="V121" s="952"/>
      <c r="W121" s="2343"/>
      <c r="AA121" s="1668"/>
    </row>
    <row r="122" spans="1:27" s="457" customFormat="1" x14ac:dyDescent="0.25">
      <c r="A122" s="1656"/>
      <c r="B122" s="2394"/>
      <c r="C122" s="2230"/>
      <c r="D122" s="455"/>
      <c r="E122" s="1656"/>
      <c r="G122" s="2338"/>
      <c r="H122" s="2424"/>
      <c r="I122" s="2339"/>
      <c r="J122" s="592"/>
      <c r="K122" s="1668"/>
      <c r="L122" s="2370"/>
      <c r="M122" s="1656"/>
      <c r="O122" s="1668"/>
      <c r="P122" s="340"/>
      <c r="Q122" s="1656"/>
      <c r="R122" s="592"/>
      <c r="S122" s="2341"/>
      <c r="V122" s="952"/>
      <c r="W122" s="2343"/>
      <c r="AA122" s="1668"/>
    </row>
    <row r="123" spans="1:27" s="457" customFormat="1" x14ac:dyDescent="0.25">
      <c r="A123" s="1656"/>
      <c r="B123" s="2394"/>
      <c r="C123" s="2230"/>
      <c r="D123" s="455"/>
      <c r="E123" s="1656"/>
      <c r="G123" s="2338"/>
      <c r="H123" s="2424"/>
      <c r="I123" s="2339"/>
      <c r="J123" s="592"/>
      <c r="K123" s="1668"/>
      <c r="L123" s="2370"/>
      <c r="M123" s="1656"/>
      <c r="O123" s="1668"/>
      <c r="P123" s="340"/>
      <c r="Q123" s="1656"/>
      <c r="R123" s="592"/>
      <c r="S123" s="2341"/>
      <c r="V123" s="952"/>
      <c r="W123" s="2343"/>
      <c r="AA123" s="1668"/>
    </row>
    <row r="124" spans="1:27" s="457" customFormat="1" x14ac:dyDescent="0.25">
      <c r="A124" s="1656"/>
      <c r="B124" s="2394"/>
      <c r="C124" s="2230"/>
      <c r="D124" s="455"/>
      <c r="E124" s="1656"/>
      <c r="G124" s="2338"/>
      <c r="H124" s="2424"/>
      <c r="I124" s="2339"/>
      <c r="J124" s="592"/>
      <c r="K124" s="1668"/>
      <c r="L124" s="2370"/>
      <c r="M124" s="1656"/>
      <c r="O124" s="1668"/>
      <c r="P124" s="340"/>
      <c r="Q124" s="1656"/>
      <c r="R124" s="592"/>
      <c r="S124" s="2341"/>
      <c r="V124" s="952"/>
      <c r="W124" s="2343"/>
      <c r="AA124" s="1668"/>
    </row>
    <row r="125" spans="1:27" s="457" customFormat="1" x14ac:dyDescent="0.25">
      <c r="A125" s="1656"/>
      <c r="B125" s="2394"/>
      <c r="C125" s="2230"/>
      <c r="D125" s="455"/>
      <c r="E125" s="1656"/>
      <c r="G125" s="2338"/>
      <c r="H125" s="2424"/>
      <c r="I125" s="2339"/>
      <c r="J125" s="592"/>
      <c r="K125" s="1668"/>
      <c r="L125" s="2370"/>
      <c r="M125" s="1656"/>
      <c r="O125" s="1668"/>
      <c r="P125" s="340"/>
      <c r="Q125" s="1656"/>
      <c r="R125" s="592"/>
      <c r="S125" s="2341"/>
      <c r="V125" s="952"/>
      <c r="W125" s="2343"/>
      <c r="AA125" s="1668"/>
    </row>
    <row r="126" spans="1:27" s="457" customFormat="1" x14ac:dyDescent="0.25">
      <c r="A126" s="1656"/>
      <c r="B126" s="2394"/>
      <c r="C126" s="2230"/>
      <c r="D126" s="455"/>
      <c r="E126" s="1656"/>
      <c r="G126" s="2338"/>
      <c r="H126" s="2424"/>
      <c r="I126" s="2339"/>
      <c r="J126" s="592"/>
      <c r="K126" s="1668"/>
      <c r="L126" s="2370"/>
      <c r="M126" s="1656"/>
      <c r="O126" s="1668"/>
      <c r="P126" s="340"/>
      <c r="Q126" s="1656"/>
      <c r="R126" s="592"/>
      <c r="S126" s="2341"/>
      <c r="V126" s="952"/>
      <c r="W126" s="2343"/>
      <c r="AA126" s="1668"/>
    </row>
    <row r="127" spans="1:27" s="457" customFormat="1" x14ac:dyDescent="0.25">
      <c r="A127" s="1656"/>
      <c r="B127" s="2394"/>
      <c r="C127" s="2230"/>
      <c r="D127" s="455"/>
      <c r="E127" s="1656"/>
      <c r="G127" s="2338"/>
      <c r="H127" s="2424"/>
      <c r="I127" s="2339"/>
      <c r="J127" s="592"/>
      <c r="K127" s="1668"/>
      <c r="L127" s="2370"/>
      <c r="M127" s="1656"/>
      <c r="O127" s="1668"/>
      <c r="P127" s="340"/>
      <c r="Q127" s="1656"/>
      <c r="R127" s="592"/>
      <c r="S127" s="2341"/>
      <c r="V127" s="952"/>
      <c r="W127" s="2343"/>
      <c r="AA127" s="1668"/>
    </row>
    <row r="128" spans="1:27" s="457" customFormat="1" x14ac:dyDescent="0.25">
      <c r="A128" s="1656"/>
      <c r="B128" s="2394"/>
      <c r="C128" s="2230"/>
      <c r="D128" s="455"/>
      <c r="E128" s="1656"/>
      <c r="G128" s="2338"/>
      <c r="H128" s="2424"/>
      <c r="I128" s="2339"/>
      <c r="J128" s="592"/>
      <c r="K128" s="1668"/>
      <c r="L128" s="2370"/>
      <c r="M128" s="1656"/>
      <c r="O128" s="1668"/>
      <c r="P128" s="340"/>
      <c r="Q128" s="1656"/>
      <c r="R128" s="592"/>
      <c r="S128" s="2341"/>
      <c r="V128" s="952"/>
      <c r="W128" s="2343"/>
      <c r="AA128" s="1668"/>
    </row>
    <row r="129" spans="1:27" s="457" customFormat="1" x14ac:dyDescent="0.25">
      <c r="A129" s="1656"/>
      <c r="B129" s="2394"/>
      <c r="C129" s="2230"/>
      <c r="D129" s="455"/>
      <c r="E129" s="1656"/>
      <c r="G129" s="2338"/>
      <c r="H129" s="2424"/>
      <c r="I129" s="2339"/>
      <c r="J129" s="592"/>
      <c r="K129" s="1668"/>
      <c r="L129" s="2370"/>
      <c r="M129" s="1656"/>
      <c r="O129" s="1668"/>
      <c r="P129" s="340"/>
      <c r="Q129" s="1656"/>
      <c r="R129" s="592"/>
      <c r="S129" s="2341"/>
      <c r="V129" s="952"/>
      <c r="W129" s="2343"/>
      <c r="AA129" s="1668"/>
    </row>
    <row r="130" spans="1:27" s="457" customFormat="1" x14ac:dyDescent="0.25">
      <c r="A130" s="1656"/>
      <c r="B130" s="2394"/>
      <c r="C130" s="2230"/>
      <c r="D130" s="455"/>
      <c r="E130" s="1656"/>
      <c r="G130" s="2338"/>
      <c r="H130" s="2424"/>
      <c r="I130" s="2339"/>
      <c r="J130" s="592"/>
      <c r="K130" s="1668"/>
      <c r="L130" s="2370"/>
      <c r="M130" s="1656"/>
      <c r="O130" s="1668"/>
      <c r="P130" s="340"/>
      <c r="Q130" s="1656"/>
      <c r="R130" s="592"/>
      <c r="S130" s="2341"/>
      <c r="V130" s="952"/>
      <c r="W130" s="2343"/>
      <c r="AA130" s="1668"/>
    </row>
    <row r="131" spans="1:27" s="457" customFormat="1" x14ac:dyDescent="0.25">
      <c r="A131" s="1656"/>
      <c r="B131" s="2394"/>
      <c r="C131" s="2230"/>
      <c r="D131" s="455"/>
      <c r="E131" s="1656"/>
      <c r="G131" s="2338"/>
      <c r="H131" s="2424"/>
      <c r="I131" s="2339"/>
      <c r="J131" s="592"/>
      <c r="K131" s="1668"/>
      <c r="L131" s="2370"/>
      <c r="M131" s="1656"/>
      <c r="O131" s="1668"/>
      <c r="P131" s="340"/>
      <c r="Q131" s="1656"/>
      <c r="R131" s="592"/>
      <c r="S131" s="2341"/>
      <c r="V131" s="952"/>
      <c r="W131" s="2343"/>
      <c r="AA131" s="1668"/>
    </row>
    <row r="132" spans="1:27" x14ac:dyDescent="0.25">
      <c r="B132" s="2173"/>
      <c r="C132" s="2179"/>
      <c r="D132" s="36"/>
    </row>
    <row r="133" spans="1:27" x14ac:dyDescent="0.25">
      <c r="B133" s="2173"/>
      <c r="C133" s="2179"/>
      <c r="D133" s="36"/>
    </row>
  </sheetData>
  <sheetProtection password="E247" sheet="1" objects="1" scenarios="1"/>
  <mergeCells count="1">
    <mergeCell ref="B113:C114"/>
  </mergeCells>
  <pageMargins left="0.25" right="0.25" top="0.5" bottom="0.5" header="0.25" footer="0.25"/>
  <pageSetup paperSize="5" scale="91" orientation="portrait" r:id="rId1"/>
  <headerFooter>
    <oddHeader>&amp;L&amp;F</oddHeader>
    <oddFooter>&amp;R&amp;A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C132"/>
  <sheetViews>
    <sheetView zoomScaleNormal="100" workbookViewId="0">
      <pane xSplit="3" ySplit="6" topLeftCell="H7" activePane="bottomRight" state="frozen"/>
      <selection activeCell="H7" sqref="H7"/>
      <selection pane="topRight" activeCell="H7" sqref="H7"/>
      <selection pane="bottomLeft" activeCell="H7" sqref="H7"/>
      <selection pane="bottomRight" activeCell="H7" sqref="H7"/>
    </sheetView>
  </sheetViews>
  <sheetFormatPr defaultRowHeight="15" x14ac:dyDescent="0.25"/>
  <cols>
    <col min="1" max="1" width="1.7109375" style="143" customWidth="1"/>
    <col min="2" max="2" width="8.5703125" style="2172" customWidth="1"/>
    <col min="3" max="3" width="18.28515625" style="2176" customWidth="1"/>
    <col min="4" max="4" width="16" style="2" hidden="1" customWidth="1"/>
    <col min="5" max="5" width="19.7109375" style="844" hidden="1" customWidth="1"/>
    <col min="6" max="6" width="6" style="39" hidden="1" customWidth="1"/>
    <col min="7" max="7" width="9.7109375" style="52" hidden="1" customWidth="1"/>
    <col min="8" max="8" width="13.85546875" style="121" bestFit="1" customWidth="1"/>
    <col min="9" max="9" width="26" style="853" hidden="1" customWidth="1"/>
    <col min="10" max="10" width="5.7109375" style="59" hidden="1" customWidth="1"/>
    <col min="11" max="11" width="9.42578125" style="333" hidden="1" customWidth="1"/>
    <col min="12" max="12" width="14" style="122" bestFit="1" customWidth="1"/>
    <col min="13" max="13" width="26" style="844" hidden="1" customWidth="1"/>
    <col min="14" max="14" width="5.7109375" style="39" hidden="1" customWidth="1"/>
    <col min="15" max="15" width="9.42578125" style="333" hidden="1" customWidth="1"/>
    <col min="16" max="16" width="14" style="2" bestFit="1" customWidth="1"/>
    <col min="17" max="17" width="24.85546875" style="844" hidden="1" customWidth="1"/>
    <col min="18" max="18" width="5.28515625" style="51" hidden="1" customWidth="1"/>
    <col min="19" max="19" width="9.42578125" style="338" hidden="1" customWidth="1"/>
    <col min="20" max="20" width="14" style="39" customWidth="1"/>
    <col min="21" max="21" width="24.85546875" style="39" hidden="1" customWidth="1"/>
    <col min="22" max="22" width="5.7109375" style="109" customWidth="1"/>
    <col min="23" max="23" width="9.42578125" style="2244" hidden="1" customWidth="1"/>
    <col min="24" max="24" width="14" style="39" hidden="1" customWidth="1"/>
    <col min="25" max="25" width="24.85546875" style="39" hidden="1" customWidth="1"/>
    <col min="26" max="26" width="5.7109375" style="39" hidden="1" customWidth="1"/>
    <col min="27" max="27" width="9.42578125" style="333" hidden="1" customWidth="1"/>
    <col min="28" max="28" width="14" style="39" hidden="1" customWidth="1"/>
    <col min="29" max="29" width="24.85546875" style="39" hidden="1" customWidth="1"/>
    <col min="30" max="16384" width="9.140625" style="39"/>
  </cols>
  <sheetData>
    <row r="1" spans="1:29" x14ac:dyDescent="0.25">
      <c r="B1" s="2172" t="s">
        <v>61</v>
      </c>
      <c r="C1" s="2178" t="s">
        <v>235</v>
      </c>
      <c r="D1" s="933"/>
      <c r="E1" s="842"/>
      <c r="F1" s="98"/>
      <c r="G1" s="325"/>
      <c r="H1" s="934"/>
      <c r="I1" s="842"/>
      <c r="K1" s="338"/>
      <c r="L1" s="121"/>
      <c r="M1" s="842"/>
      <c r="N1" s="51"/>
      <c r="O1" s="338"/>
      <c r="P1" s="121"/>
      <c r="Q1" s="842"/>
      <c r="T1" s="86">
        <v>0</v>
      </c>
      <c r="U1" s="98"/>
      <c r="X1" s="86">
        <v>0</v>
      </c>
      <c r="Y1" s="98"/>
      <c r="AB1" s="86">
        <v>0</v>
      </c>
      <c r="AC1" s="98"/>
    </row>
    <row r="2" spans="1:29" ht="17.25" x14ac:dyDescent="0.4">
      <c r="B2" s="2173" t="s">
        <v>59</v>
      </c>
      <c r="C2" s="2177" t="s">
        <v>692</v>
      </c>
      <c r="D2" s="934"/>
      <c r="E2" s="842"/>
      <c r="F2" s="98"/>
      <c r="G2" s="1663"/>
      <c r="H2" s="934"/>
      <c r="I2" s="842"/>
      <c r="K2" s="338"/>
      <c r="L2" s="87"/>
      <c r="M2" s="842"/>
      <c r="N2" s="51"/>
      <c r="O2" s="338"/>
      <c r="P2" s="87"/>
      <c r="Q2" s="842"/>
      <c r="T2" s="87">
        <v>0</v>
      </c>
      <c r="U2" s="98"/>
      <c r="X2" s="87">
        <v>0</v>
      </c>
      <c r="Y2" s="98"/>
      <c r="AB2" s="87">
        <v>0</v>
      </c>
      <c r="AC2" s="98"/>
    </row>
    <row r="3" spans="1:29" x14ac:dyDescent="0.25">
      <c r="D3" s="935"/>
      <c r="E3" s="852"/>
      <c r="F3" s="936"/>
      <c r="G3" s="1664"/>
      <c r="H3" s="935"/>
      <c r="I3" s="852"/>
      <c r="K3" s="338"/>
      <c r="L3" s="121"/>
      <c r="M3" s="853"/>
      <c r="N3" s="51"/>
      <c r="O3" s="338"/>
      <c r="P3" s="121"/>
      <c r="Q3" s="853"/>
      <c r="T3" s="86">
        <f>SUM(T1:T2)</f>
        <v>0</v>
      </c>
      <c r="U3" s="51"/>
      <c r="X3" s="86">
        <f>SUM(X1:X2)</f>
        <v>0</v>
      </c>
      <c r="Y3" s="51"/>
      <c r="AB3" s="86">
        <f>SUM(AB1:AB2)</f>
        <v>0</v>
      </c>
      <c r="AC3" s="51"/>
    </row>
    <row r="4" spans="1:29" x14ac:dyDescent="0.25">
      <c r="D4" s="36"/>
      <c r="E4" s="853"/>
      <c r="F4" s="51"/>
      <c r="G4" s="330"/>
      <c r="K4" s="338"/>
      <c r="L4" s="121"/>
      <c r="M4" s="853"/>
      <c r="N4" s="51"/>
      <c r="O4" s="338"/>
      <c r="P4" s="121"/>
      <c r="Q4" s="853"/>
      <c r="T4" s="86"/>
      <c r="U4" s="51"/>
      <c r="X4" s="86"/>
      <c r="Y4" s="51"/>
      <c r="AB4" s="86"/>
      <c r="AC4" s="51"/>
    </row>
    <row r="5" spans="1:29" ht="15.75" x14ac:dyDescent="0.25">
      <c r="B5" s="2174" t="s">
        <v>56</v>
      </c>
      <c r="P5" s="122"/>
      <c r="T5" s="73"/>
      <c r="X5" s="73"/>
      <c r="AB5" s="73"/>
    </row>
    <row r="6" spans="1:29" s="89" customFormat="1" ht="15.75" x14ac:dyDescent="0.25">
      <c r="A6" s="144"/>
      <c r="B6" s="2175"/>
      <c r="C6" s="2175"/>
      <c r="D6" s="243" t="s">
        <v>55</v>
      </c>
      <c r="E6" s="845"/>
      <c r="G6" s="327"/>
      <c r="H6" s="282" t="str">
        <f>LEFT(D6,4)+1&amp;"-"&amp;RIGHT(D6,4)+1</f>
        <v>2017-2018</v>
      </c>
      <c r="I6" s="854"/>
      <c r="J6" s="93"/>
      <c r="K6" s="334"/>
      <c r="L6" s="123" t="str">
        <f>LEFT(H6,4)+1&amp;"-"&amp;RIGHT(H6,4)+1</f>
        <v>2018-2019</v>
      </c>
      <c r="M6" s="888"/>
      <c r="N6" s="96"/>
      <c r="O6" s="337"/>
      <c r="P6" s="123" t="str">
        <f>LEFT(L6,4)+1&amp;"-"&amp;RIGHT(L6,4)+1</f>
        <v>2019-2020</v>
      </c>
      <c r="Q6" s="888"/>
      <c r="R6" s="2237"/>
      <c r="S6" s="2242"/>
      <c r="T6" s="95" t="str">
        <f>LEFT(P6,4)+1&amp;"-"&amp;RIGHT(P6,4)+1</f>
        <v>2020-2021</v>
      </c>
      <c r="U6" s="95"/>
      <c r="V6" s="110"/>
      <c r="W6" s="2245"/>
      <c r="X6" s="95" t="str">
        <f>LEFT(T6,4)+1&amp;"-"&amp;RIGHT(T6,4)+1</f>
        <v>2021-2022</v>
      </c>
      <c r="Y6" s="95"/>
      <c r="Z6" s="96"/>
      <c r="AA6" s="337"/>
      <c r="AB6" s="95" t="str">
        <f>LEFT(X6,4)+1&amp;"-"&amp;RIGHT(X6,4)+1</f>
        <v>2022-2023</v>
      </c>
      <c r="AC6" s="95"/>
    </row>
    <row r="7" spans="1:29" s="457" customFormat="1" x14ac:dyDescent="0.25">
      <c r="A7" s="1656"/>
      <c r="B7" s="2337" t="s">
        <v>54</v>
      </c>
      <c r="C7" s="2215"/>
      <c r="D7" s="340">
        <v>0</v>
      </c>
      <c r="E7" s="1656"/>
      <c r="G7" s="2338"/>
      <c r="H7" s="340">
        <f>D95</f>
        <v>0</v>
      </c>
      <c r="I7" s="1656"/>
      <c r="J7" s="599"/>
      <c r="K7" s="1668"/>
      <c r="L7" s="340">
        <f>H95</f>
        <v>0</v>
      </c>
      <c r="M7" s="1656"/>
      <c r="O7" s="1668"/>
      <c r="P7" s="340">
        <f>L95</f>
        <v>0</v>
      </c>
      <c r="Q7" s="1656"/>
      <c r="R7" s="592"/>
      <c r="S7" s="2341"/>
      <c r="T7" s="340">
        <f>P95</f>
        <v>0</v>
      </c>
      <c r="V7" s="952"/>
      <c r="W7" s="2343"/>
      <c r="X7" s="340">
        <f>T95</f>
        <v>0</v>
      </c>
      <c r="AA7" s="1668"/>
      <c r="AB7" s="340">
        <f>X95</f>
        <v>0</v>
      </c>
    </row>
    <row r="8" spans="1:29" s="457" customFormat="1" x14ac:dyDescent="0.25">
      <c r="A8" s="1656"/>
      <c r="B8" s="2345"/>
      <c r="C8" s="2215"/>
      <c r="D8" s="340"/>
      <c r="E8" s="1656"/>
      <c r="G8" s="2338"/>
      <c r="H8" s="340"/>
      <c r="I8" s="1656"/>
      <c r="J8" s="592"/>
      <c r="K8" s="1668"/>
      <c r="L8" s="340"/>
      <c r="M8" s="1656"/>
      <c r="O8" s="1668"/>
      <c r="P8" s="340"/>
      <c r="Q8" s="1656"/>
      <c r="R8" s="592"/>
      <c r="S8" s="2341"/>
      <c r="V8" s="952"/>
      <c r="W8" s="2343"/>
      <c r="AA8" s="1668"/>
    </row>
    <row r="9" spans="1:29" s="457" customFormat="1" x14ac:dyDescent="0.25">
      <c r="A9" s="1656"/>
      <c r="B9" s="2345" t="s">
        <v>52</v>
      </c>
      <c r="C9" s="2215" t="s">
        <v>53</v>
      </c>
      <c r="D9" s="340">
        <v>1510</v>
      </c>
      <c r="E9" s="1656" t="s">
        <v>264</v>
      </c>
      <c r="G9" s="456">
        <f>IF(D9=0,"0.00%",(H9-D9)/D9)</f>
        <v>2.8258278145695366</v>
      </c>
      <c r="H9" s="833">
        <v>5777</v>
      </c>
      <c r="I9" s="1656"/>
      <c r="J9" s="342"/>
      <c r="K9" s="456">
        <f>IF(H9=0,"0.00%",(L9-H9)/H9)</f>
        <v>-1</v>
      </c>
      <c r="L9" s="833">
        <v>0</v>
      </c>
      <c r="M9" s="1656" t="s">
        <v>173</v>
      </c>
      <c r="O9" s="456" t="str">
        <f>IF(L9=0,"0.00%",(P9-L9)/L9)</f>
        <v>0.00%</v>
      </c>
      <c r="P9" s="833">
        <f>+L9</f>
        <v>0</v>
      </c>
      <c r="Q9" s="1656" t="s">
        <v>173</v>
      </c>
      <c r="R9" s="592"/>
      <c r="S9" s="2238" t="str">
        <f>IF(P9=0,"0.00%",(T9-P9)/P9)</f>
        <v>0.00%</v>
      </c>
      <c r="T9" s="833">
        <f>+P9</f>
        <v>0</v>
      </c>
      <c r="V9" s="952"/>
      <c r="W9" s="2241" t="str">
        <f>IF(T9=0,"0.00%",(X9-T9)/T9)</f>
        <v>0.00%</v>
      </c>
      <c r="X9" s="833">
        <f>+T9</f>
        <v>0</v>
      </c>
      <c r="AA9" s="456" t="str">
        <f>IF(X9=0,"0.00%",(AB9-X9)/X9)</f>
        <v>0.00%</v>
      </c>
      <c r="AB9" s="833">
        <f>+X9</f>
        <v>0</v>
      </c>
    </row>
    <row r="10" spans="1:29" s="457" customFormat="1" x14ac:dyDescent="0.25">
      <c r="A10" s="1656"/>
      <c r="B10" s="2345"/>
      <c r="C10" s="2215" t="s">
        <v>51</v>
      </c>
      <c r="D10" s="340">
        <v>0</v>
      </c>
      <c r="E10" s="1656"/>
      <c r="G10" s="456" t="str">
        <f t="shared" ref="G10:G15" si="0">IF(D10=0,"0.00%",(H10-D10)/D10)</f>
        <v>0.00%</v>
      </c>
      <c r="H10" s="833">
        <v>0</v>
      </c>
      <c r="I10" s="1656"/>
      <c r="J10" s="342"/>
      <c r="K10" s="456" t="str">
        <f>IF(H10=0,"0.00%",(L10-H10)/H10)</f>
        <v>0.00%</v>
      </c>
      <c r="L10" s="833">
        <f>-H2</f>
        <v>0</v>
      </c>
      <c r="M10" s="1656"/>
      <c r="O10" s="456" t="str">
        <f>IF(L10=0,"0.00%",(P10-L10)/L10)</f>
        <v>0.00%</v>
      </c>
      <c r="P10" s="833">
        <f>-L2</f>
        <v>0</v>
      </c>
      <c r="Q10" s="1656"/>
      <c r="R10" s="592"/>
      <c r="S10" s="2238" t="str">
        <f>IF(P10=0,"0.00%",(T10-P10)/P10)</f>
        <v>0.00%</v>
      </c>
      <c r="T10" s="833">
        <f>-P2</f>
        <v>0</v>
      </c>
      <c r="V10" s="952"/>
      <c r="W10" s="2241" t="str">
        <f>IF(T10=0,"0.00%",(X10-T10)/T10)</f>
        <v>0.00%</v>
      </c>
      <c r="X10" s="833">
        <f>-T2</f>
        <v>0</v>
      </c>
      <c r="AA10" s="456" t="str">
        <f>IF(X10=0,"0.00%",(AB10-X10)/X10)</f>
        <v>0.00%</v>
      </c>
      <c r="AB10" s="833">
        <f>-X2</f>
        <v>0</v>
      </c>
    </row>
    <row r="11" spans="1:29" s="457" customFormat="1" x14ac:dyDescent="0.25">
      <c r="A11" s="1656"/>
      <c r="B11" s="2337" t="s">
        <v>137</v>
      </c>
      <c r="C11" s="2215"/>
      <c r="D11" s="458">
        <f>SUM(D9:D10)</f>
        <v>1510</v>
      </c>
      <c r="E11" s="1656"/>
      <c r="G11" s="456">
        <f t="shared" si="0"/>
        <v>2.8258278145695366</v>
      </c>
      <c r="H11" s="458">
        <f>SUM(H9:H10)</f>
        <v>5777</v>
      </c>
      <c r="I11" s="2316">
        <f>+H11-D11</f>
        <v>4267</v>
      </c>
      <c r="J11" s="601"/>
      <c r="K11" s="456">
        <f>IF(H11=0,"0.00%",(L11-H11)/H11)</f>
        <v>-1</v>
      </c>
      <c r="L11" s="458">
        <f>SUM(L9:L10)</f>
        <v>0</v>
      </c>
      <c r="M11" s="2316">
        <f>+L11-H11</f>
        <v>-5777</v>
      </c>
      <c r="O11" s="456" t="str">
        <f>IF(L11=0,"0.00%",(P11-L11)/L11)</f>
        <v>0.00%</v>
      </c>
      <c r="P11" s="458">
        <f>SUM(P9:P10)</f>
        <v>0</v>
      </c>
      <c r="Q11" s="2316">
        <f>+P11-L11</f>
        <v>0</v>
      </c>
      <c r="R11" s="592"/>
      <c r="S11" s="2238" t="str">
        <f>IF(P11=0,"0.00%",(T11-P11)/P11)</f>
        <v>0.00%</v>
      </c>
      <c r="T11" s="2353">
        <f>SUM(T9:T10)</f>
        <v>0</v>
      </c>
      <c r="V11" s="952"/>
      <c r="W11" s="2241" t="str">
        <f>IF(T11=0,"0.00%",(X11-T11)/T11)</f>
        <v>0.00%</v>
      </c>
      <c r="X11" s="2353">
        <f>SUM(X9:X10)</f>
        <v>0</v>
      </c>
      <c r="AA11" s="456" t="str">
        <f>IF(X11=0,"0.00%",(AB11-X11)/X11)</f>
        <v>0.00%</v>
      </c>
      <c r="AB11" s="2353">
        <f>SUM(AB9:AB10)</f>
        <v>0</v>
      </c>
    </row>
    <row r="12" spans="1:29" s="457" customFormat="1" x14ac:dyDescent="0.25">
      <c r="A12" s="1656"/>
      <c r="B12" s="2345"/>
      <c r="C12" s="2215"/>
      <c r="D12" s="340"/>
      <c r="E12" s="1656"/>
      <c r="G12" s="2338"/>
      <c r="H12" s="833"/>
      <c r="I12" s="1656"/>
      <c r="J12" s="602"/>
      <c r="K12" s="2338"/>
      <c r="L12" s="833"/>
      <c r="M12" s="1656"/>
      <c r="O12" s="2338"/>
      <c r="P12" s="833"/>
      <c r="Q12" s="1656"/>
      <c r="R12" s="592"/>
      <c r="S12" s="2355"/>
      <c r="T12" s="2356"/>
      <c r="V12" s="952"/>
      <c r="W12" s="2357"/>
      <c r="X12" s="2356"/>
      <c r="AA12" s="2338"/>
      <c r="AB12" s="2356"/>
    </row>
    <row r="13" spans="1:29" s="457" customFormat="1" x14ac:dyDescent="0.25">
      <c r="A13" s="1656"/>
      <c r="B13" s="2345"/>
      <c r="C13" s="2358" t="s">
        <v>64</v>
      </c>
      <c r="D13" s="2359">
        <v>51.93</v>
      </c>
      <c r="E13" s="2478">
        <v>3.6999999999999998E-2</v>
      </c>
      <c r="G13" s="456">
        <f t="shared" si="0"/>
        <v>3.7371461582900056</v>
      </c>
      <c r="H13" s="2359">
        <f>ROUND(H11-(H11/(1+I13)),0)</f>
        <v>246</v>
      </c>
      <c r="I13" s="2455">
        <v>4.4400000000000002E-2</v>
      </c>
      <c r="J13" s="603"/>
      <c r="K13" s="456">
        <f>IF(H13=0,"0.00%",(L13-H13)/H13)</f>
        <v>-1</v>
      </c>
      <c r="L13" s="2359">
        <v>0</v>
      </c>
      <c r="M13" s="1656" t="s">
        <v>232</v>
      </c>
      <c r="O13" s="456" t="str">
        <f>IF(L13=0,"0.00%",(P13-L13)/L13)</f>
        <v>0.00%</v>
      </c>
      <c r="P13" s="2359">
        <v>0</v>
      </c>
      <c r="Q13" s="1656" t="s">
        <v>232</v>
      </c>
      <c r="R13" s="592"/>
      <c r="S13" s="2238" t="str">
        <f>IF(P13=0,"0.00%",(T13-P13)/P13)</f>
        <v>0.00%</v>
      </c>
      <c r="T13" s="2362">
        <f>ROUND((T11-T89)-((T11-T89)/(1+R13)),0)</f>
        <v>0</v>
      </c>
      <c r="V13" s="952"/>
      <c r="W13" s="2241" t="str">
        <f>IF(T13=0,"0.00%",(X13-T13)/T13)</f>
        <v>0.00%</v>
      </c>
      <c r="X13" s="2362">
        <f>ROUND((X11-X89)-((X11-X89)/(1+V13)),0)</f>
        <v>0</v>
      </c>
      <c r="AA13" s="456" t="str">
        <f>IF(X13=0,"0.00%",(AB13-X13)/X13)</f>
        <v>0.00%</v>
      </c>
      <c r="AB13" s="2362">
        <f>ROUND((AB11-AB89)-((AB11-AB89)/(1+Z13)),0)</f>
        <v>0</v>
      </c>
    </row>
    <row r="14" spans="1:29" s="457" customFormat="1" x14ac:dyDescent="0.25">
      <c r="A14" s="1656"/>
      <c r="B14" s="2345"/>
      <c r="C14" s="2215"/>
      <c r="D14" s="340"/>
      <c r="E14" s="2363" t="s">
        <v>905</v>
      </c>
      <c r="G14" s="2338"/>
      <c r="H14" s="833"/>
      <c r="I14" s="1656"/>
      <c r="J14" s="602"/>
      <c r="K14" s="2338"/>
      <c r="L14" s="833"/>
      <c r="M14" s="1656"/>
      <c r="O14" s="2338"/>
      <c r="P14" s="833"/>
      <c r="Q14" s="1656"/>
      <c r="R14" s="592"/>
      <c r="S14" s="2355"/>
      <c r="T14" s="2356"/>
      <c r="V14" s="952"/>
      <c r="W14" s="2357"/>
      <c r="X14" s="2356"/>
      <c r="AA14" s="2338"/>
      <c r="AB14" s="2356"/>
    </row>
    <row r="15" spans="1:29" s="457" customFormat="1" x14ac:dyDescent="0.25">
      <c r="A15" s="1656"/>
      <c r="B15" s="2337" t="s">
        <v>50</v>
      </c>
      <c r="C15" s="2215"/>
      <c r="D15" s="1866">
        <f>D11-D13</f>
        <v>1458.07</v>
      </c>
      <c r="E15" s="1656"/>
      <c r="G15" s="456">
        <f t="shared" si="0"/>
        <v>2.7933706886500653</v>
      </c>
      <c r="H15" s="2359">
        <f>H11-H13</f>
        <v>5531</v>
      </c>
      <c r="I15" s="2316">
        <f>+H15-D15</f>
        <v>4072.9300000000003</v>
      </c>
      <c r="J15" s="601"/>
      <c r="K15" s="456">
        <f>IF(H15=0,"0.00%",(L15-H15)/H15)</f>
        <v>-1</v>
      </c>
      <c r="L15" s="2359">
        <f>L11-L13</f>
        <v>0</v>
      </c>
      <c r="M15" s="2316">
        <f>+L15-H15</f>
        <v>-5531</v>
      </c>
      <c r="O15" s="456" t="str">
        <f>IF(L15=0,"0.00%",(P15-L15)/L15)</f>
        <v>0.00%</v>
      </c>
      <c r="P15" s="2359">
        <f>P11-P13</f>
        <v>0</v>
      </c>
      <c r="Q15" s="2316">
        <f>+P15-L15</f>
        <v>0</v>
      </c>
      <c r="R15" s="592"/>
      <c r="S15" s="2238" t="str">
        <f>IF(P15=0,"0.00%",(T15-P15)/P15)</f>
        <v>0.00%</v>
      </c>
      <c r="T15" s="2366">
        <f>T11-T13</f>
        <v>0</v>
      </c>
      <c r="V15" s="952"/>
      <c r="W15" s="2241" t="str">
        <f>IF(T15=0,"0.00%",(X15-T15)/T15)</f>
        <v>0.00%</v>
      </c>
      <c r="X15" s="2366">
        <f>X11-X13</f>
        <v>0</v>
      </c>
      <c r="AA15" s="456" t="str">
        <f>IF(X15=0,"0.00%",(AB15-X15)/X15)</f>
        <v>0.00%</v>
      </c>
      <c r="AB15" s="2366">
        <f>AB11-AB13</f>
        <v>0</v>
      </c>
    </row>
    <row r="16" spans="1:29" s="457" customFormat="1" x14ac:dyDescent="0.25">
      <c r="A16" s="1656"/>
      <c r="B16" s="2345"/>
      <c r="C16" s="2215"/>
      <c r="D16" s="340"/>
      <c r="E16" s="1656"/>
      <c r="G16" s="2338"/>
      <c r="H16" s="833"/>
      <c r="I16" s="1656"/>
      <c r="J16" s="601"/>
      <c r="K16" s="1668"/>
      <c r="L16" s="833"/>
      <c r="M16" s="1656"/>
      <c r="O16" s="1668"/>
      <c r="P16" s="833"/>
      <c r="Q16" s="1656"/>
      <c r="R16" s="592"/>
      <c r="S16" s="2341"/>
      <c r="T16" s="2367"/>
      <c r="V16" s="952"/>
      <c r="W16" s="2343"/>
      <c r="X16" s="2367"/>
      <c r="AA16" s="1668"/>
      <c r="AB16" s="2367"/>
    </row>
    <row r="17" spans="1:29" s="457" customFormat="1" x14ac:dyDescent="0.25">
      <c r="A17" s="1656"/>
      <c r="B17" s="2345"/>
      <c r="C17" s="2345"/>
      <c r="D17" s="340"/>
      <c r="E17" s="1656"/>
      <c r="G17" s="2338"/>
      <c r="H17" s="833"/>
      <c r="I17" s="1656"/>
      <c r="J17" s="602"/>
      <c r="K17" s="1668"/>
      <c r="L17" s="833"/>
      <c r="M17" s="1656"/>
      <c r="O17" s="1668"/>
      <c r="P17" s="833"/>
      <c r="Q17" s="1656"/>
      <c r="R17" s="592"/>
      <c r="S17" s="2341"/>
      <c r="T17" s="2356"/>
      <c r="V17" s="952"/>
      <c r="W17" s="2343"/>
      <c r="X17" s="2356"/>
      <c r="AA17" s="1668"/>
      <c r="AB17" s="2356"/>
    </row>
    <row r="18" spans="1:29" s="457" customFormat="1" x14ac:dyDescent="0.25">
      <c r="A18" s="1867"/>
      <c r="B18" s="2345"/>
      <c r="C18" s="2215"/>
      <c r="D18" s="459" t="s">
        <v>807</v>
      </c>
      <c r="E18" s="1867"/>
      <c r="F18" s="2433"/>
      <c r="G18" s="2338"/>
      <c r="H18" s="459" t="s">
        <v>176</v>
      </c>
      <c r="I18" s="1867"/>
      <c r="J18" s="604"/>
      <c r="K18" s="1668" t="s">
        <v>141</v>
      </c>
      <c r="L18" s="2370"/>
      <c r="M18" s="1867"/>
      <c r="O18" s="1668"/>
      <c r="P18" s="340"/>
      <c r="Q18" s="1867"/>
      <c r="R18" s="592"/>
      <c r="S18" s="2341"/>
      <c r="U18" s="2433"/>
      <c r="V18" s="952"/>
      <c r="W18" s="2343"/>
      <c r="Y18" s="2433"/>
      <c r="AA18" s="1668"/>
      <c r="AC18" s="2433"/>
    </row>
    <row r="19" spans="1:29" s="457" customFormat="1" ht="17.25" x14ac:dyDescent="0.4">
      <c r="A19" s="2434"/>
      <c r="B19" s="2345"/>
      <c r="C19" s="2215"/>
      <c r="D19" s="2435" t="s">
        <v>808</v>
      </c>
      <c r="E19" s="2434"/>
      <c r="F19" s="2436"/>
      <c r="G19" s="2338"/>
      <c r="H19" s="2435" t="s">
        <v>48</v>
      </c>
      <c r="I19" s="2371"/>
      <c r="J19" s="459"/>
      <c r="K19" s="1668"/>
      <c r="L19" s="2372" t="s">
        <v>48</v>
      </c>
      <c r="M19" s="2373">
        <v>0.02</v>
      </c>
      <c r="O19" s="1668"/>
      <c r="P19" s="2372" t="s">
        <v>48</v>
      </c>
      <c r="Q19" s="2373">
        <v>0.02</v>
      </c>
      <c r="R19" s="592"/>
      <c r="S19" s="2341"/>
      <c r="T19" s="2372" t="s">
        <v>48</v>
      </c>
      <c r="U19" s="2374">
        <v>0.02</v>
      </c>
      <c r="V19" s="952"/>
      <c r="W19" s="2343"/>
      <c r="X19" s="2372" t="s">
        <v>48</v>
      </c>
      <c r="Y19" s="2374">
        <v>0.02</v>
      </c>
      <c r="AA19" s="1668"/>
      <c r="AB19" s="2372" t="s">
        <v>48</v>
      </c>
      <c r="AC19" s="2374">
        <v>0.02</v>
      </c>
    </row>
    <row r="20" spans="1:29" s="2378" customFormat="1" x14ac:dyDescent="0.25">
      <c r="A20" s="900"/>
      <c r="B20" s="2337" t="s">
        <v>46</v>
      </c>
      <c r="C20" s="2358"/>
      <c r="D20" s="1866"/>
      <c r="E20" s="2375"/>
      <c r="F20" s="1866"/>
      <c r="G20" s="2376"/>
      <c r="H20" s="1866"/>
      <c r="I20" s="868"/>
      <c r="J20" s="460"/>
      <c r="K20" s="606"/>
      <c r="L20" s="1866"/>
      <c r="M20" s="2379"/>
      <c r="O20" s="606"/>
      <c r="P20" s="1866"/>
      <c r="Q20" s="2379"/>
      <c r="R20" s="461"/>
      <c r="S20" s="1669"/>
      <c r="T20" s="1866"/>
      <c r="U20" s="2383"/>
      <c r="V20" s="2381"/>
      <c r="W20" s="2382"/>
      <c r="X20" s="1866"/>
      <c r="Y20" s="2383"/>
      <c r="AA20" s="606"/>
      <c r="AB20" s="1866"/>
      <c r="AC20" s="2383"/>
    </row>
    <row r="21" spans="1:29" s="457" customFormat="1" x14ac:dyDescent="0.25">
      <c r="A21" s="2439"/>
      <c r="B21" s="2385">
        <v>1106</v>
      </c>
      <c r="C21" s="2215" t="s">
        <v>236</v>
      </c>
      <c r="D21" s="340">
        <v>1251.3599999999999</v>
      </c>
      <c r="E21" s="2386"/>
      <c r="F21" s="340"/>
      <c r="G21" s="456">
        <f t="shared" ref="G21:G30" si="1">IF(D21=0,"0.00%",(H21-D21)/D21)</f>
        <v>2.7870796573328223</v>
      </c>
      <c r="H21" s="340">
        <v>4739</v>
      </c>
      <c r="I21" s="899" t="s">
        <v>173</v>
      </c>
      <c r="J21" s="455"/>
      <c r="K21" s="456">
        <f t="shared" ref="K21:K27" si="2">IF(H21=0,"0.00%",(L21-H21)/H21)</f>
        <v>-1</v>
      </c>
      <c r="L21" s="340">
        <v>0</v>
      </c>
      <c r="M21" s="897" t="s">
        <v>173</v>
      </c>
      <c r="O21" s="456" t="str">
        <f t="shared" ref="O21:O27" si="3">IF(L21=0,"0.00%",(P21-L21)/L21)</f>
        <v>0.00%</v>
      </c>
      <c r="P21" s="340">
        <f>+L21</f>
        <v>0</v>
      </c>
      <c r="Q21" s="897" t="s">
        <v>173</v>
      </c>
      <c r="R21" s="592"/>
      <c r="S21" s="2238" t="str">
        <f t="shared" ref="S21:S27" si="4">IF(P21=0,"0.00%",(T21-P21)/P21)</f>
        <v>0.00%</v>
      </c>
      <c r="T21" s="340">
        <f>+P21</f>
        <v>0</v>
      </c>
      <c r="U21" s="455" t="s">
        <v>173</v>
      </c>
      <c r="V21" s="952"/>
      <c r="W21" s="2241" t="str">
        <f t="shared" ref="W21:W27" si="5">IF(T21=0,"0.00%",(X21-T21)/T21)</f>
        <v>0.00%</v>
      </c>
      <c r="X21" s="340">
        <f>ROUND(T21*(1+Y19),0)</f>
        <v>0</v>
      </c>
      <c r="Y21" s="455" t="str">
        <f>TEXT(Y19,"0.0%")&amp;" = Est. S &amp; C"</f>
        <v>2.0% = Est. S &amp; C</v>
      </c>
      <c r="AA21" s="456" t="str">
        <f t="shared" ref="AA21:AA27" si="6">IF(X21=0,"0.00%",(AB21-X21)/X21)</f>
        <v>0.00%</v>
      </c>
      <c r="AB21" s="340">
        <f>ROUND(X21*(1+AC19),0)</f>
        <v>0</v>
      </c>
      <c r="AC21" s="455" t="str">
        <f>TEXT(AC19,"0.0%")&amp;" = Est. S &amp; C"</f>
        <v>2.0% = Est. S &amp; C</v>
      </c>
    </row>
    <row r="22" spans="1:29" s="457" customFormat="1" hidden="1" x14ac:dyDescent="0.25">
      <c r="A22" s="897"/>
      <c r="B22" s="2385"/>
      <c r="C22" s="2215"/>
      <c r="D22" s="340">
        <v>0</v>
      </c>
      <c r="E22" s="2386"/>
      <c r="F22" s="340"/>
      <c r="G22" s="456" t="str">
        <f t="shared" si="1"/>
        <v>0.00%</v>
      </c>
      <c r="H22" s="340">
        <f t="shared" ref="H22:H27" si="7">ROUND(D22*(1+$I$19),0)</f>
        <v>0</v>
      </c>
      <c r="I22" s="897" t="str">
        <f t="shared" ref="I22:I28" si="8">TEXT($I$19,"0.0%")&amp;" = Est. S &amp; C"</f>
        <v>0.0% = Est. S &amp; C</v>
      </c>
      <c r="J22" s="455"/>
      <c r="K22" s="456" t="str">
        <f t="shared" si="2"/>
        <v>0.00%</v>
      </c>
      <c r="L22" s="340">
        <f>ROUND(H22*(1+M19),0)</f>
        <v>0</v>
      </c>
      <c r="M22" s="897" t="str">
        <f>TEXT(M19,"0.0%")&amp;" = Est. S &amp; C"</f>
        <v>2.0% = Est. S &amp; C</v>
      </c>
      <c r="O22" s="456" t="str">
        <f t="shared" si="3"/>
        <v>0.00%</v>
      </c>
      <c r="P22" s="340">
        <f>ROUND(L22*(1+Q19),0)</f>
        <v>0</v>
      </c>
      <c r="Q22" s="897" t="str">
        <f>TEXT(Q19,"0.0%")&amp;" = Est. S &amp; C"</f>
        <v>2.0% = Est. S &amp; C</v>
      </c>
      <c r="R22" s="592"/>
      <c r="S22" s="2238" t="str">
        <f t="shared" si="4"/>
        <v>0.00%</v>
      </c>
      <c r="T22" s="340">
        <f>ROUND(P22*(1+U19),0)</f>
        <v>0</v>
      </c>
      <c r="U22" s="455" t="str">
        <f>TEXT(U19,"0.0%")&amp;" = Est. S &amp; C"</f>
        <v>2.0% = Est. S &amp; C</v>
      </c>
      <c r="V22" s="952"/>
      <c r="W22" s="2241" t="str">
        <f t="shared" si="5"/>
        <v>0.00%</v>
      </c>
      <c r="X22" s="340">
        <f>ROUND(T22*(1+Y19),0)</f>
        <v>0</v>
      </c>
      <c r="Y22" s="455" t="str">
        <f>TEXT(Y19,"0.0%")&amp;" = Est. S &amp; C"</f>
        <v>2.0% = Est. S &amp; C</v>
      </c>
      <c r="AA22" s="456" t="str">
        <f t="shared" si="6"/>
        <v>0.00%</v>
      </c>
      <c r="AB22" s="340">
        <f>ROUND(X22*(1+AC19),0)</f>
        <v>0</v>
      </c>
      <c r="AC22" s="455" t="str">
        <f>TEXT(AC19,"0.0%")&amp;" = Est. S &amp; C"</f>
        <v>2.0% = Est. S &amp; C</v>
      </c>
    </row>
    <row r="23" spans="1:29" s="457" customFormat="1" hidden="1" x14ac:dyDescent="0.25">
      <c r="A23" s="897"/>
      <c r="B23" s="2385"/>
      <c r="C23" s="2215"/>
      <c r="D23" s="340">
        <v>0</v>
      </c>
      <c r="E23" s="2386"/>
      <c r="F23" s="340"/>
      <c r="G23" s="456" t="str">
        <f t="shared" si="1"/>
        <v>0.00%</v>
      </c>
      <c r="H23" s="340">
        <f t="shared" si="7"/>
        <v>0</v>
      </c>
      <c r="I23" s="897" t="str">
        <f t="shared" si="8"/>
        <v>0.0% = Est. S &amp; C</v>
      </c>
      <c r="J23" s="455"/>
      <c r="K23" s="456" t="str">
        <f t="shared" si="2"/>
        <v>0.00%</v>
      </c>
      <c r="L23" s="340">
        <f>ROUND(H23*(1+M19),0)</f>
        <v>0</v>
      </c>
      <c r="M23" s="897" t="str">
        <f>TEXT(M19,"0.0%")&amp;" = Est. S &amp; C"</f>
        <v>2.0% = Est. S &amp; C</v>
      </c>
      <c r="O23" s="456" t="str">
        <f t="shared" si="3"/>
        <v>0.00%</v>
      </c>
      <c r="P23" s="340">
        <f>ROUND(L23*(1+Q19),0)</f>
        <v>0</v>
      </c>
      <c r="Q23" s="897" t="str">
        <f>TEXT(Q19,"0.0%")&amp;" = Est. S &amp; C"</f>
        <v>2.0% = Est. S &amp; C</v>
      </c>
      <c r="R23" s="592"/>
      <c r="S23" s="2238" t="str">
        <f t="shared" si="4"/>
        <v>0.00%</v>
      </c>
      <c r="T23" s="340">
        <f>ROUND(P23*(1+U19),0)</f>
        <v>0</v>
      </c>
      <c r="U23" s="455" t="str">
        <f>TEXT(U19,"0.0%")&amp;" = Est. S &amp; C"</f>
        <v>2.0% = Est. S &amp; C</v>
      </c>
      <c r="V23" s="952"/>
      <c r="W23" s="2241" t="str">
        <f t="shared" si="5"/>
        <v>0.00%</v>
      </c>
      <c r="X23" s="340">
        <f>ROUND(T23*(1+Y19),0)</f>
        <v>0</v>
      </c>
      <c r="Y23" s="455" t="str">
        <f>TEXT(Y19,"0.0%")&amp;" = Est. S &amp; C"</f>
        <v>2.0% = Est. S &amp; C</v>
      </c>
      <c r="AA23" s="456" t="str">
        <f t="shared" si="6"/>
        <v>0.00%</v>
      </c>
      <c r="AB23" s="340">
        <f>ROUND(X23*(1+AC19),0)</f>
        <v>0</v>
      </c>
      <c r="AC23" s="455" t="str">
        <f>TEXT(AC19,"0.0%")&amp;" = Est. S &amp; C"</f>
        <v>2.0% = Est. S &amp; C</v>
      </c>
    </row>
    <row r="24" spans="1:29" s="457" customFormat="1" hidden="1" x14ac:dyDescent="0.25">
      <c r="A24" s="897"/>
      <c r="B24" s="2385"/>
      <c r="C24" s="2215"/>
      <c r="D24" s="340">
        <v>0</v>
      </c>
      <c r="E24" s="2386"/>
      <c r="F24" s="340"/>
      <c r="G24" s="456" t="str">
        <f t="shared" si="1"/>
        <v>0.00%</v>
      </c>
      <c r="H24" s="340">
        <f t="shared" si="7"/>
        <v>0</v>
      </c>
      <c r="I24" s="897" t="str">
        <f t="shared" si="8"/>
        <v>0.0% = Est. S &amp; C</v>
      </c>
      <c r="J24" s="455"/>
      <c r="K24" s="456" t="str">
        <f t="shared" si="2"/>
        <v>0.00%</v>
      </c>
      <c r="L24" s="340">
        <f>ROUND(H24*(1+M19),0)</f>
        <v>0</v>
      </c>
      <c r="M24" s="897" t="str">
        <f>TEXT(M19,"0.0%")&amp;" = Est. S &amp; C"</f>
        <v>2.0% = Est. S &amp; C</v>
      </c>
      <c r="O24" s="456" t="str">
        <f t="shared" si="3"/>
        <v>0.00%</v>
      </c>
      <c r="P24" s="340">
        <f>ROUND(L24*(1+Q19),0)</f>
        <v>0</v>
      </c>
      <c r="Q24" s="897" t="str">
        <f>TEXT(Q19,"0.0%")&amp;" = Est. S &amp; C"</f>
        <v>2.0% = Est. S &amp; C</v>
      </c>
      <c r="R24" s="592"/>
      <c r="S24" s="2238" t="str">
        <f t="shared" si="4"/>
        <v>0.00%</v>
      </c>
      <c r="T24" s="340">
        <f>ROUND(P24*(1+U19),0)</f>
        <v>0</v>
      </c>
      <c r="U24" s="455" t="str">
        <f>TEXT(U19,"0.0%")&amp;" = Est. S &amp; C"</f>
        <v>2.0% = Est. S &amp; C</v>
      </c>
      <c r="V24" s="952"/>
      <c r="W24" s="2241" t="str">
        <f t="shared" si="5"/>
        <v>0.00%</v>
      </c>
      <c r="X24" s="340">
        <f>ROUND(T24*(1+Y19),0)</f>
        <v>0</v>
      </c>
      <c r="Y24" s="455" t="str">
        <f>TEXT(Y19,"0.0%")&amp;" = Est. S &amp; C"</f>
        <v>2.0% = Est. S &amp; C</v>
      </c>
      <c r="AA24" s="456" t="str">
        <f t="shared" si="6"/>
        <v>0.00%</v>
      </c>
      <c r="AB24" s="340">
        <f>ROUND(X24*(1+AC19),0)</f>
        <v>0</v>
      </c>
      <c r="AC24" s="455" t="str">
        <f>TEXT(AC19,"0.0%")&amp;" = Est. S &amp; C"</f>
        <v>2.0% = Est. S &amp; C</v>
      </c>
    </row>
    <row r="25" spans="1:29" s="457" customFormat="1" hidden="1" x14ac:dyDescent="0.25">
      <c r="A25" s="897"/>
      <c r="B25" s="2385"/>
      <c r="C25" s="2215"/>
      <c r="D25" s="340">
        <v>0</v>
      </c>
      <c r="E25" s="2386"/>
      <c r="F25" s="340"/>
      <c r="G25" s="456" t="str">
        <f t="shared" si="1"/>
        <v>0.00%</v>
      </c>
      <c r="H25" s="340">
        <f t="shared" si="7"/>
        <v>0</v>
      </c>
      <c r="I25" s="897" t="str">
        <f t="shared" si="8"/>
        <v>0.0% = Est. S &amp; C</v>
      </c>
      <c r="J25" s="455"/>
      <c r="K25" s="456" t="str">
        <f t="shared" si="2"/>
        <v>0.00%</v>
      </c>
      <c r="L25" s="340">
        <f>ROUND(H25*(1+M19),0)</f>
        <v>0</v>
      </c>
      <c r="M25" s="897" t="str">
        <f>TEXT(M19,"0.0%")&amp;" = Est. S &amp; C"</f>
        <v>2.0% = Est. S &amp; C</v>
      </c>
      <c r="O25" s="456" t="str">
        <f t="shared" si="3"/>
        <v>0.00%</v>
      </c>
      <c r="P25" s="340">
        <f>ROUND(L25*(1+Q19),0)</f>
        <v>0</v>
      </c>
      <c r="Q25" s="897" t="str">
        <f>TEXT(Q19,"0.0%")&amp;" = Est. S &amp; C"</f>
        <v>2.0% = Est. S &amp; C</v>
      </c>
      <c r="R25" s="592"/>
      <c r="S25" s="2238" t="str">
        <f t="shared" si="4"/>
        <v>0.00%</v>
      </c>
      <c r="T25" s="340">
        <f>ROUND(P25*(1+U19),0)</f>
        <v>0</v>
      </c>
      <c r="U25" s="455" t="str">
        <f>TEXT(U19,"0.0%")&amp;" = Est. S &amp; C"</f>
        <v>2.0% = Est. S &amp; C</v>
      </c>
      <c r="V25" s="952"/>
      <c r="W25" s="2241" t="str">
        <f t="shared" si="5"/>
        <v>0.00%</v>
      </c>
      <c r="X25" s="340">
        <f>ROUND(T25*(1+Y19),0)</f>
        <v>0</v>
      </c>
      <c r="Y25" s="455" t="str">
        <f>TEXT(Y19,"0.0%")&amp;" = Est. S &amp; C"</f>
        <v>2.0% = Est. S &amp; C</v>
      </c>
      <c r="AA25" s="456" t="str">
        <f t="shared" si="6"/>
        <v>0.00%</v>
      </c>
      <c r="AB25" s="340">
        <f>ROUND(X25*(1+AC19),0)</f>
        <v>0</v>
      </c>
      <c r="AC25" s="455" t="str">
        <f>TEXT(AC19,"0.0%")&amp;" = Est. S &amp; C"</f>
        <v>2.0% = Est. S &amp; C</v>
      </c>
    </row>
    <row r="26" spans="1:29" s="457" customFormat="1" hidden="1" x14ac:dyDescent="0.25">
      <c r="A26" s="897"/>
      <c r="B26" s="2385"/>
      <c r="C26" s="2215"/>
      <c r="D26" s="340">
        <v>0</v>
      </c>
      <c r="E26" s="2386"/>
      <c r="F26" s="340"/>
      <c r="G26" s="456" t="str">
        <f t="shared" si="1"/>
        <v>0.00%</v>
      </c>
      <c r="H26" s="340">
        <f t="shared" si="7"/>
        <v>0</v>
      </c>
      <c r="I26" s="897" t="str">
        <f t="shared" si="8"/>
        <v>0.0% = Est. S &amp; C</v>
      </c>
      <c r="J26" s="455"/>
      <c r="K26" s="456" t="str">
        <f t="shared" si="2"/>
        <v>0.00%</v>
      </c>
      <c r="L26" s="340">
        <f>ROUND(H26*(1+M19),0)</f>
        <v>0</v>
      </c>
      <c r="M26" s="2341" t="str">
        <f>TEXT(M19,"0.0%")&amp;" = Est. S &amp; C"</f>
        <v>2.0% = Est. S &amp; C</v>
      </c>
      <c r="O26" s="456" t="str">
        <f t="shared" si="3"/>
        <v>0.00%</v>
      </c>
      <c r="P26" s="340">
        <f>ROUND(L26*(1+Q19),0)</f>
        <v>0</v>
      </c>
      <c r="Q26" s="897" t="str">
        <f>TEXT(Q19,"0.0%")&amp;" = Est. S &amp; C"</f>
        <v>2.0% = Est. S &amp; C</v>
      </c>
      <c r="R26" s="592"/>
      <c r="S26" s="2238" t="str">
        <f t="shared" si="4"/>
        <v>0.00%</v>
      </c>
      <c r="T26" s="340">
        <f>ROUND(P26*(1+U19),0)</f>
        <v>0</v>
      </c>
      <c r="U26" s="455" t="str">
        <f>TEXT(U19,"0.0%")&amp;" = Est. S &amp; C"</f>
        <v>2.0% = Est. S &amp; C</v>
      </c>
      <c r="V26" s="952"/>
      <c r="W26" s="2241" t="str">
        <f t="shared" si="5"/>
        <v>0.00%</v>
      </c>
      <c r="X26" s="340">
        <f>ROUND(T26*(1+Y19),0)</f>
        <v>0</v>
      </c>
      <c r="Y26" s="455" t="str">
        <f>TEXT(Y19,"0.0%")&amp;" = Est. S &amp; C"</f>
        <v>2.0% = Est. S &amp; C</v>
      </c>
      <c r="AA26" s="456" t="str">
        <f t="shared" si="6"/>
        <v>0.00%</v>
      </c>
      <c r="AB26" s="340">
        <f>ROUND(X26*(1+AC19),0)</f>
        <v>0</v>
      </c>
      <c r="AC26" s="455" t="str">
        <f>TEXT(AC19,"0.0%")&amp;" = Est. S &amp; C"</f>
        <v>2.0% = Est. S &amp; C</v>
      </c>
    </row>
    <row r="27" spans="1:29" s="457" customFormat="1" hidden="1" x14ac:dyDescent="0.25">
      <c r="A27" s="897"/>
      <c r="B27" s="2385"/>
      <c r="C27" s="2215"/>
      <c r="D27" s="340">
        <v>0</v>
      </c>
      <c r="E27" s="2386"/>
      <c r="F27" s="340"/>
      <c r="G27" s="456" t="str">
        <f t="shared" si="1"/>
        <v>0.00%</v>
      </c>
      <c r="H27" s="340">
        <f t="shared" si="7"/>
        <v>0</v>
      </c>
      <c r="I27" s="897" t="str">
        <f t="shared" si="8"/>
        <v>0.0% = Est. S &amp; C</v>
      </c>
      <c r="J27" s="455"/>
      <c r="K27" s="456" t="str">
        <f t="shared" si="2"/>
        <v>0.00%</v>
      </c>
      <c r="L27" s="340">
        <f>ROUND(H27*(1+M19),0)</f>
        <v>0</v>
      </c>
      <c r="M27" s="897" t="str">
        <f>TEXT(M19,"0.0%")&amp;" = Est. S &amp; C"</f>
        <v>2.0% = Est. S &amp; C</v>
      </c>
      <c r="O27" s="456" t="str">
        <f t="shared" si="3"/>
        <v>0.00%</v>
      </c>
      <c r="P27" s="340">
        <f>ROUND(L27*(1+Q19),0)</f>
        <v>0</v>
      </c>
      <c r="Q27" s="897" t="str">
        <f>TEXT(Q19,"0.0%")&amp;" = Est. S &amp; C"</f>
        <v>2.0% = Est. S &amp; C</v>
      </c>
      <c r="R27" s="592"/>
      <c r="S27" s="2238" t="str">
        <f t="shared" si="4"/>
        <v>0.00%</v>
      </c>
      <c r="T27" s="340">
        <f>ROUND(P27*(1+U19),0)</f>
        <v>0</v>
      </c>
      <c r="U27" s="455" t="str">
        <f>TEXT(U19,"0.0%")&amp;" = Est. S &amp; C"</f>
        <v>2.0% = Est. S &amp; C</v>
      </c>
      <c r="V27" s="952"/>
      <c r="W27" s="2241" t="str">
        <f t="shared" si="5"/>
        <v>0.00%</v>
      </c>
      <c r="X27" s="340">
        <f>ROUND(T27*(1+Y19),0)</f>
        <v>0</v>
      </c>
      <c r="Y27" s="455" t="str">
        <f>TEXT(Y19,"0.0%")&amp;" = Est. S &amp; C"</f>
        <v>2.0% = Est. S &amp; C</v>
      </c>
      <c r="AA27" s="456" t="str">
        <f t="shared" si="6"/>
        <v>0.00%</v>
      </c>
      <c r="AB27" s="340">
        <f>ROUND(X27*(1+AC19),0)</f>
        <v>0</v>
      </c>
      <c r="AC27" s="455" t="str">
        <f>TEXT(AC19,"0.0%")&amp;" = Est. S &amp; C"</f>
        <v>2.0% = Est. S &amp; C</v>
      </c>
    </row>
    <row r="28" spans="1:29" s="457" customFormat="1" hidden="1" x14ac:dyDescent="0.25">
      <c r="A28" s="897"/>
      <c r="B28" s="2385"/>
      <c r="C28" s="2215"/>
      <c r="D28" s="340">
        <v>0</v>
      </c>
      <c r="E28" s="2386"/>
      <c r="F28" s="340"/>
      <c r="G28" s="456" t="str">
        <f>IF(D28=0,"0.00%",(H28-D28)/D28)</f>
        <v>0.00%</v>
      </c>
      <c r="H28" s="340">
        <f>ROUND(D28*(1+$I$19),0)</f>
        <v>0</v>
      </c>
      <c r="I28" s="897" t="str">
        <f t="shared" si="8"/>
        <v>0.0% = Est. S &amp; C</v>
      </c>
      <c r="J28" s="455"/>
      <c r="K28" s="456" t="str">
        <f>IF(H28=0,"0.00%",(L28-H28)/H28)</f>
        <v>0.00%</v>
      </c>
      <c r="L28" s="340">
        <f>ROUND(H28*(1+M20),0)</f>
        <v>0</v>
      </c>
      <c r="M28" s="897" t="str">
        <f>TEXT(M20,"0.0%")&amp;" = Est. S &amp; C"</f>
        <v>0.0% = Est. S &amp; C</v>
      </c>
      <c r="O28" s="456" t="str">
        <f>IF(L28=0,"0.00%",(P28-L28)/L28)</f>
        <v>0.00%</v>
      </c>
      <c r="P28" s="340">
        <f>ROUND(L28*(1+Q20),0)</f>
        <v>0</v>
      </c>
      <c r="Q28" s="897" t="str">
        <f>TEXT(Q20,"0.0%")&amp;" = Est. S &amp; C"</f>
        <v>0.0% = Est. S &amp; C</v>
      </c>
      <c r="R28" s="592"/>
      <c r="S28" s="2238" t="str">
        <f>IF(P28=0,"0.00%",(T28-P28)/P28)</f>
        <v>0.00%</v>
      </c>
      <c r="T28" s="340">
        <f>ROUND(P28*(1+U20),0)</f>
        <v>0</v>
      </c>
      <c r="U28" s="455" t="str">
        <f>TEXT(U20,"0.0%")&amp;" = Est. S &amp; C"</f>
        <v>0.0% = Est. S &amp; C</v>
      </c>
      <c r="V28" s="952"/>
      <c r="W28" s="2241" t="str">
        <f>IF(T28=0,"0.00%",(X28-T28)/T28)</f>
        <v>0.00%</v>
      </c>
      <c r="X28" s="340">
        <f>ROUND(T28*(1+Y20),0)</f>
        <v>0</v>
      </c>
      <c r="Y28" s="455" t="str">
        <f>TEXT(Y20,"0.0%")&amp;" = Est. S &amp; C"</f>
        <v>0.0% = Est. S &amp; C</v>
      </c>
      <c r="AA28" s="456" t="str">
        <f>IF(X28=0,"0.00%",(AB28-X28)/X28)</f>
        <v>0.00%</v>
      </c>
      <c r="AB28" s="340">
        <f>ROUND(X28*(1+AC20),0)</f>
        <v>0</v>
      </c>
      <c r="AC28" s="455" t="str">
        <f>TEXT(AC20,"0.0%")&amp;" = Est. S &amp; C"</f>
        <v>0.0% = Est. S &amp; C</v>
      </c>
    </row>
    <row r="29" spans="1:29" s="457" customFormat="1" ht="6" hidden="1" customHeight="1" x14ac:dyDescent="0.25">
      <c r="A29" s="897"/>
      <c r="B29" s="2385"/>
      <c r="C29" s="2215"/>
      <c r="D29" s="340"/>
      <c r="E29" s="2386"/>
      <c r="F29" s="340"/>
      <c r="G29" s="456"/>
      <c r="H29" s="340"/>
      <c r="I29" s="897"/>
      <c r="J29" s="455"/>
      <c r="K29" s="1668"/>
      <c r="L29" s="340"/>
      <c r="M29" s="901"/>
      <c r="O29" s="1668"/>
      <c r="P29" s="340"/>
      <c r="Q29" s="901"/>
      <c r="R29" s="592"/>
      <c r="S29" s="2341"/>
      <c r="T29" s="340"/>
      <c r="U29" s="2344"/>
      <c r="V29" s="952"/>
      <c r="W29" s="2343"/>
      <c r="X29" s="340"/>
      <c r="Y29" s="2344"/>
      <c r="AA29" s="1668"/>
      <c r="AB29" s="340"/>
      <c r="AC29" s="2344"/>
    </row>
    <row r="30" spans="1:29" s="457" customFormat="1" x14ac:dyDescent="0.25">
      <c r="A30" s="898"/>
      <c r="B30" s="2385"/>
      <c r="C30" s="2215"/>
      <c r="D30" s="458">
        <f>SUM(D21:D29)</f>
        <v>1251.3599999999999</v>
      </c>
      <c r="E30" s="2386"/>
      <c r="F30" s="340"/>
      <c r="G30" s="456">
        <f t="shared" si="1"/>
        <v>2.7870796573328223</v>
      </c>
      <c r="H30" s="458">
        <f>SUM(H21:H29)</f>
        <v>4739</v>
      </c>
      <c r="I30" s="2316">
        <f>+H30-D30</f>
        <v>3487.6400000000003</v>
      </c>
      <c r="J30" s="459"/>
      <c r="K30" s="456">
        <f>IF(H30=0,"0.00%",(L30-H30)/H30)</f>
        <v>-1</v>
      </c>
      <c r="L30" s="458">
        <f>SUM(L21:L29)</f>
        <v>0</v>
      </c>
      <c r="M30" s="2316">
        <f>+L30-H30</f>
        <v>-4739</v>
      </c>
      <c r="O30" s="456" t="str">
        <f>IF(L30=0,"0.00%",(P30-L30)/L30)</f>
        <v>0.00%</v>
      </c>
      <c r="P30" s="458">
        <f>SUM(P21:P29)</f>
        <v>0</v>
      </c>
      <c r="Q30" s="2316">
        <f>+P30-L30</f>
        <v>0</v>
      </c>
      <c r="R30" s="592"/>
      <c r="S30" s="2238" t="str">
        <f>IF(P30=0,"0.00%",(T30-P30)/P30)</f>
        <v>0.00%</v>
      </c>
      <c r="T30" s="458">
        <f>SUM(T21:T29)</f>
        <v>0</v>
      </c>
      <c r="U30" s="2344"/>
      <c r="V30" s="952"/>
      <c r="W30" s="2241" t="str">
        <f>IF(T30=0,"0.00%",(X30-T30)/T30)</f>
        <v>0.00%</v>
      </c>
      <c r="X30" s="458">
        <f>SUM(X21:X29)</f>
        <v>0</v>
      </c>
      <c r="Y30" s="2344"/>
      <c r="AA30" s="456" t="str">
        <f>IF(X30=0,"0.00%",(AB30-X30)/X30)</f>
        <v>0.00%</v>
      </c>
      <c r="AB30" s="458">
        <f>SUM(AB21:AB29)</f>
        <v>0</v>
      </c>
      <c r="AC30" s="2344"/>
    </row>
    <row r="31" spans="1:29" s="457" customFormat="1" hidden="1" x14ac:dyDescent="0.25">
      <c r="A31" s="897"/>
      <c r="B31" s="2345"/>
      <c r="C31" s="2215"/>
      <c r="D31" s="340"/>
      <c r="E31" s="2386"/>
      <c r="F31" s="340"/>
      <c r="G31" s="2338"/>
      <c r="H31" s="340"/>
      <c r="I31" s="899"/>
      <c r="J31" s="455"/>
      <c r="K31" s="1668"/>
      <c r="L31" s="340"/>
      <c r="M31" s="2388"/>
      <c r="O31" s="1668"/>
      <c r="P31" s="340"/>
      <c r="Q31" s="2388"/>
      <c r="R31" s="592"/>
      <c r="S31" s="2341"/>
      <c r="T31" s="340"/>
      <c r="U31" s="2344"/>
      <c r="V31" s="952"/>
      <c r="W31" s="2343"/>
      <c r="X31" s="340"/>
      <c r="Y31" s="2344"/>
      <c r="AA31" s="1668"/>
      <c r="AB31" s="340"/>
      <c r="AC31" s="2344"/>
    </row>
    <row r="32" spans="1:29" s="461" customFormat="1" hidden="1" x14ac:dyDescent="0.25">
      <c r="A32" s="900"/>
      <c r="B32" s="2440" t="s">
        <v>35</v>
      </c>
      <c r="C32" s="2225"/>
      <c r="D32" s="460"/>
      <c r="E32" s="868"/>
      <c r="F32" s="460"/>
      <c r="G32" s="2389"/>
      <c r="H32" s="460"/>
      <c r="I32" s="868"/>
      <c r="J32" s="460"/>
      <c r="K32" s="1669"/>
      <c r="L32" s="460"/>
      <c r="M32" s="902"/>
      <c r="O32" s="1669"/>
      <c r="P32" s="460"/>
      <c r="Q32" s="902"/>
      <c r="S32" s="1669"/>
      <c r="T32" s="460"/>
      <c r="U32" s="2392"/>
      <c r="V32" s="2381"/>
      <c r="W32" s="2382"/>
      <c r="X32" s="460"/>
      <c r="Y32" s="2392"/>
      <c r="AA32" s="1669"/>
      <c r="AB32" s="460"/>
      <c r="AC32" s="2392"/>
    </row>
    <row r="33" spans="1:29" s="457" customFormat="1" hidden="1" x14ac:dyDescent="0.25">
      <c r="A33" s="897"/>
      <c r="B33" s="2385"/>
      <c r="C33" s="2215"/>
      <c r="D33" s="340"/>
      <c r="E33" s="2386"/>
      <c r="F33" s="340"/>
      <c r="G33" s="456" t="str">
        <f t="shared" ref="G33:G39" si="9">IF(D33=0,"0.00%",(H33-D33)/D33)</f>
        <v>0.00%</v>
      </c>
      <c r="H33" s="340">
        <f t="shared" ref="H33:H39" si="10">ROUND(D33*(1+$I$19),0)</f>
        <v>0</v>
      </c>
      <c r="I33" s="897" t="str">
        <f t="shared" ref="I33:I38" si="11">TEXT($I$19,"0.0%")&amp;" = Est. S &amp; C"</f>
        <v>0.0% = Est. S &amp; C</v>
      </c>
      <c r="J33" s="455"/>
      <c r="K33" s="456" t="str">
        <f t="shared" ref="K33:K39" si="12">IF(H33=0,"0.00%",(L33-H33)/H33)</f>
        <v>0.00%</v>
      </c>
      <c r="L33" s="340">
        <f>ROUND(H33*(1+M19),0)</f>
        <v>0</v>
      </c>
      <c r="M33" s="897" t="str">
        <f>TEXT($M$19,"0.0%")&amp;" = Est. S &amp; C"</f>
        <v>2.0% = Est. S &amp; C</v>
      </c>
      <c r="O33" s="456" t="str">
        <f t="shared" ref="O33:O39" si="13">IF(L33=0,"0.00%",(P33-L33)/L33)</f>
        <v>0.00%</v>
      </c>
      <c r="P33" s="340">
        <f>ROUND(L33*(1+Q19),0)</f>
        <v>0</v>
      </c>
      <c r="Q33" s="897" t="str">
        <f>TEXT($Q$19,"0.0%")&amp;" = Est. S &amp; C"</f>
        <v>2.0% = Est. S &amp; C</v>
      </c>
      <c r="R33" s="592"/>
      <c r="S33" s="2238" t="str">
        <f t="shared" ref="S33:S39" si="14">IF(P33=0,"0.00%",(T33-P33)/P33)</f>
        <v>0.00%</v>
      </c>
      <c r="T33" s="340">
        <f>ROUND(P33*(1+U19),0)</f>
        <v>0</v>
      </c>
      <c r="U33" s="455" t="str">
        <f>TEXT(U19,"0.0%")&amp;" = Est. S &amp; C"</f>
        <v>2.0% = Est. S &amp; C</v>
      </c>
      <c r="V33" s="952"/>
      <c r="W33" s="2241" t="str">
        <f t="shared" ref="W33:W39" si="15">IF(T33=0,"0.00%",(X33-T33)/T33)</f>
        <v>0.00%</v>
      </c>
      <c r="X33" s="340">
        <f>ROUND(T33*(1+Y19),0)</f>
        <v>0</v>
      </c>
      <c r="Y33" s="455" t="str">
        <f>TEXT(Y19,"0.0%")&amp;" = Est. S &amp; C"</f>
        <v>2.0% = Est. S &amp; C</v>
      </c>
      <c r="AA33" s="456" t="str">
        <f t="shared" ref="AA33:AA39" si="16">IF(X33=0,"0.00%",(AB33-X33)/X33)</f>
        <v>0.00%</v>
      </c>
      <c r="AB33" s="340">
        <f>ROUND(X33*(1+AC19),0)</f>
        <v>0</v>
      </c>
      <c r="AC33" s="455" t="str">
        <f>TEXT(AC19,"0.0%")&amp;" = Est. S &amp; C"</f>
        <v>2.0% = Est. S &amp; C</v>
      </c>
    </row>
    <row r="34" spans="1:29" s="457" customFormat="1" hidden="1" x14ac:dyDescent="0.25">
      <c r="A34" s="897"/>
      <c r="B34" s="2385"/>
      <c r="C34" s="2215"/>
      <c r="D34" s="340"/>
      <c r="E34" s="2386"/>
      <c r="F34" s="340"/>
      <c r="G34" s="456" t="str">
        <f t="shared" si="9"/>
        <v>0.00%</v>
      </c>
      <c r="H34" s="340">
        <f t="shared" si="10"/>
        <v>0</v>
      </c>
      <c r="I34" s="897" t="str">
        <f t="shared" si="11"/>
        <v>0.0% = Est. S &amp; C</v>
      </c>
      <c r="J34" s="455"/>
      <c r="K34" s="456" t="str">
        <f t="shared" si="12"/>
        <v>0.00%</v>
      </c>
      <c r="L34" s="340">
        <f>ROUND(H34*(1+M19),0)</f>
        <v>0</v>
      </c>
      <c r="M34" s="897" t="str">
        <f t="shared" ref="M34:M38" si="17">TEXT($M$19,"0.0%")&amp;" = Est. S &amp; C"</f>
        <v>2.0% = Est. S &amp; C</v>
      </c>
      <c r="O34" s="456" t="str">
        <f t="shared" si="13"/>
        <v>0.00%</v>
      </c>
      <c r="P34" s="340">
        <f>ROUND(L34*(1+Q19),0)</f>
        <v>0</v>
      </c>
      <c r="Q34" s="897" t="str">
        <f t="shared" ref="Q34:Q38" si="18">TEXT($Q$19,"0.0%")&amp;" = Est. S &amp; C"</f>
        <v>2.0% = Est. S &amp; C</v>
      </c>
      <c r="R34" s="592"/>
      <c r="S34" s="2238" t="str">
        <f t="shared" si="14"/>
        <v>0.00%</v>
      </c>
      <c r="T34" s="340">
        <f>ROUND(P34*(1+U19),0)</f>
        <v>0</v>
      </c>
      <c r="U34" s="455" t="str">
        <f>TEXT(U19,"0.0%")&amp;" = Est. S &amp; C"</f>
        <v>2.0% = Est. S &amp; C</v>
      </c>
      <c r="V34" s="952"/>
      <c r="W34" s="2241" t="str">
        <f t="shared" si="15"/>
        <v>0.00%</v>
      </c>
      <c r="X34" s="340">
        <f>ROUND(T34*(1+Y19),0)</f>
        <v>0</v>
      </c>
      <c r="Y34" s="455" t="str">
        <f>TEXT(Y19,"0.0%")&amp;" = Est. S &amp; C"</f>
        <v>2.0% = Est. S &amp; C</v>
      </c>
      <c r="AA34" s="456" t="str">
        <f t="shared" si="16"/>
        <v>0.00%</v>
      </c>
      <c r="AB34" s="340">
        <f>ROUND(X34*(1+AC19),0)</f>
        <v>0</v>
      </c>
      <c r="AC34" s="455" t="str">
        <f>TEXT(AC19,"0.0%")&amp;" = Est. S &amp; C"</f>
        <v>2.0% = Est. S &amp; C</v>
      </c>
    </row>
    <row r="35" spans="1:29" s="457" customFormat="1" hidden="1" x14ac:dyDescent="0.25">
      <c r="A35" s="897"/>
      <c r="B35" s="2385"/>
      <c r="C35" s="2215"/>
      <c r="D35" s="340"/>
      <c r="E35" s="2386"/>
      <c r="F35" s="340"/>
      <c r="G35" s="456" t="str">
        <f t="shared" si="9"/>
        <v>0.00%</v>
      </c>
      <c r="H35" s="340">
        <f t="shared" si="10"/>
        <v>0</v>
      </c>
      <c r="I35" s="897" t="str">
        <f t="shared" si="11"/>
        <v>0.0% = Est. S &amp; C</v>
      </c>
      <c r="J35" s="455"/>
      <c r="K35" s="456" t="str">
        <f t="shared" si="12"/>
        <v>0.00%</v>
      </c>
      <c r="L35" s="340">
        <f>ROUND(H35*(1+M19),0)</f>
        <v>0</v>
      </c>
      <c r="M35" s="897" t="str">
        <f t="shared" si="17"/>
        <v>2.0% = Est. S &amp; C</v>
      </c>
      <c r="O35" s="456" t="str">
        <f t="shared" si="13"/>
        <v>0.00%</v>
      </c>
      <c r="P35" s="340">
        <f>ROUND(L35*(1+Q19),0)</f>
        <v>0</v>
      </c>
      <c r="Q35" s="897" t="str">
        <f t="shared" si="18"/>
        <v>2.0% = Est. S &amp; C</v>
      </c>
      <c r="R35" s="592"/>
      <c r="S35" s="2238" t="str">
        <f t="shared" si="14"/>
        <v>0.00%</v>
      </c>
      <c r="T35" s="340">
        <f>ROUND(P35*(1+U19),0)</f>
        <v>0</v>
      </c>
      <c r="U35" s="455" t="str">
        <f>TEXT(U19,"0.0%")&amp;" = Est. S &amp; C"</f>
        <v>2.0% = Est. S &amp; C</v>
      </c>
      <c r="V35" s="952"/>
      <c r="W35" s="2241" t="str">
        <f t="shared" si="15"/>
        <v>0.00%</v>
      </c>
      <c r="X35" s="340">
        <f>ROUND(T35*(1+Y19),0)</f>
        <v>0</v>
      </c>
      <c r="Y35" s="455" t="str">
        <f>TEXT(Y19,"0.0%")&amp;" = Est. S &amp; C"</f>
        <v>2.0% = Est. S &amp; C</v>
      </c>
      <c r="AA35" s="456" t="str">
        <f t="shared" si="16"/>
        <v>0.00%</v>
      </c>
      <c r="AB35" s="340">
        <f>ROUND(X35*(1+AC19),0)</f>
        <v>0</v>
      </c>
      <c r="AC35" s="455" t="str">
        <f>TEXT(AC19,"0.0%")&amp;" = Est. S &amp; C"</f>
        <v>2.0% = Est. S &amp; C</v>
      </c>
    </row>
    <row r="36" spans="1:29" s="457" customFormat="1" hidden="1" x14ac:dyDescent="0.25">
      <c r="A36" s="897"/>
      <c r="B36" s="2385"/>
      <c r="C36" s="2215"/>
      <c r="D36" s="340"/>
      <c r="E36" s="2386"/>
      <c r="F36" s="340"/>
      <c r="G36" s="456" t="str">
        <f t="shared" si="9"/>
        <v>0.00%</v>
      </c>
      <c r="H36" s="340">
        <f t="shared" si="10"/>
        <v>0</v>
      </c>
      <c r="I36" s="897" t="str">
        <f t="shared" si="11"/>
        <v>0.0% = Est. S &amp; C</v>
      </c>
      <c r="J36" s="455"/>
      <c r="K36" s="456" t="str">
        <f t="shared" si="12"/>
        <v>0.00%</v>
      </c>
      <c r="L36" s="340">
        <v>0</v>
      </c>
      <c r="M36" s="897" t="str">
        <f t="shared" si="17"/>
        <v>2.0% = Est. S &amp; C</v>
      </c>
      <c r="O36" s="456" t="str">
        <f t="shared" si="13"/>
        <v>0.00%</v>
      </c>
      <c r="P36" s="340">
        <v>0</v>
      </c>
      <c r="Q36" s="897" t="str">
        <f t="shared" si="18"/>
        <v>2.0% = Est. S &amp; C</v>
      </c>
      <c r="R36" s="592"/>
      <c r="S36" s="2238" t="str">
        <f t="shared" si="14"/>
        <v>0.00%</v>
      </c>
      <c r="T36" s="340">
        <f>ROUND(P36*(1+U19),0)</f>
        <v>0</v>
      </c>
      <c r="U36" s="455" t="str">
        <f>TEXT(U19,"0.0%")&amp;" = Est. S &amp; C"</f>
        <v>2.0% = Est. S &amp; C</v>
      </c>
      <c r="V36" s="952"/>
      <c r="W36" s="2241" t="str">
        <f t="shared" si="15"/>
        <v>0.00%</v>
      </c>
      <c r="X36" s="340">
        <f>ROUND(T36*(1+Y19),0)</f>
        <v>0</v>
      </c>
      <c r="Y36" s="455" t="str">
        <f>TEXT(Y19,"0.0%")&amp;" = Est. S &amp; C"</f>
        <v>2.0% = Est. S &amp; C</v>
      </c>
      <c r="AA36" s="456" t="str">
        <f t="shared" si="16"/>
        <v>0.00%</v>
      </c>
      <c r="AB36" s="340">
        <f>ROUND(X36*(1+AC19),0)</f>
        <v>0</v>
      </c>
      <c r="AC36" s="455" t="str">
        <f>TEXT(AC19,"0.0%")&amp;" = Est. S &amp; C"</f>
        <v>2.0% = Est. S &amp; C</v>
      </c>
    </row>
    <row r="37" spans="1:29" s="457" customFormat="1" hidden="1" x14ac:dyDescent="0.25">
      <c r="A37" s="897"/>
      <c r="B37" s="2385"/>
      <c r="C37" s="2215"/>
      <c r="D37" s="340"/>
      <c r="E37" s="2386"/>
      <c r="F37" s="340"/>
      <c r="G37" s="456" t="str">
        <f t="shared" si="9"/>
        <v>0.00%</v>
      </c>
      <c r="H37" s="340">
        <f t="shared" si="10"/>
        <v>0</v>
      </c>
      <c r="I37" s="897" t="str">
        <f t="shared" si="11"/>
        <v>0.0% = Est. S &amp; C</v>
      </c>
      <c r="J37" s="455"/>
      <c r="K37" s="456" t="str">
        <f t="shared" si="12"/>
        <v>0.00%</v>
      </c>
      <c r="L37" s="340">
        <f>ROUND(H37*(1+M19),0)</f>
        <v>0</v>
      </c>
      <c r="M37" s="897" t="str">
        <f t="shared" si="17"/>
        <v>2.0% = Est. S &amp; C</v>
      </c>
      <c r="O37" s="456" t="str">
        <f t="shared" si="13"/>
        <v>0.00%</v>
      </c>
      <c r="P37" s="340">
        <f>ROUND(L37*(1+Q19),0)</f>
        <v>0</v>
      </c>
      <c r="Q37" s="897" t="str">
        <f t="shared" si="18"/>
        <v>2.0% = Est. S &amp; C</v>
      </c>
      <c r="R37" s="592"/>
      <c r="S37" s="2238" t="str">
        <f t="shared" si="14"/>
        <v>0.00%</v>
      </c>
      <c r="T37" s="340">
        <f>ROUND(P37*(1+U19),0)</f>
        <v>0</v>
      </c>
      <c r="U37" s="455" t="str">
        <f>TEXT(U19,"0.0%")&amp;" = Est. S &amp; C"</f>
        <v>2.0% = Est. S &amp; C</v>
      </c>
      <c r="V37" s="952"/>
      <c r="W37" s="2241" t="str">
        <f t="shared" si="15"/>
        <v>0.00%</v>
      </c>
      <c r="X37" s="340">
        <f>ROUND(T37*(1+Y19),0)</f>
        <v>0</v>
      </c>
      <c r="Y37" s="455" t="str">
        <f>TEXT(Y19,"0.0%")&amp;" = Est. S &amp; C"</f>
        <v>2.0% = Est. S &amp; C</v>
      </c>
      <c r="AA37" s="456" t="str">
        <f t="shared" si="16"/>
        <v>0.00%</v>
      </c>
      <c r="AB37" s="340">
        <f>ROUND(X37*(1+AC19),0)</f>
        <v>0</v>
      </c>
      <c r="AC37" s="455" t="str">
        <f>TEXT(AC19,"0.0%")&amp;" = Est. S &amp; C"</f>
        <v>2.0% = Est. S &amp; C</v>
      </c>
    </row>
    <row r="38" spans="1:29" s="457" customFormat="1" hidden="1" x14ac:dyDescent="0.25">
      <c r="A38" s="897"/>
      <c r="B38" s="2385"/>
      <c r="C38" s="2215"/>
      <c r="D38" s="340"/>
      <c r="E38" s="2386"/>
      <c r="F38" s="340"/>
      <c r="G38" s="456" t="str">
        <f t="shared" si="9"/>
        <v>0.00%</v>
      </c>
      <c r="H38" s="340">
        <f t="shared" si="10"/>
        <v>0</v>
      </c>
      <c r="I38" s="897" t="str">
        <f t="shared" si="11"/>
        <v>0.0% = Est. S &amp; C</v>
      </c>
      <c r="J38" s="455"/>
      <c r="K38" s="456" t="str">
        <f t="shared" si="12"/>
        <v>0.00%</v>
      </c>
      <c r="L38" s="340">
        <f>ROUND(H38*(1+M19),0)</f>
        <v>0</v>
      </c>
      <c r="M38" s="897" t="str">
        <f t="shared" si="17"/>
        <v>2.0% = Est. S &amp; C</v>
      </c>
      <c r="O38" s="456" t="str">
        <f t="shared" si="13"/>
        <v>0.00%</v>
      </c>
      <c r="P38" s="340">
        <f>ROUND(L38*(1+Q19),0)</f>
        <v>0</v>
      </c>
      <c r="Q38" s="897" t="str">
        <f t="shared" si="18"/>
        <v>2.0% = Est. S &amp; C</v>
      </c>
      <c r="R38" s="592"/>
      <c r="S38" s="2238" t="str">
        <f t="shared" si="14"/>
        <v>0.00%</v>
      </c>
      <c r="T38" s="340">
        <f>ROUND(P38*(1+U19),0)</f>
        <v>0</v>
      </c>
      <c r="U38" s="455" t="str">
        <f>TEXT(U19,"0.0%")&amp;" = Est. S &amp; C"</f>
        <v>2.0% = Est. S &amp; C</v>
      </c>
      <c r="V38" s="952"/>
      <c r="W38" s="2241" t="str">
        <f t="shared" si="15"/>
        <v>0.00%</v>
      </c>
      <c r="X38" s="340">
        <f>ROUND(T38*(1+Y19),0)</f>
        <v>0</v>
      </c>
      <c r="Y38" s="455" t="str">
        <f>TEXT(Y19,"0.0%")&amp;" = Est. S &amp; C"</f>
        <v>2.0% = Est. S &amp; C</v>
      </c>
      <c r="AA38" s="456" t="str">
        <f t="shared" si="16"/>
        <v>0.00%</v>
      </c>
      <c r="AB38" s="340">
        <f>ROUND(X38*(1+AC19),0)</f>
        <v>0</v>
      </c>
      <c r="AC38" s="455" t="str">
        <f>TEXT(AC19,"0.0%")&amp;" = Est. S &amp; C"</f>
        <v>2.0% = Est. S &amp; C</v>
      </c>
    </row>
    <row r="39" spans="1:29" s="457" customFormat="1" hidden="1" x14ac:dyDescent="0.25">
      <c r="A39" s="897"/>
      <c r="B39" s="2385"/>
      <c r="C39" s="2215"/>
      <c r="D39" s="340">
        <v>0</v>
      </c>
      <c r="E39" s="2386"/>
      <c r="F39" s="340"/>
      <c r="G39" s="456" t="str">
        <f t="shared" si="9"/>
        <v>0.00%</v>
      </c>
      <c r="H39" s="340">
        <f t="shared" si="10"/>
        <v>0</v>
      </c>
      <c r="I39" s="897"/>
      <c r="J39" s="455"/>
      <c r="K39" s="456" t="str">
        <f t="shared" si="12"/>
        <v>0.00%</v>
      </c>
      <c r="L39" s="340"/>
      <c r="M39" s="897"/>
      <c r="O39" s="456" t="str">
        <f t="shared" si="13"/>
        <v>0.00%</v>
      </c>
      <c r="P39" s="340"/>
      <c r="Q39" s="897"/>
      <c r="R39" s="592"/>
      <c r="S39" s="2238" t="str">
        <f t="shared" si="14"/>
        <v>0.00%</v>
      </c>
      <c r="T39" s="340">
        <f>ROUND(P39*(1+U19),0)</f>
        <v>0</v>
      </c>
      <c r="U39" s="455" t="str">
        <f>TEXT(U19,"0.0%")&amp;" = Est. S &amp; C"</f>
        <v>2.0% = Est. S &amp; C</v>
      </c>
      <c r="V39" s="952"/>
      <c r="W39" s="2241" t="str">
        <f t="shared" si="15"/>
        <v>0.00%</v>
      </c>
      <c r="X39" s="340">
        <f>ROUND(T39*(1+Y19),0)</f>
        <v>0</v>
      </c>
      <c r="Y39" s="455" t="str">
        <f>TEXT(Y19,"0.0%")&amp;" = Est. S &amp; C"</f>
        <v>2.0% = Est. S &amp; C</v>
      </c>
      <c r="AA39" s="456" t="str">
        <f t="shared" si="16"/>
        <v>0.00%</v>
      </c>
      <c r="AB39" s="340">
        <f>ROUND(X39*(1+AC19),0)</f>
        <v>0</v>
      </c>
      <c r="AC39" s="455" t="str">
        <f>TEXT(AC19,"0.0%")&amp;" = Est. S &amp; C"</f>
        <v>2.0% = Est. S &amp; C</v>
      </c>
    </row>
    <row r="40" spans="1:29" s="457" customFormat="1" ht="6" hidden="1" customHeight="1" x14ac:dyDescent="0.25">
      <c r="A40" s="897"/>
      <c r="B40" s="2385"/>
      <c r="C40" s="2215"/>
      <c r="D40" s="340"/>
      <c r="E40" s="2386"/>
      <c r="F40" s="340"/>
      <c r="G40" s="2338"/>
      <c r="H40" s="340"/>
      <c r="I40" s="897"/>
      <c r="J40" s="455"/>
      <c r="K40" s="1668"/>
      <c r="L40" s="340"/>
      <c r="M40" s="901"/>
      <c r="O40" s="1668"/>
      <c r="P40" s="340"/>
      <c r="Q40" s="901"/>
      <c r="R40" s="592"/>
      <c r="S40" s="2341"/>
      <c r="T40" s="340"/>
      <c r="U40" s="2344"/>
      <c r="V40" s="952"/>
      <c r="W40" s="2343"/>
      <c r="X40" s="340"/>
      <c r="Y40" s="2344"/>
      <c r="AA40" s="1668"/>
      <c r="AB40" s="340"/>
      <c r="AC40" s="2344"/>
    </row>
    <row r="41" spans="1:29" s="457" customFormat="1" hidden="1" x14ac:dyDescent="0.25">
      <c r="A41" s="898"/>
      <c r="B41" s="2385"/>
      <c r="C41" s="2215"/>
      <c r="D41" s="458">
        <f>SUM(D33:D40)</f>
        <v>0</v>
      </c>
      <c r="E41" s="2386"/>
      <c r="F41" s="340"/>
      <c r="G41" s="456" t="str">
        <f>IF(D41=0,"0.00%",(H41-D41)/D41)</f>
        <v>0.00%</v>
      </c>
      <c r="H41" s="458">
        <f>SUM(H33:H40)</f>
        <v>0</v>
      </c>
      <c r="I41" s="898"/>
      <c r="J41" s="459"/>
      <c r="K41" s="456" t="str">
        <f>IF(H41=0,"0.00%",(L41-H41)/H41)</f>
        <v>0.00%</v>
      </c>
      <c r="L41" s="458">
        <f>SUM(L33:L40)</f>
        <v>0</v>
      </c>
      <c r="M41" s="901"/>
      <c r="O41" s="456" t="str">
        <f>IF(L41=0,"0.00%",(P41-L41)/L41)</f>
        <v>0.00%</v>
      </c>
      <c r="P41" s="458">
        <f>SUM(P33:P40)</f>
        <v>0</v>
      </c>
      <c r="Q41" s="901"/>
      <c r="R41" s="592"/>
      <c r="S41" s="2238" t="str">
        <f>IF(P41=0,"0.00%",(T41-P41)/P41)</f>
        <v>0.00%</v>
      </c>
      <c r="T41" s="458">
        <f>SUM(T33:T40)</f>
        <v>0</v>
      </c>
      <c r="U41" s="2344"/>
      <c r="V41" s="952"/>
      <c r="W41" s="2241" t="str">
        <f>IF(T41=0,"0.00%",(X41-T41)/T41)</f>
        <v>0.00%</v>
      </c>
      <c r="X41" s="458">
        <f>SUM(X33:X40)</f>
        <v>0</v>
      </c>
      <c r="Y41" s="2344"/>
      <c r="AA41" s="456" t="str">
        <f>IF(X41=0,"0.00%",(AB41-X41)/X41)</f>
        <v>0.00%</v>
      </c>
      <c r="AB41" s="458">
        <f>SUM(AB33:AB40)</f>
        <v>0</v>
      </c>
      <c r="AC41" s="2344"/>
    </row>
    <row r="42" spans="1:29" s="457" customFormat="1" x14ac:dyDescent="0.25">
      <c r="A42" s="897"/>
      <c r="B42" s="2345" t="s">
        <v>28</v>
      </c>
      <c r="C42" s="2215"/>
      <c r="D42" s="340"/>
      <c r="E42" s="2386"/>
      <c r="F42" s="340"/>
      <c r="G42" s="2338"/>
      <c r="H42" s="340"/>
      <c r="I42" s="897"/>
      <c r="J42" s="455"/>
      <c r="K42" s="1668"/>
      <c r="L42" s="340"/>
      <c r="M42" s="901"/>
      <c r="O42" s="1668"/>
      <c r="P42" s="340"/>
      <c r="Q42" s="901"/>
      <c r="R42" s="592"/>
      <c r="S42" s="2341"/>
      <c r="T42" s="340"/>
      <c r="U42" s="2344"/>
      <c r="V42" s="952"/>
      <c r="W42" s="2343"/>
      <c r="X42" s="340"/>
      <c r="Y42" s="2344"/>
      <c r="AA42" s="1668"/>
      <c r="AB42" s="340"/>
      <c r="AC42" s="2344"/>
    </row>
    <row r="43" spans="1:29" s="457" customFormat="1" x14ac:dyDescent="0.25">
      <c r="A43" s="868"/>
      <c r="B43" s="2337" t="s">
        <v>27</v>
      </c>
      <c r="C43" s="2215"/>
      <c r="D43" s="340"/>
      <c r="E43" s="2386"/>
      <c r="F43" s="340"/>
      <c r="G43" s="2338"/>
      <c r="H43" s="340"/>
      <c r="I43" s="897"/>
      <c r="J43" s="455"/>
      <c r="K43" s="1668"/>
      <c r="L43" s="340"/>
      <c r="M43" s="901"/>
      <c r="O43" s="1668"/>
      <c r="P43" s="340"/>
      <c r="Q43" s="901"/>
      <c r="R43" s="592"/>
      <c r="S43" s="2341"/>
      <c r="T43" s="340"/>
      <c r="U43" s="2344"/>
      <c r="V43" s="952"/>
      <c r="W43" s="2343"/>
      <c r="X43" s="340"/>
      <c r="Y43" s="2344"/>
      <c r="AA43" s="1668"/>
      <c r="AB43" s="340"/>
      <c r="AC43" s="2344"/>
    </row>
    <row r="44" spans="1:29" s="457" customFormat="1" x14ac:dyDescent="0.25">
      <c r="A44" s="897"/>
      <c r="B44" s="2385" t="s">
        <v>83</v>
      </c>
      <c r="C44" s="2215" t="s">
        <v>76</v>
      </c>
      <c r="D44" s="340">
        <v>158.05000000000001</v>
      </c>
      <c r="E44" s="899" t="str">
        <f>TEXT('MYP Assumptions'!$D$57,"0.00%")&amp;", STRS rate"</f>
        <v>12.58%, STRS rate</v>
      </c>
      <c r="F44" s="340"/>
      <c r="G44" s="456">
        <f t="shared" ref="G44:G53" si="19">IF(D44=0,"0.00%",(H44-D44)/D44)</f>
        <v>3.3214172730148688</v>
      </c>
      <c r="H44" s="340">
        <v>683</v>
      </c>
      <c r="I44" s="899" t="str">
        <f>TEXT('MYP Assumptions'!E57,"0.00%")&amp;", projected STRS rate"</f>
        <v>14.43%, projected STRS rate</v>
      </c>
      <c r="J44" s="455"/>
      <c r="K44" s="456">
        <f t="shared" ref="K44:K53" si="20">IF(H44=0,"0.00%",(L44-H44)/H44)</f>
        <v>-1</v>
      </c>
      <c r="L44" s="340">
        <f>ROUND(L30*LEFT(M44,6),0)</f>
        <v>0</v>
      </c>
      <c r="M44" s="899" t="str">
        <f>TEXT('MYP Assumptions'!F57,"0.00%")&amp;", projected STRS rate"</f>
        <v>16.28%, projected STRS rate</v>
      </c>
      <c r="O44" s="456" t="str">
        <f t="shared" ref="O44:O53" si="21">IF(L44=0,"0.00%",(P44-L44)/L44)</f>
        <v>0.00%</v>
      </c>
      <c r="P44" s="340">
        <f>ROUND(+L44*1.0185,0)</f>
        <v>0</v>
      </c>
      <c r="Q44" s="899" t="str">
        <f>TEXT('MYP Assumptions'!G57,"0.00%")&amp;", projected STRS rate"</f>
        <v>18.13%, projected STRS rate</v>
      </c>
      <c r="R44" s="592"/>
      <c r="S44" s="2238" t="str">
        <f t="shared" ref="S44:S53" si="22">IF(P44=0,"0.00%",(T44-P44)/P44)</f>
        <v>0.00%</v>
      </c>
      <c r="T44" s="340">
        <f>ROUND(T30*LEFT(U44,6),0)</f>
        <v>0</v>
      </c>
      <c r="U44" s="953" t="str">
        <f>TEXT('MYP Assumptions'!H57,"0.00%")&amp;", projected STRS rate"</f>
        <v>19.10%, projected STRS rate</v>
      </c>
      <c r="V44" s="952"/>
      <c r="W44" s="2241" t="str">
        <f t="shared" ref="W44:W53" si="23">IF(T44=0,"0.00%",(X44-T44)/T44)</f>
        <v>0.00%</v>
      </c>
      <c r="X44" s="340">
        <f>ROUND(X30*LEFT(Y44,6),0)</f>
        <v>0</v>
      </c>
      <c r="Y44" s="953" t="str">
        <f>TEXT('MYP Assumptions'!I57,"0.00%")&amp;", projected STRS rate"</f>
        <v>19.10%, projected STRS rate</v>
      </c>
      <c r="AA44" s="456" t="str">
        <f t="shared" ref="AA44:AA53" si="24">IF(X44=0,"0.00%",(AB44-X44)/X44)</f>
        <v>0.00%</v>
      </c>
      <c r="AB44" s="340" t="e">
        <f>ROUND(AB30*LEFT(AC44,6),0)</f>
        <v>#VALUE!</v>
      </c>
      <c r="AC44" s="953" t="str">
        <f>TEXT('MYP Assumptions'!J57,"0.00%")&amp;", projected STRS rate"</f>
        <v>0.00%, projected STRS rate</v>
      </c>
    </row>
    <row r="45" spans="1:29" s="457" customFormat="1" x14ac:dyDescent="0.25">
      <c r="A45" s="897"/>
      <c r="B45" s="2385" t="s">
        <v>84</v>
      </c>
      <c r="C45" s="2215" t="s">
        <v>77</v>
      </c>
      <c r="D45" s="340">
        <v>0</v>
      </c>
      <c r="E45" s="899" t="str">
        <f>TEXT('MYP Assumptions'!$D$58,"0.00%")&amp;", PERS rate"</f>
        <v>13.89%, PERS rate</v>
      </c>
      <c r="F45" s="340"/>
      <c r="G45" s="456" t="str">
        <f t="shared" si="19"/>
        <v>0.00%</v>
      </c>
      <c r="H45" s="340">
        <f>ROUND(H41*LEFT(I45,6),0)</f>
        <v>0</v>
      </c>
      <c r="I45" s="899" t="str">
        <f>TEXT('MYP Assumptions'!E58,"0.00%")&amp;", projected PERS rate"</f>
        <v>15.53%, projected PERS rate</v>
      </c>
      <c r="J45" s="455"/>
      <c r="K45" s="456" t="str">
        <f t="shared" si="20"/>
        <v>0.00%</v>
      </c>
      <c r="L45" s="340">
        <f>ROUND(L41*LEFT(M45,6),0)</f>
        <v>0</v>
      </c>
      <c r="M45" s="899" t="str">
        <f>TEXT('MYP Assumptions'!F58,"0.00%")&amp;", projected PERS rate"</f>
        <v>18.06%, projected PERS rate</v>
      </c>
      <c r="O45" s="456" t="str">
        <f t="shared" si="21"/>
        <v>0.00%</v>
      </c>
      <c r="P45" s="340">
        <f>ROUND((P41-P37-P38)*LEFT(Q45,6),0)</f>
        <v>0</v>
      </c>
      <c r="Q45" s="899" t="str">
        <f>TEXT('MYP Assumptions'!G58,"0.00%")&amp;", projected PERS rate"</f>
        <v>20.80%, projected PERS rate</v>
      </c>
      <c r="R45" s="592"/>
      <c r="S45" s="2238" t="str">
        <f t="shared" si="22"/>
        <v>0.00%</v>
      </c>
      <c r="T45" s="340">
        <f>ROUND(T41*LEFT(U45,6),0)</f>
        <v>0</v>
      </c>
      <c r="U45" s="953" t="str">
        <f>TEXT('MYP Assumptions'!H58,"0.00%")&amp;", projected PERS rate"</f>
        <v>23.50%, projected PERS rate</v>
      </c>
      <c r="V45" s="952"/>
      <c r="W45" s="2241" t="str">
        <f t="shared" si="23"/>
        <v>0.00%</v>
      </c>
      <c r="X45" s="340">
        <f>ROUND(X41*LEFT(Y45,6),0)</f>
        <v>0</v>
      </c>
      <c r="Y45" s="953" t="str">
        <f>TEXT('MYP Assumptions'!I58,"0.00%")&amp;", projected PERS rate"</f>
        <v>24.60%, projected PERS rate</v>
      </c>
      <c r="AA45" s="456" t="str">
        <f t="shared" si="24"/>
        <v>0.00%</v>
      </c>
      <c r="AB45" s="340" t="e">
        <f>ROUND(AB41*LEFT(AC45,6),0)</f>
        <v>#VALUE!</v>
      </c>
      <c r="AC45" s="953" t="str">
        <f>TEXT('MYP Assumptions'!J58,"0.00%")&amp;", projected PERS rate"</f>
        <v>0.00%, projected PERS rate</v>
      </c>
    </row>
    <row r="46" spans="1:29" s="457" customFormat="1" x14ac:dyDescent="0.25">
      <c r="A46" s="897"/>
      <c r="B46" s="2385" t="s">
        <v>85</v>
      </c>
      <c r="C46" s="2215" t="s">
        <v>78</v>
      </c>
      <c r="D46" s="340">
        <v>0</v>
      </c>
      <c r="E46" s="899" t="str">
        <f>TEXT('MYP Assumptions'!$D$60,"0.00%")&amp;", SS rate"</f>
        <v>6.20%, SS rate</v>
      </c>
      <c r="F46" s="340"/>
      <c r="G46" s="456" t="str">
        <f t="shared" si="19"/>
        <v>0.00%</v>
      </c>
      <c r="H46" s="340">
        <f>ROUND(H41*LEFT(I46,5),0)</f>
        <v>0</v>
      </c>
      <c r="I46" s="899" t="str">
        <f>TEXT('MYP Assumptions'!E60,"0.00%")&amp;", no rate change"</f>
        <v>6.20%, no rate change</v>
      </c>
      <c r="J46" s="455"/>
      <c r="K46" s="456" t="str">
        <f t="shared" si="20"/>
        <v>0.00%</v>
      </c>
      <c r="L46" s="340">
        <f>ROUND(L41*LEFT(M46,5),0)</f>
        <v>0</v>
      </c>
      <c r="M46" s="899" t="str">
        <f>TEXT('MYP Assumptions'!F60,"0.00%")&amp;", no rate change"</f>
        <v>6.20%, no rate change</v>
      </c>
      <c r="O46" s="456" t="str">
        <f t="shared" si="21"/>
        <v>0.00%</v>
      </c>
      <c r="P46" s="340">
        <f>ROUND(P41*LEFT(Q46,5),0)</f>
        <v>0</v>
      </c>
      <c r="Q46" s="899" t="str">
        <f>TEXT('MYP Assumptions'!G60,"0.00%")&amp;", no rate change"</f>
        <v>6.20%, no rate change</v>
      </c>
      <c r="R46" s="592"/>
      <c r="S46" s="2238" t="str">
        <f t="shared" si="22"/>
        <v>0.00%</v>
      </c>
      <c r="T46" s="340">
        <f>ROUND(T41*LEFT(U46,5),0)</f>
        <v>0</v>
      </c>
      <c r="U46" s="953" t="str">
        <f>TEXT('MYP Assumptions'!H60,"0.00%")&amp;", no rate change"</f>
        <v>6.20%, no rate change</v>
      </c>
      <c r="V46" s="952"/>
      <c r="W46" s="2241" t="str">
        <f t="shared" si="23"/>
        <v>0.00%</v>
      </c>
      <c r="X46" s="340">
        <f>ROUND(X41*LEFT(Y46,5),0)</f>
        <v>0</v>
      </c>
      <c r="Y46" s="953" t="str">
        <f>TEXT('MYP Assumptions'!I60,"0.00%")&amp;", no rate change"</f>
        <v>6.20%, no rate change</v>
      </c>
      <c r="AA46" s="456" t="str">
        <f t="shared" si="24"/>
        <v>0.00%</v>
      </c>
      <c r="AB46" s="340">
        <f>ROUND(AB41*LEFT(AC46,5),0)</f>
        <v>0</v>
      </c>
      <c r="AC46" s="953" t="str">
        <f>TEXT('MYP Assumptions'!J60,"0.00%")&amp;", no rate change"</f>
        <v>0.00%, no rate change</v>
      </c>
    </row>
    <row r="47" spans="1:29" s="457" customFormat="1" x14ac:dyDescent="0.25">
      <c r="A47" s="897"/>
      <c r="B47" s="2385" t="s">
        <v>86</v>
      </c>
      <c r="C47" s="2215" t="s">
        <v>79</v>
      </c>
      <c r="D47" s="340">
        <v>17.63</v>
      </c>
      <c r="E47" s="899" t="str">
        <f>TEXT('MYP Assumptions'!$D$61,"0.00%")&amp;", Medicare rate"</f>
        <v>1.45%, Medicare rate</v>
      </c>
      <c r="F47" s="340"/>
      <c r="G47" s="456">
        <f t="shared" si="19"/>
        <v>2.913783323879751</v>
      </c>
      <c r="H47" s="340">
        <f>ROUND((H41+H30)*LEFT(I47,5),0)</f>
        <v>69</v>
      </c>
      <c r="I47" s="899" t="str">
        <f>TEXT('MYP Assumptions'!E61,"0.00%")&amp;", no rate change"</f>
        <v>1.45%, no rate change</v>
      </c>
      <c r="J47" s="455"/>
      <c r="K47" s="456">
        <f t="shared" si="20"/>
        <v>-1</v>
      </c>
      <c r="L47" s="340">
        <f>ROUND((L41+L30)*LEFT(M47,5),0)</f>
        <v>0</v>
      </c>
      <c r="M47" s="899" t="str">
        <f>TEXT('MYP Assumptions'!F61,"0.00%")&amp;", no rate change"</f>
        <v>1.45%, no rate change</v>
      </c>
      <c r="O47" s="456" t="str">
        <f t="shared" si="21"/>
        <v>0.00%</v>
      </c>
      <c r="P47" s="340">
        <f>ROUND((P41+P30)*LEFT(Q47,5),0)</f>
        <v>0</v>
      </c>
      <c r="Q47" s="899" t="str">
        <f>TEXT('MYP Assumptions'!G61,"0.00%")&amp;", no rate change"</f>
        <v>1.45%, no rate change</v>
      </c>
      <c r="R47" s="592"/>
      <c r="S47" s="2238" t="str">
        <f t="shared" si="22"/>
        <v>0.00%</v>
      </c>
      <c r="T47" s="340">
        <f>ROUND((T41+T30)*LEFT(U47,5),0)</f>
        <v>0</v>
      </c>
      <c r="U47" s="953" t="str">
        <f>TEXT('MYP Assumptions'!H61,"0.00%")&amp;", no rate change"</f>
        <v>1.45%, no rate change</v>
      </c>
      <c r="V47" s="952"/>
      <c r="W47" s="2241" t="str">
        <f t="shared" si="23"/>
        <v>0.00%</v>
      </c>
      <c r="X47" s="340">
        <f>ROUND((X41+X30)*LEFT(Y47,5),0)</f>
        <v>0</v>
      </c>
      <c r="Y47" s="953" t="str">
        <f>TEXT('MYP Assumptions'!I61,"0.00%")&amp;", no rate change"</f>
        <v>1.45%, no rate change</v>
      </c>
      <c r="AA47" s="456" t="str">
        <f t="shared" si="24"/>
        <v>0.00%</v>
      </c>
      <c r="AB47" s="340">
        <f>ROUND((AB41+AB30)*LEFT(AC47,5),0)</f>
        <v>0</v>
      </c>
      <c r="AC47" s="953" t="str">
        <f>TEXT('MYP Assumptions'!J61,"0.00%")&amp;", no rate change"</f>
        <v>0.00%, no rate change</v>
      </c>
    </row>
    <row r="48" spans="1:29" s="457" customFormat="1" x14ac:dyDescent="0.25">
      <c r="A48" s="897"/>
      <c r="B48" s="2385" t="s">
        <v>87</v>
      </c>
      <c r="C48" s="2215" t="s">
        <v>80</v>
      </c>
      <c r="D48" s="340">
        <v>17.05</v>
      </c>
      <c r="E48" s="899"/>
      <c r="F48" s="340"/>
      <c r="G48" s="456">
        <f t="shared" si="19"/>
        <v>-1</v>
      </c>
      <c r="H48" s="340">
        <v>0</v>
      </c>
      <c r="I48" s="899" t="str">
        <f>TEXT('MYP Assumptions'!$I$68,"0.00%")&amp;", projected increase"</f>
        <v>5.00%, projected increase</v>
      </c>
      <c r="J48" s="455"/>
      <c r="K48" s="456" t="str">
        <f t="shared" si="20"/>
        <v>0.00%</v>
      </c>
      <c r="L48" s="340">
        <f>ROUND((H48)*(LEFT(M48,5)+1),0)</f>
        <v>0</v>
      </c>
      <c r="M48" s="899" t="str">
        <f>TEXT('MYP Assumptions'!$I$68,"0.00%")&amp;", projected increase"</f>
        <v>5.00%, projected increase</v>
      </c>
      <c r="O48" s="456" t="str">
        <f t="shared" si="21"/>
        <v>0.00%</v>
      </c>
      <c r="P48" s="340">
        <f>ROUND((L48)*(LEFT(Q48,5)+1),0)</f>
        <v>0</v>
      </c>
      <c r="Q48" s="899" t="str">
        <f>TEXT('MYP Assumptions'!$I$68,"0.00%")&amp;", projected increase"</f>
        <v>5.00%, projected increase</v>
      </c>
      <c r="R48" s="592"/>
      <c r="S48" s="2238" t="str">
        <f t="shared" si="22"/>
        <v>0.00%</v>
      </c>
      <c r="T48" s="340">
        <f>ROUND((P48)*(LEFT(U48,5)+1),0)</f>
        <v>0</v>
      </c>
      <c r="U48" s="953" t="str">
        <f>TEXT('MYP Assumptions'!$I$68,"0.00%")&amp;", projected increase"</f>
        <v>5.00%, projected increase</v>
      </c>
      <c r="V48" s="952"/>
      <c r="W48" s="2241" t="str">
        <f t="shared" si="23"/>
        <v>0.00%</v>
      </c>
      <c r="X48" s="340">
        <f>ROUND((T48)*(LEFT(Y48,5)+1),0)</f>
        <v>0</v>
      </c>
      <c r="Y48" s="953" t="str">
        <f>TEXT('MYP Assumptions'!$I$68,"0.00%")&amp;", projected increase"</f>
        <v>5.00%, projected increase</v>
      </c>
      <c r="AA48" s="456" t="str">
        <f t="shared" si="24"/>
        <v>0.00%</v>
      </c>
      <c r="AB48" s="340">
        <f>ROUND((X48)*(LEFT(AC48,5)+1),0)</f>
        <v>0</v>
      </c>
      <c r="AC48" s="953" t="str">
        <f>TEXT('MYP Assumptions'!$I$68,"0.00%")&amp;", projected increase"</f>
        <v>5.00%, projected increase</v>
      </c>
    </row>
    <row r="49" spans="1:29" s="457" customFormat="1" x14ac:dyDescent="0.25">
      <c r="A49" s="897"/>
      <c r="B49" s="2385" t="s">
        <v>88</v>
      </c>
      <c r="C49" s="2215" t="s">
        <v>81</v>
      </c>
      <c r="D49" s="340">
        <v>0.62</v>
      </c>
      <c r="E49" s="899" t="str">
        <f>TEXT('MYP Assumptions'!$D$62,"0.00%")&amp;", SUI rate"</f>
        <v>0.05%, SUI rate</v>
      </c>
      <c r="F49" s="340"/>
      <c r="G49" s="456">
        <f t="shared" si="19"/>
        <v>2.225806451612903</v>
      </c>
      <c r="H49" s="340">
        <f>ROUND((H41+H30)*LEFT(I49,5),0)</f>
        <v>2</v>
      </c>
      <c r="I49" s="899" t="str">
        <f>TEXT('MYP Assumptions'!E62,"0.00%")&amp;", no rate change"</f>
        <v>0.05%, no rate change</v>
      </c>
      <c r="J49" s="455"/>
      <c r="K49" s="456">
        <f t="shared" si="20"/>
        <v>-1</v>
      </c>
      <c r="L49" s="340">
        <f>ROUND((L41+L30)*LEFT(M49,5),0)</f>
        <v>0</v>
      </c>
      <c r="M49" s="899" t="str">
        <f>TEXT('MYP Assumptions'!F62,"0.00%")&amp;", no rate change"</f>
        <v>0.05%, no rate change</v>
      </c>
      <c r="O49" s="456" t="str">
        <f t="shared" si="21"/>
        <v>0.00%</v>
      </c>
      <c r="P49" s="340">
        <f>ROUND((P41+P30)*LEFT(Q49,5),0)</f>
        <v>0</v>
      </c>
      <c r="Q49" s="899" t="str">
        <f>TEXT('MYP Assumptions'!G62,"0.00%")&amp;", no rate change"</f>
        <v>0.05%, no rate change</v>
      </c>
      <c r="R49" s="592"/>
      <c r="S49" s="2238" t="str">
        <f t="shared" si="22"/>
        <v>0.00%</v>
      </c>
      <c r="T49" s="340">
        <f>ROUND((T41+T30)*LEFT(U49,5),0)</f>
        <v>0</v>
      </c>
      <c r="U49" s="953" t="str">
        <f>TEXT('MYP Assumptions'!H62,"0.00%")&amp;", no rate change"</f>
        <v>0.05%, no rate change</v>
      </c>
      <c r="V49" s="952"/>
      <c r="W49" s="2241" t="str">
        <f t="shared" si="23"/>
        <v>0.00%</v>
      </c>
      <c r="X49" s="340">
        <f>ROUND((X41+X30)*LEFT(Y49,5),0)</f>
        <v>0</v>
      </c>
      <c r="Y49" s="953" t="str">
        <f>TEXT('MYP Assumptions'!I62,"0.00%")&amp;", no rate change"</f>
        <v>0.05%, no rate change</v>
      </c>
      <c r="AA49" s="456" t="str">
        <f t="shared" si="24"/>
        <v>0.00%</v>
      </c>
      <c r="AB49" s="340">
        <f>ROUND((AB41+AB30)*LEFT(AC49,5),0)</f>
        <v>0</v>
      </c>
      <c r="AC49" s="953" t="str">
        <f>TEXT('MYP Assumptions'!J62,"0.00%")&amp;", no rate change"</f>
        <v>0.00%, no rate change</v>
      </c>
    </row>
    <row r="50" spans="1:29" s="457" customFormat="1" x14ac:dyDescent="0.25">
      <c r="A50" s="897"/>
      <c r="B50" s="2385" t="s">
        <v>89</v>
      </c>
      <c r="C50" s="2215" t="s">
        <v>82</v>
      </c>
      <c r="D50" s="340">
        <v>13.36</v>
      </c>
      <c r="E50" s="899" t="str">
        <f>TEXT('MYP Assumptions'!$D$63,"0.00%")&amp;", W/C rate"</f>
        <v>1.10%, W/C rate</v>
      </c>
      <c r="F50" s="340"/>
      <c r="G50" s="456">
        <f t="shared" si="19"/>
        <v>1.8443113772455091</v>
      </c>
      <c r="H50" s="340">
        <v>38</v>
      </c>
      <c r="I50" s="899" t="str">
        <f>TEXT('MYP Assumptions'!E63,"0.00%")&amp;", no rate change"</f>
        <v>0.80%, no rate change</v>
      </c>
      <c r="J50" s="455"/>
      <c r="K50" s="456">
        <f t="shared" si="20"/>
        <v>-1</v>
      </c>
      <c r="L50" s="340">
        <f>ROUND((L41+L30)*LEFT(M50,5),0)</f>
        <v>0</v>
      </c>
      <c r="M50" s="899" t="str">
        <f>TEXT('MYP Assumptions'!F63,"0.00%")&amp;", no rate change"</f>
        <v>0.80%, no rate change</v>
      </c>
      <c r="O50" s="456" t="str">
        <f t="shared" si="21"/>
        <v>0.00%</v>
      </c>
      <c r="P50" s="340">
        <f>ROUND((P41+P30)*LEFT(Q50,5),0)</f>
        <v>0</v>
      </c>
      <c r="Q50" s="899" t="str">
        <f>TEXT('MYP Assumptions'!G63,"0.00%")&amp;", no rate change"</f>
        <v>0.80%, no rate change</v>
      </c>
      <c r="R50" s="592"/>
      <c r="S50" s="2238" t="str">
        <f t="shared" si="22"/>
        <v>0.00%</v>
      </c>
      <c r="T50" s="340">
        <f>ROUND((T41+T30)*LEFT(U50,5),0)</f>
        <v>0</v>
      </c>
      <c r="U50" s="953" t="str">
        <f>TEXT('MYP Assumptions'!H63,"0.00%")&amp;", no rate change"</f>
        <v>0.80%, no rate change</v>
      </c>
      <c r="V50" s="952"/>
      <c r="W50" s="2241" t="str">
        <f t="shared" si="23"/>
        <v>0.00%</v>
      </c>
      <c r="X50" s="340">
        <f>ROUND((X41+X30)*LEFT(Y50,5),0)</f>
        <v>0</v>
      </c>
      <c r="Y50" s="953" t="str">
        <f>TEXT('MYP Assumptions'!I63,"0.00%")&amp;", no rate change"</f>
        <v>0.80%, no rate change</v>
      </c>
      <c r="AA50" s="456" t="str">
        <f t="shared" si="24"/>
        <v>0.00%</v>
      </c>
      <c r="AB50" s="340">
        <f>ROUND((AB41+AB30)*LEFT(AC50,5),0)</f>
        <v>0</v>
      </c>
      <c r="AC50" s="953" t="str">
        <f>TEXT('MYP Assumptions'!J63,"0.00%")&amp;", no rate change"</f>
        <v>0.00%, no rate change</v>
      </c>
    </row>
    <row r="51" spans="1:29" s="457" customFormat="1" x14ac:dyDescent="0.25">
      <c r="A51" s="897"/>
      <c r="B51" s="2441" t="s">
        <v>469</v>
      </c>
      <c r="C51" s="2451" t="s">
        <v>470</v>
      </c>
      <c r="D51" s="340">
        <v>0</v>
      </c>
      <c r="E51" s="2386"/>
      <c r="F51" s="340"/>
      <c r="G51" s="456" t="str">
        <f t="shared" ref="G51" si="25">IF(D51=0,"0.00%",(H51-D51)/D51)</f>
        <v>0.00%</v>
      </c>
      <c r="H51" s="340">
        <f>D51</f>
        <v>0</v>
      </c>
      <c r="I51" s="899" t="s">
        <v>165</v>
      </c>
      <c r="J51" s="455"/>
      <c r="K51" s="456" t="str">
        <f t="shared" ref="K51" si="26">IF(H51=0,"0.00%",(L51-H51)/H51)</f>
        <v>0.00%</v>
      </c>
      <c r="L51" s="340">
        <f>H51</f>
        <v>0</v>
      </c>
      <c r="M51" s="899" t="s">
        <v>165</v>
      </c>
      <c r="O51" s="456" t="str">
        <f t="shared" ref="O51" si="27">IF(L51=0,"0.00%",(P51-L51)/L51)</f>
        <v>0.00%</v>
      </c>
      <c r="P51" s="340">
        <f>L51</f>
        <v>0</v>
      </c>
      <c r="Q51" s="899" t="s">
        <v>165</v>
      </c>
      <c r="R51" s="592"/>
      <c r="S51" s="2238" t="str">
        <f t="shared" ref="S51" si="28">IF(P51=0,"0.00%",(T51-P51)/P51)</f>
        <v>0.00%</v>
      </c>
      <c r="T51" s="340">
        <f>P51</f>
        <v>0</v>
      </c>
      <c r="U51" s="953" t="s">
        <v>165</v>
      </c>
      <c r="V51" s="952"/>
      <c r="W51" s="2241" t="str">
        <f t="shared" ref="W51" si="29">IF(T51=0,"0.00%",(X51-T51)/T51)</f>
        <v>0.00%</v>
      </c>
      <c r="X51" s="340">
        <f>T51</f>
        <v>0</v>
      </c>
      <c r="Y51" s="953" t="s">
        <v>165</v>
      </c>
      <c r="AA51" s="456" t="str">
        <f t="shared" ref="AA51" si="30">IF(X51=0,"0.00%",(AB51-X51)/X51)</f>
        <v>0.00%</v>
      </c>
      <c r="AB51" s="340">
        <f>X51</f>
        <v>0</v>
      </c>
      <c r="AC51" s="953" t="s">
        <v>165</v>
      </c>
    </row>
    <row r="52" spans="1:29" s="457" customFormat="1" x14ac:dyDescent="0.25">
      <c r="A52" s="897"/>
      <c r="B52" s="2441" t="s">
        <v>91</v>
      </c>
      <c r="C52" s="2451" t="s">
        <v>93</v>
      </c>
      <c r="D52" s="340"/>
      <c r="E52" s="2386"/>
      <c r="F52" s="340"/>
      <c r="G52" s="456"/>
      <c r="H52" s="340">
        <f>D52</f>
        <v>0</v>
      </c>
      <c r="I52" s="899" t="s">
        <v>165</v>
      </c>
      <c r="J52" s="455"/>
      <c r="K52" s="456" t="str">
        <f t="shared" ref="K52" si="31">IF(H52=0,"0.00%",(L52-H52)/H52)</f>
        <v>0.00%</v>
      </c>
      <c r="L52" s="340">
        <f>H52</f>
        <v>0</v>
      </c>
      <c r="M52" s="899" t="s">
        <v>165</v>
      </c>
      <c r="O52" s="456" t="str">
        <f t="shared" ref="O52" si="32">IF(L52=0,"0.00%",(P52-L52)/L52)</f>
        <v>0.00%</v>
      </c>
      <c r="P52" s="340">
        <f>L52</f>
        <v>0</v>
      </c>
      <c r="Q52" s="899" t="s">
        <v>165</v>
      </c>
      <c r="R52" s="592"/>
      <c r="S52" s="2238" t="str">
        <f t="shared" ref="S52" si="33">IF(P52=0,"0.00%",(T52-P52)/P52)</f>
        <v>0.00%</v>
      </c>
      <c r="T52" s="340">
        <f>P52</f>
        <v>0</v>
      </c>
      <c r="U52" s="953" t="s">
        <v>165</v>
      </c>
      <c r="V52" s="952"/>
      <c r="W52" s="2241"/>
      <c r="X52" s="340"/>
      <c r="Y52" s="953"/>
      <c r="AA52" s="456"/>
      <c r="AB52" s="340"/>
      <c r="AC52" s="953"/>
    </row>
    <row r="53" spans="1:29" s="457" customFormat="1" x14ac:dyDescent="0.25">
      <c r="A53" s="898"/>
      <c r="B53" s="2385"/>
      <c r="C53" s="2215"/>
      <c r="D53" s="458">
        <f>SUM(D44:D52)</f>
        <v>206.71000000000004</v>
      </c>
      <c r="E53" s="2386"/>
      <c r="F53" s="340"/>
      <c r="G53" s="456">
        <f t="shared" si="19"/>
        <v>2.8314546949833095</v>
      </c>
      <c r="H53" s="458">
        <f>SUM(H44:H52)</f>
        <v>792</v>
      </c>
      <c r="I53" s="2316">
        <f>+H53-D53</f>
        <v>585.29</v>
      </c>
      <c r="J53" s="459"/>
      <c r="K53" s="456">
        <f t="shared" si="20"/>
        <v>-1</v>
      </c>
      <c r="L53" s="458">
        <f>SUM(L44:L52)</f>
        <v>0</v>
      </c>
      <c r="M53" s="2316">
        <f>+L53-H53</f>
        <v>-792</v>
      </c>
      <c r="O53" s="456" t="str">
        <f t="shared" si="21"/>
        <v>0.00%</v>
      </c>
      <c r="P53" s="458">
        <f>SUM(P44:P52)</f>
        <v>0</v>
      </c>
      <c r="Q53" s="2316">
        <f>+P53-L53</f>
        <v>0</v>
      </c>
      <c r="R53" s="592"/>
      <c r="S53" s="2238" t="str">
        <f t="shared" si="22"/>
        <v>0.00%</v>
      </c>
      <c r="T53" s="458">
        <f>SUM(T44:T52)</f>
        <v>0</v>
      </c>
      <c r="U53" s="2344"/>
      <c r="V53" s="952"/>
      <c r="W53" s="2241" t="str">
        <f t="shared" si="23"/>
        <v>0.00%</v>
      </c>
      <c r="X53" s="458">
        <f>SUM(X44:X52)</f>
        <v>0</v>
      </c>
      <c r="Y53" s="2344"/>
      <c r="AA53" s="456" t="str">
        <f t="shared" si="24"/>
        <v>0.00%</v>
      </c>
      <c r="AB53" s="458" t="e">
        <f>SUM(AB44:AB52)</f>
        <v>#VALUE!</v>
      </c>
      <c r="AC53" s="2344"/>
    </row>
    <row r="54" spans="1:29" s="457" customFormat="1" x14ac:dyDescent="0.25">
      <c r="A54" s="868"/>
      <c r="B54" s="2385"/>
      <c r="C54" s="2215"/>
      <c r="D54" s="340"/>
      <c r="E54" s="2386"/>
      <c r="F54" s="340"/>
      <c r="G54" s="2338"/>
      <c r="H54" s="340"/>
      <c r="I54" s="897"/>
      <c r="J54" s="455"/>
      <c r="K54" s="1668"/>
      <c r="L54" s="340"/>
      <c r="M54" s="901"/>
      <c r="O54" s="1668"/>
      <c r="P54" s="340"/>
      <c r="Q54" s="901"/>
      <c r="R54" s="592"/>
      <c r="S54" s="2341"/>
      <c r="T54" s="340"/>
      <c r="U54" s="2344"/>
      <c r="V54" s="952"/>
      <c r="W54" s="2343"/>
      <c r="X54" s="340"/>
      <c r="Y54" s="2344"/>
      <c r="AA54" s="1668"/>
      <c r="AB54" s="340"/>
      <c r="AC54" s="2344"/>
    </row>
    <row r="55" spans="1:29" s="457" customFormat="1" x14ac:dyDescent="0.25">
      <c r="A55" s="898"/>
      <c r="B55" s="2337" t="s">
        <v>26</v>
      </c>
      <c r="C55" s="2215"/>
      <c r="D55" s="458">
        <f>SUM(D53,D41,D30)</f>
        <v>1458.07</v>
      </c>
      <c r="E55" s="2386"/>
      <c r="F55" s="340"/>
      <c r="G55" s="456">
        <f>IF(D55=0,"0.00%",(H55-D55)/D55)</f>
        <v>2.7933706886500653</v>
      </c>
      <c r="H55" s="458">
        <f>SUM(H53,H41,H30)</f>
        <v>5531</v>
      </c>
      <c r="I55" s="2316">
        <f>+H55-D55</f>
        <v>4072.9300000000003</v>
      </c>
      <c r="J55" s="459"/>
      <c r="K55" s="456">
        <f>IF(H55=0,"0.00%",(L55-H55)/H55)</f>
        <v>-1</v>
      </c>
      <c r="L55" s="458">
        <f>SUM(L53,L41,L30)</f>
        <v>0</v>
      </c>
      <c r="M55" s="2316">
        <f>+L55-H55</f>
        <v>-5531</v>
      </c>
      <c r="O55" s="456" t="str">
        <f>IF(L55=0,"0.00%",(P55-L55)/L55)</f>
        <v>0.00%</v>
      </c>
      <c r="P55" s="458">
        <f>SUM(P53,P41,P30)</f>
        <v>0</v>
      </c>
      <c r="Q55" s="2316">
        <f>+P55-L55</f>
        <v>0</v>
      </c>
      <c r="R55" s="592"/>
      <c r="S55" s="2238" t="str">
        <f>IF(P55=0,"0.00%",(T55-P55)/P55)</f>
        <v>0.00%</v>
      </c>
      <c r="T55" s="458">
        <f>SUM(T53,T41,T30)</f>
        <v>0</v>
      </c>
      <c r="U55" s="2344"/>
      <c r="V55" s="952"/>
      <c r="W55" s="2241" t="str">
        <f>IF(T55=0,"0.00%",(X55-T55)/T55)</f>
        <v>0.00%</v>
      </c>
      <c r="X55" s="458">
        <f>SUM(X53,X41,X30)</f>
        <v>0</v>
      </c>
      <c r="Y55" s="2344"/>
      <c r="AA55" s="456" t="str">
        <f>IF(X55=0,"0.00%",(AB55-X55)/X55)</f>
        <v>0.00%</v>
      </c>
      <c r="AB55" s="458" t="e">
        <f>SUM(AB53,AB41,AB30)</f>
        <v>#VALUE!</v>
      </c>
      <c r="AC55" s="2344"/>
    </row>
    <row r="56" spans="1:29" s="457" customFormat="1" x14ac:dyDescent="0.25">
      <c r="A56" s="2339"/>
      <c r="B56" s="2345"/>
      <c r="C56" s="2215"/>
      <c r="D56" s="340"/>
      <c r="E56" s="2386"/>
      <c r="F56" s="340"/>
      <c r="G56" s="2338"/>
      <c r="H56" s="340"/>
      <c r="I56" s="897"/>
      <c r="J56" s="455"/>
      <c r="K56" s="1668"/>
      <c r="L56" s="340"/>
      <c r="M56" s="901"/>
      <c r="O56" s="1668"/>
      <c r="P56" s="340"/>
      <c r="Q56" s="901"/>
      <c r="R56" s="592"/>
      <c r="S56" s="2341"/>
      <c r="T56" s="340"/>
      <c r="U56" s="2344"/>
      <c r="V56" s="952"/>
      <c r="W56" s="2343"/>
      <c r="X56" s="340"/>
      <c r="Y56" s="2344"/>
      <c r="AA56" s="1668"/>
      <c r="AB56" s="340"/>
      <c r="AC56" s="2344"/>
    </row>
    <row r="57" spans="1:29" s="457" customFormat="1" hidden="1" x14ac:dyDescent="0.25">
      <c r="A57" s="897"/>
      <c r="B57" s="2345"/>
      <c r="C57" s="2215"/>
      <c r="D57" s="340"/>
      <c r="E57" s="2386"/>
      <c r="F57" s="340"/>
      <c r="G57" s="2338"/>
      <c r="H57" s="340"/>
      <c r="I57" s="897"/>
      <c r="J57" s="455"/>
      <c r="K57" s="1668"/>
      <c r="L57" s="340"/>
      <c r="M57" s="901"/>
      <c r="O57" s="1668"/>
      <c r="P57" s="340"/>
      <c r="Q57" s="901"/>
      <c r="R57" s="592"/>
      <c r="S57" s="2341"/>
      <c r="T57" s="340"/>
      <c r="U57" s="2344"/>
      <c r="V57" s="952"/>
      <c r="W57" s="2343"/>
      <c r="X57" s="340"/>
      <c r="Y57" s="2344"/>
      <c r="AA57" s="1668"/>
      <c r="AB57" s="340"/>
      <c r="AC57" s="2344"/>
    </row>
    <row r="58" spans="1:29" s="457" customFormat="1" hidden="1" x14ac:dyDescent="0.25">
      <c r="A58" s="2339"/>
      <c r="B58" s="2440" t="s">
        <v>25</v>
      </c>
      <c r="C58" s="2225"/>
      <c r="D58" s="340"/>
      <c r="E58" s="2386"/>
      <c r="F58" s="340"/>
      <c r="G58" s="2338"/>
      <c r="H58" s="340"/>
      <c r="I58" s="897"/>
      <c r="J58" s="455"/>
      <c r="K58" s="1668"/>
      <c r="L58" s="340"/>
      <c r="M58" s="901"/>
      <c r="O58" s="1668"/>
      <c r="P58" s="340"/>
      <c r="Q58" s="901"/>
      <c r="R58" s="592"/>
      <c r="S58" s="2341"/>
      <c r="T58" s="340"/>
      <c r="U58" s="2344"/>
      <c r="V58" s="952"/>
      <c r="W58" s="2343"/>
      <c r="X58" s="340"/>
      <c r="Y58" s="2344"/>
      <c r="AA58" s="1668"/>
      <c r="AB58" s="340"/>
      <c r="AC58" s="2344"/>
    </row>
    <row r="59" spans="1:29" s="457" customFormat="1" hidden="1" x14ac:dyDescent="0.25">
      <c r="A59" s="897"/>
      <c r="B59" s="2385"/>
      <c r="C59" s="2215"/>
      <c r="D59" s="340">
        <v>0</v>
      </c>
      <c r="E59" s="2386"/>
      <c r="F59" s="340"/>
      <c r="G59" s="456" t="str">
        <f t="shared" ref="G59:G66" si="34">IF(D59=0,"0.00%",(H59-D59)/D59)</f>
        <v>0.00%</v>
      </c>
      <c r="H59" s="340">
        <f t="shared" ref="H59:H65" si="35">ROUND(D59*(LEFT(I59,5)+1),0)</f>
        <v>0</v>
      </c>
      <c r="I59" s="899" t="str">
        <f>TEXT('MYP Assumptions'!E78,"0.00%")&amp;", CPI"</f>
        <v>3.37%, CPI</v>
      </c>
      <c r="J59" s="455"/>
      <c r="K59" s="456" t="str">
        <f t="shared" ref="K59:K66" si="36">IF(H59=0,"0.00%",(L59-H59)/H59)</f>
        <v>0.00%</v>
      </c>
      <c r="L59" s="340">
        <f>ROUND(H59*(LEFT(M59,5)+1),0)</f>
        <v>0</v>
      </c>
      <c r="M59" s="899" t="str">
        <f>TEXT('MYP Assumptions'!F78,"0.00%")&amp;", CPI"</f>
        <v>3.58%, CPI</v>
      </c>
      <c r="O59" s="456" t="str">
        <f t="shared" ref="O59:O66" si="37">IF(L59=0,"0.00%",(P59-L59)/L59)</f>
        <v>0.00%</v>
      </c>
      <c r="P59" s="340">
        <f>ROUND(L59*(LEFT(Q59,5)+1),0)</f>
        <v>0</v>
      </c>
      <c r="Q59" s="899" t="str">
        <f>TEXT('MYP Assumptions'!G78,"0.00%")&amp;", CPI"</f>
        <v>3.36%, CPI</v>
      </c>
      <c r="R59" s="592"/>
      <c r="S59" s="2238" t="str">
        <f t="shared" ref="S59:S66" si="38">IF(P59=0,"0.00%",(T59-P59)/P59)</f>
        <v>0.00%</v>
      </c>
      <c r="T59" s="340">
        <f>ROUND(P59*(LEFT(U59,5)+1),0)</f>
        <v>0</v>
      </c>
      <c r="U59" s="953" t="str">
        <f>TEXT('MYP Assumptions'!H78,"0.00%")&amp;", CPI"</f>
        <v>3.23%, CPI</v>
      </c>
      <c r="V59" s="952"/>
      <c r="W59" s="2241" t="str">
        <f t="shared" ref="W59:W66" si="39">IF(T59=0,"0.00%",(X59-T59)/T59)</f>
        <v>0.00%</v>
      </c>
      <c r="X59" s="340">
        <f>ROUND(T59*(LEFT(Y59,5)+1),0)</f>
        <v>0</v>
      </c>
      <c r="Y59" s="953" t="str">
        <f>TEXT('MYP Assumptions'!I78,"0.00%")&amp;", CPI"</f>
        <v>2.73%, CPI</v>
      </c>
      <c r="AA59" s="456" t="str">
        <f t="shared" ref="AA59:AA66" si="40">IF(X59=0,"0.00%",(AB59-X59)/X59)</f>
        <v>0.00%</v>
      </c>
      <c r="AB59" s="340">
        <f>ROUND(X59*(LEFT(AC59,5)+1),0)</f>
        <v>0</v>
      </c>
      <c r="AC59" s="953" t="str">
        <f>TEXT('MYP Assumptions'!J78,"0.00%")&amp;", CPI"</f>
        <v>2.73%, CPI</v>
      </c>
    </row>
    <row r="60" spans="1:29" s="457" customFormat="1" hidden="1" x14ac:dyDescent="0.25">
      <c r="A60" s="897"/>
      <c r="B60" s="2385"/>
      <c r="C60" s="2215"/>
      <c r="D60" s="340">
        <v>0</v>
      </c>
      <c r="E60" s="2386"/>
      <c r="F60" s="340"/>
      <c r="G60" s="456" t="str">
        <f t="shared" si="34"/>
        <v>0.00%</v>
      </c>
      <c r="H60" s="340">
        <f t="shared" si="35"/>
        <v>0</v>
      </c>
      <c r="I60" s="899" t="str">
        <f>TEXT('MYP Assumptions'!E78,"0.00%")&amp;", CPI"</f>
        <v>3.37%, CPI</v>
      </c>
      <c r="J60" s="455"/>
      <c r="K60" s="456" t="str">
        <f t="shared" si="36"/>
        <v>0.00%</v>
      </c>
      <c r="L60" s="340">
        <f t="shared" ref="L60:L65" si="41">ROUND(H60*(LEFT(M60,5)+1),0)</f>
        <v>0</v>
      </c>
      <c r="M60" s="899" t="str">
        <f>TEXT('MYP Assumptions'!F78,"0.00%")&amp;", CPI"</f>
        <v>3.58%, CPI</v>
      </c>
      <c r="O60" s="456" t="str">
        <f t="shared" si="37"/>
        <v>0.00%</v>
      </c>
      <c r="P60" s="340">
        <f t="shared" ref="P60:P65" si="42">ROUND(L60*(LEFT(Q60,5)+1),0)</f>
        <v>0</v>
      </c>
      <c r="Q60" s="899" t="str">
        <f>TEXT('MYP Assumptions'!G78,"0.00%")&amp;", CPI"</f>
        <v>3.36%, CPI</v>
      </c>
      <c r="R60" s="592"/>
      <c r="S60" s="2238" t="str">
        <f t="shared" si="38"/>
        <v>0.00%</v>
      </c>
      <c r="T60" s="340">
        <f t="shared" ref="T60:T65" si="43">ROUND(P60*(LEFT(U60,5)+1),0)</f>
        <v>0</v>
      </c>
      <c r="U60" s="953" t="str">
        <f>TEXT('MYP Assumptions'!H78,"0.00%")&amp;", CPI"</f>
        <v>3.23%, CPI</v>
      </c>
      <c r="V60" s="952"/>
      <c r="W60" s="2241" t="str">
        <f t="shared" si="39"/>
        <v>0.00%</v>
      </c>
      <c r="X60" s="340">
        <f t="shared" ref="X60:X65" si="44">ROUND(T60*(LEFT(Y60,5)+1),0)</f>
        <v>0</v>
      </c>
      <c r="Y60" s="953" t="str">
        <f>TEXT('MYP Assumptions'!I78,"0.00%")&amp;", CPI"</f>
        <v>2.73%, CPI</v>
      </c>
      <c r="AA60" s="456" t="str">
        <f t="shared" si="40"/>
        <v>0.00%</v>
      </c>
      <c r="AB60" s="340">
        <f t="shared" ref="AB60:AB65" si="45">ROUND(X60*(LEFT(AC60,5)+1),0)</f>
        <v>0</v>
      </c>
      <c r="AC60" s="953" t="str">
        <f>TEXT('MYP Assumptions'!J78,"0.00%")&amp;", CPI"</f>
        <v>2.73%, CPI</v>
      </c>
    </row>
    <row r="61" spans="1:29" s="457" customFormat="1" hidden="1" x14ac:dyDescent="0.25">
      <c r="A61" s="897"/>
      <c r="B61" s="2385"/>
      <c r="C61" s="2215"/>
      <c r="D61" s="340">
        <v>0</v>
      </c>
      <c r="E61" s="2386"/>
      <c r="F61" s="340"/>
      <c r="G61" s="456" t="str">
        <f t="shared" si="34"/>
        <v>0.00%</v>
      </c>
      <c r="H61" s="340">
        <f t="shared" si="35"/>
        <v>0</v>
      </c>
      <c r="I61" s="899" t="str">
        <f>TEXT('MYP Assumptions'!E78,"0.00%")&amp;", CPI"</f>
        <v>3.37%, CPI</v>
      </c>
      <c r="J61" s="455"/>
      <c r="K61" s="456" t="str">
        <f t="shared" si="36"/>
        <v>0.00%</v>
      </c>
      <c r="L61" s="340">
        <f t="shared" si="41"/>
        <v>0</v>
      </c>
      <c r="M61" s="899" t="str">
        <f>TEXT('MYP Assumptions'!F78,"0.00%")&amp;", CPI"</f>
        <v>3.58%, CPI</v>
      </c>
      <c r="O61" s="456" t="str">
        <f t="shared" si="37"/>
        <v>0.00%</v>
      </c>
      <c r="P61" s="340">
        <f t="shared" si="42"/>
        <v>0</v>
      </c>
      <c r="Q61" s="899" t="str">
        <f>TEXT('MYP Assumptions'!G78,"0.00%")&amp;", CPI"</f>
        <v>3.36%, CPI</v>
      </c>
      <c r="R61" s="592"/>
      <c r="S61" s="2238" t="str">
        <f t="shared" si="38"/>
        <v>0.00%</v>
      </c>
      <c r="T61" s="340">
        <f t="shared" si="43"/>
        <v>0</v>
      </c>
      <c r="U61" s="953" t="str">
        <f>TEXT('MYP Assumptions'!H78,"0.00%")&amp;", CPI"</f>
        <v>3.23%, CPI</v>
      </c>
      <c r="V61" s="952"/>
      <c r="W61" s="2241" t="str">
        <f t="shared" si="39"/>
        <v>0.00%</v>
      </c>
      <c r="X61" s="340">
        <f t="shared" si="44"/>
        <v>0</v>
      </c>
      <c r="Y61" s="953" t="str">
        <f>TEXT('MYP Assumptions'!I78,"0.00%")&amp;", CPI"</f>
        <v>2.73%, CPI</v>
      </c>
      <c r="AA61" s="456" t="str">
        <f t="shared" si="40"/>
        <v>0.00%</v>
      </c>
      <c r="AB61" s="340">
        <f t="shared" si="45"/>
        <v>0</v>
      </c>
      <c r="AC61" s="953" t="str">
        <f>TEXT('MYP Assumptions'!J78,"0.00%")&amp;", CPI"</f>
        <v>2.73%, CPI</v>
      </c>
    </row>
    <row r="62" spans="1:29" s="457" customFormat="1" hidden="1" x14ac:dyDescent="0.25">
      <c r="A62" s="897"/>
      <c r="B62" s="2385"/>
      <c r="C62" s="2215"/>
      <c r="D62" s="340">
        <v>0</v>
      </c>
      <c r="E62" s="2386"/>
      <c r="F62" s="340"/>
      <c r="G62" s="456" t="str">
        <f t="shared" si="34"/>
        <v>0.00%</v>
      </c>
      <c r="H62" s="340">
        <f t="shared" si="35"/>
        <v>0</v>
      </c>
      <c r="I62" s="899" t="str">
        <f>TEXT('MYP Assumptions'!E78,"0.00%")&amp;", CPI"</f>
        <v>3.37%, CPI</v>
      </c>
      <c r="J62" s="455"/>
      <c r="K62" s="456" t="str">
        <f t="shared" si="36"/>
        <v>0.00%</v>
      </c>
      <c r="L62" s="340">
        <f t="shared" si="41"/>
        <v>0</v>
      </c>
      <c r="M62" s="899" t="str">
        <f>TEXT('MYP Assumptions'!F78,"0.00%")&amp;", CPI"</f>
        <v>3.58%, CPI</v>
      </c>
      <c r="O62" s="456" t="str">
        <f t="shared" si="37"/>
        <v>0.00%</v>
      </c>
      <c r="P62" s="340">
        <f t="shared" si="42"/>
        <v>0</v>
      </c>
      <c r="Q62" s="899" t="str">
        <f>TEXT('MYP Assumptions'!G78,"0.00%")&amp;", CPI"</f>
        <v>3.36%, CPI</v>
      </c>
      <c r="R62" s="592"/>
      <c r="S62" s="2238" t="str">
        <f t="shared" si="38"/>
        <v>0.00%</v>
      </c>
      <c r="T62" s="340">
        <f t="shared" si="43"/>
        <v>0</v>
      </c>
      <c r="U62" s="953" t="str">
        <f>TEXT('MYP Assumptions'!H78,"0.00%")&amp;", CPI"</f>
        <v>3.23%, CPI</v>
      </c>
      <c r="V62" s="952"/>
      <c r="W62" s="2241" t="str">
        <f t="shared" si="39"/>
        <v>0.00%</v>
      </c>
      <c r="X62" s="340">
        <f t="shared" si="44"/>
        <v>0</v>
      </c>
      <c r="Y62" s="953" t="str">
        <f>TEXT('MYP Assumptions'!I78,"0.00%")&amp;", CPI"</f>
        <v>2.73%, CPI</v>
      </c>
      <c r="AA62" s="456" t="str">
        <f t="shared" si="40"/>
        <v>0.00%</v>
      </c>
      <c r="AB62" s="340">
        <f t="shared" si="45"/>
        <v>0</v>
      </c>
      <c r="AC62" s="953" t="str">
        <f>TEXT('MYP Assumptions'!J78,"0.00%")&amp;", CPI"</f>
        <v>2.73%, CPI</v>
      </c>
    </row>
    <row r="63" spans="1:29" s="457" customFormat="1" hidden="1" x14ac:dyDescent="0.25">
      <c r="A63" s="897"/>
      <c r="B63" s="2385"/>
      <c r="C63" s="2215"/>
      <c r="D63" s="340">
        <v>0</v>
      </c>
      <c r="E63" s="2386"/>
      <c r="F63" s="340"/>
      <c r="G63" s="456" t="str">
        <f t="shared" si="34"/>
        <v>0.00%</v>
      </c>
      <c r="H63" s="340">
        <f t="shared" si="35"/>
        <v>0</v>
      </c>
      <c r="I63" s="899" t="str">
        <f>TEXT('MYP Assumptions'!E78,"0.00%")&amp;", CPI"</f>
        <v>3.37%, CPI</v>
      </c>
      <c r="J63" s="455"/>
      <c r="K63" s="456" t="str">
        <f t="shared" si="36"/>
        <v>0.00%</v>
      </c>
      <c r="L63" s="340">
        <f t="shared" si="41"/>
        <v>0</v>
      </c>
      <c r="M63" s="899" t="str">
        <f>TEXT('MYP Assumptions'!F78,"0.00%")&amp;", CPI"</f>
        <v>3.58%, CPI</v>
      </c>
      <c r="O63" s="456" t="str">
        <f t="shared" si="37"/>
        <v>0.00%</v>
      </c>
      <c r="P63" s="340">
        <f t="shared" si="42"/>
        <v>0</v>
      </c>
      <c r="Q63" s="899" t="str">
        <f>TEXT('MYP Assumptions'!G78,"0.00%")&amp;", CPI"</f>
        <v>3.36%, CPI</v>
      </c>
      <c r="R63" s="592"/>
      <c r="S63" s="2238" t="str">
        <f t="shared" si="38"/>
        <v>0.00%</v>
      </c>
      <c r="T63" s="340">
        <f t="shared" si="43"/>
        <v>0</v>
      </c>
      <c r="U63" s="953" t="str">
        <f>TEXT('MYP Assumptions'!H78,"0.00%")&amp;", CPI"</f>
        <v>3.23%, CPI</v>
      </c>
      <c r="V63" s="952"/>
      <c r="W63" s="2241" t="str">
        <f t="shared" si="39"/>
        <v>0.00%</v>
      </c>
      <c r="X63" s="340">
        <f t="shared" si="44"/>
        <v>0</v>
      </c>
      <c r="Y63" s="953" t="str">
        <f>TEXT('MYP Assumptions'!I78,"0.00%")&amp;", CPI"</f>
        <v>2.73%, CPI</v>
      </c>
      <c r="AA63" s="456" t="str">
        <f t="shared" si="40"/>
        <v>0.00%</v>
      </c>
      <c r="AB63" s="340">
        <f t="shared" si="45"/>
        <v>0</v>
      </c>
      <c r="AC63" s="953" t="str">
        <f>TEXT('MYP Assumptions'!J78,"0.00%")&amp;", CPI"</f>
        <v>2.73%, CPI</v>
      </c>
    </row>
    <row r="64" spans="1:29" s="457" customFormat="1" hidden="1" x14ac:dyDescent="0.25">
      <c r="A64" s="897"/>
      <c r="B64" s="2385"/>
      <c r="C64" s="2215"/>
      <c r="D64" s="340">
        <v>0</v>
      </c>
      <c r="E64" s="2386"/>
      <c r="F64" s="340"/>
      <c r="G64" s="456" t="str">
        <f t="shared" si="34"/>
        <v>0.00%</v>
      </c>
      <c r="H64" s="340">
        <f t="shared" si="35"/>
        <v>0</v>
      </c>
      <c r="I64" s="899" t="str">
        <f>TEXT('MYP Assumptions'!E78,"0.00%")&amp;", CPI"</f>
        <v>3.37%, CPI</v>
      </c>
      <c r="J64" s="455"/>
      <c r="K64" s="456" t="str">
        <f t="shared" si="36"/>
        <v>0.00%</v>
      </c>
      <c r="L64" s="340">
        <f t="shared" si="41"/>
        <v>0</v>
      </c>
      <c r="M64" s="899" t="str">
        <f>TEXT('MYP Assumptions'!F78,"0.00%")&amp;", CPI"</f>
        <v>3.58%, CPI</v>
      </c>
      <c r="O64" s="456" t="str">
        <f t="shared" si="37"/>
        <v>0.00%</v>
      </c>
      <c r="P64" s="340">
        <f t="shared" si="42"/>
        <v>0</v>
      </c>
      <c r="Q64" s="899" t="str">
        <f>TEXT('MYP Assumptions'!G78,"0.00%")&amp;", CPI"</f>
        <v>3.36%, CPI</v>
      </c>
      <c r="R64" s="592"/>
      <c r="S64" s="2238" t="str">
        <f t="shared" si="38"/>
        <v>0.00%</v>
      </c>
      <c r="T64" s="340">
        <f t="shared" si="43"/>
        <v>0</v>
      </c>
      <c r="U64" s="953" t="str">
        <f>TEXT('MYP Assumptions'!H78,"0.00%")&amp;", CPI"</f>
        <v>3.23%, CPI</v>
      </c>
      <c r="V64" s="952"/>
      <c r="W64" s="2241" t="str">
        <f t="shared" si="39"/>
        <v>0.00%</v>
      </c>
      <c r="X64" s="340">
        <f t="shared" si="44"/>
        <v>0</v>
      </c>
      <c r="Y64" s="953" t="str">
        <f>TEXT('MYP Assumptions'!I78,"0.00%")&amp;", CPI"</f>
        <v>2.73%, CPI</v>
      </c>
      <c r="AA64" s="456" t="str">
        <f t="shared" si="40"/>
        <v>0.00%</v>
      </c>
      <c r="AB64" s="340">
        <f t="shared" si="45"/>
        <v>0</v>
      </c>
      <c r="AC64" s="953" t="str">
        <f>TEXT('MYP Assumptions'!J78,"0.00%")&amp;", CPI"</f>
        <v>2.73%, CPI</v>
      </c>
    </row>
    <row r="65" spans="1:29" s="457" customFormat="1" hidden="1" x14ac:dyDescent="0.25">
      <c r="A65" s="897"/>
      <c r="B65" s="2385"/>
      <c r="C65" s="2349"/>
      <c r="D65" s="340">
        <v>0</v>
      </c>
      <c r="E65" s="2386"/>
      <c r="F65" s="340"/>
      <c r="G65" s="456" t="str">
        <f t="shared" si="34"/>
        <v>0.00%</v>
      </c>
      <c r="H65" s="340">
        <f t="shared" si="35"/>
        <v>0</v>
      </c>
      <c r="I65" s="899" t="str">
        <f>TEXT('MYP Assumptions'!E78,"0.00%")&amp;", CPI"</f>
        <v>3.37%, CPI</v>
      </c>
      <c r="J65" s="455"/>
      <c r="K65" s="456" t="str">
        <f t="shared" si="36"/>
        <v>0.00%</v>
      </c>
      <c r="L65" s="340">
        <f t="shared" si="41"/>
        <v>0</v>
      </c>
      <c r="M65" s="899" t="str">
        <f>TEXT('MYP Assumptions'!F78,"0.00%")&amp;", CPI"</f>
        <v>3.58%, CPI</v>
      </c>
      <c r="O65" s="456" t="str">
        <f t="shared" si="37"/>
        <v>0.00%</v>
      </c>
      <c r="P65" s="340">
        <f t="shared" si="42"/>
        <v>0</v>
      </c>
      <c r="Q65" s="899" t="str">
        <f>TEXT('MYP Assumptions'!G78,"0.00%")&amp;", CPI"</f>
        <v>3.36%, CPI</v>
      </c>
      <c r="R65" s="592"/>
      <c r="S65" s="2238" t="str">
        <f t="shared" si="38"/>
        <v>0.00%</v>
      </c>
      <c r="T65" s="340">
        <f t="shared" si="43"/>
        <v>0</v>
      </c>
      <c r="U65" s="953" t="str">
        <f>TEXT('MYP Assumptions'!H78,"0.00%")&amp;", CPI"</f>
        <v>3.23%, CPI</v>
      </c>
      <c r="V65" s="952"/>
      <c r="W65" s="2241" t="str">
        <f t="shared" si="39"/>
        <v>0.00%</v>
      </c>
      <c r="X65" s="340">
        <f t="shared" si="44"/>
        <v>0</v>
      </c>
      <c r="Y65" s="953" t="str">
        <f>TEXT('MYP Assumptions'!I78,"0.00%")&amp;", CPI"</f>
        <v>2.73%, CPI</v>
      </c>
      <c r="AA65" s="456" t="str">
        <f t="shared" si="40"/>
        <v>0.00%</v>
      </c>
      <c r="AB65" s="340">
        <f t="shared" si="45"/>
        <v>0</v>
      </c>
      <c r="AC65" s="953" t="str">
        <f>TEXT('MYP Assumptions'!J78,"0.00%")&amp;", CPI"</f>
        <v>2.73%, CPI</v>
      </c>
    </row>
    <row r="66" spans="1:29" s="457" customFormat="1" hidden="1" x14ac:dyDescent="0.25">
      <c r="A66" s="898"/>
      <c r="B66" s="2215"/>
      <c r="C66" s="2215"/>
      <c r="D66" s="458">
        <f>SUM(D59:D65)</f>
        <v>0</v>
      </c>
      <c r="E66" s="2386"/>
      <c r="F66" s="340"/>
      <c r="G66" s="456" t="str">
        <f t="shared" si="34"/>
        <v>0.00%</v>
      </c>
      <c r="H66" s="458">
        <f>SUM(H59:H65)</f>
        <v>0</v>
      </c>
      <c r="I66" s="898"/>
      <c r="J66" s="459"/>
      <c r="K66" s="456" t="str">
        <f t="shared" si="36"/>
        <v>0.00%</v>
      </c>
      <c r="L66" s="458">
        <f>SUM(L59:L65)</f>
        <v>0</v>
      </c>
      <c r="M66" s="901"/>
      <c r="O66" s="456" t="str">
        <f t="shared" si="37"/>
        <v>0.00%</v>
      </c>
      <c r="P66" s="458">
        <f>SUM(P59:P65)</f>
        <v>0</v>
      </c>
      <c r="Q66" s="901"/>
      <c r="R66" s="592"/>
      <c r="S66" s="2238" t="str">
        <f t="shared" si="38"/>
        <v>0.00%</v>
      </c>
      <c r="T66" s="458">
        <f>SUM(T59:T65)</f>
        <v>0</v>
      </c>
      <c r="U66" s="2344"/>
      <c r="V66" s="952"/>
      <c r="W66" s="2241" t="str">
        <f t="shared" si="39"/>
        <v>0.00%</v>
      </c>
      <c r="X66" s="458">
        <f>SUM(X59:X65)</f>
        <v>0</v>
      </c>
      <c r="Y66" s="2344"/>
      <c r="AA66" s="456" t="str">
        <f t="shared" si="40"/>
        <v>0.00%</v>
      </c>
      <c r="AB66" s="458">
        <f>SUM(AB59:AB65)</f>
        <v>0</v>
      </c>
      <c r="AC66" s="2344"/>
    </row>
    <row r="67" spans="1:29" s="457" customFormat="1" hidden="1" x14ac:dyDescent="0.25">
      <c r="A67" s="897"/>
      <c r="B67" s="2345"/>
      <c r="C67" s="2215"/>
      <c r="D67" s="340"/>
      <c r="E67" s="2386"/>
      <c r="F67" s="340"/>
      <c r="G67" s="2338"/>
      <c r="H67" s="340"/>
      <c r="I67" s="897"/>
      <c r="J67" s="455"/>
      <c r="K67" s="1668"/>
      <c r="L67" s="340"/>
      <c r="M67" s="901"/>
      <c r="O67" s="1668"/>
      <c r="P67" s="340"/>
      <c r="Q67" s="901"/>
      <c r="R67" s="592"/>
      <c r="S67" s="2341"/>
      <c r="T67" s="340"/>
      <c r="U67" s="2344"/>
      <c r="V67" s="952"/>
      <c r="W67" s="2343"/>
      <c r="X67" s="340"/>
      <c r="Y67" s="2344"/>
      <c r="AA67" s="1668"/>
      <c r="AB67" s="340"/>
      <c r="AC67" s="2344"/>
    </row>
    <row r="68" spans="1:29" s="461" customFormat="1" hidden="1" x14ac:dyDescent="0.25">
      <c r="A68" s="900"/>
      <c r="B68" s="2337" t="s">
        <v>16</v>
      </c>
      <c r="C68" s="2225"/>
      <c r="D68" s="460"/>
      <c r="E68" s="868"/>
      <c r="F68" s="460"/>
      <c r="G68" s="2389"/>
      <c r="H68" s="460"/>
      <c r="I68" s="900"/>
      <c r="K68" s="1669"/>
      <c r="L68" s="460"/>
      <c r="M68" s="902"/>
      <c r="O68" s="1669"/>
      <c r="P68" s="460"/>
      <c r="Q68" s="902"/>
      <c r="S68" s="1669"/>
      <c r="U68" s="2392"/>
      <c r="V68" s="2381"/>
      <c r="W68" s="2382"/>
      <c r="Y68" s="2392"/>
      <c r="AA68" s="1669"/>
      <c r="AC68" s="2392"/>
    </row>
    <row r="69" spans="1:29" s="457" customFormat="1" hidden="1" x14ac:dyDescent="0.25">
      <c r="A69" s="897"/>
      <c r="B69" s="2385"/>
      <c r="C69" s="2215"/>
      <c r="D69" s="340">
        <v>0</v>
      </c>
      <c r="E69" s="2386"/>
      <c r="F69" s="340"/>
      <c r="G69" s="456" t="str">
        <f t="shared" ref="G69:G74" si="46">IF(D69=0,"0.00%",(H69-D69)/D69)</f>
        <v>0.00%</v>
      </c>
      <c r="H69" s="340">
        <f>ROUND(D69*(LEFT(I69,5)+1),0)</f>
        <v>0</v>
      </c>
      <c r="I69" s="899" t="str">
        <f>TEXT('MYP Assumptions'!E78,"0.00%")&amp;", CPI"</f>
        <v>3.37%, CPI</v>
      </c>
      <c r="J69" s="455"/>
      <c r="K69" s="456" t="str">
        <f t="shared" ref="K69:K82" si="47">IF(H69=0,"0.00%",(L69-H69)/H69)</f>
        <v>0.00%</v>
      </c>
      <c r="L69" s="340">
        <f>ROUND(H69*(LEFT(M69,5)+1),0)</f>
        <v>0</v>
      </c>
      <c r="M69" s="899" t="str">
        <f>TEXT('MYP Assumptions'!F78,"0.00%")&amp;", CPI"</f>
        <v>3.58%, CPI</v>
      </c>
      <c r="O69" s="456" t="str">
        <f t="shared" ref="O69:O82" si="48">IF(L69=0,"0.00%",(P69-L69)/L69)</f>
        <v>0.00%</v>
      </c>
      <c r="P69" s="340">
        <f>ROUND(L69*(LEFT(Q69,5)+1),0)</f>
        <v>0</v>
      </c>
      <c r="Q69" s="899" t="str">
        <f>TEXT('MYP Assumptions'!G78,"0.00%")&amp;", CPI"</f>
        <v>3.36%, CPI</v>
      </c>
      <c r="R69" s="592"/>
      <c r="S69" s="2238" t="str">
        <f t="shared" ref="S69:S82" si="49">IF(P69=0,"0.00%",(T69-P69)/P69)</f>
        <v>0.00%</v>
      </c>
      <c r="T69" s="340">
        <f>ROUND(P69*(LEFT(U69,5)+1),0)</f>
        <v>0</v>
      </c>
      <c r="U69" s="953" t="str">
        <f>TEXT('MYP Assumptions'!H78,"0.00%")&amp;", CPI"</f>
        <v>3.23%, CPI</v>
      </c>
      <c r="V69" s="952"/>
      <c r="W69" s="2241" t="str">
        <f t="shared" ref="W69:W82" si="50">IF(T69=0,"0.00%",(X69-T69)/T69)</f>
        <v>0.00%</v>
      </c>
      <c r="X69" s="340">
        <f>ROUND(T69*(LEFT(Y69,5)+1),0)</f>
        <v>0</v>
      </c>
      <c r="Y69" s="953" t="str">
        <f>TEXT('MYP Assumptions'!I78,"0.00%")&amp;", CPI"</f>
        <v>2.73%, CPI</v>
      </c>
      <c r="AA69" s="456" t="str">
        <f t="shared" ref="AA69:AA82" si="51">IF(X69=0,"0.00%",(AB69-X69)/X69)</f>
        <v>0.00%</v>
      </c>
      <c r="AB69" s="340">
        <f>ROUND(X69*(LEFT(AC69,5)+1),0)</f>
        <v>0</v>
      </c>
      <c r="AC69" s="953" t="str">
        <f>TEXT('MYP Assumptions'!J78,"0.00%")&amp;", CPI"</f>
        <v>2.73%, CPI</v>
      </c>
    </row>
    <row r="70" spans="1:29" s="457" customFormat="1" hidden="1" x14ac:dyDescent="0.25">
      <c r="A70" s="897"/>
      <c r="B70" s="2385"/>
      <c r="C70" s="2215"/>
      <c r="D70" s="340">
        <v>0</v>
      </c>
      <c r="E70" s="2386"/>
      <c r="F70" s="340"/>
      <c r="G70" s="456" t="str">
        <f t="shared" si="46"/>
        <v>0.00%</v>
      </c>
      <c r="H70" s="340">
        <f>ROUND(D70*(LEFT(I70,5)+1),0)</f>
        <v>0</v>
      </c>
      <c r="I70" s="899" t="str">
        <f>TEXT('MYP Assumptions'!E78,"0.00%")&amp;", CPI"</f>
        <v>3.37%, CPI</v>
      </c>
      <c r="J70" s="455"/>
      <c r="K70" s="456" t="str">
        <f t="shared" si="47"/>
        <v>0.00%</v>
      </c>
      <c r="L70" s="340">
        <f t="shared" ref="L70:L81" si="52">ROUND(H70*(LEFT(M70,5)+1),0)</f>
        <v>0</v>
      </c>
      <c r="M70" s="899" t="str">
        <f>TEXT('MYP Assumptions'!F78,"0.00%")&amp;", CPI"</f>
        <v>3.58%, CPI</v>
      </c>
      <c r="O70" s="456" t="str">
        <f t="shared" si="48"/>
        <v>0.00%</v>
      </c>
      <c r="P70" s="340">
        <f t="shared" ref="P70:P81" si="53">ROUND(L70*(LEFT(Q70,5)+1),0)</f>
        <v>0</v>
      </c>
      <c r="Q70" s="899" t="str">
        <f>TEXT('MYP Assumptions'!G78,"0.00%")&amp;", CPI"</f>
        <v>3.36%, CPI</v>
      </c>
      <c r="R70" s="592"/>
      <c r="S70" s="2238" t="str">
        <f t="shared" si="49"/>
        <v>0.00%</v>
      </c>
      <c r="T70" s="340">
        <f t="shared" ref="T70:T81" si="54">ROUND(P70*(LEFT(U70,5)+1),0)</f>
        <v>0</v>
      </c>
      <c r="U70" s="953" t="str">
        <f>TEXT('MYP Assumptions'!H78,"0.00%")&amp;", CPI"</f>
        <v>3.23%, CPI</v>
      </c>
      <c r="V70" s="952"/>
      <c r="W70" s="2241" t="str">
        <f t="shared" si="50"/>
        <v>0.00%</v>
      </c>
      <c r="X70" s="340">
        <f t="shared" ref="X70:X81" si="55">ROUND(T70*(LEFT(Y70,5)+1),0)</f>
        <v>0</v>
      </c>
      <c r="Y70" s="953" t="str">
        <f>TEXT('MYP Assumptions'!I78,"0.00%")&amp;", CPI"</f>
        <v>2.73%, CPI</v>
      </c>
      <c r="AA70" s="456" t="str">
        <f t="shared" si="51"/>
        <v>0.00%</v>
      </c>
      <c r="AB70" s="340">
        <f t="shared" ref="AB70:AB81" si="56">ROUND(X70*(LEFT(AC70,5)+1),0)</f>
        <v>0</v>
      </c>
      <c r="AC70" s="953" t="str">
        <f>TEXT('MYP Assumptions'!J78,"0.00%")&amp;", CPI"</f>
        <v>2.73%, CPI</v>
      </c>
    </row>
    <row r="71" spans="1:29" s="457" customFormat="1" hidden="1" x14ac:dyDescent="0.25">
      <c r="A71" s="897"/>
      <c r="B71" s="2385"/>
      <c r="C71" s="2215"/>
      <c r="D71" s="340">
        <v>0</v>
      </c>
      <c r="E71" s="2386"/>
      <c r="F71" s="340"/>
      <c r="G71" s="456" t="str">
        <f t="shared" si="46"/>
        <v>0.00%</v>
      </c>
      <c r="H71" s="340">
        <f t="shared" ref="H71:H76" si="57">ROUND(D71*(LEFT(I71,5)+1),0)</f>
        <v>0</v>
      </c>
      <c r="I71" s="899" t="str">
        <f>TEXT('MYP Assumptions'!E78,"0.00%")&amp;", CPI"</f>
        <v>3.37%, CPI</v>
      </c>
      <c r="J71" s="455"/>
      <c r="K71" s="456" t="str">
        <f t="shared" si="47"/>
        <v>0.00%</v>
      </c>
      <c r="L71" s="340">
        <f t="shared" si="52"/>
        <v>0</v>
      </c>
      <c r="M71" s="899" t="str">
        <f>TEXT('MYP Assumptions'!F78,"0.00%")&amp;", CPI"</f>
        <v>3.58%, CPI</v>
      </c>
      <c r="O71" s="456" t="str">
        <f t="shared" si="48"/>
        <v>0.00%</v>
      </c>
      <c r="P71" s="340">
        <f t="shared" si="53"/>
        <v>0</v>
      </c>
      <c r="Q71" s="899" t="str">
        <f>TEXT('MYP Assumptions'!G78,"0.00%")&amp;", CPI"</f>
        <v>3.36%, CPI</v>
      </c>
      <c r="R71" s="592"/>
      <c r="S71" s="2238" t="str">
        <f t="shared" si="49"/>
        <v>0.00%</v>
      </c>
      <c r="T71" s="340">
        <f t="shared" si="54"/>
        <v>0</v>
      </c>
      <c r="U71" s="953" t="str">
        <f>TEXT('MYP Assumptions'!H78,"0.00%")&amp;", CPI"</f>
        <v>3.23%, CPI</v>
      </c>
      <c r="V71" s="952"/>
      <c r="W71" s="2241" t="str">
        <f t="shared" si="50"/>
        <v>0.00%</v>
      </c>
      <c r="X71" s="340">
        <f t="shared" si="55"/>
        <v>0</v>
      </c>
      <c r="Y71" s="953" t="str">
        <f>TEXT('MYP Assumptions'!I78,"0.00%")&amp;", CPI"</f>
        <v>2.73%, CPI</v>
      </c>
      <c r="AA71" s="456" t="str">
        <f t="shared" si="51"/>
        <v>0.00%</v>
      </c>
      <c r="AB71" s="340">
        <f t="shared" si="56"/>
        <v>0</v>
      </c>
      <c r="AC71" s="953" t="str">
        <f>TEXT('MYP Assumptions'!J78,"0.00%")&amp;", CPI"</f>
        <v>2.73%, CPI</v>
      </c>
    </row>
    <row r="72" spans="1:29" s="457" customFormat="1" hidden="1" x14ac:dyDescent="0.25">
      <c r="A72" s="897"/>
      <c r="B72" s="2385"/>
      <c r="C72" s="2215"/>
      <c r="D72" s="340">
        <v>0</v>
      </c>
      <c r="E72" s="2386"/>
      <c r="F72" s="340"/>
      <c r="G72" s="456" t="str">
        <f t="shared" si="46"/>
        <v>0.00%</v>
      </c>
      <c r="H72" s="340">
        <f t="shared" si="57"/>
        <v>0</v>
      </c>
      <c r="I72" s="899" t="str">
        <f>TEXT('MYP Assumptions'!E78,"0.00%")&amp;", CPI"</f>
        <v>3.37%, CPI</v>
      </c>
      <c r="J72" s="455"/>
      <c r="K72" s="456" t="str">
        <f t="shared" si="47"/>
        <v>0.00%</v>
      </c>
      <c r="L72" s="340">
        <f t="shared" si="52"/>
        <v>0</v>
      </c>
      <c r="M72" s="899" t="str">
        <f>TEXT('MYP Assumptions'!F78,"0.00%")&amp;", CPI"</f>
        <v>3.58%, CPI</v>
      </c>
      <c r="O72" s="456" t="str">
        <f t="shared" si="48"/>
        <v>0.00%</v>
      </c>
      <c r="P72" s="340">
        <f t="shared" si="53"/>
        <v>0</v>
      </c>
      <c r="Q72" s="899" t="str">
        <f>TEXT('MYP Assumptions'!G78,"0.00%")&amp;", CPI"</f>
        <v>3.36%, CPI</v>
      </c>
      <c r="R72" s="592"/>
      <c r="S72" s="2238" t="str">
        <f t="shared" si="49"/>
        <v>0.00%</v>
      </c>
      <c r="T72" s="340">
        <f t="shared" si="54"/>
        <v>0</v>
      </c>
      <c r="U72" s="953" t="str">
        <f>TEXT('MYP Assumptions'!H78,"0.00%")&amp;", CPI"</f>
        <v>3.23%, CPI</v>
      </c>
      <c r="V72" s="952"/>
      <c r="W72" s="2241" t="str">
        <f t="shared" si="50"/>
        <v>0.00%</v>
      </c>
      <c r="X72" s="340">
        <f t="shared" si="55"/>
        <v>0</v>
      </c>
      <c r="Y72" s="953" t="str">
        <f>TEXT('MYP Assumptions'!I78,"0.00%")&amp;", CPI"</f>
        <v>2.73%, CPI</v>
      </c>
      <c r="AA72" s="456" t="str">
        <f t="shared" si="51"/>
        <v>0.00%</v>
      </c>
      <c r="AB72" s="340">
        <f t="shared" si="56"/>
        <v>0</v>
      </c>
      <c r="AC72" s="953" t="str">
        <f>TEXT('MYP Assumptions'!J78,"0.00%")&amp;", CPI"</f>
        <v>2.73%, CPI</v>
      </c>
    </row>
    <row r="73" spans="1:29" s="457" customFormat="1" hidden="1" x14ac:dyDescent="0.25">
      <c r="A73" s="897"/>
      <c r="B73" s="2385"/>
      <c r="C73" s="2215"/>
      <c r="D73" s="340">
        <v>0</v>
      </c>
      <c r="E73" s="2386"/>
      <c r="F73" s="340"/>
      <c r="G73" s="456" t="str">
        <f t="shared" si="46"/>
        <v>0.00%</v>
      </c>
      <c r="H73" s="340">
        <f t="shared" si="57"/>
        <v>0</v>
      </c>
      <c r="I73" s="899" t="str">
        <f>TEXT('MYP Assumptions'!E78,"0.00%")&amp;", CPI"</f>
        <v>3.37%, CPI</v>
      </c>
      <c r="J73" s="455"/>
      <c r="K73" s="456" t="str">
        <f t="shared" si="47"/>
        <v>0.00%</v>
      </c>
      <c r="L73" s="340">
        <f t="shared" si="52"/>
        <v>0</v>
      </c>
      <c r="M73" s="899" t="str">
        <f>TEXT('MYP Assumptions'!F78,"0.00%")&amp;", CPI"</f>
        <v>3.58%, CPI</v>
      </c>
      <c r="O73" s="456" t="str">
        <f t="shared" si="48"/>
        <v>0.00%</v>
      </c>
      <c r="P73" s="340">
        <f t="shared" si="53"/>
        <v>0</v>
      </c>
      <c r="Q73" s="899" t="str">
        <f>TEXT('MYP Assumptions'!G78,"0.00%")&amp;", CPI"</f>
        <v>3.36%, CPI</v>
      </c>
      <c r="R73" s="592"/>
      <c r="S73" s="2238" t="str">
        <f t="shared" si="49"/>
        <v>0.00%</v>
      </c>
      <c r="T73" s="340">
        <f t="shared" si="54"/>
        <v>0</v>
      </c>
      <c r="U73" s="953" t="str">
        <f>TEXT('MYP Assumptions'!H78,"0.00%")&amp;", CPI"</f>
        <v>3.23%, CPI</v>
      </c>
      <c r="V73" s="952"/>
      <c r="W73" s="2241" t="str">
        <f t="shared" si="50"/>
        <v>0.00%</v>
      </c>
      <c r="X73" s="340">
        <f t="shared" si="55"/>
        <v>0</v>
      </c>
      <c r="Y73" s="953" t="str">
        <f>TEXT('MYP Assumptions'!I78,"0.00%")&amp;", CPI"</f>
        <v>2.73%, CPI</v>
      </c>
      <c r="AA73" s="456" t="str">
        <f t="shared" si="51"/>
        <v>0.00%</v>
      </c>
      <c r="AB73" s="340">
        <f t="shared" si="56"/>
        <v>0</v>
      </c>
      <c r="AC73" s="953" t="str">
        <f>TEXT('MYP Assumptions'!J78,"0.00%")&amp;", CPI"</f>
        <v>2.73%, CPI</v>
      </c>
    </row>
    <row r="74" spans="1:29" s="457" customFormat="1" hidden="1" x14ac:dyDescent="0.25">
      <c r="A74" s="897"/>
      <c r="B74" s="2385"/>
      <c r="C74" s="2215"/>
      <c r="D74" s="340">
        <v>0</v>
      </c>
      <c r="E74" s="2386"/>
      <c r="F74" s="340"/>
      <c r="G74" s="456" t="str">
        <f t="shared" si="46"/>
        <v>0.00%</v>
      </c>
      <c r="H74" s="340">
        <f t="shared" si="57"/>
        <v>0</v>
      </c>
      <c r="I74" s="899" t="str">
        <f>TEXT('MYP Assumptions'!E78,"0.00%")&amp;", CPI"</f>
        <v>3.37%, CPI</v>
      </c>
      <c r="J74" s="455"/>
      <c r="K74" s="456" t="str">
        <f t="shared" si="47"/>
        <v>0.00%</v>
      </c>
      <c r="L74" s="340">
        <f t="shared" si="52"/>
        <v>0</v>
      </c>
      <c r="M74" s="899" t="str">
        <f>TEXT('MYP Assumptions'!F78,"0.00%")&amp;", CPI"</f>
        <v>3.58%, CPI</v>
      </c>
      <c r="O74" s="456" t="str">
        <f t="shared" si="48"/>
        <v>0.00%</v>
      </c>
      <c r="P74" s="340">
        <f t="shared" si="53"/>
        <v>0</v>
      </c>
      <c r="Q74" s="899" t="str">
        <f>TEXT('MYP Assumptions'!G78,"0.00%")&amp;", CPI"</f>
        <v>3.36%, CPI</v>
      </c>
      <c r="R74" s="592"/>
      <c r="S74" s="2238" t="str">
        <f t="shared" si="49"/>
        <v>0.00%</v>
      </c>
      <c r="T74" s="340">
        <f t="shared" si="54"/>
        <v>0</v>
      </c>
      <c r="U74" s="953" t="str">
        <f>TEXT('MYP Assumptions'!H78,"0.00%")&amp;", CPI"</f>
        <v>3.23%, CPI</v>
      </c>
      <c r="V74" s="952"/>
      <c r="W74" s="2241" t="str">
        <f t="shared" si="50"/>
        <v>0.00%</v>
      </c>
      <c r="X74" s="340">
        <f t="shared" si="55"/>
        <v>0</v>
      </c>
      <c r="Y74" s="953" t="str">
        <f>TEXT('MYP Assumptions'!I78,"0.00%")&amp;", CPI"</f>
        <v>2.73%, CPI</v>
      </c>
      <c r="AA74" s="456" t="str">
        <f t="shared" si="51"/>
        <v>0.00%</v>
      </c>
      <c r="AB74" s="340">
        <f t="shared" si="56"/>
        <v>0</v>
      </c>
      <c r="AC74" s="953" t="str">
        <f>TEXT('MYP Assumptions'!J78,"0.00%")&amp;", CPI"</f>
        <v>2.73%, CPI</v>
      </c>
    </row>
    <row r="75" spans="1:29" s="457" customFormat="1" hidden="1" x14ac:dyDescent="0.25">
      <c r="A75" s="897"/>
      <c r="B75" s="2385"/>
      <c r="C75" s="2215"/>
      <c r="D75" s="340">
        <v>0</v>
      </c>
      <c r="E75" s="2386"/>
      <c r="F75" s="340"/>
      <c r="G75" s="456" t="str">
        <f>IF(D75=0,"0.00%",(H75-D75)/D75)</f>
        <v>0.00%</v>
      </c>
      <c r="H75" s="340">
        <f t="shared" si="57"/>
        <v>0</v>
      </c>
      <c r="I75" s="899" t="str">
        <f>TEXT('MYP Assumptions'!E78,"0.00%")&amp;", CPI"</f>
        <v>3.37%, CPI</v>
      </c>
      <c r="J75" s="455"/>
      <c r="K75" s="456" t="str">
        <f t="shared" si="47"/>
        <v>0.00%</v>
      </c>
      <c r="L75" s="340">
        <f t="shared" si="52"/>
        <v>0</v>
      </c>
      <c r="M75" s="899" t="str">
        <f>TEXT('MYP Assumptions'!F78,"0.00%")&amp;", CPI"</f>
        <v>3.58%, CPI</v>
      </c>
      <c r="O75" s="456" t="str">
        <f t="shared" si="48"/>
        <v>0.00%</v>
      </c>
      <c r="P75" s="340">
        <f t="shared" si="53"/>
        <v>0</v>
      </c>
      <c r="Q75" s="899" t="str">
        <f>TEXT('MYP Assumptions'!G78,"0.00%")&amp;", CPI"</f>
        <v>3.36%, CPI</v>
      </c>
      <c r="R75" s="592"/>
      <c r="S75" s="2238" t="str">
        <f t="shared" si="49"/>
        <v>0.00%</v>
      </c>
      <c r="T75" s="340">
        <f t="shared" si="54"/>
        <v>0</v>
      </c>
      <c r="U75" s="953" t="str">
        <f>TEXT('MYP Assumptions'!H78,"0.00%")&amp;", CPI"</f>
        <v>3.23%, CPI</v>
      </c>
      <c r="V75" s="952"/>
      <c r="W75" s="2241" t="str">
        <f t="shared" si="50"/>
        <v>0.00%</v>
      </c>
      <c r="X75" s="340">
        <f t="shared" si="55"/>
        <v>0</v>
      </c>
      <c r="Y75" s="953" t="str">
        <f>TEXT('MYP Assumptions'!I78,"0.00%")&amp;", CPI"</f>
        <v>2.73%, CPI</v>
      </c>
      <c r="AA75" s="456" t="str">
        <f t="shared" si="51"/>
        <v>0.00%</v>
      </c>
      <c r="AB75" s="340">
        <f t="shared" si="56"/>
        <v>0</v>
      </c>
      <c r="AC75" s="953" t="str">
        <f>TEXT('MYP Assumptions'!J78,"0.00%")&amp;", CPI"</f>
        <v>2.73%, CPI</v>
      </c>
    </row>
    <row r="76" spans="1:29" s="457" customFormat="1" hidden="1" x14ac:dyDescent="0.25">
      <c r="A76" s="897"/>
      <c r="B76" s="2385"/>
      <c r="C76" s="2215"/>
      <c r="D76" s="340">
        <v>0</v>
      </c>
      <c r="E76" s="2386"/>
      <c r="F76" s="340"/>
      <c r="G76" s="456" t="str">
        <f t="shared" ref="G76:G82" si="58">IF(D76=0,"0.00%",(H76-D76)/D76)</f>
        <v>0.00%</v>
      </c>
      <c r="H76" s="340">
        <f t="shared" si="57"/>
        <v>0</v>
      </c>
      <c r="I76" s="899" t="str">
        <f>TEXT('MYP Assumptions'!E78,"0.00%")&amp;", CPI"</f>
        <v>3.37%, CPI</v>
      </c>
      <c r="J76" s="455"/>
      <c r="K76" s="456" t="str">
        <f t="shared" si="47"/>
        <v>0.00%</v>
      </c>
      <c r="L76" s="340">
        <f t="shared" si="52"/>
        <v>0</v>
      </c>
      <c r="M76" s="899" t="str">
        <f>TEXT('MYP Assumptions'!F78,"0.00%")&amp;", CPI"</f>
        <v>3.58%, CPI</v>
      </c>
      <c r="O76" s="456" t="str">
        <f t="shared" si="48"/>
        <v>0.00%</v>
      </c>
      <c r="P76" s="340">
        <f t="shared" si="53"/>
        <v>0</v>
      </c>
      <c r="Q76" s="899" t="str">
        <f>TEXT('MYP Assumptions'!G78,"0.00%")&amp;", CPI"</f>
        <v>3.36%, CPI</v>
      </c>
      <c r="R76" s="592"/>
      <c r="S76" s="2238" t="str">
        <f t="shared" si="49"/>
        <v>0.00%</v>
      </c>
      <c r="T76" s="340">
        <f t="shared" si="54"/>
        <v>0</v>
      </c>
      <c r="U76" s="953" t="str">
        <f>TEXT('MYP Assumptions'!H78,"0.00%")&amp;", CPI"</f>
        <v>3.23%, CPI</v>
      </c>
      <c r="V76" s="952"/>
      <c r="W76" s="2241" t="str">
        <f t="shared" si="50"/>
        <v>0.00%</v>
      </c>
      <c r="X76" s="340">
        <f t="shared" si="55"/>
        <v>0</v>
      </c>
      <c r="Y76" s="953" t="str">
        <f>TEXT('MYP Assumptions'!I78,"0.00%")&amp;", CPI"</f>
        <v>2.73%, CPI</v>
      </c>
      <c r="AA76" s="456" t="str">
        <f t="shared" si="51"/>
        <v>0.00%</v>
      </c>
      <c r="AB76" s="340">
        <f t="shared" si="56"/>
        <v>0</v>
      </c>
      <c r="AC76" s="953" t="str">
        <f>TEXT('MYP Assumptions'!J78,"0.00%")&amp;", CPI"</f>
        <v>2.73%, CPI</v>
      </c>
    </row>
    <row r="77" spans="1:29" s="457" customFormat="1" hidden="1" x14ac:dyDescent="0.25">
      <c r="A77" s="897"/>
      <c r="B77" s="2385"/>
      <c r="C77" s="2215"/>
      <c r="D77" s="340">
        <v>0</v>
      </c>
      <c r="E77" s="2386"/>
      <c r="F77" s="340"/>
      <c r="G77" s="456" t="str">
        <f t="shared" si="58"/>
        <v>0.00%</v>
      </c>
      <c r="H77" s="340">
        <f>ROUND(D77*(LEFT(I77,5)+1),0)</f>
        <v>0</v>
      </c>
      <c r="I77" s="899" t="str">
        <f>TEXT('MYP Assumptions'!E78,"0.00%")&amp;", CPI"</f>
        <v>3.37%, CPI</v>
      </c>
      <c r="J77" s="455"/>
      <c r="K77" s="456" t="str">
        <f t="shared" si="47"/>
        <v>0.00%</v>
      </c>
      <c r="L77" s="340">
        <f t="shared" si="52"/>
        <v>0</v>
      </c>
      <c r="M77" s="899" t="str">
        <f>TEXT('MYP Assumptions'!F78,"0.00%")&amp;", CPI"</f>
        <v>3.58%, CPI</v>
      </c>
      <c r="O77" s="456" t="str">
        <f t="shared" si="48"/>
        <v>0.00%</v>
      </c>
      <c r="P77" s="340">
        <f t="shared" si="53"/>
        <v>0</v>
      </c>
      <c r="Q77" s="899" t="str">
        <f>TEXT('MYP Assumptions'!G78,"0.00%")&amp;", CPI"</f>
        <v>3.36%, CPI</v>
      </c>
      <c r="R77" s="592"/>
      <c r="S77" s="2238" t="str">
        <f t="shared" si="49"/>
        <v>0.00%</v>
      </c>
      <c r="T77" s="340">
        <f t="shared" si="54"/>
        <v>0</v>
      </c>
      <c r="U77" s="953" t="str">
        <f>TEXT('MYP Assumptions'!H78,"0.00%")&amp;", CPI"</f>
        <v>3.23%, CPI</v>
      </c>
      <c r="V77" s="952"/>
      <c r="W77" s="2241" t="str">
        <f t="shared" si="50"/>
        <v>0.00%</v>
      </c>
      <c r="X77" s="340">
        <f t="shared" si="55"/>
        <v>0</v>
      </c>
      <c r="Y77" s="953" t="str">
        <f>TEXT('MYP Assumptions'!I78,"0.00%")&amp;", CPI"</f>
        <v>2.73%, CPI</v>
      </c>
      <c r="AA77" s="456" t="str">
        <f t="shared" si="51"/>
        <v>0.00%</v>
      </c>
      <c r="AB77" s="340">
        <f t="shared" si="56"/>
        <v>0</v>
      </c>
      <c r="AC77" s="953" t="str">
        <f>TEXT('MYP Assumptions'!J78,"0.00%")&amp;", CPI"</f>
        <v>2.73%, CPI</v>
      </c>
    </row>
    <row r="78" spans="1:29" s="457" customFormat="1" hidden="1" x14ac:dyDescent="0.25">
      <c r="A78" s="897"/>
      <c r="B78" s="2385"/>
      <c r="C78" s="2215"/>
      <c r="D78" s="340">
        <v>0</v>
      </c>
      <c r="E78" s="2386"/>
      <c r="F78" s="340"/>
      <c r="G78" s="456" t="str">
        <f t="shared" si="58"/>
        <v>0.00%</v>
      </c>
      <c r="H78" s="340">
        <f>ROUND(D78*(LEFT(I78,5)+1),0)</f>
        <v>0</v>
      </c>
      <c r="I78" s="899" t="str">
        <f>TEXT('MYP Assumptions'!E78,"0.00%")&amp;", CPI"</f>
        <v>3.37%, CPI</v>
      </c>
      <c r="J78" s="455"/>
      <c r="K78" s="456" t="str">
        <f t="shared" si="47"/>
        <v>0.00%</v>
      </c>
      <c r="L78" s="340">
        <f t="shared" si="52"/>
        <v>0</v>
      </c>
      <c r="M78" s="899" t="str">
        <f>TEXT('MYP Assumptions'!F78,"0.00%")&amp;", CPI"</f>
        <v>3.58%, CPI</v>
      </c>
      <c r="O78" s="456" t="str">
        <f t="shared" si="48"/>
        <v>0.00%</v>
      </c>
      <c r="P78" s="340">
        <f t="shared" si="53"/>
        <v>0</v>
      </c>
      <c r="Q78" s="899" t="str">
        <f>TEXT('MYP Assumptions'!G78,"0.00%")&amp;", CPI"</f>
        <v>3.36%, CPI</v>
      </c>
      <c r="R78" s="592"/>
      <c r="S78" s="2238" t="str">
        <f t="shared" si="49"/>
        <v>0.00%</v>
      </c>
      <c r="T78" s="340">
        <f t="shared" si="54"/>
        <v>0</v>
      </c>
      <c r="U78" s="953" t="str">
        <f>TEXT('MYP Assumptions'!H78,"0.00%")&amp;", CPI"</f>
        <v>3.23%, CPI</v>
      </c>
      <c r="V78" s="952"/>
      <c r="W78" s="2241" t="str">
        <f t="shared" si="50"/>
        <v>0.00%</v>
      </c>
      <c r="X78" s="340">
        <f t="shared" si="55"/>
        <v>0</v>
      </c>
      <c r="Y78" s="953" t="str">
        <f>TEXT('MYP Assumptions'!I78,"0.00%")&amp;", CPI"</f>
        <v>2.73%, CPI</v>
      </c>
      <c r="AA78" s="456" t="str">
        <f t="shared" si="51"/>
        <v>0.00%</v>
      </c>
      <c r="AB78" s="340">
        <f t="shared" si="56"/>
        <v>0</v>
      </c>
      <c r="AC78" s="953" t="str">
        <f>TEXT('MYP Assumptions'!J78,"0.00%")&amp;", CPI"</f>
        <v>2.73%, CPI</v>
      </c>
    </row>
    <row r="79" spans="1:29" s="457" customFormat="1" hidden="1" x14ac:dyDescent="0.25">
      <c r="A79" s="897"/>
      <c r="B79" s="2385"/>
      <c r="C79" s="2215"/>
      <c r="D79" s="340">
        <v>0</v>
      </c>
      <c r="E79" s="2386"/>
      <c r="F79" s="340"/>
      <c r="G79" s="456" t="str">
        <f t="shared" si="58"/>
        <v>0.00%</v>
      </c>
      <c r="H79" s="340">
        <f>ROUND(D79*(LEFT(I79,5)+1),0)</f>
        <v>0</v>
      </c>
      <c r="I79" s="899" t="str">
        <f>TEXT('MYP Assumptions'!E78,"0.00%")&amp;", CPI"</f>
        <v>3.37%, CPI</v>
      </c>
      <c r="J79" s="455"/>
      <c r="K79" s="456" t="str">
        <f t="shared" si="47"/>
        <v>0.00%</v>
      </c>
      <c r="L79" s="340">
        <f t="shared" si="52"/>
        <v>0</v>
      </c>
      <c r="M79" s="899" t="str">
        <f>TEXT('MYP Assumptions'!F78,"0.00%")&amp;", CPI"</f>
        <v>3.58%, CPI</v>
      </c>
      <c r="O79" s="456" t="str">
        <f t="shared" si="48"/>
        <v>0.00%</v>
      </c>
      <c r="P79" s="340">
        <f t="shared" si="53"/>
        <v>0</v>
      </c>
      <c r="Q79" s="899" t="str">
        <f>TEXT('MYP Assumptions'!G78,"0.00%")&amp;", CPI"</f>
        <v>3.36%, CPI</v>
      </c>
      <c r="R79" s="592"/>
      <c r="S79" s="2238" t="str">
        <f t="shared" si="49"/>
        <v>0.00%</v>
      </c>
      <c r="T79" s="340">
        <f t="shared" si="54"/>
        <v>0</v>
      </c>
      <c r="U79" s="953" t="str">
        <f>TEXT('MYP Assumptions'!H78,"0.00%")&amp;", CPI"</f>
        <v>3.23%, CPI</v>
      </c>
      <c r="V79" s="952"/>
      <c r="W79" s="2241" t="str">
        <f t="shared" si="50"/>
        <v>0.00%</v>
      </c>
      <c r="X79" s="340">
        <f t="shared" si="55"/>
        <v>0</v>
      </c>
      <c r="Y79" s="953" t="str">
        <f>TEXT('MYP Assumptions'!I78,"0.00%")&amp;", CPI"</f>
        <v>2.73%, CPI</v>
      </c>
      <c r="AA79" s="456" t="str">
        <f t="shared" si="51"/>
        <v>0.00%</v>
      </c>
      <c r="AB79" s="340">
        <f t="shared" si="56"/>
        <v>0</v>
      </c>
      <c r="AC79" s="953" t="str">
        <f>TEXT('MYP Assumptions'!J78,"0.00%")&amp;", CPI"</f>
        <v>2.73%, CPI</v>
      </c>
    </row>
    <row r="80" spans="1:29" s="457" customFormat="1" hidden="1" x14ac:dyDescent="0.25">
      <c r="A80" s="897"/>
      <c r="B80" s="2385"/>
      <c r="C80" s="2215"/>
      <c r="D80" s="340">
        <v>0</v>
      </c>
      <c r="E80" s="2386"/>
      <c r="F80" s="340"/>
      <c r="G80" s="456" t="str">
        <f t="shared" si="58"/>
        <v>0.00%</v>
      </c>
      <c r="H80" s="340">
        <f>ROUND(D80*(LEFT(I80,5)+1),0)</f>
        <v>0</v>
      </c>
      <c r="I80" s="899" t="str">
        <f>TEXT('MYP Assumptions'!E78,"0.00%")&amp;", CPI"</f>
        <v>3.37%, CPI</v>
      </c>
      <c r="J80" s="455"/>
      <c r="K80" s="456" t="str">
        <f t="shared" si="47"/>
        <v>0.00%</v>
      </c>
      <c r="L80" s="340">
        <f t="shared" si="52"/>
        <v>0</v>
      </c>
      <c r="M80" s="899" t="str">
        <f>TEXT('MYP Assumptions'!F78,"0.00%")&amp;", CPI"</f>
        <v>3.58%, CPI</v>
      </c>
      <c r="O80" s="456" t="str">
        <f t="shared" si="48"/>
        <v>0.00%</v>
      </c>
      <c r="P80" s="340">
        <f t="shared" si="53"/>
        <v>0</v>
      </c>
      <c r="Q80" s="899" t="str">
        <f>TEXT('MYP Assumptions'!G78,"0.00%")&amp;", CPI"</f>
        <v>3.36%, CPI</v>
      </c>
      <c r="R80" s="592"/>
      <c r="S80" s="2238" t="str">
        <f t="shared" si="49"/>
        <v>0.00%</v>
      </c>
      <c r="T80" s="340">
        <f t="shared" si="54"/>
        <v>0</v>
      </c>
      <c r="U80" s="953" t="str">
        <f>TEXT('MYP Assumptions'!H78,"0.00%")&amp;", CPI"</f>
        <v>3.23%, CPI</v>
      </c>
      <c r="V80" s="952"/>
      <c r="W80" s="2241" t="str">
        <f t="shared" si="50"/>
        <v>0.00%</v>
      </c>
      <c r="X80" s="340">
        <f t="shared" si="55"/>
        <v>0</v>
      </c>
      <c r="Y80" s="953" t="str">
        <f>TEXT('MYP Assumptions'!I78,"0.00%")&amp;", CPI"</f>
        <v>2.73%, CPI</v>
      </c>
      <c r="AA80" s="456" t="str">
        <f t="shared" si="51"/>
        <v>0.00%</v>
      </c>
      <c r="AB80" s="340">
        <f t="shared" si="56"/>
        <v>0</v>
      </c>
      <c r="AC80" s="953" t="str">
        <f>TEXT('MYP Assumptions'!J78,"0.00%")&amp;", CPI"</f>
        <v>2.73%, CPI</v>
      </c>
    </row>
    <row r="81" spans="1:29" s="457" customFormat="1" hidden="1" x14ac:dyDescent="0.25">
      <c r="A81" s="897"/>
      <c r="B81" s="2385"/>
      <c r="C81" s="2215"/>
      <c r="D81" s="340">
        <f>'18-19 Budget RS 3010-ALL'!AF80</f>
        <v>0</v>
      </c>
      <c r="E81" s="2386"/>
      <c r="F81" s="340"/>
      <c r="G81" s="456" t="str">
        <f t="shared" si="58"/>
        <v>0.00%</v>
      </c>
      <c r="H81" s="340">
        <f>ROUND(D81*(LEFT(I81,5)+1),0)</f>
        <v>0</v>
      </c>
      <c r="I81" s="899" t="str">
        <f>TEXT('MYP Assumptions'!E78,"0.00%")&amp;", CPI"</f>
        <v>3.37%, CPI</v>
      </c>
      <c r="J81" s="455"/>
      <c r="K81" s="456" t="str">
        <f t="shared" si="47"/>
        <v>0.00%</v>
      </c>
      <c r="L81" s="340">
        <f t="shared" si="52"/>
        <v>0</v>
      </c>
      <c r="M81" s="899" t="str">
        <f>TEXT('MYP Assumptions'!F78,"0.00%")&amp;", CPI"</f>
        <v>3.58%, CPI</v>
      </c>
      <c r="O81" s="456" t="str">
        <f t="shared" si="48"/>
        <v>0.00%</v>
      </c>
      <c r="P81" s="340">
        <f t="shared" si="53"/>
        <v>0</v>
      </c>
      <c r="Q81" s="899" t="str">
        <f>TEXT('MYP Assumptions'!G78,"0.00%")&amp;", CPI"</f>
        <v>3.36%, CPI</v>
      </c>
      <c r="R81" s="592"/>
      <c r="S81" s="2238" t="str">
        <f t="shared" si="49"/>
        <v>0.00%</v>
      </c>
      <c r="T81" s="340">
        <f t="shared" si="54"/>
        <v>0</v>
      </c>
      <c r="U81" s="953" t="str">
        <f>TEXT('MYP Assumptions'!H78,"0.00%")&amp;", CPI"</f>
        <v>3.23%, CPI</v>
      </c>
      <c r="V81" s="952"/>
      <c r="W81" s="2241" t="str">
        <f t="shared" si="50"/>
        <v>0.00%</v>
      </c>
      <c r="X81" s="340">
        <f t="shared" si="55"/>
        <v>0</v>
      </c>
      <c r="Y81" s="953" t="str">
        <f>TEXT('MYP Assumptions'!I78,"0.00%")&amp;", CPI"</f>
        <v>2.73%, CPI</v>
      </c>
      <c r="AA81" s="456" t="str">
        <f t="shared" si="51"/>
        <v>0.00%</v>
      </c>
      <c r="AB81" s="340">
        <f t="shared" si="56"/>
        <v>0</v>
      </c>
      <c r="AC81" s="953" t="str">
        <f>TEXT('MYP Assumptions'!J78,"0.00%")&amp;", CPI"</f>
        <v>2.73%, CPI</v>
      </c>
    </row>
    <row r="82" spans="1:29" s="457" customFormat="1" hidden="1" x14ac:dyDescent="0.25">
      <c r="A82" s="898"/>
      <c r="B82" s="2345"/>
      <c r="C82" s="2215"/>
      <c r="D82" s="458">
        <f>SUM(D69:D81)</f>
        <v>0</v>
      </c>
      <c r="E82" s="2386"/>
      <c r="F82" s="340"/>
      <c r="G82" s="456" t="str">
        <f t="shared" si="58"/>
        <v>0.00%</v>
      </c>
      <c r="H82" s="458">
        <f>SUM(H69:H81)</f>
        <v>0</v>
      </c>
      <c r="I82" s="898"/>
      <c r="J82" s="459"/>
      <c r="K82" s="456" t="str">
        <f t="shared" si="47"/>
        <v>0.00%</v>
      </c>
      <c r="L82" s="458">
        <f>SUM(L69:L81)</f>
        <v>0</v>
      </c>
      <c r="M82" s="901"/>
      <c r="O82" s="456" t="str">
        <f t="shared" si="48"/>
        <v>0.00%</v>
      </c>
      <c r="P82" s="458">
        <f>SUM(P69:P81)</f>
        <v>0</v>
      </c>
      <c r="Q82" s="901"/>
      <c r="R82" s="592"/>
      <c r="S82" s="2238" t="str">
        <f t="shared" si="49"/>
        <v>0.00%</v>
      </c>
      <c r="T82" s="458">
        <f>SUM(T69:T81)</f>
        <v>0</v>
      </c>
      <c r="U82" s="2344"/>
      <c r="V82" s="952"/>
      <c r="W82" s="2241" t="str">
        <f t="shared" si="50"/>
        <v>0.00%</v>
      </c>
      <c r="X82" s="458">
        <f>SUM(X69:X81)</f>
        <v>0</v>
      </c>
      <c r="Y82" s="2344"/>
      <c r="AA82" s="456" t="str">
        <f t="shared" si="51"/>
        <v>0.00%</v>
      </c>
      <c r="AB82" s="458">
        <f>SUM(AB69:AB81)</f>
        <v>0</v>
      </c>
      <c r="AC82" s="2344"/>
    </row>
    <row r="83" spans="1:29" s="457" customFormat="1" hidden="1" x14ac:dyDescent="0.25">
      <c r="A83" s="897"/>
      <c r="B83" s="2337"/>
      <c r="C83" s="2215"/>
      <c r="D83" s="340"/>
      <c r="E83" s="2386"/>
      <c r="F83" s="340"/>
      <c r="G83" s="456"/>
      <c r="H83" s="340"/>
      <c r="I83" s="897"/>
      <c r="J83" s="455"/>
      <c r="K83" s="1668"/>
      <c r="L83" s="340"/>
      <c r="M83" s="901"/>
      <c r="O83" s="1668"/>
      <c r="P83" s="340"/>
      <c r="Q83" s="901"/>
      <c r="R83" s="592"/>
      <c r="S83" s="2341"/>
      <c r="T83" s="340"/>
      <c r="U83" s="2344"/>
      <c r="V83" s="952"/>
      <c r="W83" s="2343"/>
      <c r="X83" s="340"/>
      <c r="Y83" s="2344"/>
      <c r="AA83" s="1668"/>
      <c r="AB83" s="340"/>
      <c r="AC83" s="2344"/>
    </row>
    <row r="84" spans="1:29" s="457" customFormat="1" hidden="1" x14ac:dyDescent="0.25">
      <c r="A84" s="897"/>
      <c r="B84" s="2337" t="s">
        <v>231</v>
      </c>
      <c r="C84" s="2215"/>
      <c r="D84" s="340"/>
      <c r="E84" s="2386"/>
      <c r="F84" s="340"/>
      <c r="G84" s="456"/>
      <c r="H84" s="340"/>
      <c r="I84" s="897"/>
      <c r="J84" s="455"/>
      <c r="K84" s="1668"/>
      <c r="L84" s="340"/>
      <c r="M84" s="901"/>
      <c r="O84" s="1668"/>
      <c r="P84" s="340"/>
      <c r="Q84" s="901"/>
      <c r="R84" s="592"/>
      <c r="S84" s="2341"/>
      <c r="T84" s="340"/>
      <c r="U84" s="2344"/>
      <c r="V84" s="952"/>
      <c r="W84" s="2343"/>
      <c r="X84" s="340"/>
      <c r="Y84" s="2344"/>
      <c r="AA84" s="1668"/>
      <c r="AB84" s="340"/>
      <c r="AC84" s="2344"/>
    </row>
    <row r="85" spans="1:29" s="457" customFormat="1" hidden="1" x14ac:dyDescent="0.25">
      <c r="A85" s="897"/>
      <c r="B85" s="2385">
        <v>7211</v>
      </c>
      <c r="C85" s="2215" t="s">
        <v>233</v>
      </c>
      <c r="D85" s="340">
        <v>0</v>
      </c>
      <c r="E85" s="2386"/>
      <c r="F85" s="340"/>
      <c r="G85" s="456"/>
      <c r="H85" s="340">
        <f>+D85</f>
        <v>0</v>
      </c>
      <c r="I85" s="897" t="s">
        <v>173</v>
      </c>
      <c r="J85" s="455"/>
      <c r="K85" s="1668"/>
      <c r="L85" s="340">
        <f>+H85</f>
        <v>0</v>
      </c>
      <c r="M85" s="897" t="s">
        <v>173</v>
      </c>
      <c r="O85" s="1668"/>
      <c r="P85" s="340">
        <f>+L85</f>
        <v>0</v>
      </c>
      <c r="Q85" s="897" t="s">
        <v>173</v>
      </c>
      <c r="R85" s="592"/>
      <c r="S85" s="2341"/>
      <c r="T85" s="340">
        <f>+P85</f>
        <v>0</v>
      </c>
      <c r="U85" s="455" t="s">
        <v>173</v>
      </c>
      <c r="V85" s="952"/>
      <c r="W85" s="2343"/>
      <c r="X85" s="340">
        <f>+T85</f>
        <v>0</v>
      </c>
      <c r="Y85" s="455" t="s">
        <v>173</v>
      </c>
      <c r="AA85" s="1668"/>
      <c r="AB85" s="340">
        <f>+X85</f>
        <v>0</v>
      </c>
      <c r="AC85" s="455" t="s">
        <v>173</v>
      </c>
    </row>
    <row r="86" spans="1:29" s="457" customFormat="1" hidden="1" x14ac:dyDescent="0.25">
      <c r="A86" s="897"/>
      <c r="B86" s="2337"/>
      <c r="C86" s="2215"/>
      <c r="D86" s="340">
        <v>0</v>
      </c>
      <c r="E86" s="2386"/>
      <c r="F86" s="340"/>
      <c r="G86" s="456"/>
      <c r="H86" s="340">
        <v>0</v>
      </c>
      <c r="I86" s="897"/>
      <c r="J86" s="455"/>
      <c r="K86" s="1668"/>
      <c r="L86" s="340">
        <v>0</v>
      </c>
      <c r="M86" s="897"/>
      <c r="O86" s="1668"/>
      <c r="P86" s="340">
        <v>0</v>
      </c>
      <c r="Q86" s="897"/>
      <c r="R86" s="592"/>
      <c r="S86" s="2341"/>
      <c r="T86" s="340">
        <v>0</v>
      </c>
      <c r="U86" s="455"/>
      <c r="V86" s="952"/>
      <c r="W86" s="2343"/>
      <c r="X86" s="340">
        <v>0</v>
      </c>
      <c r="Y86" s="455"/>
      <c r="AA86" s="1668"/>
      <c r="AB86" s="340">
        <v>0</v>
      </c>
      <c r="AC86" s="455"/>
    </row>
    <row r="87" spans="1:29" s="457" customFormat="1" hidden="1" x14ac:dyDescent="0.25">
      <c r="A87" s="897"/>
      <c r="B87" s="2337"/>
      <c r="C87" s="2215"/>
      <c r="D87" s="340">
        <v>0</v>
      </c>
      <c r="E87" s="2386"/>
      <c r="F87" s="340"/>
      <c r="G87" s="456"/>
      <c r="H87" s="340">
        <v>0</v>
      </c>
      <c r="I87" s="897"/>
      <c r="J87" s="455"/>
      <c r="K87" s="1668"/>
      <c r="L87" s="340">
        <v>0</v>
      </c>
      <c r="M87" s="897"/>
      <c r="O87" s="1668"/>
      <c r="P87" s="340">
        <v>0</v>
      </c>
      <c r="Q87" s="897"/>
      <c r="R87" s="592"/>
      <c r="S87" s="2341"/>
      <c r="T87" s="340">
        <v>0</v>
      </c>
      <c r="U87" s="455"/>
      <c r="V87" s="952"/>
      <c r="W87" s="2343"/>
      <c r="X87" s="340">
        <v>0</v>
      </c>
      <c r="Y87" s="455"/>
      <c r="AA87" s="1668"/>
      <c r="AB87" s="340">
        <v>0</v>
      </c>
      <c r="AC87" s="455"/>
    </row>
    <row r="88" spans="1:29" s="457" customFormat="1" ht="6.75" hidden="1" customHeight="1" x14ac:dyDescent="0.25">
      <c r="A88" s="897"/>
      <c r="B88" s="2337"/>
      <c r="C88" s="2215"/>
      <c r="D88" s="340"/>
      <c r="E88" s="2386"/>
      <c r="F88" s="340"/>
      <c r="G88" s="456"/>
      <c r="H88" s="340"/>
      <c r="I88" s="897"/>
      <c r="J88" s="455"/>
      <c r="K88" s="1668"/>
      <c r="L88" s="340"/>
      <c r="M88" s="897"/>
      <c r="O88" s="1668"/>
      <c r="P88" s="340"/>
      <c r="Q88" s="897"/>
      <c r="R88" s="592"/>
      <c r="S88" s="2341"/>
      <c r="T88" s="340"/>
      <c r="U88" s="455"/>
      <c r="V88" s="952"/>
      <c r="W88" s="2343"/>
      <c r="X88" s="340"/>
      <c r="Y88" s="455"/>
      <c r="AA88" s="1668"/>
      <c r="AB88" s="340"/>
      <c r="AC88" s="455"/>
    </row>
    <row r="89" spans="1:29" s="2378" customFormat="1" hidden="1" x14ac:dyDescent="0.25">
      <c r="A89" s="868"/>
      <c r="B89" s="2358"/>
      <c r="C89" s="2358"/>
      <c r="D89" s="2442">
        <f>SUM(D85:D88)</f>
        <v>0</v>
      </c>
      <c r="E89" s="2375"/>
      <c r="F89" s="1866"/>
      <c r="G89" s="2376"/>
      <c r="H89" s="2442">
        <f>SUM(H85:H88)</f>
        <v>0</v>
      </c>
      <c r="I89" s="868"/>
      <c r="J89" s="460"/>
      <c r="K89" s="606"/>
      <c r="L89" s="2442">
        <f>SUM(L85:L88)</f>
        <v>0</v>
      </c>
      <c r="M89" s="868"/>
      <c r="O89" s="606"/>
      <c r="P89" s="2442">
        <f>SUM(P85:P88)</f>
        <v>0</v>
      </c>
      <c r="Q89" s="868"/>
      <c r="R89" s="461"/>
      <c r="S89" s="1669"/>
      <c r="T89" s="2442">
        <f>SUM(T85:T88)</f>
        <v>0</v>
      </c>
      <c r="U89" s="460"/>
      <c r="V89" s="2381"/>
      <c r="W89" s="2382"/>
      <c r="X89" s="2442">
        <f>SUM(X85:X88)</f>
        <v>0</v>
      </c>
      <c r="Y89" s="460"/>
      <c r="AA89" s="606"/>
      <c r="AB89" s="2442">
        <f>SUM(AB85:AB88)</f>
        <v>0</v>
      </c>
      <c r="AC89" s="460"/>
    </row>
    <row r="90" spans="1:29" s="457" customFormat="1" x14ac:dyDescent="0.25">
      <c r="A90" s="897"/>
      <c r="B90" s="2345"/>
      <c r="C90" s="2215"/>
      <c r="D90" s="340"/>
      <c r="E90" s="2386"/>
      <c r="F90" s="340"/>
      <c r="G90" s="2338"/>
      <c r="H90" s="340"/>
      <c r="I90" s="897"/>
      <c r="J90" s="455"/>
      <c r="K90" s="1668"/>
      <c r="L90" s="340"/>
      <c r="M90" s="897"/>
      <c r="O90" s="1668"/>
      <c r="P90" s="340"/>
      <c r="Q90" s="897"/>
      <c r="R90" s="592"/>
      <c r="S90" s="2341"/>
      <c r="T90" s="340"/>
      <c r="U90" s="455"/>
      <c r="V90" s="952"/>
      <c r="W90" s="2343"/>
      <c r="X90" s="340"/>
      <c r="Y90" s="455"/>
      <c r="AA90" s="1668"/>
      <c r="AB90" s="340"/>
      <c r="AC90" s="455"/>
    </row>
    <row r="91" spans="1:29" s="457" customFormat="1" x14ac:dyDescent="0.25">
      <c r="A91" s="898"/>
      <c r="B91" s="2337" t="s">
        <v>0</v>
      </c>
      <c r="C91" s="2215"/>
      <c r="D91" s="458">
        <f>SUM(D82,D66,D55,D13,D89)</f>
        <v>1510</v>
      </c>
      <c r="E91" s="2386"/>
      <c r="F91" s="340"/>
      <c r="G91" s="456">
        <f>IF(D91=0,"0.00%",(H91-D91)/D91)</f>
        <v>2.8258278145695366</v>
      </c>
      <c r="H91" s="458">
        <f>SUM(H82,H66,H55,H13,H89)</f>
        <v>5777</v>
      </c>
      <c r="I91" s="2316">
        <f>+H91-D91</f>
        <v>4267</v>
      </c>
      <c r="J91" s="459"/>
      <c r="K91" s="456">
        <f>IF(H91=0,"0.00%",(L91-H91)/H91)</f>
        <v>-1</v>
      </c>
      <c r="L91" s="458">
        <f>SUM(L82,L66,L55,L13,L89)</f>
        <v>0</v>
      </c>
      <c r="M91" s="2316">
        <f>+L91-H91</f>
        <v>-5777</v>
      </c>
      <c r="O91" s="456" t="str">
        <f>IF(L91=0,"0.00%",(P91-L91)/L91)</f>
        <v>0.00%</v>
      </c>
      <c r="P91" s="458">
        <f>SUM(P82,P66,P55,P13,P89)</f>
        <v>0</v>
      </c>
      <c r="Q91" s="2316">
        <f>+P91-L91</f>
        <v>0</v>
      </c>
      <c r="R91" s="592"/>
      <c r="S91" s="2238" t="str">
        <f>IF(P91=0,"0.00%",(T91-P91)/P91)</f>
        <v>0.00%</v>
      </c>
      <c r="T91" s="458">
        <f>SUM(T82,T66,T55,T13,T89)</f>
        <v>0</v>
      </c>
      <c r="U91" s="459"/>
      <c r="V91" s="952"/>
      <c r="W91" s="2241" t="str">
        <f>IF(T91=0,"0.00%",(X91-T91)/T91)</f>
        <v>0.00%</v>
      </c>
      <c r="X91" s="458">
        <f>SUM(X82,X66,X55,X13,X89)</f>
        <v>0</v>
      </c>
      <c r="Y91" s="459"/>
      <c r="AA91" s="456" t="str">
        <f>IF(X91=0,"0.00%",(AB91-X91)/X91)</f>
        <v>0.00%</v>
      </c>
      <c r="AB91" s="458" t="e">
        <f>SUM(AB82,AB66,AB55,AB13,AB89)</f>
        <v>#VALUE!</v>
      </c>
      <c r="AC91" s="459"/>
    </row>
    <row r="92" spans="1:29" s="457" customFormat="1" x14ac:dyDescent="0.25">
      <c r="A92" s="897"/>
      <c r="B92" s="2345"/>
      <c r="C92" s="2215"/>
      <c r="D92" s="340"/>
      <c r="E92" s="2386"/>
      <c r="F92" s="340"/>
      <c r="G92" s="2338"/>
      <c r="H92" s="340"/>
      <c r="I92" s="897"/>
      <c r="J92" s="455"/>
      <c r="K92" s="1668"/>
      <c r="L92" s="340"/>
      <c r="M92" s="901"/>
      <c r="O92" s="1668"/>
      <c r="P92" s="340"/>
      <c r="Q92" s="901"/>
      <c r="R92" s="592"/>
      <c r="S92" s="2341"/>
      <c r="T92" s="340"/>
      <c r="U92" s="2344"/>
      <c r="V92" s="952"/>
      <c r="W92" s="2343"/>
      <c r="X92" s="340"/>
      <c r="Y92" s="2344"/>
      <c r="AA92" s="1668"/>
      <c r="AB92" s="340"/>
      <c r="AC92" s="2344"/>
    </row>
    <row r="93" spans="1:29" s="457" customFormat="1" x14ac:dyDescent="0.25">
      <c r="A93" s="897"/>
      <c r="B93" s="2337" t="s">
        <v>138</v>
      </c>
      <c r="C93" s="2215"/>
      <c r="D93" s="833">
        <f>D11-D91</f>
        <v>0</v>
      </c>
      <c r="E93" s="1656"/>
      <c r="G93" s="456" t="str">
        <f>IF(D93=0,"0.00%",(H93-D93)/D93)</f>
        <v>0.00%</v>
      </c>
      <c r="H93" s="833">
        <f>H11-H91</f>
        <v>0</v>
      </c>
      <c r="I93" s="897"/>
      <c r="J93" s="455"/>
      <c r="K93" s="456" t="str">
        <f>IF(H93=0,"0.00%",(L93-H93)/H93)</f>
        <v>0.00%</v>
      </c>
      <c r="L93" s="833">
        <f>L11-L91</f>
        <v>0</v>
      </c>
      <c r="M93" s="901"/>
      <c r="O93" s="456" t="str">
        <f>IF(L93=0,"0.00%",(P93-L93)/L93)</f>
        <v>0.00%</v>
      </c>
      <c r="P93" s="833">
        <f>P11-P91</f>
        <v>0</v>
      </c>
      <c r="Q93" s="901"/>
      <c r="R93" s="592"/>
      <c r="S93" s="2238" t="str">
        <f>IF(P93=0,"0.00%",(T93-P93)/P93)</f>
        <v>0.00%</v>
      </c>
      <c r="T93" s="833">
        <f>T11-T91</f>
        <v>0</v>
      </c>
      <c r="U93" s="2344"/>
      <c r="V93" s="952"/>
      <c r="W93" s="2241" t="str">
        <f>IF(T93=0,"0.00%",(X93-T93)/T93)</f>
        <v>0.00%</v>
      </c>
      <c r="X93" s="833">
        <f>X11-X91</f>
        <v>0</v>
      </c>
      <c r="Y93" s="2344"/>
      <c r="AA93" s="456" t="str">
        <f>IF(X93=0,"0.00%",(AB93-X93)/X93)</f>
        <v>0.00%</v>
      </c>
      <c r="AB93" s="833" t="e">
        <f>AB11-AB91</f>
        <v>#VALUE!</v>
      </c>
      <c r="AC93" s="2344"/>
    </row>
    <row r="94" spans="1:29" s="457" customFormat="1" x14ac:dyDescent="0.25">
      <c r="A94" s="1656"/>
      <c r="B94" s="2337"/>
      <c r="C94" s="2345"/>
      <c r="D94" s="833"/>
      <c r="E94" s="1656"/>
      <c r="G94" s="2338"/>
      <c r="H94" s="833"/>
      <c r="I94" s="897"/>
      <c r="J94" s="455"/>
      <c r="K94" s="1668"/>
      <c r="L94" s="833"/>
      <c r="M94" s="901"/>
      <c r="O94" s="1668"/>
      <c r="P94" s="833"/>
      <c r="Q94" s="901"/>
      <c r="R94" s="592"/>
      <c r="S94" s="2341"/>
      <c r="T94" s="2356"/>
      <c r="U94" s="2344"/>
      <c r="V94" s="952"/>
      <c r="W94" s="2343"/>
      <c r="X94" s="2356"/>
      <c r="Y94" s="2344"/>
      <c r="AA94" s="1668"/>
      <c r="AB94" s="2356"/>
      <c r="AC94" s="2344"/>
    </row>
    <row r="95" spans="1:29" s="457" customFormat="1" x14ac:dyDescent="0.25">
      <c r="A95" s="1656"/>
      <c r="B95" s="2337" t="s">
        <v>136</v>
      </c>
      <c r="C95" s="2394"/>
      <c r="D95" s="833">
        <f>D7+D93</f>
        <v>0</v>
      </c>
      <c r="E95" s="1656"/>
      <c r="G95" s="456" t="str">
        <f>IF(D95=0,"0.00%",(H95-D95)/D95)</f>
        <v>0.00%</v>
      </c>
      <c r="H95" s="833">
        <f>H7+H93</f>
        <v>0</v>
      </c>
      <c r="I95" s="897"/>
      <c r="J95" s="455"/>
      <c r="K95" s="456" t="str">
        <f>IF(H95=0,"0.00%",(L95-H95)/H95)</f>
        <v>0.00%</v>
      </c>
      <c r="L95" s="833">
        <f>L7+L93</f>
        <v>0</v>
      </c>
      <c r="M95" s="901"/>
      <c r="O95" s="456" t="str">
        <f>IF(L95=0,"0.00%",(P95-L95)/L95)</f>
        <v>0.00%</v>
      </c>
      <c r="P95" s="833">
        <f>P7+P93</f>
        <v>0</v>
      </c>
      <c r="Q95" s="901"/>
      <c r="R95" s="592"/>
      <c r="S95" s="2238" t="str">
        <f>IF(P95=0,"0.00%",(T95-P95)/P95)</f>
        <v>0.00%</v>
      </c>
      <c r="T95" s="2367">
        <f>T7+T93</f>
        <v>0</v>
      </c>
      <c r="U95" s="2344"/>
      <c r="V95" s="952"/>
      <c r="W95" s="2241" t="str">
        <f>IF(T95=0,"0.00%",(X95-T95)/T95)</f>
        <v>0.00%</v>
      </c>
      <c r="X95" s="2367">
        <f>X7+X93</f>
        <v>0</v>
      </c>
      <c r="Y95" s="2344"/>
      <c r="AA95" s="456" t="str">
        <f>IF(X95=0,"0.00%",(AB95-X95)/X95)</f>
        <v>0.00%</v>
      </c>
      <c r="AB95" s="2367" t="e">
        <f>AB7+AB93</f>
        <v>#VALUE!</v>
      </c>
      <c r="AC95" s="2344"/>
    </row>
    <row r="96" spans="1:29" s="457" customFormat="1" x14ac:dyDescent="0.25">
      <c r="A96" s="1656"/>
      <c r="B96" s="2345"/>
      <c r="C96" s="2225"/>
      <c r="D96" s="340"/>
      <c r="E96" s="1656"/>
      <c r="G96" s="2355"/>
      <c r="H96" s="459"/>
      <c r="I96" s="898"/>
      <c r="J96" s="459"/>
      <c r="K96" s="1668"/>
      <c r="L96" s="459"/>
      <c r="M96" s="901"/>
      <c r="O96" s="1668"/>
      <c r="P96" s="459"/>
      <c r="Q96" s="901"/>
      <c r="R96" s="592"/>
      <c r="S96" s="2341"/>
      <c r="T96" s="459"/>
      <c r="U96" s="2344"/>
      <c r="V96" s="952"/>
      <c r="W96" s="2343"/>
      <c r="X96" s="459"/>
      <c r="Y96" s="2344"/>
      <c r="AA96" s="1668"/>
      <c r="AB96" s="459"/>
      <c r="AC96" s="2344"/>
    </row>
    <row r="97" spans="1:29" s="457" customFormat="1" x14ac:dyDescent="0.25">
      <c r="A97" s="1656"/>
      <c r="B97" s="2345"/>
      <c r="C97" s="2230"/>
      <c r="D97" s="340"/>
      <c r="E97" s="1656"/>
      <c r="G97" s="2355"/>
      <c r="H97" s="455"/>
      <c r="I97" s="897"/>
      <c r="J97" s="455"/>
      <c r="K97" s="1668"/>
      <c r="L97" s="340"/>
      <c r="M97" s="901"/>
      <c r="O97" s="1668"/>
      <c r="P97" s="340"/>
      <c r="Q97" s="901"/>
      <c r="R97" s="592"/>
      <c r="S97" s="2341"/>
      <c r="T97" s="340"/>
      <c r="U97" s="2344"/>
      <c r="V97" s="952"/>
      <c r="W97" s="2343"/>
      <c r="X97" s="340"/>
      <c r="Y97" s="2344"/>
      <c r="AA97" s="1668"/>
      <c r="AB97" s="340"/>
      <c r="AC97" s="2344"/>
    </row>
    <row r="98" spans="1:29" s="457" customFormat="1" x14ac:dyDescent="0.25">
      <c r="A98" s="1656"/>
      <c r="B98" s="2345"/>
      <c r="C98" s="2230"/>
      <c r="D98" s="340"/>
      <c r="E98" s="1656"/>
      <c r="G98" s="2355"/>
      <c r="H98" s="455"/>
      <c r="I98" s="897"/>
      <c r="J98" s="455"/>
      <c r="K98" s="1668"/>
      <c r="L98" s="340"/>
      <c r="M98" s="901"/>
      <c r="O98" s="1668"/>
      <c r="P98" s="340"/>
      <c r="Q98" s="901"/>
      <c r="R98" s="592"/>
      <c r="S98" s="2341"/>
      <c r="T98" s="340"/>
      <c r="U98" s="2344"/>
      <c r="V98" s="952"/>
      <c r="W98" s="2343"/>
      <c r="X98" s="340"/>
      <c r="Y98" s="2344"/>
      <c r="AA98" s="1668"/>
      <c r="AB98" s="340"/>
      <c r="AC98" s="2344"/>
    </row>
    <row r="99" spans="1:29" s="457" customFormat="1" x14ac:dyDescent="0.25">
      <c r="A99" s="1656"/>
      <c r="B99" s="2345"/>
      <c r="C99" s="2230"/>
      <c r="D99" s="340"/>
      <c r="E99" s="1656"/>
      <c r="G99" s="2355"/>
      <c r="H99" s="455"/>
      <c r="I99" s="897"/>
      <c r="J99" s="455"/>
      <c r="K99" s="1668"/>
      <c r="L99" s="340"/>
      <c r="M99" s="901"/>
      <c r="O99" s="1668"/>
      <c r="P99" s="340"/>
      <c r="Q99" s="901"/>
      <c r="R99" s="592"/>
      <c r="S99" s="2341"/>
      <c r="T99" s="340"/>
      <c r="U99" s="2344"/>
      <c r="V99" s="952"/>
      <c r="W99" s="2343"/>
      <c r="X99" s="340"/>
      <c r="Y99" s="2344"/>
      <c r="AA99" s="1668"/>
      <c r="AB99" s="340"/>
      <c r="AC99" s="2344"/>
    </row>
    <row r="100" spans="1:29" s="457" customFormat="1" x14ac:dyDescent="0.25">
      <c r="A100" s="1656"/>
      <c r="B100" s="2345"/>
      <c r="C100" s="2230"/>
      <c r="D100" s="340"/>
      <c r="E100" s="1656"/>
      <c r="G100" s="2355"/>
      <c r="H100" s="455"/>
      <c r="I100" s="897"/>
      <c r="J100" s="455"/>
      <c r="K100" s="1668"/>
      <c r="L100" s="340"/>
      <c r="M100" s="901"/>
      <c r="O100" s="1668"/>
      <c r="P100" s="340"/>
      <c r="Q100" s="901"/>
      <c r="R100" s="592"/>
      <c r="S100" s="2341"/>
      <c r="T100" s="340"/>
      <c r="U100" s="2344"/>
      <c r="V100" s="952"/>
      <c r="W100" s="2343"/>
      <c r="X100" s="340"/>
      <c r="Y100" s="2344"/>
      <c r="AA100" s="1668"/>
      <c r="AB100" s="340"/>
      <c r="AC100" s="2344"/>
    </row>
    <row r="101" spans="1:29" s="2402" customFormat="1" ht="11.25" x14ac:dyDescent="0.2">
      <c r="A101" s="2363"/>
      <c r="B101" s="2395"/>
      <c r="C101" s="2396" t="s">
        <v>221</v>
      </c>
      <c r="D101" s="2397">
        <f>+D82+D66+D53+D41+D30</f>
        <v>1458.07</v>
      </c>
      <c r="E101" s="2363"/>
      <c r="G101" s="2399" t="s">
        <v>221</v>
      </c>
      <c r="H101" s="2397">
        <f>+H82+H66+H53+H41+H30</f>
        <v>5531</v>
      </c>
      <c r="I101" s="2400"/>
      <c r="J101" s="607"/>
      <c r="K101" s="2399" t="s">
        <v>221</v>
      </c>
      <c r="L101" s="2397">
        <f>+L82+L66+L53+L41+L30</f>
        <v>0</v>
      </c>
      <c r="M101" s="2404"/>
      <c r="O101" s="2399" t="s">
        <v>221</v>
      </c>
      <c r="P101" s="2397">
        <f>+P82+P66+P53+P41+P30</f>
        <v>0</v>
      </c>
      <c r="Q101" s="2404"/>
      <c r="R101" s="608"/>
      <c r="S101" s="2405" t="s">
        <v>221</v>
      </c>
      <c r="T101" s="2397">
        <f>+T82+T66+T53+T41+T30</f>
        <v>0</v>
      </c>
      <c r="U101" s="2409"/>
      <c r="V101" s="2407"/>
      <c r="W101" s="2408" t="s">
        <v>221</v>
      </c>
      <c r="X101" s="2397">
        <f>+X82+X66+X53+X41+X30</f>
        <v>0</v>
      </c>
      <c r="Y101" s="2409"/>
      <c r="AA101" s="2399" t="s">
        <v>221</v>
      </c>
      <c r="AB101" s="2397" t="e">
        <f>+AB82+AB66+AB53+AB41+AB30</f>
        <v>#VALUE!</v>
      </c>
      <c r="AC101" s="2409"/>
    </row>
    <row r="102" spans="1:29" s="2402" customFormat="1" ht="11.25" x14ac:dyDescent="0.2">
      <c r="A102" s="2413"/>
      <c r="B102" s="2395"/>
      <c r="C102" s="2411" t="s">
        <v>222</v>
      </c>
      <c r="D102" s="2412">
        <f>+D13</f>
        <v>51.93</v>
      </c>
      <c r="E102" s="2419"/>
      <c r="F102" s="2410"/>
      <c r="G102" s="2415" t="s">
        <v>222</v>
      </c>
      <c r="H102" s="2412">
        <f>+H13</f>
        <v>246</v>
      </c>
      <c r="I102" s="2398"/>
      <c r="J102" s="608"/>
      <c r="K102" s="2415" t="s">
        <v>222</v>
      </c>
      <c r="L102" s="2412">
        <f>+L13</f>
        <v>0</v>
      </c>
      <c r="M102" s="2404"/>
      <c r="O102" s="2415" t="s">
        <v>222</v>
      </c>
      <c r="P102" s="2412">
        <f>+P13</f>
        <v>0</v>
      </c>
      <c r="Q102" s="2363"/>
      <c r="R102" s="608"/>
      <c r="S102" s="2416" t="s">
        <v>222</v>
      </c>
      <c r="T102" s="2412">
        <f>+T13</f>
        <v>0</v>
      </c>
      <c r="V102" s="2407"/>
      <c r="W102" s="2417" t="s">
        <v>222</v>
      </c>
      <c r="X102" s="2412">
        <f>+X13</f>
        <v>0</v>
      </c>
      <c r="AA102" s="2415" t="s">
        <v>222</v>
      </c>
      <c r="AB102" s="2412">
        <f>+AB13</f>
        <v>0</v>
      </c>
    </row>
    <row r="103" spans="1:29" s="2402" customFormat="1" ht="11.25" x14ac:dyDescent="0.2">
      <c r="A103" s="2413"/>
      <c r="B103" s="2395"/>
      <c r="C103" s="2411"/>
      <c r="D103" s="2418">
        <f>+D101+D102</f>
        <v>1510</v>
      </c>
      <c r="E103" s="2419"/>
      <c r="F103" s="2410"/>
      <c r="G103" s="2415"/>
      <c r="H103" s="2418">
        <f>+H101+H102</f>
        <v>5777</v>
      </c>
      <c r="I103" s="2398"/>
      <c r="J103" s="608"/>
      <c r="K103" s="2415"/>
      <c r="L103" s="2418">
        <f>+L101+L102</f>
        <v>0</v>
      </c>
      <c r="M103" s="2363"/>
      <c r="O103" s="2415"/>
      <c r="P103" s="2418">
        <f>+P101+P102</f>
        <v>0</v>
      </c>
      <c r="Q103" s="2363"/>
      <c r="R103" s="608"/>
      <c r="S103" s="2416"/>
      <c r="T103" s="2418">
        <f>+T101+T102</f>
        <v>0</v>
      </c>
      <c r="V103" s="2407"/>
      <c r="W103" s="2417"/>
      <c r="X103" s="2418">
        <f>+X101+X102</f>
        <v>0</v>
      </c>
      <c r="AA103" s="2415"/>
      <c r="AB103" s="2418" t="e">
        <f>+AB101+AB102</f>
        <v>#VALUE!</v>
      </c>
    </row>
    <row r="104" spans="1:29" s="457" customFormat="1" ht="15" customHeight="1" x14ac:dyDescent="0.25">
      <c r="A104" s="897"/>
      <c r="B104" s="2422"/>
      <c r="C104" s="2422"/>
      <c r="D104" s="459">
        <f>+D91-D103</f>
        <v>0</v>
      </c>
      <c r="E104" s="2386"/>
      <c r="F104" s="340"/>
      <c r="G104" s="2447"/>
      <c r="H104" s="459">
        <f>+H91-H103</f>
        <v>0</v>
      </c>
      <c r="I104" s="2339"/>
      <c r="J104" s="592"/>
      <c r="K104" s="2447"/>
      <c r="L104" s="459">
        <f>+L91-L103</f>
        <v>0</v>
      </c>
      <c r="M104" s="1656"/>
      <c r="O104" s="2447"/>
      <c r="P104" s="459">
        <f>+P91-P103</f>
        <v>0</v>
      </c>
      <c r="Q104" s="1656"/>
      <c r="R104" s="592"/>
      <c r="S104" s="2447"/>
      <c r="T104" s="459">
        <f>+T91-T103</f>
        <v>0</v>
      </c>
      <c r="V104" s="952"/>
      <c r="W104" s="2448"/>
      <c r="X104" s="459">
        <f>+X91-X103</f>
        <v>0</v>
      </c>
      <c r="AA104" s="2447"/>
      <c r="AB104" s="459" t="e">
        <f>+AB91-AB103</f>
        <v>#VALUE!</v>
      </c>
    </row>
    <row r="105" spans="1:29" s="457" customFormat="1" x14ac:dyDescent="0.25">
      <c r="A105" s="897"/>
      <c r="B105" s="2422"/>
      <c r="C105" s="2422"/>
      <c r="D105" s="455"/>
      <c r="E105" s="2386"/>
      <c r="F105" s="340"/>
      <c r="G105" s="2338"/>
      <c r="H105" s="2424"/>
      <c r="I105" s="2339"/>
      <c r="J105" s="592"/>
      <c r="K105" s="1668"/>
      <c r="L105" s="2370"/>
      <c r="M105" s="1656"/>
      <c r="O105" s="1668"/>
      <c r="P105" s="340"/>
      <c r="Q105" s="1656"/>
      <c r="R105" s="592"/>
      <c r="S105" s="2341"/>
      <c r="V105" s="952"/>
      <c r="W105" s="2343"/>
      <c r="AA105" s="1668"/>
    </row>
    <row r="106" spans="1:29" s="457" customFormat="1" x14ac:dyDescent="0.25">
      <c r="A106" s="897"/>
      <c r="B106" s="2394"/>
      <c r="C106" s="2230"/>
      <c r="D106" s="342"/>
      <c r="E106" s="2386"/>
      <c r="F106" s="340"/>
      <c r="G106" s="2338"/>
      <c r="H106" s="2424"/>
      <c r="I106" s="2339"/>
      <c r="J106" s="592"/>
      <c r="K106" s="1668"/>
      <c r="L106" s="2370"/>
      <c r="M106" s="1656"/>
      <c r="O106" s="1668"/>
      <c r="P106" s="340"/>
      <c r="Q106" s="1656"/>
      <c r="R106" s="592"/>
      <c r="S106" s="2341"/>
      <c r="V106" s="952"/>
      <c r="W106" s="2343"/>
      <c r="AA106" s="1668"/>
    </row>
    <row r="107" spans="1:29" s="457" customFormat="1" x14ac:dyDescent="0.25">
      <c r="A107" s="1656"/>
      <c r="B107" s="2394"/>
      <c r="C107" s="2230"/>
      <c r="D107" s="455"/>
      <c r="E107" s="1656"/>
      <c r="G107" s="2338"/>
      <c r="H107" s="2424"/>
      <c r="I107" s="2339"/>
      <c r="J107" s="592"/>
      <c r="K107" s="1668"/>
      <c r="L107" s="2370"/>
      <c r="M107" s="1656"/>
      <c r="O107" s="1668"/>
      <c r="P107" s="340"/>
      <c r="Q107" s="1656"/>
      <c r="R107" s="592"/>
      <c r="S107" s="2341"/>
      <c r="V107" s="952"/>
      <c r="W107" s="2343"/>
      <c r="AA107" s="1668"/>
    </row>
    <row r="108" spans="1:29" s="457" customFormat="1" x14ac:dyDescent="0.25">
      <c r="A108" s="1656"/>
      <c r="B108" s="2394"/>
      <c r="C108" s="2230"/>
      <c r="D108" s="455"/>
      <c r="E108" s="1656"/>
      <c r="G108" s="2338"/>
      <c r="H108" s="2424"/>
      <c r="I108" s="2339"/>
      <c r="J108" s="592"/>
      <c r="K108" s="1668"/>
      <c r="L108" s="2370"/>
      <c r="M108" s="1656"/>
      <c r="O108" s="1668"/>
      <c r="P108" s="340"/>
      <c r="Q108" s="1656"/>
      <c r="R108" s="592"/>
      <c r="S108" s="2341"/>
      <c r="V108" s="952"/>
      <c r="W108" s="2343"/>
      <c r="AA108" s="1668"/>
    </row>
    <row r="109" spans="1:29" s="457" customFormat="1" ht="15" customHeight="1" x14ac:dyDescent="0.25">
      <c r="A109" s="1656"/>
      <c r="B109" s="2394"/>
      <c r="C109" s="2230"/>
      <c r="D109" s="455"/>
      <c r="E109" s="1656"/>
      <c r="G109" s="2338"/>
      <c r="H109" s="2424"/>
      <c r="I109" s="2339"/>
      <c r="J109" s="592"/>
      <c r="K109" s="1668"/>
      <c r="L109" s="2370"/>
      <c r="M109" s="1656"/>
      <c r="O109" s="1668"/>
      <c r="P109" s="340"/>
      <c r="Q109" s="1656"/>
      <c r="R109" s="592"/>
      <c r="S109" s="2341"/>
      <c r="V109" s="952"/>
      <c r="W109" s="2343"/>
      <c r="AA109" s="1668"/>
    </row>
    <row r="110" spans="1:29" s="457" customFormat="1" x14ac:dyDescent="0.25">
      <c r="A110" s="1656"/>
      <c r="B110" s="2394"/>
      <c r="C110" s="2230"/>
      <c r="D110" s="455"/>
      <c r="E110" s="1656"/>
      <c r="G110" s="2338"/>
      <c r="H110" s="2424"/>
      <c r="I110" s="2339"/>
      <c r="J110" s="592"/>
      <c r="K110" s="1668"/>
      <c r="L110" s="2370"/>
      <c r="M110" s="1656"/>
      <c r="O110" s="1668"/>
      <c r="P110" s="340"/>
      <c r="Q110" s="1656"/>
      <c r="R110" s="592"/>
      <c r="S110" s="2341"/>
      <c r="V110" s="952"/>
      <c r="W110" s="2343"/>
      <c r="AA110" s="1668"/>
    </row>
    <row r="111" spans="1:29" s="457" customFormat="1" x14ac:dyDescent="0.25">
      <c r="A111" s="1656"/>
      <c r="B111" s="2394"/>
      <c r="C111" s="2230"/>
      <c r="D111" s="455"/>
      <c r="E111" s="1656"/>
      <c r="G111" s="2338"/>
      <c r="H111" s="2424"/>
      <c r="I111" s="2339"/>
      <c r="J111" s="592"/>
      <c r="K111" s="1668"/>
      <c r="L111" s="2370"/>
      <c r="M111" s="1656"/>
      <c r="O111" s="1668"/>
      <c r="P111" s="340"/>
      <c r="Q111" s="1656"/>
      <c r="R111" s="592"/>
      <c r="S111" s="2341"/>
      <c r="V111" s="952"/>
      <c r="W111" s="2343"/>
      <c r="AA111" s="1668"/>
    </row>
    <row r="112" spans="1:29" s="457" customFormat="1" ht="15" customHeight="1" x14ac:dyDescent="0.25">
      <c r="A112" s="1656"/>
      <c r="B112" s="2570"/>
      <c r="C112" s="2570"/>
      <c r="D112" s="455"/>
      <c r="E112" s="1656"/>
      <c r="G112" s="2338"/>
      <c r="H112" s="2424"/>
      <c r="I112" s="2339"/>
      <c r="J112" s="592"/>
      <c r="K112" s="1668"/>
      <c r="L112" s="2370"/>
      <c r="M112" s="1656"/>
      <c r="O112" s="1668"/>
      <c r="P112" s="340"/>
      <c r="Q112" s="1656"/>
      <c r="R112" s="592"/>
      <c r="S112" s="2341"/>
      <c r="V112" s="952"/>
      <c r="W112" s="2343"/>
      <c r="AA112" s="1668"/>
    </row>
    <row r="113" spans="1:27" s="457" customFormat="1" x14ac:dyDescent="0.25">
      <c r="A113" s="1656"/>
      <c r="B113" s="2570"/>
      <c r="C113" s="2570"/>
      <c r="D113" s="455"/>
      <c r="E113" s="1656"/>
      <c r="G113" s="2338"/>
      <c r="H113" s="2424"/>
      <c r="I113" s="2339"/>
      <c r="J113" s="592"/>
      <c r="K113" s="1668"/>
      <c r="L113" s="2370"/>
      <c r="M113" s="1656"/>
      <c r="O113" s="1668"/>
      <c r="P113" s="340"/>
      <c r="Q113" s="1656"/>
      <c r="R113" s="592"/>
      <c r="S113" s="2341"/>
      <c r="V113" s="952"/>
      <c r="W113" s="2343"/>
      <c r="AA113" s="1668"/>
    </row>
    <row r="114" spans="1:27" s="457" customFormat="1" x14ac:dyDescent="0.25">
      <c r="A114" s="1656"/>
      <c r="B114" s="2394"/>
      <c r="C114" s="2230"/>
      <c r="D114" s="460"/>
      <c r="E114" s="1656"/>
      <c r="G114" s="2338"/>
      <c r="H114" s="2424"/>
      <c r="I114" s="2339"/>
      <c r="J114" s="592"/>
      <c r="K114" s="1668"/>
      <c r="L114" s="2370"/>
      <c r="M114" s="1656"/>
      <c r="O114" s="1668"/>
      <c r="P114" s="340"/>
      <c r="Q114" s="1656"/>
      <c r="R114" s="592"/>
      <c r="S114" s="2341"/>
      <c r="V114" s="952"/>
      <c r="W114" s="2343"/>
      <c r="AA114" s="1668"/>
    </row>
    <row r="115" spans="1:27" s="457" customFormat="1" x14ac:dyDescent="0.25">
      <c r="A115" s="1656"/>
      <c r="B115" s="2394"/>
      <c r="C115" s="2230"/>
      <c r="D115" s="455"/>
      <c r="E115" s="1656"/>
      <c r="G115" s="2338"/>
      <c r="H115" s="2424"/>
      <c r="I115" s="2339"/>
      <c r="J115" s="592"/>
      <c r="K115" s="1668"/>
      <c r="L115" s="2370"/>
      <c r="M115" s="1656"/>
      <c r="O115" s="1668"/>
      <c r="P115" s="340"/>
      <c r="Q115" s="1656"/>
      <c r="R115" s="592"/>
      <c r="S115" s="2341"/>
      <c r="V115" s="952"/>
      <c r="W115" s="2343"/>
      <c r="AA115" s="1668"/>
    </row>
    <row r="116" spans="1:27" s="457" customFormat="1" x14ac:dyDescent="0.25">
      <c r="A116" s="1656"/>
      <c r="B116" s="2394"/>
      <c r="C116" s="2230"/>
      <c r="D116" s="455"/>
      <c r="E116" s="1656"/>
      <c r="G116" s="2338"/>
      <c r="H116" s="2424"/>
      <c r="I116" s="2339"/>
      <c r="J116" s="592"/>
      <c r="K116" s="1668"/>
      <c r="L116" s="2370"/>
      <c r="M116" s="1656"/>
      <c r="O116" s="1668"/>
      <c r="P116" s="340"/>
      <c r="Q116" s="1656"/>
      <c r="R116" s="592"/>
      <c r="S116" s="2341"/>
      <c r="V116" s="952"/>
      <c r="W116" s="2343"/>
      <c r="AA116" s="1668"/>
    </row>
    <row r="117" spans="1:27" s="457" customFormat="1" ht="28.5" customHeight="1" x14ac:dyDescent="0.25">
      <c r="A117" s="1656"/>
      <c r="B117" s="2394"/>
      <c r="C117" s="2230"/>
      <c r="D117" s="342"/>
      <c r="E117" s="1656"/>
      <c r="G117" s="2338"/>
      <c r="H117" s="2424"/>
      <c r="I117" s="2339"/>
      <c r="J117" s="592"/>
      <c r="K117" s="1668"/>
      <c r="L117" s="2370"/>
      <c r="M117" s="1656"/>
      <c r="O117" s="1668"/>
      <c r="P117" s="340"/>
      <c r="Q117" s="1656"/>
      <c r="R117" s="592"/>
      <c r="S117" s="2341"/>
      <c r="V117" s="952"/>
      <c r="W117" s="2343"/>
      <c r="AA117" s="1668"/>
    </row>
    <row r="118" spans="1:27" s="457" customFormat="1" x14ac:dyDescent="0.25">
      <c r="A118" s="1656"/>
      <c r="B118" s="2394"/>
      <c r="C118" s="2230"/>
      <c r="D118" s="455"/>
      <c r="E118" s="1656"/>
      <c r="G118" s="2338"/>
      <c r="H118" s="2424"/>
      <c r="I118" s="2339"/>
      <c r="J118" s="592"/>
      <c r="K118" s="1668"/>
      <c r="L118" s="2370"/>
      <c r="M118" s="1656"/>
      <c r="O118" s="1668"/>
      <c r="P118" s="340"/>
      <c r="Q118" s="1656"/>
      <c r="R118" s="592"/>
      <c r="S118" s="2341"/>
      <c r="V118" s="952"/>
      <c r="W118" s="2343"/>
      <c r="AA118" s="1668"/>
    </row>
    <row r="119" spans="1:27" s="457" customFormat="1" x14ac:dyDescent="0.25">
      <c r="A119" s="1656"/>
      <c r="B119" s="2394"/>
      <c r="C119" s="2230"/>
      <c r="D119" s="455"/>
      <c r="E119" s="1656"/>
      <c r="G119" s="2338"/>
      <c r="H119" s="2424"/>
      <c r="I119" s="2339"/>
      <c r="J119" s="592"/>
      <c r="K119" s="1668"/>
      <c r="L119" s="2370"/>
      <c r="M119" s="1656"/>
      <c r="O119" s="1668"/>
      <c r="P119" s="340"/>
      <c r="Q119" s="1656"/>
      <c r="R119" s="592"/>
      <c r="S119" s="2341"/>
      <c r="V119" s="952"/>
      <c r="W119" s="2343"/>
      <c r="AA119" s="1668"/>
    </row>
    <row r="120" spans="1:27" s="457" customFormat="1" x14ac:dyDescent="0.25">
      <c r="A120" s="1656"/>
      <c r="B120" s="2394"/>
      <c r="C120" s="2230"/>
      <c r="D120" s="455"/>
      <c r="E120" s="1656"/>
      <c r="G120" s="2338"/>
      <c r="H120" s="2424"/>
      <c r="I120" s="2339"/>
      <c r="J120" s="592"/>
      <c r="K120" s="1668"/>
      <c r="L120" s="2370"/>
      <c r="M120" s="1656"/>
      <c r="O120" s="1668"/>
      <c r="P120" s="340"/>
      <c r="Q120" s="1656"/>
      <c r="R120" s="592"/>
      <c r="S120" s="2341"/>
      <c r="V120" s="952"/>
      <c r="W120" s="2343"/>
      <c r="AA120" s="1668"/>
    </row>
    <row r="121" spans="1:27" s="457" customFormat="1" x14ac:dyDescent="0.25">
      <c r="A121" s="1656"/>
      <c r="B121" s="2394"/>
      <c r="C121" s="2230"/>
      <c r="D121" s="455"/>
      <c r="E121" s="1656"/>
      <c r="G121" s="2338"/>
      <c r="H121" s="2424"/>
      <c r="I121" s="2339"/>
      <c r="J121" s="592"/>
      <c r="K121" s="1668"/>
      <c r="L121" s="2370"/>
      <c r="M121" s="1656"/>
      <c r="O121" s="1668"/>
      <c r="P121" s="340"/>
      <c r="Q121" s="1656"/>
      <c r="R121" s="592"/>
      <c r="S121" s="2341"/>
      <c r="V121" s="952"/>
      <c r="W121" s="2343"/>
      <c r="AA121" s="1668"/>
    </row>
    <row r="122" spans="1:27" s="457" customFormat="1" x14ac:dyDescent="0.25">
      <c r="A122" s="1656"/>
      <c r="B122" s="2394"/>
      <c r="C122" s="2230"/>
      <c r="D122" s="455"/>
      <c r="E122" s="1656"/>
      <c r="G122" s="2338"/>
      <c r="H122" s="2424"/>
      <c r="I122" s="2339"/>
      <c r="J122" s="592"/>
      <c r="K122" s="1668"/>
      <c r="L122" s="2370"/>
      <c r="M122" s="1656"/>
      <c r="O122" s="1668"/>
      <c r="P122" s="340"/>
      <c r="Q122" s="1656"/>
      <c r="R122" s="592"/>
      <c r="S122" s="2341"/>
      <c r="V122" s="952"/>
      <c r="W122" s="2343"/>
      <c r="AA122" s="1668"/>
    </row>
    <row r="123" spans="1:27" s="457" customFormat="1" x14ac:dyDescent="0.25">
      <c r="A123" s="1656"/>
      <c r="B123" s="2394"/>
      <c r="C123" s="2230"/>
      <c r="D123" s="455"/>
      <c r="E123" s="1656"/>
      <c r="G123" s="2338"/>
      <c r="H123" s="2424"/>
      <c r="I123" s="2339"/>
      <c r="J123" s="592"/>
      <c r="K123" s="1668"/>
      <c r="L123" s="2370"/>
      <c r="M123" s="1656"/>
      <c r="O123" s="1668"/>
      <c r="P123" s="340"/>
      <c r="Q123" s="1656"/>
      <c r="R123" s="592"/>
      <c r="S123" s="2341"/>
      <c r="V123" s="952"/>
      <c r="W123" s="2343"/>
      <c r="AA123" s="1668"/>
    </row>
    <row r="124" spans="1:27" s="457" customFormat="1" x14ac:dyDescent="0.25">
      <c r="A124" s="1656"/>
      <c r="B124" s="2394"/>
      <c r="C124" s="2230"/>
      <c r="D124" s="455"/>
      <c r="E124" s="1656"/>
      <c r="G124" s="2338"/>
      <c r="H124" s="2424"/>
      <c r="I124" s="2339"/>
      <c r="J124" s="592"/>
      <c r="K124" s="1668"/>
      <c r="L124" s="2370"/>
      <c r="M124" s="1656"/>
      <c r="O124" s="1668"/>
      <c r="P124" s="340"/>
      <c r="Q124" s="1656"/>
      <c r="R124" s="592"/>
      <c r="S124" s="2341"/>
      <c r="V124" s="952"/>
      <c r="W124" s="2343"/>
      <c r="AA124" s="1668"/>
    </row>
    <row r="125" spans="1:27" s="457" customFormat="1" x14ac:dyDescent="0.25">
      <c r="A125" s="1656"/>
      <c r="B125" s="2394"/>
      <c r="C125" s="2230"/>
      <c r="D125" s="455"/>
      <c r="E125" s="1656"/>
      <c r="G125" s="2338"/>
      <c r="H125" s="2424"/>
      <c r="I125" s="2339"/>
      <c r="J125" s="592"/>
      <c r="K125" s="1668"/>
      <c r="L125" s="2370"/>
      <c r="M125" s="1656"/>
      <c r="O125" s="1668"/>
      <c r="P125" s="340"/>
      <c r="Q125" s="1656"/>
      <c r="R125" s="592"/>
      <c r="S125" s="2341"/>
      <c r="V125" s="952"/>
      <c r="W125" s="2343"/>
      <c r="AA125" s="1668"/>
    </row>
    <row r="126" spans="1:27" s="457" customFormat="1" x14ac:dyDescent="0.25">
      <c r="A126" s="1656"/>
      <c r="B126" s="2394"/>
      <c r="C126" s="2230"/>
      <c r="D126" s="455"/>
      <c r="E126" s="1656"/>
      <c r="G126" s="2338"/>
      <c r="H126" s="2424"/>
      <c r="I126" s="2339"/>
      <c r="J126" s="592"/>
      <c r="K126" s="1668"/>
      <c r="L126" s="2370"/>
      <c r="M126" s="1656"/>
      <c r="O126" s="1668"/>
      <c r="P126" s="340"/>
      <c r="Q126" s="1656"/>
      <c r="R126" s="592"/>
      <c r="S126" s="2341"/>
      <c r="V126" s="952"/>
      <c r="W126" s="2343"/>
      <c r="AA126" s="1668"/>
    </row>
    <row r="127" spans="1:27" s="457" customFormat="1" x14ac:dyDescent="0.25">
      <c r="A127" s="1656"/>
      <c r="B127" s="2394"/>
      <c r="C127" s="2230"/>
      <c r="D127" s="455"/>
      <c r="E127" s="1656"/>
      <c r="G127" s="2338"/>
      <c r="H127" s="2424"/>
      <c r="I127" s="2339"/>
      <c r="J127" s="592"/>
      <c r="K127" s="1668"/>
      <c r="L127" s="2370"/>
      <c r="M127" s="1656"/>
      <c r="O127" s="1668"/>
      <c r="P127" s="340"/>
      <c r="Q127" s="1656"/>
      <c r="R127" s="592"/>
      <c r="S127" s="2341"/>
      <c r="V127" s="952"/>
      <c r="W127" s="2343"/>
      <c r="AA127" s="1668"/>
    </row>
    <row r="128" spans="1:27" s="457" customFormat="1" x14ac:dyDescent="0.25">
      <c r="A128" s="1656"/>
      <c r="B128" s="2394"/>
      <c r="C128" s="2230"/>
      <c r="D128" s="455"/>
      <c r="E128" s="1656"/>
      <c r="G128" s="2338"/>
      <c r="H128" s="2424"/>
      <c r="I128" s="2339"/>
      <c r="J128" s="592"/>
      <c r="K128" s="1668"/>
      <c r="L128" s="2370"/>
      <c r="M128" s="1656"/>
      <c r="O128" s="1668"/>
      <c r="P128" s="340"/>
      <c r="Q128" s="1656"/>
      <c r="R128" s="592"/>
      <c r="S128" s="2341"/>
      <c r="V128" s="952"/>
      <c r="W128" s="2343"/>
      <c r="AA128" s="1668"/>
    </row>
    <row r="129" spans="1:27" s="457" customFormat="1" x14ac:dyDescent="0.25">
      <c r="A129" s="1656"/>
      <c r="B129" s="2394"/>
      <c r="C129" s="2230"/>
      <c r="D129" s="455"/>
      <c r="E129" s="1656"/>
      <c r="G129" s="2338"/>
      <c r="H129" s="2424"/>
      <c r="I129" s="2339"/>
      <c r="J129" s="592"/>
      <c r="K129" s="1668"/>
      <c r="L129" s="2370"/>
      <c r="M129" s="1656"/>
      <c r="O129" s="1668"/>
      <c r="P129" s="340"/>
      <c r="Q129" s="1656"/>
      <c r="R129" s="592"/>
      <c r="S129" s="2341"/>
      <c r="V129" s="952"/>
      <c r="W129" s="2343"/>
      <c r="AA129" s="1668"/>
    </row>
    <row r="130" spans="1:27" s="457" customFormat="1" x14ac:dyDescent="0.25">
      <c r="A130" s="1656"/>
      <c r="B130" s="2394"/>
      <c r="C130" s="2230"/>
      <c r="D130" s="455"/>
      <c r="E130" s="1656"/>
      <c r="G130" s="2338"/>
      <c r="H130" s="2424"/>
      <c r="I130" s="2339"/>
      <c r="J130" s="592"/>
      <c r="K130" s="1668"/>
      <c r="L130" s="2370"/>
      <c r="M130" s="1656"/>
      <c r="O130" s="1668"/>
      <c r="P130" s="340"/>
      <c r="Q130" s="1656"/>
      <c r="R130" s="592"/>
      <c r="S130" s="2341"/>
      <c r="V130" s="952"/>
      <c r="W130" s="2343"/>
      <c r="AA130" s="1668"/>
    </row>
    <row r="131" spans="1:27" s="457" customFormat="1" x14ac:dyDescent="0.25">
      <c r="A131" s="1656"/>
      <c r="B131" s="2394"/>
      <c r="C131" s="2230"/>
      <c r="D131" s="455"/>
      <c r="E131" s="1656"/>
      <c r="G131" s="2338"/>
      <c r="H131" s="2424"/>
      <c r="I131" s="2339"/>
      <c r="J131" s="592"/>
      <c r="K131" s="1668"/>
      <c r="L131" s="2370"/>
      <c r="M131" s="1656"/>
      <c r="O131" s="1668"/>
      <c r="P131" s="340"/>
      <c r="Q131" s="1656"/>
      <c r="R131" s="592"/>
      <c r="S131" s="2341"/>
      <c r="V131" s="952"/>
      <c r="W131" s="2343"/>
      <c r="AA131" s="1668"/>
    </row>
    <row r="132" spans="1:27" x14ac:dyDescent="0.25">
      <c r="B132" s="2173"/>
      <c r="C132" s="2179"/>
      <c r="D132" s="36"/>
    </row>
  </sheetData>
  <sheetProtection password="E247" sheet="1" objects="1" scenarios="1"/>
  <mergeCells count="1">
    <mergeCell ref="B112:C113"/>
  </mergeCells>
  <pageMargins left="0.25" right="0.25" top="0.5" bottom="0.5" header="0.25" footer="0.25"/>
  <pageSetup paperSize="5" orientation="portrait" r:id="rId1"/>
  <headerFooter>
    <oddHeader>&amp;L&amp;F</oddHeader>
    <oddFooter>&amp;R&amp;A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C131"/>
  <sheetViews>
    <sheetView zoomScaleNormal="100" workbookViewId="0">
      <pane xSplit="3" ySplit="6" topLeftCell="H7" activePane="bottomRight" state="frozen"/>
      <selection activeCell="H7" sqref="H7"/>
      <selection pane="topRight" activeCell="H7" sqref="H7"/>
      <selection pane="bottomLeft" activeCell="H7" sqref="H7"/>
      <selection pane="bottomRight" activeCell="H7" sqref="H7"/>
    </sheetView>
  </sheetViews>
  <sheetFormatPr defaultRowHeight="15" x14ac:dyDescent="0.25"/>
  <cols>
    <col min="1" max="1" width="1.7109375" style="56" customWidth="1"/>
    <col min="2" max="2" width="8.5703125" style="872" customWidth="1"/>
    <col min="3" max="3" width="21.7109375" style="844" customWidth="1"/>
    <col min="4" max="4" width="16" style="2" hidden="1" customWidth="1"/>
    <col min="5" max="5" width="22" style="844" hidden="1" customWidth="1"/>
    <col min="6" max="6" width="6" style="39" hidden="1" customWidth="1"/>
    <col min="7" max="7" width="9.42578125" style="52" hidden="1" customWidth="1"/>
    <col min="8" max="8" width="13.85546875" style="121" bestFit="1" customWidth="1"/>
    <col min="9" max="9" width="26" style="853" hidden="1" customWidth="1"/>
    <col min="10" max="10" width="5.7109375" style="59" hidden="1" customWidth="1"/>
    <col min="11" max="11" width="10.140625" style="333" hidden="1" customWidth="1"/>
    <col min="12" max="12" width="14" style="122" bestFit="1" customWidth="1"/>
    <col min="13" max="13" width="26" style="844" hidden="1" customWidth="1"/>
    <col min="14" max="14" width="5.7109375" style="39" hidden="1" customWidth="1"/>
    <col min="15" max="15" width="9.42578125" style="333" hidden="1" customWidth="1"/>
    <col min="16" max="16" width="14" style="2" bestFit="1" customWidth="1"/>
    <col min="17" max="17" width="29.85546875" style="844" hidden="1" customWidth="1"/>
    <col min="18" max="18" width="5.28515625" style="51" hidden="1" customWidth="1"/>
    <col min="19" max="19" width="15" style="338" hidden="1" customWidth="1"/>
    <col min="20" max="20" width="14" style="39" customWidth="1"/>
    <col min="21" max="21" width="24.85546875" style="39" hidden="1" customWidth="1"/>
    <col min="22" max="22" width="5.7109375" style="109" customWidth="1"/>
    <col min="23" max="23" width="9.42578125" style="2244" hidden="1" customWidth="1"/>
    <col min="24" max="24" width="14" style="39" hidden="1" customWidth="1"/>
    <col min="25" max="25" width="24.85546875" style="39" hidden="1" customWidth="1"/>
    <col min="26" max="26" width="5.7109375" style="39" hidden="1" customWidth="1"/>
    <col min="27" max="27" width="9.42578125" style="333" hidden="1" customWidth="1"/>
    <col min="28" max="28" width="14" style="39" hidden="1" customWidth="1"/>
    <col min="29" max="29" width="24.85546875" style="39" hidden="1" customWidth="1"/>
    <col min="30" max="16384" width="9.140625" style="39"/>
  </cols>
  <sheetData>
    <row r="1" spans="1:29" x14ac:dyDescent="0.25">
      <c r="B1" s="872" t="s">
        <v>61</v>
      </c>
      <c r="C1" s="873" t="s">
        <v>177</v>
      </c>
      <c r="D1" s="97">
        <v>210664</v>
      </c>
      <c r="E1" s="842" t="s">
        <v>213</v>
      </c>
      <c r="F1" s="98"/>
      <c r="G1" s="83">
        <f>IF(D1=0,"0.00%",(H1-D1)/D1)</f>
        <v>0.25537348574032581</v>
      </c>
      <c r="H1" s="99">
        <v>264462</v>
      </c>
      <c r="I1" s="844" t="s">
        <v>938</v>
      </c>
      <c r="L1" s="121">
        <v>264462</v>
      </c>
      <c r="M1" s="842" t="s">
        <v>172</v>
      </c>
      <c r="O1" s="2"/>
      <c r="P1" s="121">
        <v>266325</v>
      </c>
      <c r="Q1" s="121" t="s">
        <v>172</v>
      </c>
      <c r="R1" s="36"/>
      <c r="S1" s="36"/>
      <c r="T1" s="121">
        <f>P1</f>
        <v>266325</v>
      </c>
      <c r="U1" s="98"/>
      <c r="X1" s="86">
        <f>T1</f>
        <v>266325</v>
      </c>
      <c r="Y1" s="98"/>
      <c r="AB1" s="86">
        <f>X1</f>
        <v>266325</v>
      </c>
      <c r="AC1" s="98"/>
    </row>
    <row r="2" spans="1:29" ht="17.25" x14ac:dyDescent="0.4">
      <c r="B2" s="874" t="s">
        <v>59</v>
      </c>
      <c r="C2" s="295">
        <v>4035</v>
      </c>
      <c r="D2" s="99">
        <v>-1081.22</v>
      </c>
      <c r="E2" s="842" t="s">
        <v>212</v>
      </c>
      <c r="F2" s="98"/>
      <c r="G2" s="326"/>
      <c r="H2" s="121">
        <v>0</v>
      </c>
      <c r="I2" s="842" t="s">
        <v>216</v>
      </c>
      <c r="L2" s="121">
        <v>6541</v>
      </c>
      <c r="M2" s="842" t="s">
        <v>216</v>
      </c>
      <c r="O2" s="2"/>
      <c r="P2" s="121">
        <v>0</v>
      </c>
      <c r="Q2" s="121" t="s">
        <v>216</v>
      </c>
      <c r="R2" s="36"/>
      <c r="S2" s="36"/>
      <c r="T2" s="2">
        <v>0</v>
      </c>
      <c r="U2" s="98"/>
      <c r="X2" s="87">
        <v>0</v>
      </c>
      <c r="Y2" s="98"/>
      <c r="AB2" s="87">
        <v>0</v>
      </c>
      <c r="AC2" s="98"/>
    </row>
    <row r="3" spans="1:29" ht="17.25" x14ac:dyDescent="0.4">
      <c r="D3" s="281">
        <f>+SUM(D1:D2)</f>
        <v>209582.78</v>
      </c>
      <c r="E3" s="843"/>
      <c r="F3" s="100"/>
      <c r="G3" s="83"/>
      <c r="H3" s="99">
        <f>-H1+255121</f>
        <v>-9341</v>
      </c>
      <c r="I3" s="842" t="s">
        <v>215</v>
      </c>
      <c r="L3" s="87">
        <f>-271003+266325</f>
        <v>-4678</v>
      </c>
      <c r="M3" s="853" t="s">
        <v>217</v>
      </c>
      <c r="P3" s="87">
        <v>0</v>
      </c>
      <c r="Q3" s="853" t="s">
        <v>217</v>
      </c>
      <c r="T3" s="87">
        <v>0</v>
      </c>
      <c r="U3" s="51"/>
      <c r="X3" s="86">
        <f>SUM(X1:X2)</f>
        <v>266325</v>
      </c>
      <c r="Y3" s="51"/>
      <c r="AB3" s="86">
        <f>SUM(AB1:AB2)</f>
        <v>266325</v>
      </c>
      <c r="AC3" s="51"/>
    </row>
    <row r="4" spans="1:29" x14ac:dyDescent="0.25">
      <c r="H4" s="281">
        <f>+SUM(H1:H3)</f>
        <v>255121</v>
      </c>
      <c r="I4" s="852"/>
      <c r="L4" s="121">
        <f>SUM(L1:L3)</f>
        <v>266325</v>
      </c>
      <c r="M4" s="853"/>
      <c r="P4" s="121">
        <f>SUM(P1:P3)</f>
        <v>266325</v>
      </c>
      <c r="Q4" s="853"/>
      <c r="T4" s="86">
        <f>SUM(T1:T3)</f>
        <v>266325</v>
      </c>
      <c r="U4" s="51"/>
      <c r="X4" s="86"/>
      <c r="Y4" s="51"/>
      <c r="AB4" s="86"/>
      <c r="AC4" s="51"/>
    </row>
    <row r="5" spans="1:29" ht="15.75" x14ac:dyDescent="0.25">
      <c r="B5" s="876" t="s">
        <v>56</v>
      </c>
      <c r="P5" s="122"/>
      <c r="T5" s="73"/>
      <c r="X5" s="73"/>
      <c r="AB5" s="73"/>
    </row>
    <row r="6" spans="1:29" s="89" customFormat="1" ht="15.75" x14ac:dyDescent="0.25">
      <c r="A6" s="88"/>
      <c r="B6" s="877"/>
      <c r="C6" s="877"/>
      <c r="D6" s="243" t="s">
        <v>55</v>
      </c>
      <c r="E6" s="845"/>
      <c r="G6" s="327"/>
      <c r="H6" s="282" t="str">
        <f>LEFT(D6,4)+1&amp;"-"&amp;RIGHT(D6,4)+1</f>
        <v>2017-2018</v>
      </c>
      <c r="I6" s="854"/>
      <c r="J6" s="93"/>
      <c r="K6" s="334"/>
      <c r="L6" s="123" t="str">
        <f>LEFT(H6,4)+1&amp;"-"&amp;RIGHT(H6,4)+1</f>
        <v>2018-2019</v>
      </c>
      <c r="M6" s="888"/>
      <c r="N6" s="96"/>
      <c r="O6" s="337"/>
      <c r="P6" s="123" t="str">
        <f>LEFT(L6,4)+1&amp;"-"&amp;RIGHT(L6,4)+1</f>
        <v>2019-2020</v>
      </c>
      <c r="Q6" s="888"/>
      <c r="R6" s="2237"/>
      <c r="S6" s="2242"/>
      <c r="T6" s="95" t="str">
        <f>LEFT(P6,4)+1&amp;"-"&amp;RIGHT(P6,4)+1</f>
        <v>2020-2021</v>
      </c>
      <c r="U6" s="95"/>
      <c r="V6" s="110"/>
      <c r="W6" s="2245"/>
      <c r="X6" s="95" t="str">
        <f>LEFT(T6,4)+1&amp;"-"&amp;RIGHT(T6,4)+1</f>
        <v>2021-2022</v>
      </c>
      <c r="Y6" s="95"/>
      <c r="Z6" s="96"/>
      <c r="AA6" s="337"/>
      <c r="AB6" s="95" t="str">
        <f>LEFT(X6,4)+1&amp;"-"&amp;RIGHT(X6,4)+1</f>
        <v>2022-2023</v>
      </c>
      <c r="AC6" s="95"/>
    </row>
    <row r="7" spans="1:29" s="457" customFormat="1" x14ac:dyDescent="0.25">
      <c r="B7" s="2468" t="s">
        <v>54</v>
      </c>
      <c r="C7" s="1656"/>
      <c r="D7" s="340">
        <v>0</v>
      </c>
      <c r="E7" s="1656"/>
      <c r="G7" s="2338"/>
      <c r="H7" s="340">
        <f>D88</f>
        <v>0</v>
      </c>
      <c r="I7" s="1656"/>
      <c r="J7" s="599"/>
      <c r="K7" s="1668"/>
      <c r="L7" s="340">
        <f>H88</f>
        <v>0</v>
      </c>
      <c r="M7" s="1656"/>
      <c r="O7" s="1668"/>
      <c r="P7" s="340">
        <f>L88</f>
        <v>0</v>
      </c>
      <c r="Q7" s="1656"/>
      <c r="R7" s="592"/>
      <c r="S7" s="2341"/>
      <c r="T7" s="340">
        <f>P88</f>
        <v>0</v>
      </c>
      <c r="V7" s="952"/>
      <c r="W7" s="2343"/>
      <c r="X7" s="340">
        <f>T88</f>
        <v>0</v>
      </c>
      <c r="AA7" s="1668"/>
      <c r="AB7" s="340">
        <f>X88</f>
        <v>519</v>
      </c>
    </row>
    <row r="8" spans="1:29" s="457" customFormat="1" x14ac:dyDescent="0.25">
      <c r="B8" s="2432"/>
      <c r="C8" s="1656"/>
      <c r="D8" s="340"/>
      <c r="E8" s="1656"/>
      <c r="G8" s="2338"/>
      <c r="H8" s="340"/>
      <c r="I8" s="1656"/>
      <c r="J8" s="592"/>
      <c r="K8" s="1668"/>
      <c r="L8" s="340"/>
      <c r="M8" s="1656"/>
      <c r="O8" s="1668"/>
      <c r="P8" s="340"/>
      <c r="Q8" s="1656"/>
      <c r="R8" s="592"/>
      <c r="S8" s="2341"/>
      <c r="V8" s="952"/>
      <c r="W8" s="2343"/>
      <c r="AA8" s="1668"/>
    </row>
    <row r="9" spans="1:29" s="457" customFormat="1" x14ac:dyDescent="0.25">
      <c r="B9" s="2432" t="s">
        <v>52</v>
      </c>
      <c r="C9" s="1656" t="s">
        <v>53</v>
      </c>
      <c r="D9" s="340">
        <v>211006</v>
      </c>
      <c r="E9" s="1656" t="s">
        <v>210</v>
      </c>
      <c r="G9" s="456">
        <f>IF(D9=0,"0.00%",(H9-D9)/D9)</f>
        <v>0.22233964910950399</v>
      </c>
      <c r="H9" s="833">
        <v>257921</v>
      </c>
      <c r="I9" s="1656"/>
      <c r="J9" s="342"/>
      <c r="K9" s="456">
        <f>IF(H9=0,"0.00%",(L9-H9)/H9)</f>
        <v>3.2583620565987258E-2</v>
      </c>
      <c r="L9" s="833">
        <v>266325</v>
      </c>
      <c r="M9" s="1656"/>
      <c r="O9" s="456">
        <f>IF(L9=0,"0.00%",(P9-L9)/L9)</f>
        <v>0</v>
      </c>
      <c r="P9" s="833">
        <f>L9</f>
        <v>266325</v>
      </c>
      <c r="Q9" s="1656" t="s">
        <v>173</v>
      </c>
      <c r="R9" s="592"/>
      <c r="S9" s="2238">
        <f>IF(P9=0,"0.00%",(T9-P9)/P9)</f>
        <v>0</v>
      </c>
      <c r="T9" s="833">
        <f>P9</f>
        <v>266325</v>
      </c>
      <c r="U9" s="457" t="s">
        <v>173</v>
      </c>
      <c r="V9" s="952"/>
      <c r="W9" s="2241">
        <f>IF(T9=0,"0.00%",(X9-T9)/T9)</f>
        <v>0</v>
      </c>
      <c r="X9" s="833">
        <f>T9</f>
        <v>266325</v>
      </c>
      <c r="Y9" s="457" t="s">
        <v>173</v>
      </c>
      <c r="AA9" s="456">
        <f>IF(X9=0,"0.00%",(AB9-X9)/X9)</f>
        <v>0</v>
      </c>
      <c r="AB9" s="833">
        <f>X9</f>
        <v>266325</v>
      </c>
      <c r="AC9" s="457" t="s">
        <v>173</v>
      </c>
    </row>
    <row r="10" spans="1:29" s="457" customFormat="1" x14ac:dyDescent="0.25">
      <c r="B10" s="2432"/>
      <c r="C10" s="1656" t="s">
        <v>51</v>
      </c>
      <c r="D10" s="340">
        <v>-1081.22</v>
      </c>
      <c r="E10" s="1656" t="s">
        <v>209</v>
      </c>
      <c r="G10" s="456">
        <f t="shared" ref="G10:G15" si="0">IF(D10=0,"0.00%",(H10-D10)/D10)</f>
        <v>-1</v>
      </c>
      <c r="H10" s="833">
        <v>0</v>
      </c>
      <c r="I10" s="1656"/>
      <c r="J10" s="342"/>
      <c r="K10" s="456" t="str">
        <f>IF(H10=0,"0.00%",(L10-H10)/H10)</f>
        <v>0.00%</v>
      </c>
      <c r="L10" s="833">
        <v>0</v>
      </c>
      <c r="M10" s="1656" t="s">
        <v>214</v>
      </c>
      <c r="O10" s="456" t="str">
        <f>IF(L10=0,"0.00%",(P10-L10)/L10)</f>
        <v>0.00%</v>
      </c>
      <c r="P10" s="833">
        <v>0</v>
      </c>
      <c r="Q10" s="1656" t="s">
        <v>214</v>
      </c>
      <c r="R10" s="592"/>
      <c r="S10" s="2238" t="str">
        <f>IF(P10=0,"0.00%",(T10-P10)/P10)</f>
        <v>0.00%</v>
      </c>
      <c r="T10" s="833">
        <v>0</v>
      </c>
      <c r="V10" s="952"/>
      <c r="W10" s="2241" t="str">
        <f>IF(T10=0,"0.00%",(X10-T10)/T10)</f>
        <v>0.00%</v>
      </c>
      <c r="X10" s="833">
        <f>-T3</f>
        <v>0</v>
      </c>
      <c r="AA10" s="456" t="str">
        <f>IF(X10=0,"0.00%",(AB10-X10)/X10)</f>
        <v>0.00%</v>
      </c>
      <c r="AB10" s="833">
        <f>-X2</f>
        <v>0</v>
      </c>
    </row>
    <row r="11" spans="1:29" s="457" customFormat="1" x14ac:dyDescent="0.25">
      <c r="B11" s="2468" t="s">
        <v>137</v>
      </c>
      <c r="C11" s="1656"/>
      <c r="D11" s="458">
        <f>SUM(D9:D10)</f>
        <v>209924.78</v>
      </c>
      <c r="E11" s="1656"/>
      <c r="G11" s="456">
        <f t="shared" si="0"/>
        <v>0.22863532356685096</v>
      </c>
      <c r="H11" s="458">
        <f>SUM(H9:H10)</f>
        <v>257921</v>
      </c>
      <c r="I11" s="2316">
        <f>+H11-D11</f>
        <v>47996.22</v>
      </c>
      <c r="J11" s="601"/>
      <c r="K11" s="456">
        <f>IF(H11=0,"0.00%",(L11-H11)/H11)</f>
        <v>3.2583620565987258E-2</v>
      </c>
      <c r="L11" s="458">
        <f>SUM(L9:L10)</f>
        <v>266325</v>
      </c>
      <c r="M11" s="2316">
        <f>+L11-H11</f>
        <v>8404</v>
      </c>
      <c r="O11" s="456">
        <f>IF(L11=0,"0.00%",(P11-L11)/L11)</f>
        <v>0</v>
      </c>
      <c r="P11" s="458">
        <f>SUM(P9:P10)</f>
        <v>266325</v>
      </c>
      <c r="Q11" s="2316">
        <f>+P11-L11</f>
        <v>0</v>
      </c>
      <c r="R11" s="592"/>
      <c r="S11" s="2238">
        <f>IF(P11=0,"0.00%",(T11-P11)/P11)</f>
        <v>0</v>
      </c>
      <c r="T11" s="2353">
        <f>SUM(T9:T10)</f>
        <v>266325</v>
      </c>
      <c r="V11" s="952"/>
      <c r="W11" s="2241">
        <f>IF(T11=0,"0.00%",(X11-T11)/T11)</f>
        <v>0</v>
      </c>
      <c r="X11" s="2353">
        <f>SUM(X9:X10)</f>
        <v>266325</v>
      </c>
      <c r="AA11" s="456">
        <f>IF(X11=0,"0.00%",(AB11-X11)/X11)</f>
        <v>0</v>
      </c>
      <c r="AB11" s="2353">
        <f>SUM(AB9:AB10)</f>
        <v>266325</v>
      </c>
    </row>
    <row r="12" spans="1:29" s="457" customFormat="1" x14ac:dyDescent="0.25">
      <c r="B12" s="2432"/>
      <c r="C12" s="1656"/>
      <c r="D12" s="340"/>
      <c r="E12" s="1656"/>
      <c r="G12" s="2338"/>
      <c r="H12" s="833"/>
      <c r="I12" s="1656"/>
      <c r="J12" s="602"/>
      <c r="K12" s="2338"/>
      <c r="L12" s="833"/>
      <c r="M12" s="1656"/>
      <c r="O12" s="2338"/>
      <c r="P12" s="833"/>
      <c r="Q12" s="1656"/>
      <c r="R12" s="592"/>
      <c r="S12" s="2355"/>
      <c r="T12" s="2356"/>
      <c r="V12" s="952"/>
      <c r="W12" s="2357"/>
      <c r="X12" s="2356"/>
      <c r="AA12" s="2338"/>
      <c r="AB12" s="2356"/>
    </row>
    <row r="13" spans="1:29" s="457" customFormat="1" x14ac:dyDescent="0.25">
      <c r="B13" s="2432"/>
      <c r="C13" s="2384" t="s">
        <v>64</v>
      </c>
      <c r="D13" s="2359">
        <f>ROUND(D11-(D11/(1+E13)),2)</f>
        <v>7490.08</v>
      </c>
      <c r="E13" s="2338">
        <f>'2016-17  RS 3010-DO &amp; All Sites'!AD13</f>
        <v>3.6999999999999998E-2</v>
      </c>
      <c r="G13" s="456">
        <f t="shared" si="0"/>
        <v>0.44804861897336212</v>
      </c>
      <c r="H13" s="2359">
        <v>10846</v>
      </c>
      <c r="I13" s="2455">
        <v>4.4400000000000002E-2</v>
      </c>
      <c r="J13" s="603"/>
      <c r="K13" s="456">
        <f>IF(H13=0,"0.00%",(L13-H13)/H13)</f>
        <v>0.2602802876636548</v>
      </c>
      <c r="L13" s="2359">
        <v>13669</v>
      </c>
      <c r="M13" s="2455">
        <v>5.4100000000000002E-2</v>
      </c>
      <c r="O13" s="456">
        <f>IF(L13=0,"0.00%",(P13-L13)/L13)</f>
        <v>0</v>
      </c>
      <c r="P13" s="2359">
        <f>ROUND(P11-(P11/(1+Q13)),0)</f>
        <v>13669</v>
      </c>
      <c r="Q13" s="2455">
        <f>+M13</f>
        <v>5.4100000000000002E-2</v>
      </c>
      <c r="R13" s="592"/>
      <c r="S13" s="2238">
        <f>IF(P13=0,"0.00%",(T13-P13)/P13)</f>
        <v>0</v>
      </c>
      <c r="T13" s="2359">
        <f>ROUND(T11-(T11/(1+U13)),0)</f>
        <v>13669</v>
      </c>
      <c r="U13" s="2455">
        <f>+Q13</f>
        <v>5.4100000000000002E-2</v>
      </c>
      <c r="V13" s="952"/>
      <c r="W13" s="2241">
        <f>IF(T13=0,"0.00%",(X13-T13)/T13)</f>
        <v>-0.30485039139659081</v>
      </c>
      <c r="X13" s="2362">
        <f>ROUND(X11-(X11/(1+E13)),0)</f>
        <v>9502</v>
      </c>
      <c r="AA13" s="456">
        <f>IF(X13=0,"0.00%",(AB13-X13)/X13)</f>
        <v>7.6723847611029257</v>
      </c>
      <c r="AB13" s="2362">
        <f>ROUND(AB11-(AB11/(1+G13)),0)</f>
        <v>82405</v>
      </c>
    </row>
    <row r="14" spans="1:29" s="457" customFormat="1" x14ac:dyDescent="0.25">
      <c r="B14" s="2432"/>
      <c r="C14" s="1656"/>
      <c r="D14" s="340"/>
      <c r="E14" s="1656"/>
      <c r="G14" s="2338"/>
      <c r="H14" s="833"/>
      <c r="I14" s="1656"/>
      <c r="J14" s="602"/>
      <c r="K14" s="2338"/>
      <c r="L14" s="833"/>
      <c r="M14" s="1656"/>
      <c r="O14" s="2338"/>
      <c r="P14" s="833"/>
      <c r="Q14" s="1656"/>
      <c r="R14" s="592"/>
      <c r="S14" s="2355"/>
      <c r="T14" s="2356"/>
      <c r="V14" s="952"/>
      <c r="W14" s="2357"/>
      <c r="X14" s="2356"/>
      <c r="AA14" s="2338"/>
      <c r="AB14" s="2356"/>
    </row>
    <row r="15" spans="1:29" s="457" customFormat="1" x14ac:dyDescent="0.25">
      <c r="B15" s="2468" t="s">
        <v>50</v>
      </c>
      <c r="C15" s="1656"/>
      <c r="D15" s="1866">
        <f>D11-D13</f>
        <v>202434.7</v>
      </c>
      <c r="E15" s="1656"/>
      <c r="G15" s="456">
        <f t="shared" si="0"/>
        <v>0.22051703586391061</v>
      </c>
      <c r="H15" s="2359">
        <f>H11-H13</f>
        <v>247075</v>
      </c>
      <c r="I15" s="2316">
        <f>+H15-D15</f>
        <v>44640.299999999988</v>
      </c>
      <c r="J15" s="601"/>
      <c r="K15" s="456">
        <f>IF(H15=0,"0.00%",(L15-H15)/H15)</f>
        <v>2.2588282910047556E-2</v>
      </c>
      <c r="L15" s="2359">
        <f>L11-L13</f>
        <v>252656</v>
      </c>
      <c r="M15" s="2316">
        <f>+L15-H15</f>
        <v>5581</v>
      </c>
      <c r="O15" s="456">
        <f>IF(L15=0,"0.00%",(P15-L15)/L15)</f>
        <v>0</v>
      </c>
      <c r="P15" s="2359">
        <f>P11-P13</f>
        <v>252656</v>
      </c>
      <c r="Q15" s="2316">
        <f>+P15-L15</f>
        <v>0</v>
      </c>
      <c r="R15" s="592"/>
      <c r="S15" s="2238">
        <f>IF(P15=0,"0.00%",(T15-P15)/P15)</f>
        <v>0</v>
      </c>
      <c r="T15" s="2366">
        <f>T11-T13</f>
        <v>252656</v>
      </c>
      <c r="V15" s="952"/>
      <c r="W15" s="2241">
        <f>IF(T15=0,"0.00%",(X15-T15)/T15)</f>
        <v>1.6492780697865871E-2</v>
      </c>
      <c r="X15" s="2366">
        <f>X11-X13</f>
        <v>256823</v>
      </c>
      <c r="AA15" s="456">
        <f>IF(X15=0,"0.00%",(AB15-X15)/X15)</f>
        <v>-0.28386476289117407</v>
      </c>
      <c r="AB15" s="2366">
        <f>AB11-AB13</f>
        <v>183920</v>
      </c>
    </row>
    <row r="16" spans="1:29" s="457" customFormat="1" x14ac:dyDescent="0.25">
      <c r="B16" s="2432"/>
      <c r="C16" s="1656"/>
      <c r="D16" s="340"/>
      <c r="E16" s="1656"/>
      <c r="G16" s="2338"/>
      <c r="H16" s="833"/>
      <c r="I16" s="1656"/>
      <c r="J16" s="601"/>
      <c r="K16" s="1668"/>
      <c r="L16" s="833"/>
      <c r="M16" s="1656"/>
      <c r="O16" s="1668"/>
      <c r="P16" s="833"/>
      <c r="Q16" s="1656"/>
      <c r="R16" s="592"/>
      <c r="S16" s="2341"/>
      <c r="T16" s="2367"/>
      <c r="V16" s="952"/>
      <c r="W16" s="2343"/>
      <c r="X16" s="2367"/>
      <c r="AA16" s="1668"/>
      <c r="AB16" s="2367"/>
    </row>
    <row r="17" spans="1:29" s="457" customFormat="1" x14ac:dyDescent="0.25">
      <c r="B17" s="2432"/>
      <c r="C17" s="2432"/>
      <c r="D17" s="340"/>
      <c r="E17" s="1656"/>
      <c r="G17" s="2338"/>
      <c r="H17" s="833"/>
      <c r="I17" s="1656"/>
      <c r="J17" s="602"/>
      <c r="K17" s="1668"/>
      <c r="L17" s="833"/>
      <c r="M17" s="1656"/>
      <c r="O17" s="1668"/>
      <c r="P17" s="833"/>
      <c r="Q17" s="1656"/>
      <c r="R17" s="592"/>
      <c r="S17" s="2341"/>
      <c r="T17" s="2356"/>
      <c r="V17" s="952"/>
      <c r="W17" s="2343"/>
      <c r="X17" s="2356"/>
      <c r="AA17" s="1668"/>
      <c r="AB17" s="2356"/>
    </row>
    <row r="18" spans="1:29" s="457" customFormat="1" x14ac:dyDescent="0.25">
      <c r="A18" s="2433"/>
      <c r="B18" s="2432"/>
      <c r="C18" s="1656"/>
      <c r="D18" s="459" t="s">
        <v>807</v>
      </c>
      <c r="E18" s="1867"/>
      <c r="F18" s="2433"/>
      <c r="G18" s="2338"/>
      <c r="H18" s="459" t="s">
        <v>176</v>
      </c>
      <c r="I18" s="1867"/>
      <c r="J18" s="604"/>
      <c r="K18" s="1668"/>
      <c r="L18" s="2370"/>
      <c r="M18" s="1867"/>
      <c r="O18" s="1668"/>
      <c r="P18" s="340"/>
      <c r="Q18" s="1867"/>
      <c r="R18" s="592"/>
      <c r="S18" s="2341"/>
      <c r="U18" s="2433"/>
      <c r="V18" s="952"/>
      <c r="W18" s="2343"/>
      <c r="Y18" s="2433"/>
      <c r="AA18" s="1668"/>
      <c r="AC18" s="2433"/>
    </row>
    <row r="19" spans="1:29" s="457" customFormat="1" ht="17.25" x14ac:dyDescent="0.4">
      <c r="A19" s="2436"/>
      <c r="B19" s="2432"/>
      <c r="C19" s="1656"/>
      <c r="D19" s="2435" t="s">
        <v>808</v>
      </c>
      <c r="E19" s="2434"/>
      <c r="F19" s="2436"/>
      <c r="G19" s="2338"/>
      <c r="H19" s="2435" t="s">
        <v>48</v>
      </c>
      <c r="I19" s="2371"/>
      <c r="J19" s="459"/>
      <c r="K19" s="1668"/>
      <c r="L19" s="2372" t="s">
        <v>48</v>
      </c>
      <c r="M19" s="2373"/>
      <c r="N19" s="1668"/>
      <c r="O19" s="1668"/>
      <c r="P19" s="2464" t="s">
        <v>48</v>
      </c>
      <c r="Q19" s="2373">
        <v>0.02</v>
      </c>
      <c r="R19" s="592"/>
      <c r="S19" s="2341"/>
      <c r="T19" s="2372" t="s">
        <v>48</v>
      </c>
      <c r="U19" s="2374">
        <v>0.02</v>
      </c>
      <c r="V19" s="952"/>
      <c r="W19" s="2343"/>
      <c r="X19" s="2372" t="s">
        <v>48</v>
      </c>
      <c r="Y19" s="2374">
        <v>0.02</v>
      </c>
      <c r="AA19" s="1668"/>
      <c r="AB19" s="2372" t="s">
        <v>48</v>
      </c>
      <c r="AC19" s="2374">
        <v>0.02</v>
      </c>
    </row>
    <row r="20" spans="1:29" s="2378" customFormat="1" x14ac:dyDescent="0.25">
      <c r="A20" s="461"/>
      <c r="B20" s="2468" t="s">
        <v>46</v>
      </c>
      <c r="C20" s="2384"/>
      <c r="D20" s="1866"/>
      <c r="E20" s="2375"/>
      <c r="F20" s="1866"/>
      <c r="G20" s="2376"/>
      <c r="H20" s="1866"/>
      <c r="I20" s="868"/>
      <c r="J20" s="460"/>
      <c r="K20" s="606"/>
      <c r="L20" s="1866"/>
      <c r="M20" s="2379"/>
      <c r="O20" s="606"/>
      <c r="P20" s="1866"/>
      <c r="Q20" s="2379"/>
      <c r="R20" s="461"/>
      <c r="S20" s="1669"/>
      <c r="T20" s="1866"/>
      <c r="U20" s="2383"/>
      <c r="V20" s="2381"/>
      <c r="W20" s="2382"/>
      <c r="X20" s="1866"/>
      <c r="Y20" s="2383"/>
      <c r="AA20" s="606"/>
      <c r="AB20" s="1866"/>
      <c r="AC20" s="2383"/>
    </row>
    <row r="21" spans="1:29" s="457" customFormat="1" x14ac:dyDescent="0.25">
      <c r="A21" s="342"/>
      <c r="B21" s="2470" t="s">
        <v>178</v>
      </c>
      <c r="C21" s="1656" t="s">
        <v>694</v>
      </c>
      <c r="D21" s="340">
        <v>150325.32</v>
      </c>
      <c r="E21" s="2386" t="s">
        <v>700</v>
      </c>
      <c r="F21" s="340"/>
      <c r="G21" s="456">
        <f t="shared" ref="G21:G29" si="1">IF(D21=0,"0.00%",(H21-D21)/D21)</f>
        <v>0.21275644049851344</v>
      </c>
      <c r="H21" s="340">
        <v>182308</v>
      </c>
      <c r="I21" s="899" t="s">
        <v>939</v>
      </c>
      <c r="J21" s="455"/>
      <c r="K21" s="456">
        <f t="shared" ref="K21:K26" si="2">IF(H21=0,"0.00%",(L21-H21)/H21)</f>
        <v>-1.1985211839304913E-2</v>
      </c>
      <c r="L21" s="340">
        <v>180123</v>
      </c>
      <c r="M21" s="897"/>
      <c r="O21" s="456">
        <f t="shared" ref="O21:O26" si="3">IF(L21=0,"0.00%",(P21-L21)/L21)</f>
        <v>1.9997446189548254E-2</v>
      </c>
      <c r="P21" s="340">
        <f>ROUND(L21*(1+Q19),0)</f>
        <v>183725</v>
      </c>
      <c r="Q21" s="897" t="str">
        <f>TEXT(Q19,"0.0%")&amp;" = Est. S &amp; C"</f>
        <v>2.0% = Est. S &amp; C</v>
      </c>
      <c r="R21" s="592"/>
      <c r="S21" s="2238">
        <f t="shared" ref="S21:S26" si="4">IF(P21=0,"0.00%",(T21-P21)/P21)</f>
        <v>2.0002721458701866E-2</v>
      </c>
      <c r="T21" s="340">
        <f>ROUND(P21*(1+U19),0)</f>
        <v>187400</v>
      </c>
      <c r="U21" s="455" t="str">
        <f>TEXT(U19,"0.0%")&amp;" = Est. S &amp; C"</f>
        <v>2.0% = Est. S &amp; C</v>
      </c>
      <c r="V21" s="952"/>
      <c r="W21" s="2241">
        <f t="shared" ref="W21:W26" si="5">IF(T21=0,"0.00%",(X21-T21)/T21)</f>
        <v>0.02</v>
      </c>
      <c r="X21" s="340">
        <f>ROUND(T21*(1+Y19),0)</f>
        <v>191148</v>
      </c>
      <c r="Y21" s="455" t="str">
        <f>TEXT(Y19,"0.0%")&amp;" = Est. S &amp; C"</f>
        <v>2.0% = Est. S &amp; C</v>
      </c>
      <c r="AA21" s="456">
        <f t="shared" ref="AA21:AA26" si="6">IF(X21=0,"0.00%",(AB21-X21)/X21)</f>
        <v>2.0000209261933161E-2</v>
      </c>
      <c r="AB21" s="340">
        <f>ROUND(X21*(1+AC19),0)</f>
        <v>194971</v>
      </c>
      <c r="AC21" s="455" t="str">
        <f>TEXT(AC19,"0.0%")&amp;" = Est. S &amp; C"</f>
        <v>2.0% = Est. S &amp; C</v>
      </c>
    </row>
    <row r="22" spans="1:29" s="457" customFormat="1" hidden="1" x14ac:dyDescent="0.25">
      <c r="A22" s="455"/>
      <c r="B22" s="2470"/>
      <c r="C22" s="1656"/>
      <c r="D22" s="340">
        <v>0</v>
      </c>
      <c r="E22" s="2386"/>
      <c r="F22" s="340"/>
      <c r="G22" s="456" t="str">
        <f>IF(D22=0,"0.00%",(#REF!-D22)/D22)</f>
        <v>0.00%</v>
      </c>
      <c r="H22" s="340">
        <v>0</v>
      </c>
      <c r="I22" s="897"/>
      <c r="J22" s="455"/>
      <c r="K22" s="456" t="str">
        <f t="shared" si="2"/>
        <v>0.00%</v>
      </c>
      <c r="L22" s="340">
        <v>0</v>
      </c>
      <c r="M22" s="897"/>
      <c r="O22" s="456" t="str">
        <f t="shared" si="3"/>
        <v>0.00%</v>
      </c>
      <c r="P22" s="340">
        <v>0</v>
      </c>
      <c r="Q22" s="897"/>
      <c r="R22" s="592"/>
      <c r="S22" s="2238" t="str">
        <f t="shared" si="4"/>
        <v>0.00%</v>
      </c>
      <c r="T22" s="340">
        <f>ROUND(P22*(1+U19),0)</f>
        <v>0</v>
      </c>
      <c r="U22" s="455" t="str">
        <f>TEXT(U19,"0.0%")&amp;" = Est. S &amp; C"</f>
        <v>2.0% = Est. S &amp; C</v>
      </c>
      <c r="V22" s="952"/>
      <c r="W22" s="2241" t="str">
        <f t="shared" si="5"/>
        <v>0.00%</v>
      </c>
      <c r="X22" s="340">
        <f>ROUND(T22*(1+Y19),0)</f>
        <v>0</v>
      </c>
      <c r="Y22" s="455" t="str">
        <f>TEXT(Y19,"0.0%")&amp;" = Est. S &amp; C"</f>
        <v>2.0% = Est. S &amp; C</v>
      </c>
      <c r="AA22" s="456" t="str">
        <f t="shared" si="6"/>
        <v>0.00%</v>
      </c>
      <c r="AB22" s="340">
        <f>ROUND(X22*(1+AC19),0)</f>
        <v>0</v>
      </c>
      <c r="AC22" s="455" t="str">
        <f>TEXT(AC19,"0.0%")&amp;" = Est. S &amp; C"</f>
        <v>2.0% = Est. S &amp; C</v>
      </c>
    </row>
    <row r="23" spans="1:29" s="457" customFormat="1" hidden="1" x14ac:dyDescent="0.25">
      <c r="A23" s="455"/>
      <c r="B23" s="2470"/>
      <c r="C23" s="1656"/>
      <c r="D23" s="340">
        <v>0</v>
      </c>
      <c r="E23" s="2386"/>
      <c r="F23" s="340"/>
      <c r="G23" s="456" t="str">
        <f t="shared" si="1"/>
        <v>0.00%</v>
      </c>
      <c r="H23" s="340">
        <f>ROUND(D23*(1+$I$19),0)</f>
        <v>0</v>
      </c>
      <c r="I23" s="897" t="str">
        <f>TEXT($I$19,"0.0%")&amp;" = Est. S &amp; C"</f>
        <v>0.0% = Est. S &amp; C</v>
      </c>
      <c r="J23" s="455"/>
      <c r="K23" s="456" t="str">
        <f t="shared" si="2"/>
        <v>0.00%</v>
      </c>
      <c r="L23" s="340">
        <f>ROUND(H23*(1+M19),0)</f>
        <v>0</v>
      </c>
      <c r="M23" s="897" t="str">
        <f>TEXT(M19,"0.0%")&amp;" = Est. S &amp; C"</f>
        <v>0.0% = Est. S &amp; C</v>
      </c>
      <c r="O23" s="456" t="str">
        <f t="shared" si="3"/>
        <v>0.00%</v>
      </c>
      <c r="P23" s="340">
        <f>ROUND(L23*(1+Q19),0)</f>
        <v>0</v>
      </c>
      <c r="Q23" s="897" t="str">
        <f>TEXT(Q19,"0.0%")&amp;" = Est. S &amp; C"</f>
        <v>2.0% = Est. S &amp; C</v>
      </c>
      <c r="R23" s="592"/>
      <c r="S23" s="2238" t="str">
        <f t="shared" si="4"/>
        <v>0.00%</v>
      </c>
      <c r="T23" s="340">
        <f>ROUND(P23*(1+U19),0)</f>
        <v>0</v>
      </c>
      <c r="U23" s="455" t="str">
        <f>TEXT(U19,"0.0%")&amp;" = Est. S &amp; C"</f>
        <v>2.0% = Est. S &amp; C</v>
      </c>
      <c r="V23" s="952"/>
      <c r="W23" s="2241" t="str">
        <f t="shared" si="5"/>
        <v>0.00%</v>
      </c>
      <c r="X23" s="340">
        <f>ROUND(T23*(1+Y19),0)</f>
        <v>0</v>
      </c>
      <c r="Y23" s="455" t="str">
        <f>TEXT(Y19,"0.0%")&amp;" = Est. S &amp; C"</f>
        <v>2.0% = Est. S &amp; C</v>
      </c>
      <c r="AA23" s="456" t="str">
        <f t="shared" si="6"/>
        <v>0.00%</v>
      </c>
      <c r="AB23" s="340">
        <f>ROUND(X23*(1+AC19),0)</f>
        <v>0</v>
      </c>
      <c r="AC23" s="455" t="str">
        <f>TEXT(AC19,"0.0%")&amp;" = Est. S &amp; C"</f>
        <v>2.0% = Est. S &amp; C</v>
      </c>
    </row>
    <row r="24" spans="1:29" s="457" customFormat="1" hidden="1" x14ac:dyDescent="0.25">
      <c r="A24" s="455"/>
      <c r="B24" s="2470"/>
      <c r="C24" s="1656"/>
      <c r="D24" s="340">
        <v>0</v>
      </c>
      <c r="E24" s="2386"/>
      <c r="F24" s="340"/>
      <c r="G24" s="456" t="str">
        <f t="shared" si="1"/>
        <v>0.00%</v>
      </c>
      <c r="H24" s="340">
        <f>ROUND(D24*(1+$I$19),0)</f>
        <v>0</v>
      </c>
      <c r="I24" s="897" t="str">
        <f>TEXT($I$19,"0.0%")&amp;" = Est. S &amp; C"</f>
        <v>0.0% = Est. S &amp; C</v>
      </c>
      <c r="J24" s="455"/>
      <c r="K24" s="456" t="str">
        <f t="shared" si="2"/>
        <v>0.00%</v>
      </c>
      <c r="L24" s="340">
        <f>ROUND(H24*(1+M19),0)</f>
        <v>0</v>
      </c>
      <c r="M24" s="897" t="str">
        <f>TEXT(M19,"0.0%")&amp;" = Est. S &amp; C"</f>
        <v>0.0% = Est. S &amp; C</v>
      </c>
      <c r="O24" s="456" t="str">
        <f t="shared" si="3"/>
        <v>0.00%</v>
      </c>
      <c r="P24" s="340">
        <f>ROUND(L24*(1+Q19),0)</f>
        <v>0</v>
      </c>
      <c r="Q24" s="897" t="str">
        <f>TEXT(Q19,"0.0%")&amp;" = Est. S &amp; C"</f>
        <v>2.0% = Est. S &amp; C</v>
      </c>
      <c r="R24" s="592"/>
      <c r="S24" s="2238" t="str">
        <f t="shared" si="4"/>
        <v>0.00%</v>
      </c>
      <c r="T24" s="340">
        <f>ROUND(P24*(1+U19),0)</f>
        <v>0</v>
      </c>
      <c r="U24" s="455" t="str">
        <f>TEXT(U19,"0.0%")&amp;" = Est. S &amp; C"</f>
        <v>2.0% = Est. S &amp; C</v>
      </c>
      <c r="V24" s="952"/>
      <c r="W24" s="2241" t="str">
        <f t="shared" si="5"/>
        <v>0.00%</v>
      </c>
      <c r="X24" s="340">
        <f>ROUND(T24*(1+Y19),0)</f>
        <v>0</v>
      </c>
      <c r="Y24" s="455" t="str">
        <f>TEXT(Y19,"0.0%")&amp;" = Est. S &amp; C"</f>
        <v>2.0% = Est. S &amp; C</v>
      </c>
      <c r="AA24" s="456" t="str">
        <f t="shared" si="6"/>
        <v>0.00%</v>
      </c>
      <c r="AB24" s="340">
        <f>ROUND(X24*(1+AC19),0)</f>
        <v>0</v>
      </c>
      <c r="AC24" s="455" t="str">
        <f>TEXT(AC19,"0.0%")&amp;" = Est. S &amp; C"</f>
        <v>2.0% = Est. S &amp; C</v>
      </c>
    </row>
    <row r="25" spans="1:29" s="457" customFormat="1" hidden="1" x14ac:dyDescent="0.25">
      <c r="A25" s="455"/>
      <c r="B25" s="2470"/>
      <c r="C25" s="1656"/>
      <c r="D25" s="340">
        <v>0</v>
      </c>
      <c r="E25" s="2386"/>
      <c r="F25" s="340"/>
      <c r="G25" s="456" t="str">
        <f t="shared" si="1"/>
        <v>0.00%</v>
      </c>
      <c r="H25" s="340">
        <f>ROUND(D25*(1+$I$19),0)</f>
        <v>0</v>
      </c>
      <c r="I25" s="897" t="str">
        <f>TEXT($I$19,"0.0%")&amp;" = Est. S &amp; C"</f>
        <v>0.0% = Est. S &amp; C</v>
      </c>
      <c r="J25" s="455"/>
      <c r="K25" s="456" t="str">
        <f t="shared" si="2"/>
        <v>0.00%</v>
      </c>
      <c r="L25" s="340">
        <f>ROUND(H25*(1+M19),0)</f>
        <v>0</v>
      </c>
      <c r="M25" s="897" t="str">
        <f>TEXT(M19,"0.0%")&amp;" = Est. S &amp; C"</f>
        <v>0.0% = Est. S &amp; C</v>
      </c>
      <c r="O25" s="456" t="str">
        <f t="shared" si="3"/>
        <v>0.00%</v>
      </c>
      <c r="P25" s="340">
        <f>ROUND(L25*(1+Q19),0)</f>
        <v>0</v>
      </c>
      <c r="Q25" s="897" t="str">
        <f>TEXT(Q19,"0.0%")&amp;" = Est. S &amp; C"</f>
        <v>2.0% = Est. S &amp; C</v>
      </c>
      <c r="R25" s="592"/>
      <c r="S25" s="2238" t="str">
        <f t="shared" si="4"/>
        <v>0.00%</v>
      </c>
      <c r="T25" s="340">
        <f>ROUND(P25*(1+U19),0)</f>
        <v>0</v>
      </c>
      <c r="U25" s="455" t="str">
        <f>TEXT(U19,"0.0%")&amp;" = Est. S &amp; C"</f>
        <v>2.0% = Est. S &amp; C</v>
      </c>
      <c r="V25" s="952"/>
      <c r="W25" s="2241" t="str">
        <f t="shared" si="5"/>
        <v>0.00%</v>
      </c>
      <c r="X25" s="340">
        <f>ROUND(T25*(1+Y19),0)</f>
        <v>0</v>
      </c>
      <c r="Y25" s="455" t="str">
        <f>TEXT(Y19,"0.0%")&amp;" = Est. S &amp; C"</f>
        <v>2.0% = Est. S &amp; C</v>
      </c>
      <c r="AA25" s="456" t="str">
        <f t="shared" si="6"/>
        <v>0.00%</v>
      </c>
      <c r="AB25" s="340">
        <f>ROUND(X25*(1+AC19),0)</f>
        <v>0</v>
      </c>
      <c r="AC25" s="455" t="str">
        <f>TEXT(AC19,"0.0%")&amp;" = Est. S &amp; C"</f>
        <v>2.0% = Est. S &amp; C</v>
      </c>
    </row>
    <row r="26" spans="1:29" s="457" customFormat="1" hidden="1" x14ac:dyDescent="0.25">
      <c r="A26" s="455"/>
      <c r="B26" s="2470"/>
      <c r="C26" s="1656"/>
      <c r="D26" s="340">
        <v>0</v>
      </c>
      <c r="E26" s="2386"/>
      <c r="F26" s="340"/>
      <c r="G26" s="456" t="str">
        <f t="shared" si="1"/>
        <v>0.00%</v>
      </c>
      <c r="H26" s="340">
        <f>ROUND(D26*(1+$I$19),0)</f>
        <v>0</v>
      </c>
      <c r="I26" s="897" t="str">
        <f>TEXT($I$19,"0.0%")&amp;" = Est. S &amp; C"</f>
        <v>0.0% = Est. S &amp; C</v>
      </c>
      <c r="J26" s="455"/>
      <c r="K26" s="456" t="str">
        <f t="shared" si="2"/>
        <v>0.00%</v>
      </c>
      <c r="L26" s="340">
        <f>ROUND(H26*(1+M19),0)</f>
        <v>0</v>
      </c>
      <c r="M26" s="2341" t="str">
        <f>TEXT(M19,"0.0%")&amp;" = Est. S &amp; C"</f>
        <v>0.0% = Est. S &amp; C</v>
      </c>
      <c r="O26" s="456" t="str">
        <f t="shared" si="3"/>
        <v>0.00%</v>
      </c>
      <c r="P26" s="340">
        <f>ROUND(L26*(1+Q19),0)</f>
        <v>0</v>
      </c>
      <c r="Q26" s="897" t="str">
        <f>TEXT(Q19,"0.0%")&amp;" = Est. S &amp; C"</f>
        <v>2.0% = Est. S &amp; C</v>
      </c>
      <c r="R26" s="592"/>
      <c r="S26" s="2238" t="str">
        <f t="shared" si="4"/>
        <v>0.00%</v>
      </c>
      <c r="T26" s="340">
        <f>ROUND(P26*(1+U19),0)</f>
        <v>0</v>
      </c>
      <c r="U26" s="455" t="str">
        <f>TEXT(U19,"0.0%")&amp;" = Est. S &amp; C"</f>
        <v>2.0% = Est. S &amp; C</v>
      </c>
      <c r="V26" s="952"/>
      <c r="W26" s="2241" t="str">
        <f t="shared" si="5"/>
        <v>0.00%</v>
      </c>
      <c r="X26" s="340">
        <f>ROUND(T26*(1+Y19),0)</f>
        <v>0</v>
      </c>
      <c r="Y26" s="455" t="str">
        <f>TEXT(Y19,"0.0%")&amp;" = Est. S &amp; C"</f>
        <v>2.0% = Est. S &amp; C</v>
      </c>
      <c r="AA26" s="456" t="str">
        <f t="shared" si="6"/>
        <v>0.00%</v>
      </c>
      <c r="AB26" s="340">
        <f>ROUND(X26*(1+AC19),0)</f>
        <v>0</v>
      </c>
      <c r="AC26" s="455" t="str">
        <f>TEXT(AC19,"0.0%")&amp;" = Est. S &amp; C"</f>
        <v>2.0% = Est. S &amp; C</v>
      </c>
    </row>
    <row r="27" spans="1:29" s="457" customFormat="1" hidden="1" x14ac:dyDescent="0.25">
      <c r="A27" s="455"/>
      <c r="B27" s="2470"/>
      <c r="C27" s="1656"/>
      <c r="D27" s="340"/>
      <c r="E27" s="2386"/>
      <c r="F27" s="340"/>
      <c r="G27" s="456"/>
      <c r="H27" s="340"/>
      <c r="I27" s="897"/>
      <c r="J27" s="455"/>
      <c r="K27" s="1668"/>
      <c r="L27" s="340"/>
      <c r="M27" s="901"/>
      <c r="O27" s="1668"/>
      <c r="P27" s="340"/>
      <c r="Q27" s="901"/>
      <c r="R27" s="592"/>
      <c r="S27" s="2341"/>
      <c r="T27" s="340"/>
      <c r="U27" s="2344"/>
      <c r="V27" s="952"/>
      <c r="W27" s="2343"/>
      <c r="X27" s="340"/>
      <c r="Y27" s="2344"/>
      <c r="AA27" s="1668"/>
      <c r="AB27" s="340"/>
      <c r="AC27" s="2344"/>
    </row>
    <row r="28" spans="1:29" s="457" customFormat="1" x14ac:dyDescent="0.25">
      <c r="A28" s="455"/>
      <c r="B28" s="2470"/>
      <c r="C28" s="1656"/>
      <c r="D28" s="340"/>
      <c r="E28" s="2386"/>
      <c r="F28" s="340"/>
      <c r="G28" s="456"/>
      <c r="H28" s="340"/>
      <c r="I28" s="897"/>
      <c r="J28" s="455"/>
      <c r="K28" s="1668"/>
      <c r="L28" s="340"/>
      <c r="M28" s="901"/>
      <c r="O28" s="1668"/>
      <c r="P28" s="340"/>
      <c r="Q28" s="901"/>
      <c r="R28" s="592"/>
      <c r="S28" s="2341"/>
      <c r="T28" s="340"/>
      <c r="U28" s="2344"/>
      <c r="V28" s="952"/>
      <c r="W28" s="2343"/>
      <c r="X28" s="340"/>
      <c r="Y28" s="2344"/>
      <c r="AA28" s="1668"/>
      <c r="AB28" s="340"/>
      <c r="AC28" s="2344"/>
    </row>
    <row r="29" spans="1:29" s="457" customFormat="1" x14ac:dyDescent="0.25">
      <c r="A29" s="459"/>
      <c r="B29" s="2470"/>
      <c r="C29" s="1656"/>
      <c r="D29" s="458">
        <f>SUM(D21:D28)</f>
        <v>150325.32</v>
      </c>
      <c r="E29" s="2386"/>
      <c r="F29" s="340"/>
      <c r="G29" s="456">
        <f t="shared" si="1"/>
        <v>0.21275644049851344</v>
      </c>
      <c r="H29" s="458">
        <f>SUM(H21:H28)</f>
        <v>182308</v>
      </c>
      <c r="I29" s="2316">
        <f>+H29-D29</f>
        <v>31982.679999999993</v>
      </c>
      <c r="J29" s="459"/>
      <c r="K29" s="456">
        <f>IF(H29=0,"0.00%",(L29-H29)/H29)</f>
        <v>-1.1985211839304913E-2</v>
      </c>
      <c r="L29" s="458">
        <f>SUM(L21:L28)</f>
        <v>180123</v>
      </c>
      <c r="M29" s="2316">
        <f>+L29-H29</f>
        <v>-2185</v>
      </c>
      <c r="O29" s="456">
        <f>IF(L29=0,"0.00%",(P29-L29)/L29)</f>
        <v>1.9997446189548254E-2</v>
      </c>
      <c r="P29" s="458">
        <f>SUM(P21:P28)</f>
        <v>183725</v>
      </c>
      <c r="Q29" s="2316">
        <f>+P29-L29</f>
        <v>3602</v>
      </c>
      <c r="R29" s="592"/>
      <c r="S29" s="2238">
        <f>IF(P29=0,"0.00%",(T29-P29)/P29)</f>
        <v>2.0002721458701866E-2</v>
      </c>
      <c r="T29" s="458">
        <f>SUM(T21:T28)</f>
        <v>187400</v>
      </c>
      <c r="U29" s="2344"/>
      <c r="V29" s="952"/>
      <c r="W29" s="2241">
        <f>IF(T29=0,"0.00%",(X29-T29)/T29)</f>
        <v>0.02</v>
      </c>
      <c r="X29" s="458">
        <f>SUM(X21:X28)</f>
        <v>191148</v>
      </c>
      <c r="Y29" s="2344"/>
      <c r="AA29" s="456">
        <f>IF(X29=0,"0.00%",(AB29-X29)/X29)</f>
        <v>2.0000209261933161E-2</v>
      </c>
      <c r="AB29" s="458">
        <f>SUM(AB21:AB28)</f>
        <v>194971</v>
      </c>
      <c r="AC29" s="2344"/>
    </row>
    <row r="30" spans="1:29" s="457" customFormat="1" x14ac:dyDescent="0.25">
      <c r="A30" s="455"/>
      <c r="B30" s="2432"/>
      <c r="C30" s="1656"/>
      <c r="D30" s="340"/>
      <c r="E30" s="2386"/>
      <c r="F30" s="340"/>
      <c r="G30" s="2338"/>
      <c r="H30" s="340"/>
      <c r="I30" s="2476"/>
      <c r="J30" s="455"/>
      <c r="K30" s="1668"/>
      <c r="L30" s="340"/>
      <c r="M30" s="2388"/>
      <c r="O30" s="1668"/>
      <c r="P30" s="340"/>
      <c r="Q30" s="2388"/>
      <c r="R30" s="592"/>
      <c r="S30" s="2341"/>
      <c r="T30" s="340"/>
      <c r="U30" s="2344"/>
      <c r="V30" s="952"/>
      <c r="W30" s="2343"/>
      <c r="X30" s="340"/>
      <c r="Y30" s="2344"/>
      <c r="AA30" s="1668"/>
      <c r="AB30" s="340"/>
      <c r="AC30" s="2344"/>
    </row>
    <row r="31" spans="1:29" s="461" customFormat="1" x14ac:dyDescent="0.25">
      <c r="B31" s="2472" t="s">
        <v>35</v>
      </c>
      <c r="C31" s="900"/>
      <c r="D31" s="460"/>
      <c r="E31" s="868"/>
      <c r="F31" s="460"/>
      <c r="G31" s="2389"/>
      <c r="H31" s="460"/>
      <c r="I31" s="868"/>
      <c r="J31" s="460"/>
      <c r="K31" s="1669"/>
      <c r="L31" s="460"/>
      <c r="M31" s="902"/>
      <c r="O31" s="1669"/>
      <c r="P31" s="460"/>
      <c r="Q31" s="902"/>
      <c r="S31" s="1669"/>
      <c r="T31" s="460"/>
      <c r="U31" s="2392"/>
      <c r="V31" s="2381"/>
      <c r="W31" s="2382"/>
      <c r="X31" s="460"/>
      <c r="Y31" s="2392"/>
      <c r="AA31" s="1669"/>
      <c r="AB31" s="460"/>
      <c r="AC31" s="2392"/>
    </row>
    <row r="32" spans="1:29" s="457" customFormat="1" hidden="1" x14ac:dyDescent="0.25">
      <c r="A32" s="455"/>
      <c r="B32" s="2470"/>
      <c r="C32" s="1656"/>
      <c r="D32" s="340">
        <v>0</v>
      </c>
      <c r="E32" s="2386"/>
      <c r="F32" s="340"/>
      <c r="G32" s="456" t="str">
        <f t="shared" ref="G32:G38" si="7">IF(D32=0,"0.00%",(H32-D32)/D32)</f>
        <v>0.00%</v>
      </c>
      <c r="H32" s="340">
        <f t="shared" ref="H32:H38" si="8">ROUND(D32*(1+$I$19),0)</f>
        <v>0</v>
      </c>
      <c r="I32" s="897" t="str">
        <f t="shared" ref="I32:I38" si="9">TEXT($I$19,"0.0%")&amp;" = Est. S &amp; C"</f>
        <v>0.0% = Est. S &amp; C</v>
      </c>
      <c r="J32" s="455"/>
      <c r="K32" s="456" t="str">
        <f t="shared" ref="K32:K38" si="10">IF(H32=0,"0.00%",(L32-H32)/H32)</f>
        <v>0.00%</v>
      </c>
      <c r="L32" s="340">
        <f>ROUND(H32*(1+M19),0)</f>
        <v>0</v>
      </c>
      <c r="M32" s="897" t="str">
        <f>TEXT(M19,"0.0%")&amp;" = Est. S &amp; C"</f>
        <v>0.0% = Est. S &amp; C</v>
      </c>
      <c r="O32" s="456" t="str">
        <f t="shared" ref="O32:O38" si="11">IF(L32=0,"0.00%",(P32-L32)/L32)</f>
        <v>0.00%</v>
      </c>
      <c r="P32" s="340">
        <f>ROUND(L32*(1+Q19),0)</f>
        <v>0</v>
      </c>
      <c r="Q32" s="897" t="str">
        <f>TEXT(Q19,"0.0%")&amp;" = Est. S &amp; C"</f>
        <v>2.0% = Est. S &amp; C</v>
      </c>
      <c r="R32" s="592"/>
      <c r="S32" s="2238" t="str">
        <f t="shared" ref="S32:S38" si="12">IF(P32=0,"0.00%",(T32-P32)/P32)</f>
        <v>0.00%</v>
      </c>
      <c r="T32" s="340">
        <f>ROUND(P32*(1+U19),0)</f>
        <v>0</v>
      </c>
      <c r="U32" s="455" t="str">
        <f>TEXT(U19,"0.0%")&amp;" = Est. S &amp; C"</f>
        <v>2.0% = Est. S &amp; C</v>
      </c>
      <c r="V32" s="952"/>
      <c r="W32" s="2241" t="str">
        <f t="shared" ref="W32:W38" si="13">IF(T32=0,"0.00%",(X32-T32)/T32)</f>
        <v>0.00%</v>
      </c>
      <c r="X32" s="340">
        <f>ROUND(T32*(1+Y19),0)</f>
        <v>0</v>
      </c>
      <c r="Y32" s="455" t="str">
        <f>TEXT(Y19,"0.0%")&amp;" = Est. S &amp; C"</f>
        <v>2.0% = Est. S &amp; C</v>
      </c>
      <c r="AA32" s="456" t="str">
        <f t="shared" ref="AA32:AA38" si="14">IF(X32=0,"0.00%",(AB32-X32)/X32)</f>
        <v>0.00%</v>
      </c>
      <c r="AB32" s="340">
        <f>ROUND(X32*(1+AC19),0)</f>
        <v>0</v>
      </c>
      <c r="AC32" s="455" t="str">
        <f>TEXT(AC19,"0.0%")&amp;" = Est. S &amp; C"</f>
        <v>2.0% = Est. S &amp; C</v>
      </c>
    </row>
    <row r="33" spans="1:29" s="457" customFormat="1" hidden="1" x14ac:dyDescent="0.25">
      <c r="A33" s="455"/>
      <c r="B33" s="2470"/>
      <c r="C33" s="1656"/>
      <c r="D33" s="340">
        <v>0</v>
      </c>
      <c r="E33" s="2386"/>
      <c r="F33" s="340"/>
      <c r="G33" s="456" t="str">
        <f t="shared" si="7"/>
        <v>0.00%</v>
      </c>
      <c r="H33" s="340">
        <f t="shared" si="8"/>
        <v>0</v>
      </c>
      <c r="I33" s="897" t="str">
        <f t="shared" si="9"/>
        <v>0.0% = Est. S &amp; C</v>
      </c>
      <c r="J33" s="455"/>
      <c r="K33" s="456" t="str">
        <f t="shared" si="10"/>
        <v>0.00%</v>
      </c>
      <c r="L33" s="340">
        <f>ROUND(H33*(1+M19),0)</f>
        <v>0</v>
      </c>
      <c r="M33" s="897" t="str">
        <f>TEXT(M19,"0.0%")&amp;" = Est. S &amp; C"</f>
        <v>0.0% = Est. S &amp; C</v>
      </c>
      <c r="O33" s="456" t="str">
        <f t="shared" si="11"/>
        <v>0.00%</v>
      </c>
      <c r="P33" s="340">
        <f>ROUND(L33*(1+Q19),0)</f>
        <v>0</v>
      </c>
      <c r="Q33" s="897" t="str">
        <f>TEXT(Q19,"0.0%")&amp;" = Est. S &amp; C"</f>
        <v>2.0% = Est. S &amp; C</v>
      </c>
      <c r="R33" s="592"/>
      <c r="S33" s="2238" t="str">
        <f t="shared" si="12"/>
        <v>0.00%</v>
      </c>
      <c r="T33" s="340">
        <f>ROUND(P33*(1+U19),0)</f>
        <v>0</v>
      </c>
      <c r="U33" s="455" t="str">
        <f>TEXT(U19,"0.0%")&amp;" = Est. S &amp; C"</f>
        <v>2.0% = Est. S &amp; C</v>
      </c>
      <c r="V33" s="952"/>
      <c r="W33" s="2241" t="str">
        <f t="shared" si="13"/>
        <v>0.00%</v>
      </c>
      <c r="X33" s="340">
        <f>ROUND(T33*(1+Y19),0)</f>
        <v>0</v>
      </c>
      <c r="Y33" s="455" t="str">
        <f>TEXT(Y19,"0.0%")&amp;" = Est. S &amp; C"</f>
        <v>2.0% = Est. S &amp; C</v>
      </c>
      <c r="AA33" s="456" t="str">
        <f t="shared" si="14"/>
        <v>0.00%</v>
      </c>
      <c r="AB33" s="340">
        <f>ROUND(X33*(1+AC19),0)</f>
        <v>0</v>
      </c>
      <c r="AC33" s="455" t="str">
        <f>TEXT(AC19,"0.0%")&amp;" = Est. S &amp; C"</f>
        <v>2.0% = Est. S &amp; C</v>
      </c>
    </row>
    <row r="34" spans="1:29" s="457" customFormat="1" hidden="1" x14ac:dyDescent="0.25">
      <c r="A34" s="455"/>
      <c r="B34" s="2470"/>
      <c r="C34" s="1656"/>
      <c r="D34" s="340">
        <v>0</v>
      </c>
      <c r="E34" s="2386"/>
      <c r="F34" s="340"/>
      <c r="G34" s="456" t="str">
        <f t="shared" si="7"/>
        <v>0.00%</v>
      </c>
      <c r="H34" s="340">
        <f t="shared" si="8"/>
        <v>0</v>
      </c>
      <c r="I34" s="897" t="str">
        <f t="shared" si="9"/>
        <v>0.0% = Est. S &amp; C</v>
      </c>
      <c r="J34" s="455"/>
      <c r="K34" s="456" t="str">
        <f t="shared" si="10"/>
        <v>0.00%</v>
      </c>
      <c r="L34" s="340">
        <f>ROUND(H34*(1+M19),0)</f>
        <v>0</v>
      </c>
      <c r="M34" s="897" t="str">
        <f>TEXT(M19,"0.0%")&amp;" = Est. S &amp; C"</f>
        <v>0.0% = Est. S &amp; C</v>
      </c>
      <c r="O34" s="456" t="str">
        <f t="shared" si="11"/>
        <v>0.00%</v>
      </c>
      <c r="P34" s="340">
        <f>ROUND(L34*(1+Q19),0)</f>
        <v>0</v>
      </c>
      <c r="Q34" s="897" t="str">
        <f>TEXT(Q19,"0.0%")&amp;" = Est. S &amp; C"</f>
        <v>2.0% = Est. S &amp; C</v>
      </c>
      <c r="R34" s="592"/>
      <c r="S34" s="2238" t="str">
        <f t="shared" si="12"/>
        <v>0.00%</v>
      </c>
      <c r="T34" s="340">
        <f>ROUND(P34*(1+U19),0)</f>
        <v>0</v>
      </c>
      <c r="U34" s="455" t="str">
        <f>TEXT(U19,"0.0%")&amp;" = Est. S &amp; C"</f>
        <v>2.0% = Est. S &amp; C</v>
      </c>
      <c r="V34" s="952"/>
      <c r="W34" s="2241" t="str">
        <f t="shared" si="13"/>
        <v>0.00%</v>
      </c>
      <c r="X34" s="340">
        <f>ROUND(T34*(1+Y19),0)</f>
        <v>0</v>
      </c>
      <c r="Y34" s="455" t="str">
        <f>TEXT(Y19,"0.0%")&amp;" = Est. S &amp; C"</f>
        <v>2.0% = Est. S &amp; C</v>
      </c>
      <c r="AA34" s="456" t="str">
        <f t="shared" si="14"/>
        <v>0.00%</v>
      </c>
      <c r="AB34" s="340">
        <f>ROUND(X34*(1+AC19),0)</f>
        <v>0</v>
      </c>
      <c r="AC34" s="455" t="str">
        <f>TEXT(AC19,"0.0%")&amp;" = Est. S &amp; C"</f>
        <v>2.0% = Est. S &amp; C</v>
      </c>
    </row>
    <row r="35" spans="1:29" s="457" customFormat="1" hidden="1" x14ac:dyDescent="0.25">
      <c r="A35" s="455"/>
      <c r="B35" s="2470"/>
      <c r="C35" s="1656"/>
      <c r="D35" s="340">
        <v>0</v>
      </c>
      <c r="E35" s="2386"/>
      <c r="F35" s="340"/>
      <c r="G35" s="456" t="str">
        <f t="shared" si="7"/>
        <v>0.00%</v>
      </c>
      <c r="H35" s="340">
        <f t="shared" si="8"/>
        <v>0</v>
      </c>
      <c r="I35" s="897" t="str">
        <f t="shared" si="9"/>
        <v>0.0% = Est. S &amp; C</v>
      </c>
      <c r="J35" s="455"/>
      <c r="K35" s="456" t="str">
        <f t="shared" si="10"/>
        <v>0.00%</v>
      </c>
      <c r="L35" s="340">
        <f>ROUND(H35*(1+M19),0)</f>
        <v>0</v>
      </c>
      <c r="M35" s="897" t="str">
        <f>TEXT(M19,"0.0%")&amp;" = Est. S &amp; C"</f>
        <v>0.0% = Est. S &amp; C</v>
      </c>
      <c r="O35" s="456" t="str">
        <f t="shared" si="11"/>
        <v>0.00%</v>
      </c>
      <c r="P35" s="340">
        <f>ROUND(L35*(1+Q19),0)</f>
        <v>0</v>
      </c>
      <c r="Q35" s="897" t="str">
        <f>TEXT(Q19,"0.0%")&amp;" = Est. S &amp; C"</f>
        <v>2.0% = Est. S &amp; C</v>
      </c>
      <c r="R35" s="592"/>
      <c r="S35" s="2238" t="str">
        <f t="shared" si="12"/>
        <v>0.00%</v>
      </c>
      <c r="T35" s="340">
        <f>ROUND(P35*(1+U19),0)</f>
        <v>0</v>
      </c>
      <c r="U35" s="455" t="str">
        <f>TEXT(U19,"0.0%")&amp;" = Est. S &amp; C"</f>
        <v>2.0% = Est. S &amp; C</v>
      </c>
      <c r="V35" s="952"/>
      <c r="W35" s="2241" t="str">
        <f t="shared" si="13"/>
        <v>0.00%</v>
      </c>
      <c r="X35" s="340">
        <f>ROUND(T35*(1+Y19),0)</f>
        <v>0</v>
      </c>
      <c r="Y35" s="455" t="str">
        <f>TEXT(Y19,"0.0%")&amp;" = Est. S &amp; C"</f>
        <v>2.0% = Est. S &amp; C</v>
      </c>
      <c r="AA35" s="456" t="str">
        <f t="shared" si="14"/>
        <v>0.00%</v>
      </c>
      <c r="AB35" s="340">
        <f>ROUND(X35*(1+AC19),0)</f>
        <v>0</v>
      </c>
      <c r="AC35" s="455" t="str">
        <f>TEXT(AC19,"0.0%")&amp;" = Est. S &amp; C"</f>
        <v>2.0% = Est. S &amp; C</v>
      </c>
    </row>
    <row r="36" spans="1:29" s="457" customFormat="1" hidden="1" x14ac:dyDescent="0.25">
      <c r="A36" s="455"/>
      <c r="B36" s="2470"/>
      <c r="C36" s="1656"/>
      <c r="D36" s="340">
        <v>0</v>
      </c>
      <c r="E36" s="2386"/>
      <c r="F36" s="340"/>
      <c r="G36" s="456" t="str">
        <f t="shared" si="7"/>
        <v>0.00%</v>
      </c>
      <c r="H36" s="340">
        <f t="shared" si="8"/>
        <v>0</v>
      </c>
      <c r="I36" s="897" t="str">
        <f t="shared" si="9"/>
        <v>0.0% = Est. S &amp; C</v>
      </c>
      <c r="J36" s="455"/>
      <c r="K36" s="456" t="str">
        <f t="shared" si="10"/>
        <v>0.00%</v>
      </c>
      <c r="L36" s="340">
        <f>ROUND(H36*(1+M19),0)</f>
        <v>0</v>
      </c>
      <c r="M36" s="897" t="str">
        <f>TEXT(M19,"0.0%")&amp;" = Est. S &amp; C"</f>
        <v>0.0% = Est. S &amp; C</v>
      </c>
      <c r="O36" s="456" t="str">
        <f t="shared" si="11"/>
        <v>0.00%</v>
      </c>
      <c r="P36" s="340">
        <f>ROUND(L36*(1+Q19),0)</f>
        <v>0</v>
      </c>
      <c r="Q36" s="897" t="str">
        <f>TEXT(Q19,"0.0%")&amp;" = Est. S &amp; C"</f>
        <v>2.0% = Est. S &amp; C</v>
      </c>
      <c r="R36" s="592"/>
      <c r="S36" s="2238" t="str">
        <f t="shared" si="12"/>
        <v>0.00%</v>
      </c>
      <c r="T36" s="340">
        <f>ROUND(P36*(1+U19),0)</f>
        <v>0</v>
      </c>
      <c r="U36" s="455" t="str">
        <f>TEXT(U19,"0.0%")&amp;" = Est. S &amp; C"</f>
        <v>2.0% = Est. S &amp; C</v>
      </c>
      <c r="V36" s="952"/>
      <c r="W36" s="2241" t="str">
        <f t="shared" si="13"/>
        <v>0.00%</v>
      </c>
      <c r="X36" s="340">
        <f>ROUND(T36*(1+Y19),0)</f>
        <v>0</v>
      </c>
      <c r="Y36" s="455" t="str">
        <f>TEXT(Y19,"0.0%")&amp;" = Est. S &amp; C"</f>
        <v>2.0% = Est. S &amp; C</v>
      </c>
      <c r="AA36" s="456" t="str">
        <f t="shared" si="14"/>
        <v>0.00%</v>
      </c>
      <c r="AB36" s="340">
        <f>ROUND(X36*(1+AC19),0)</f>
        <v>0</v>
      </c>
      <c r="AC36" s="455" t="str">
        <f>TEXT(AC19,"0.0%")&amp;" = Est. S &amp; C"</f>
        <v>2.0% = Est. S &amp; C</v>
      </c>
    </row>
    <row r="37" spans="1:29" s="457" customFormat="1" hidden="1" x14ac:dyDescent="0.25">
      <c r="A37" s="455"/>
      <c r="B37" s="2470"/>
      <c r="C37" s="1656"/>
      <c r="D37" s="340">
        <v>0</v>
      </c>
      <c r="E37" s="2386"/>
      <c r="F37" s="340"/>
      <c r="G37" s="456" t="str">
        <f t="shared" si="7"/>
        <v>0.00%</v>
      </c>
      <c r="H37" s="340">
        <f t="shared" si="8"/>
        <v>0</v>
      </c>
      <c r="I37" s="897" t="str">
        <f t="shared" si="9"/>
        <v>0.0% = Est. S &amp; C</v>
      </c>
      <c r="J37" s="455"/>
      <c r="K37" s="456" t="str">
        <f t="shared" si="10"/>
        <v>0.00%</v>
      </c>
      <c r="L37" s="340">
        <f>ROUND(H37*(1+M19),0)</f>
        <v>0</v>
      </c>
      <c r="M37" s="897" t="str">
        <f>TEXT(M19,"0.0%")&amp;" = Est. S &amp; C"</f>
        <v>0.0% = Est. S &amp; C</v>
      </c>
      <c r="O37" s="456" t="str">
        <f t="shared" si="11"/>
        <v>0.00%</v>
      </c>
      <c r="P37" s="340">
        <f>ROUND(L37*(1+Q19),0)</f>
        <v>0</v>
      </c>
      <c r="Q37" s="897" t="str">
        <f>TEXT(Q19,"0.0%")&amp;" = Est. S &amp; C"</f>
        <v>2.0% = Est. S &amp; C</v>
      </c>
      <c r="R37" s="592"/>
      <c r="S37" s="2238" t="str">
        <f t="shared" si="12"/>
        <v>0.00%</v>
      </c>
      <c r="T37" s="340">
        <f>ROUND(P37*(1+U19),0)</f>
        <v>0</v>
      </c>
      <c r="U37" s="455" t="str">
        <f>TEXT(U19,"0.0%")&amp;" = Est. S &amp; C"</f>
        <v>2.0% = Est. S &amp; C</v>
      </c>
      <c r="V37" s="952"/>
      <c r="W37" s="2241" t="str">
        <f t="shared" si="13"/>
        <v>0.00%</v>
      </c>
      <c r="X37" s="340">
        <f>ROUND(T37*(1+Y19),0)</f>
        <v>0</v>
      </c>
      <c r="Y37" s="455" t="str">
        <f>TEXT(Y19,"0.0%")&amp;" = Est. S &amp; C"</f>
        <v>2.0% = Est. S &amp; C</v>
      </c>
      <c r="AA37" s="456" t="str">
        <f t="shared" si="14"/>
        <v>0.00%</v>
      </c>
      <c r="AB37" s="340">
        <f>ROUND(X37*(1+AC19),0)</f>
        <v>0</v>
      </c>
      <c r="AC37" s="455" t="str">
        <f>TEXT(AC19,"0.0%")&amp;" = Est. S &amp; C"</f>
        <v>2.0% = Est. S &amp; C</v>
      </c>
    </row>
    <row r="38" spans="1:29" s="457" customFormat="1" hidden="1" x14ac:dyDescent="0.25">
      <c r="A38" s="455"/>
      <c r="B38" s="2470"/>
      <c r="C38" s="1656"/>
      <c r="D38" s="340">
        <v>0</v>
      </c>
      <c r="E38" s="2386"/>
      <c r="F38" s="340"/>
      <c r="G38" s="456" t="str">
        <f t="shared" si="7"/>
        <v>0.00%</v>
      </c>
      <c r="H38" s="340">
        <f t="shared" si="8"/>
        <v>0</v>
      </c>
      <c r="I38" s="897" t="str">
        <f t="shared" si="9"/>
        <v>0.0% = Est. S &amp; C</v>
      </c>
      <c r="J38" s="455"/>
      <c r="K38" s="456" t="str">
        <f t="shared" si="10"/>
        <v>0.00%</v>
      </c>
      <c r="L38" s="340">
        <f>ROUND(H38*(1+M19),0)</f>
        <v>0</v>
      </c>
      <c r="M38" s="897" t="str">
        <f>TEXT(M19,"0.0%")&amp;" = Est. S &amp; C"</f>
        <v>0.0% = Est. S &amp; C</v>
      </c>
      <c r="O38" s="456" t="str">
        <f t="shared" si="11"/>
        <v>0.00%</v>
      </c>
      <c r="P38" s="340">
        <f>ROUND(L38*(1+Q19),0)</f>
        <v>0</v>
      </c>
      <c r="Q38" s="897" t="str">
        <f>TEXT(Q19,"0.0%")&amp;" = Est. S &amp; C"</f>
        <v>2.0% = Est. S &amp; C</v>
      </c>
      <c r="R38" s="592"/>
      <c r="S38" s="2238" t="str">
        <f t="shared" si="12"/>
        <v>0.00%</v>
      </c>
      <c r="T38" s="340">
        <f>ROUND(P38*(1+U19),0)</f>
        <v>0</v>
      </c>
      <c r="U38" s="455" t="str">
        <f>TEXT(U19,"0.0%")&amp;" = Est. S &amp; C"</f>
        <v>2.0% = Est. S &amp; C</v>
      </c>
      <c r="V38" s="952"/>
      <c r="W38" s="2241" t="str">
        <f t="shared" si="13"/>
        <v>0.00%</v>
      </c>
      <c r="X38" s="340">
        <f>ROUND(T38*(1+Y19),0)</f>
        <v>0</v>
      </c>
      <c r="Y38" s="455" t="str">
        <f>TEXT(Y19,"0.0%")&amp;" = Est. S &amp; C"</f>
        <v>2.0% = Est. S &amp; C</v>
      </c>
      <c r="AA38" s="456" t="str">
        <f t="shared" si="14"/>
        <v>0.00%</v>
      </c>
      <c r="AB38" s="340">
        <f>ROUND(X38*(1+AC19),0)</f>
        <v>0</v>
      </c>
      <c r="AC38" s="455" t="str">
        <f>TEXT(AC19,"0.0%")&amp;" = Est. S &amp; C"</f>
        <v>2.0% = Est. S &amp; C</v>
      </c>
    </row>
    <row r="39" spans="1:29" s="457" customFormat="1" ht="6" hidden="1" customHeight="1" x14ac:dyDescent="0.25">
      <c r="A39" s="455"/>
      <c r="B39" s="2470"/>
      <c r="C39" s="1656"/>
      <c r="D39" s="340"/>
      <c r="E39" s="2386"/>
      <c r="F39" s="340"/>
      <c r="G39" s="2338"/>
      <c r="H39" s="340"/>
      <c r="I39" s="897"/>
      <c r="J39" s="455"/>
      <c r="K39" s="1668"/>
      <c r="L39" s="340"/>
      <c r="M39" s="901"/>
      <c r="O39" s="1668"/>
      <c r="P39" s="340"/>
      <c r="Q39" s="901"/>
      <c r="R39" s="592"/>
      <c r="S39" s="2341"/>
      <c r="T39" s="340"/>
      <c r="U39" s="2344"/>
      <c r="V39" s="952"/>
      <c r="W39" s="2343"/>
      <c r="X39" s="340"/>
      <c r="Y39" s="2344"/>
      <c r="AA39" s="1668"/>
      <c r="AB39" s="340"/>
      <c r="AC39" s="2344"/>
    </row>
    <row r="40" spans="1:29" s="457" customFormat="1" x14ac:dyDescent="0.25">
      <c r="A40" s="459"/>
      <c r="B40" s="2470"/>
      <c r="C40" s="1656"/>
      <c r="D40" s="458">
        <f>SUM(D32:D39)</f>
        <v>0</v>
      </c>
      <c r="E40" s="2386"/>
      <c r="F40" s="340"/>
      <c r="G40" s="456" t="str">
        <f>IF(D40=0,"0.00%",(H40-D40)/D40)</f>
        <v>0.00%</v>
      </c>
      <c r="H40" s="458">
        <f>SUM(H32:H39)</f>
        <v>0</v>
      </c>
      <c r="I40" s="898"/>
      <c r="J40" s="459"/>
      <c r="K40" s="456" t="str">
        <f>IF(H40=0,"0.00%",(L40-H40)/H40)</f>
        <v>0.00%</v>
      </c>
      <c r="L40" s="458">
        <f>SUM(L32:L39)</f>
        <v>0</v>
      </c>
      <c r="M40" s="901"/>
      <c r="O40" s="456" t="str">
        <f>IF(L40=0,"0.00%",(P40-L40)/L40)</f>
        <v>0.00%</v>
      </c>
      <c r="P40" s="458">
        <f>SUM(P32:P39)</f>
        <v>0</v>
      </c>
      <c r="Q40" s="901"/>
      <c r="R40" s="592"/>
      <c r="S40" s="2238" t="str">
        <f>IF(P40=0,"0.00%",(T40-P40)/P40)</f>
        <v>0.00%</v>
      </c>
      <c r="T40" s="458">
        <f>SUM(T32:T39)</f>
        <v>0</v>
      </c>
      <c r="U40" s="2344"/>
      <c r="V40" s="952"/>
      <c r="W40" s="2241" t="str">
        <f>IF(T40=0,"0.00%",(X40-T40)/T40)</f>
        <v>0.00%</v>
      </c>
      <c r="X40" s="458">
        <f>SUM(X32:X39)</f>
        <v>0</v>
      </c>
      <c r="Y40" s="2344"/>
      <c r="AA40" s="456" t="str">
        <f>IF(X40=0,"0.00%",(AB40-X40)/X40)</f>
        <v>0.00%</v>
      </c>
      <c r="AB40" s="458">
        <f>SUM(AB32:AB39)</f>
        <v>0</v>
      </c>
      <c r="AC40" s="2344"/>
    </row>
    <row r="41" spans="1:29" s="457" customFormat="1" x14ac:dyDescent="0.25">
      <c r="A41" s="455"/>
      <c r="B41" s="2432" t="s">
        <v>28</v>
      </c>
      <c r="C41" s="1656"/>
      <c r="D41" s="340"/>
      <c r="E41" s="2386"/>
      <c r="F41" s="340"/>
      <c r="G41" s="2338"/>
      <c r="H41" s="340"/>
      <c r="I41" s="897"/>
      <c r="J41" s="455"/>
      <c r="K41" s="1668"/>
      <c r="L41" s="340"/>
      <c r="M41" s="901"/>
      <c r="O41" s="1668"/>
      <c r="P41" s="340"/>
      <c r="Q41" s="901"/>
      <c r="R41" s="592"/>
      <c r="S41" s="2341"/>
      <c r="T41" s="340"/>
      <c r="U41" s="2344"/>
      <c r="V41" s="952"/>
      <c r="W41" s="2343"/>
      <c r="X41" s="340"/>
      <c r="Y41" s="2344"/>
      <c r="AA41" s="1668"/>
      <c r="AB41" s="340"/>
      <c r="AC41" s="2344"/>
    </row>
    <row r="42" spans="1:29" s="457" customFormat="1" x14ac:dyDescent="0.25">
      <c r="A42" s="460"/>
      <c r="B42" s="2468" t="s">
        <v>27</v>
      </c>
      <c r="C42" s="1656"/>
      <c r="D42" s="340"/>
      <c r="E42" s="2386"/>
      <c r="F42" s="340"/>
      <c r="G42" s="2338"/>
      <c r="H42" s="340"/>
      <c r="I42" s="897"/>
      <c r="J42" s="455"/>
      <c r="K42" s="1668"/>
      <c r="L42" s="340"/>
      <c r="M42" s="901"/>
      <c r="O42" s="1668"/>
      <c r="P42" s="340"/>
      <c r="Q42" s="901"/>
      <c r="R42" s="592"/>
      <c r="S42" s="2341"/>
      <c r="T42" s="340"/>
      <c r="U42" s="2344"/>
      <c r="V42" s="952"/>
      <c r="W42" s="2343"/>
      <c r="X42" s="340"/>
      <c r="Y42" s="2344"/>
      <c r="AA42" s="1668"/>
      <c r="AB42" s="340"/>
      <c r="AC42" s="2344"/>
    </row>
    <row r="43" spans="1:29" s="457" customFormat="1" x14ac:dyDescent="0.25">
      <c r="A43" s="455"/>
      <c r="B43" s="2470" t="s">
        <v>83</v>
      </c>
      <c r="C43" s="1656" t="s">
        <v>76</v>
      </c>
      <c r="D43" s="340">
        <v>19201.38</v>
      </c>
      <c r="E43" s="899" t="str">
        <f>TEXT('MYP Assumptions'!$D$57,"0.00%")&amp;", STRS rate"</f>
        <v>12.58%, STRS rate</v>
      </c>
      <c r="F43" s="340"/>
      <c r="G43" s="456">
        <f t="shared" ref="G43:G52" si="15">IF(D43=0,"0.00%",(H43-D43)/D43)</f>
        <v>0.34901762269170228</v>
      </c>
      <c r="H43" s="340">
        <v>25903</v>
      </c>
      <c r="I43" s="899" t="str">
        <f>TEXT('MYP Assumptions'!E57,"0.00%")&amp;", projected STRS rate"</f>
        <v>14.43%, projected STRS rate</v>
      </c>
      <c r="J43" s="455"/>
      <c r="K43" s="456">
        <f t="shared" ref="K43:K52" si="16">IF(H43=0,"0.00%",(L43-H43)/H43)</f>
        <v>0.1321082500096514</v>
      </c>
      <c r="L43" s="340">
        <v>29325</v>
      </c>
      <c r="M43" s="899" t="str">
        <f>TEXT('MYP Assumptions'!F57,"0.00%")&amp;", projected STRS rate"</f>
        <v>16.28%, projected STRS rate</v>
      </c>
      <c r="O43" s="456">
        <f t="shared" ref="O43:O52" si="17">IF(L43=0,"0.00%",(P43-L43)/L43)</f>
        <v>0.13578857630008526</v>
      </c>
      <c r="P43" s="340">
        <f>ROUND(P29*LEFT(Q43,6),0)-2</f>
        <v>33307</v>
      </c>
      <c r="Q43" s="899" t="str">
        <f>TEXT('MYP Assumptions'!G57,"0.00%")&amp;", projected STRS rate"</f>
        <v>18.13%, projected STRS rate</v>
      </c>
      <c r="R43" s="592"/>
      <c r="S43" s="2238">
        <f t="shared" ref="S43:S52" si="18">IF(P43=0,"0.00%",(T43-P43)/P43)</f>
        <v>7.4638964782177922E-2</v>
      </c>
      <c r="T43" s="340">
        <f>ROUND(T29*LEFT(U43,6),0)</f>
        <v>35793</v>
      </c>
      <c r="U43" s="953" t="str">
        <f>TEXT('MYP Assumptions'!H57,"0.00%")&amp;", projected STRS rate"</f>
        <v>19.10%, projected STRS rate</v>
      </c>
      <c r="V43" s="952"/>
      <c r="W43" s="2241">
        <f t="shared" ref="W43:W52" si="19">IF(T43=0,"0.00%",(X43-T43)/T43)</f>
        <v>2.0003911379319977E-2</v>
      </c>
      <c r="X43" s="340">
        <f>ROUND(X29*LEFT(Y43,6),0)</f>
        <v>36509</v>
      </c>
      <c r="Y43" s="953" t="str">
        <f>TEXT('MYP Assumptions'!I57,"0.00%")&amp;", projected STRS rate"</f>
        <v>19.10%, projected STRS rate</v>
      </c>
      <c r="AA43" s="456" t="e">
        <f t="shared" ref="AA43:AA52" si="20">IF(X43=0,"0.00%",(AB43-X43)/X43)</f>
        <v>#VALUE!</v>
      </c>
      <c r="AB43" s="340" t="e">
        <f>ROUND(AB29*LEFT(AC43,6),0)</f>
        <v>#VALUE!</v>
      </c>
      <c r="AC43" s="953" t="str">
        <f>TEXT('MYP Assumptions'!J57,"0.00%")&amp;", projected STRS rate"</f>
        <v>0.00%, projected STRS rate</v>
      </c>
    </row>
    <row r="44" spans="1:29" s="457" customFormat="1" x14ac:dyDescent="0.25">
      <c r="A44" s="455"/>
      <c r="B44" s="2470" t="s">
        <v>84</v>
      </c>
      <c r="C44" s="1656" t="s">
        <v>77</v>
      </c>
      <c r="D44" s="340">
        <v>0</v>
      </c>
      <c r="E44" s="899" t="str">
        <f>TEXT('MYP Assumptions'!$D$58,"0.00%")&amp;", PERS rate"</f>
        <v>13.89%, PERS rate</v>
      </c>
      <c r="F44" s="340"/>
      <c r="G44" s="456" t="str">
        <f t="shared" si="15"/>
        <v>0.00%</v>
      </c>
      <c r="H44" s="340">
        <v>0</v>
      </c>
      <c r="I44" s="899" t="str">
        <f>TEXT('MYP Assumptions'!E58,"0.00%")&amp;", projected PERS rate"</f>
        <v>15.53%, projected PERS rate</v>
      </c>
      <c r="J44" s="455"/>
      <c r="K44" s="456" t="str">
        <f t="shared" si="16"/>
        <v>0.00%</v>
      </c>
      <c r="L44" s="340">
        <v>0</v>
      </c>
      <c r="M44" s="899" t="str">
        <f>TEXT('MYP Assumptions'!F58,"0.00%")&amp;", projected PERS rate"</f>
        <v>18.06%, projected PERS rate</v>
      </c>
      <c r="O44" s="456" t="str">
        <f t="shared" si="17"/>
        <v>0.00%</v>
      </c>
      <c r="P44" s="340">
        <f>ROUND(P40*LEFT(Q44,6),0)</f>
        <v>0</v>
      </c>
      <c r="Q44" s="899" t="str">
        <f>TEXT('MYP Assumptions'!G58,"0.00%")&amp;", projected PERS rate"</f>
        <v>20.80%, projected PERS rate</v>
      </c>
      <c r="R44" s="592"/>
      <c r="S44" s="2238" t="str">
        <f t="shared" si="18"/>
        <v>0.00%</v>
      </c>
      <c r="T44" s="340">
        <f>ROUND(T40*LEFT(U44,6),0)</f>
        <v>0</v>
      </c>
      <c r="U44" s="953" t="str">
        <f>TEXT('MYP Assumptions'!H58,"0.00%")&amp;", projected PERS rate"</f>
        <v>23.50%, projected PERS rate</v>
      </c>
      <c r="V44" s="952"/>
      <c r="W44" s="2241" t="str">
        <f t="shared" si="19"/>
        <v>0.00%</v>
      </c>
      <c r="X44" s="340">
        <f>ROUND(X40*LEFT(Y44,6),0)</f>
        <v>0</v>
      </c>
      <c r="Y44" s="953" t="str">
        <f>TEXT('MYP Assumptions'!I58,"0.00%")&amp;", projected PERS rate"</f>
        <v>24.60%, projected PERS rate</v>
      </c>
      <c r="AA44" s="456" t="str">
        <f t="shared" si="20"/>
        <v>0.00%</v>
      </c>
      <c r="AB44" s="340" t="e">
        <f>ROUND(AB40*LEFT(AC44,6),0)</f>
        <v>#VALUE!</v>
      </c>
      <c r="AC44" s="953" t="str">
        <f>TEXT('MYP Assumptions'!J58,"0.00%")&amp;", projected PERS rate"</f>
        <v>0.00%, projected PERS rate</v>
      </c>
    </row>
    <row r="45" spans="1:29" s="457" customFormat="1" x14ac:dyDescent="0.25">
      <c r="A45" s="455"/>
      <c r="B45" s="2470" t="s">
        <v>85</v>
      </c>
      <c r="C45" s="1656" t="s">
        <v>78</v>
      </c>
      <c r="D45" s="340">
        <v>0</v>
      </c>
      <c r="E45" s="899" t="str">
        <f>TEXT('MYP Assumptions'!$D$60,"0.00%")&amp;", SS rate"</f>
        <v>6.20%, SS rate</v>
      </c>
      <c r="F45" s="340"/>
      <c r="G45" s="456" t="str">
        <f t="shared" si="15"/>
        <v>0.00%</v>
      </c>
      <c r="H45" s="340">
        <v>0</v>
      </c>
      <c r="I45" s="899" t="str">
        <f>TEXT('MYP Assumptions'!E60,"0.00%")&amp;", no rate change"</f>
        <v>6.20%, no rate change</v>
      </c>
      <c r="J45" s="455"/>
      <c r="K45" s="456" t="str">
        <f t="shared" si="16"/>
        <v>0.00%</v>
      </c>
      <c r="L45" s="340">
        <v>0</v>
      </c>
      <c r="M45" s="899" t="str">
        <f>TEXT('MYP Assumptions'!F60,"0.00%")&amp;", no rate change"</f>
        <v>6.20%, no rate change</v>
      </c>
      <c r="O45" s="456" t="str">
        <f t="shared" si="17"/>
        <v>0.00%</v>
      </c>
      <c r="P45" s="340">
        <f>ROUND(P40*LEFT(Q45,5),0)</f>
        <v>0</v>
      </c>
      <c r="Q45" s="899" t="str">
        <f>TEXT('MYP Assumptions'!G60,"0.00%")&amp;", no rate change"</f>
        <v>6.20%, no rate change</v>
      </c>
      <c r="R45" s="592"/>
      <c r="S45" s="2238" t="str">
        <f t="shared" si="18"/>
        <v>0.00%</v>
      </c>
      <c r="T45" s="340">
        <f>ROUND(T40*LEFT(U45,5),0)</f>
        <v>0</v>
      </c>
      <c r="U45" s="953" t="str">
        <f>TEXT('MYP Assumptions'!H60,"0.00%")&amp;", no rate change"</f>
        <v>6.20%, no rate change</v>
      </c>
      <c r="V45" s="952"/>
      <c r="W45" s="2241" t="str">
        <f t="shared" si="19"/>
        <v>0.00%</v>
      </c>
      <c r="X45" s="340">
        <f>ROUND(X40*LEFT(Y45,5),0)</f>
        <v>0</v>
      </c>
      <c r="Y45" s="953" t="str">
        <f>TEXT('MYP Assumptions'!I60,"0.00%")&amp;", no rate change"</f>
        <v>6.20%, no rate change</v>
      </c>
      <c r="AA45" s="456" t="str">
        <f t="shared" si="20"/>
        <v>0.00%</v>
      </c>
      <c r="AB45" s="340">
        <f>ROUND(AB40*LEFT(AC45,5),0)</f>
        <v>0</v>
      </c>
      <c r="AC45" s="953" t="str">
        <f>TEXT('MYP Assumptions'!J60,"0.00%")&amp;", no rate change"</f>
        <v>0.00%, no rate change</v>
      </c>
    </row>
    <row r="46" spans="1:29" s="457" customFormat="1" x14ac:dyDescent="0.25">
      <c r="A46" s="455"/>
      <c r="B46" s="2470" t="s">
        <v>86</v>
      </c>
      <c r="C46" s="1656" t="s">
        <v>79</v>
      </c>
      <c r="D46" s="340">
        <v>2178.37</v>
      </c>
      <c r="E46" s="899" t="str">
        <f>TEXT('MYP Assumptions'!$D$61,"0.00%")&amp;", Medicare rate"</f>
        <v>1.45%, Medicare rate</v>
      </c>
      <c r="F46" s="340"/>
      <c r="G46" s="456">
        <f t="shared" si="15"/>
        <v>0.14167932903960306</v>
      </c>
      <c r="H46" s="340">
        <v>2487</v>
      </c>
      <c r="I46" s="899" t="str">
        <f>TEXT('MYP Assumptions'!E61,"0.00%")&amp;", no rate change"</f>
        <v>1.45%, no rate change</v>
      </c>
      <c r="J46" s="455"/>
      <c r="K46" s="456">
        <f t="shared" si="16"/>
        <v>5.0261359067149174E-2</v>
      </c>
      <c r="L46" s="340">
        <v>2612</v>
      </c>
      <c r="M46" s="899" t="str">
        <f>TEXT('MYP Assumptions'!F61,"0.00%")&amp;", no rate change"</f>
        <v>1.45%, no rate change</v>
      </c>
      <c r="O46" s="456">
        <f t="shared" si="17"/>
        <v>1.9908116385911178E-2</v>
      </c>
      <c r="P46" s="340">
        <f>ROUND((P40+P29)*LEFT(Q46,5),0)</f>
        <v>2664</v>
      </c>
      <c r="Q46" s="899" t="str">
        <f>TEXT('MYP Assumptions'!G61,"0.00%")&amp;", no rate change"</f>
        <v>1.45%, no rate change</v>
      </c>
      <c r="R46" s="592"/>
      <c r="S46" s="2238">
        <f t="shared" si="18"/>
        <v>1.9894894894894894E-2</v>
      </c>
      <c r="T46" s="340">
        <f>ROUND((T40+T29)*LEFT(U46,5),0)</f>
        <v>2717</v>
      </c>
      <c r="U46" s="953" t="str">
        <f>TEXT('MYP Assumptions'!H61,"0.00%")&amp;", no rate change"</f>
        <v>1.45%, no rate change</v>
      </c>
      <c r="V46" s="952"/>
      <c r="W46" s="2241">
        <f t="shared" si="19"/>
        <v>2.0242914979757085E-2</v>
      </c>
      <c r="X46" s="340">
        <f>ROUND((X40+X29)*LEFT(Y46,5),0)</f>
        <v>2772</v>
      </c>
      <c r="Y46" s="953" t="str">
        <f>TEXT('MYP Assumptions'!I61,"0.00%")&amp;", no rate change"</f>
        <v>1.45%, no rate change</v>
      </c>
      <c r="AA46" s="456">
        <f t="shared" si="20"/>
        <v>-1</v>
      </c>
      <c r="AB46" s="340">
        <f>ROUND((AB40+AB29)*LEFT(AC46,5),0)</f>
        <v>0</v>
      </c>
      <c r="AC46" s="953" t="str">
        <f>TEXT('MYP Assumptions'!J61,"0.00%")&amp;", no rate change"</f>
        <v>0.00%, no rate change</v>
      </c>
    </row>
    <row r="47" spans="1:29" s="457" customFormat="1" x14ac:dyDescent="0.25">
      <c r="A47" s="455"/>
      <c r="B47" s="2470" t="s">
        <v>87</v>
      </c>
      <c r="C47" s="1656" t="s">
        <v>80</v>
      </c>
      <c r="D47" s="340">
        <v>11321.41</v>
      </c>
      <c r="E47" s="899"/>
      <c r="F47" s="340"/>
      <c r="G47" s="456">
        <f t="shared" si="15"/>
        <v>0.53028642192094455</v>
      </c>
      <c r="H47" s="340">
        <v>17325</v>
      </c>
      <c r="I47" s="899"/>
      <c r="J47" s="455"/>
      <c r="K47" s="456">
        <f t="shared" si="16"/>
        <v>0.14839826839826839</v>
      </c>
      <c r="L47" s="340">
        <v>19896</v>
      </c>
      <c r="M47" s="899" t="str">
        <f>TEXT('MYP Assumptions'!$I$68,"0.00%")&amp;", projected increase"</f>
        <v>5.00%, projected increase</v>
      </c>
      <c r="O47" s="456">
        <f t="shared" si="17"/>
        <v>5.0010052271813432E-2</v>
      </c>
      <c r="P47" s="340">
        <f>ROUND((L47)*(LEFT(Q47,5)+1),0)</f>
        <v>20891</v>
      </c>
      <c r="Q47" s="899" t="str">
        <f>TEXT('MYP Assumptions'!$I$68,"0.00%")&amp;", projected increase"</f>
        <v>5.00%, projected increase</v>
      </c>
      <c r="R47" s="592"/>
      <c r="S47" s="2238">
        <f t="shared" si="18"/>
        <v>5.0021540376238571E-2</v>
      </c>
      <c r="T47" s="340">
        <f>ROUND((P47)*(LEFT(U47,5)+1),0)</f>
        <v>21936</v>
      </c>
      <c r="U47" s="953" t="str">
        <f>TEXT('MYP Assumptions'!$I$68,"0.00%")&amp;", projected increase"</f>
        <v>5.00%, projected increase</v>
      </c>
      <c r="V47" s="952"/>
      <c r="W47" s="2241">
        <f t="shared" si="19"/>
        <v>5.0009117432530996E-2</v>
      </c>
      <c r="X47" s="340">
        <f>ROUND((T47)*(LEFT(Y47,5)+1),0)</f>
        <v>23033</v>
      </c>
      <c r="Y47" s="953" t="str">
        <f>TEXT('MYP Assumptions'!$I$68,"0.00%")&amp;", projected increase"</f>
        <v>5.00%, projected increase</v>
      </c>
      <c r="AA47" s="456">
        <f t="shared" si="20"/>
        <v>5.0015195588937612E-2</v>
      </c>
      <c r="AB47" s="340">
        <f>ROUND((X47)*(LEFT(AC47,5)+1),0)</f>
        <v>24185</v>
      </c>
      <c r="AC47" s="953" t="str">
        <f>TEXT('MYP Assumptions'!$I$68,"0.00%")&amp;", projected increase"</f>
        <v>5.00%, projected increase</v>
      </c>
    </row>
    <row r="48" spans="1:29" s="457" customFormat="1" x14ac:dyDescent="0.25">
      <c r="A48" s="455"/>
      <c r="B48" s="2470" t="s">
        <v>88</v>
      </c>
      <c r="C48" s="1656" t="s">
        <v>81</v>
      </c>
      <c r="D48" s="340">
        <v>76.959999999999994</v>
      </c>
      <c r="E48" s="899" t="str">
        <f>TEXT('MYP Assumptions'!$D$62,"0.00%")&amp;", SUI rate"</f>
        <v>0.05%, SUI rate</v>
      </c>
      <c r="F48" s="340"/>
      <c r="G48" s="456">
        <f t="shared" si="15"/>
        <v>0.16943866943866953</v>
      </c>
      <c r="H48" s="340">
        <v>90</v>
      </c>
      <c r="I48" s="899" t="str">
        <f>TEXT('MYP Assumptions'!E62,"0.00%")&amp;", no rate change"</f>
        <v>0.05%, no rate change</v>
      </c>
      <c r="J48" s="455"/>
      <c r="K48" s="456">
        <f t="shared" si="16"/>
        <v>1.1111111111111112E-2</v>
      </c>
      <c r="L48" s="340">
        <v>91</v>
      </c>
      <c r="M48" s="899" t="str">
        <f>TEXT('MYP Assumptions'!F62,"0.00%")&amp;", no rate change"</f>
        <v>0.05%, no rate change</v>
      </c>
      <c r="O48" s="456">
        <f t="shared" si="17"/>
        <v>1.098901098901099E-2</v>
      </c>
      <c r="P48" s="340">
        <f>ROUND((P40+P29)*LEFT(Q48,5),0)</f>
        <v>92</v>
      </c>
      <c r="Q48" s="899" t="str">
        <f>TEXT('MYP Assumptions'!G62,"0.00%")&amp;", no rate change"</f>
        <v>0.05%, no rate change</v>
      </c>
      <c r="R48" s="592"/>
      <c r="S48" s="2238">
        <f t="shared" si="18"/>
        <v>2.1739130434782608E-2</v>
      </c>
      <c r="T48" s="340">
        <f>ROUND((T40+T29)*LEFT(U48,5),0)</f>
        <v>94</v>
      </c>
      <c r="U48" s="953" t="str">
        <f>TEXT('MYP Assumptions'!H62,"0.00%")&amp;", no rate change"</f>
        <v>0.05%, no rate change</v>
      </c>
      <c r="V48" s="952"/>
      <c r="W48" s="2241">
        <f t="shared" si="19"/>
        <v>2.1276595744680851E-2</v>
      </c>
      <c r="X48" s="340">
        <f>ROUND((X40+X29)*LEFT(Y48,5),0)</f>
        <v>96</v>
      </c>
      <c r="Y48" s="953" t="str">
        <f>TEXT('MYP Assumptions'!I62,"0.00%")&amp;", no rate change"</f>
        <v>0.05%, no rate change</v>
      </c>
      <c r="AA48" s="456">
        <f t="shared" si="20"/>
        <v>-1</v>
      </c>
      <c r="AB48" s="340">
        <f>ROUND((AB40+AB29)*LEFT(AC48,5),0)</f>
        <v>0</v>
      </c>
      <c r="AC48" s="953" t="str">
        <f>TEXT('MYP Assumptions'!J62,"0.00%")&amp;", no rate change"</f>
        <v>0.00%, no rate change</v>
      </c>
    </row>
    <row r="49" spans="1:29" s="457" customFormat="1" x14ac:dyDescent="0.25">
      <c r="A49" s="455"/>
      <c r="B49" s="2470" t="s">
        <v>89</v>
      </c>
      <c r="C49" s="1656" t="s">
        <v>82</v>
      </c>
      <c r="D49" s="340">
        <v>1689.26</v>
      </c>
      <c r="E49" s="899" t="str">
        <f>TEXT('MYP Assumptions'!$D$63,"0.00%")&amp;", W/C rate"</f>
        <v>1.10%, W/C rate</v>
      </c>
      <c r="F49" s="340"/>
      <c r="G49" s="456">
        <f t="shared" si="15"/>
        <v>0.16145531179332964</v>
      </c>
      <c r="H49" s="340">
        <v>1962</v>
      </c>
      <c r="I49" s="899" t="str">
        <f>TEXT('MYP Assumptions'!E63,"0.00%")&amp;", no rate change"</f>
        <v>0.80%, no rate change</v>
      </c>
      <c r="J49" s="455"/>
      <c r="K49" s="456">
        <f t="shared" si="16"/>
        <v>-0.2655453618756371</v>
      </c>
      <c r="L49" s="340">
        <v>1441</v>
      </c>
      <c r="M49" s="899" t="str">
        <f>TEXT('MYP Assumptions'!F63,"0.00%")&amp;", no rate change"</f>
        <v>0.80%, no rate change</v>
      </c>
      <c r="O49" s="456">
        <f t="shared" si="17"/>
        <v>2.0124913254684247E-2</v>
      </c>
      <c r="P49" s="340">
        <f>ROUND((P40+P29)*LEFT(Q49,5),0)</f>
        <v>1470</v>
      </c>
      <c r="Q49" s="899" t="str">
        <f>TEXT('MYP Assumptions'!G63,"0.00%")&amp;", no rate change"</f>
        <v>0.80%, no rate change</v>
      </c>
      <c r="R49" s="592"/>
      <c r="S49" s="2238">
        <f t="shared" si="18"/>
        <v>1.9727891156462583E-2</v>
      </c>
      <c r="T49" s="340">
        <f>ROUND((T40+T29)*LEFT(U49,5),0)</f>
        <v>1499</v>
      </c>
      <c r="U49" s="953" t="str">
        <f>TEXT('MYP Assumptions'!H63,"0.00%")&amp;", no rate change"</f>
        <v>0.80%, no rate change</v>
      </c>
      <c r="V49" s="952"/>
      <c r="W49" s="2241">
        <f t="shared" si="19"/>
        <v>2.0013342228152101E-2</v>
      </c>
      <c r="X49" s="340">
        <f>ROUND((X40+X29)*LEFT(Y49,5),0)</f>
        <v>1529</v>
      </c>
      <c r="Y49" s="953" t="str">
        <f>TEXT('MYP Assumptions'!I63,"0.00%")&amp;", no rate change"</f>
        <v>0.80%, no rate change</v>
      </c>
      <c r="AA49" s="456">
        <f t="shared" si="20"/>
        <v>-1</v>
      </c>
      <c r="AB49" s="340">
        <f>ROUND((AB40+AB29)*LEFT(AC49,5),0)</f>
        <v>0</v>
      </c>
      <c r="AC49" s="953" t="str">
        <f>TEXT('MYP Assumptions'!J63,"0.00%")&amp;", no rate change"</f>
        <v>0.00%, no rate change</v>
      </c>
    </row>
    <row r="50" spans="1:29" s="457" customFormat="1" x14ac:dyDescent="0.25">
      <c r="A50" s="455"/>
      <c r="B50" s="2477" t="s">
        <v>469</v>
      </c>
      <c r="C50" s="2386" t="s">
        <v>470</v>
      </c>
      <c r="D50" s="340">
        <v>0</v>
      </c>
      <c r="E50" s="2386"/>
      <c r="F50" s="340"/>
      <c r="G50" s="456" t="str">
        <f t="shared" ref="G50" si="21">IF(D50=0,"0.00%",(H50-D50)/D50)</f>
        <v>0.00%</v>
      </c>
      <c r="H50" s="340">
        <v>0</v>
      </c>
      <c r="I50" s="899"/>
      <c r="J50" s="455"/>
      <c r="K50" s="456" t="str">
        <f t="shared" ref="K50" si="22">IF(H50=0,"0.00%",(L50-H50)/H50)</f>
        <v>0.00%</v>
      </c>
      <c r="L50" s="340">
        <v>0</v>
      </c>
      <c r="M50" s="899"/>
      <c r="O50" s="456" t="str">
        <f t="shared" ref="O50" si="23">IF(L50=0,"0.00%",(P50-L50)/L50)</f>
        <v>0.00%</v>
      </c>
      <c r="P50" s="340">
        <v>0</v>
      </c>
      <c r="Q50" s="899"/>
      <c r="R50" s="592"/>
      <c r="S50" s="2238" t="str">
        <f t="shared" ref="S50" si="24">IF(P50=0,"0.00%",(T50-P50)/P50)</f>
        <v>0.00%</v>
      </c>
      <c r="T50" s="340">
        <f>P50</f>
        <v>0</v>
      </c>
      <c r="U50" s="953" t="s">
        <v>165</v>
      </c>
      <c r="V50" s="952"/>
      <c r="W50" s="2241" t="str">
        <f t="shared" ref="W50" si="25">IF(T50=0,"0.00%",(X50-T50)/T50)</f>
        <v>0.00%</v>
      </c>
      <c r="X50" s="340">
        <f>T50</f>
        <v>0</v>
      </c>
      <c r="Y50" s="953" t="s">
        <v>165</v>
      </c>
      <c r="AA50" s="456" t="str">
        <f t="shared" ref="AA50" si="26">IF(X50=0,"0.00%",(AB50-X50)/X50)</f>
        <v>0.00%</v>
      </c>
      <c r="AB50" s="340">
        <f>X50</f>
        <v>0</v>
      </c>
      <c r="AC50" s="953" t="s">
        <v>165</v>
      </c>
    </row>
    <row r="51" spans="1:29" s="457" customFormat="1" x14ac:dyDescent="0.25">
      <c r="A51" s="455"/>
      <c r="B51" s="2477" t="s">
        <v>91</v>
      </c>
      <c r="C51" s="2386" t="s">
        <v>93</v>
      </c>
      <c r="D51" s="340">
        <v>2000</v>
      </c>
      <c r="E51" s="2386"/>
      <c r="F51" s="340"/>
      <c r="G51" s="456">
        <f t="shared" ref="G51" si="27">IF(D51=0,"0.00%",(H51-D51)/D51)</f>
        <v>0</v>
      </c>
      <c r="H51" s="340">
        <v>2000</v>
      </c>
      <c r="I51" s="899"/>
      <c r="J51" s="455"/>
      <c r="K51" s="456">
        <f t="shared" ref="K51" si="28">IF(H51=0,"0.00%",(L51-H51)/H51)</f>
        <v>0</v>
      </c>
      <c r="L51" s="340">
        <v>2000</v>
      </c>
      <c r="M51" s="899" t="s">
        <v>165</v>
      </c>
      <c r="O51" s="456">
        <f t="shared" ref="O51" si="29">IF(L51=0,"0.00%",(P51-L51)/L51)</f>
        <v>0</v>
      </c>
      <c r="P51" s="340">
        <f>L51</f>
        <v>2000</v>
      </c>
      <c r="Q51" s="899" t="s">
        <v>165</v>
      </c>
      <c r="R51" s="592"/>
      <c r="S51" s="2238">
        <f t="shared" ref="S51" si="30">IF(P51=0,"0.00%",(T51-P51)/P51)</f>
        <v>0</v>
      </c>
      <c r="T51" s="340">
        <f>P51</f>
        <v>2000</v>
      </c>
      <c r="U51" s="953" t="s">
        <v>165</v>
      </c>
      <c r="V51" s="952"/>
      <c r="W51" s="2241"/>
      <c r="X51" s="340"/>
      <c r="Y51" s="953"/>
      <c r="AA51" s="456"/>
      <c r="AB51" s="340"/>
      <c r="AC51" s="953"/>
    </row>
    <row r="52" spans="1:29" s="457" customFormat="1" x14ac:dyDescent="0.25">
      <c r="A52" s="459"/>
      <c r="B52" s="2470"/>
      <c r="C52" s="1656"/>
      <c r="D52" s="458">
        <f>SUM(D43:D51)</f>
        <v>36467.380000000005</v>
      </c>
      <c r="E52" s="2386"/>
      <c r="F52" s="340"/>
      <c r="G52" s="456">
        <f t="shared" si="15"/>
        <v>0.36469908175470772</v>
      </c>
      <c r="H52" s="458">
        <f>SUM(H43:H51)</f>
        <v>49767</v>
      </c>
      <c r="I52" s="2316">
        <f>+H52-D52</f>
        <v>13299.619999999995</v>
      </c>
      <c r="J52" s="459"/>
      <c r="K52" s="456">
        <f t="shared" si="16"/>
        <v>0.11248417626137802</v>
      </c>
      <c r="L52" s="458">
        <f>SUM(L43:L51)</f>
        <v>55365</v>
      </c>
      <c r="M52" s="2316">
        <f>+L52-H52</f>
        <v>5598</v>
      </c>
      <c r="O52" s="456">
        <f t="shared" si="17"/>
        <v>9.1375417682651491E-2</v>
      </c>
      <c r="P52" s="458">
        <f>SUM(P43:P51)</f>
        <v>60424</v>
      </c>
      <c r="Q52" s="2316">
        <f>+P52-L52</f>
        <v>5059</v>
      </c>
      <c r="R52" s="592"/>
      <c r="S52" s="2238">
        <f t="shared" si="18"/>
        <v>5.9827220971799287E-2</v>
      </c>
      <c r="T52" s="458">
        <f>SUM(T43:T51)</f>
        <v>64039</v>
      </c>
      <c r="U52" s="2344"/>
      <c r="V52" s="952"/>
      <c r="W52" s="2241">
        <f t="shared" si="19"/>
        <v>-1.5615484314246005E-3</v>
      </c>
      <c r="X52" s="458">
        <f>SUM(X43:X51)</f>
        <v>63939</v>
      </c>
      <c r="Y52" s="2344"/>
      <c r="AA52" s="456" t="e">
        <f t="shared" si="20"/>
        <v>#VALUE!</v>
      </c>
      <c r="AB52" s="458" t="e">
        <f>SUM(AB43:AB51)</f>
        <v>#VALUE!</v>
      </c>
      <c r="AC52" s="2344"/>
    </row>
    <row r="53" spans="1:29" s="457" customFormat="1" x14ac:dyDescent="0.25">
      <c r="A53" s="460"/>
      <c r="B53" s="2470"/>
      <c r="C53" s="1656"/>
      <c r="D53" s="340"/>
      <c r="E53" s="2386"/>
      <c r="F53" s="340"/>
      <c r="G53" s="2338"/>
      <c r="H53" s="340"/>
      <c r="I53" s="897"/>
      <c r="J53" s="455"/>
      <c r="K53" s="1668"/>
      <c r="L53" s="340"/>
      <c r="M53" s="901"/>
      <c r="O53" s="1668"/>
      <c r="P53" s="340"/>
      <c r="Q53" s="901"/>
      <c r="R53" s="592"/>
      <c r="S53" s="2341"/>
      <c r="T53" s="340"/>
      <c r="U53" s="2344"/>
      <c r="V53" s="952"/>
      <c r="W53" s="2343"/>
      <c r="X53" s="340"/>
      <c r="Y53" s="2344"/>
      <c r="AA53" s="1668"/>
      <c r="AB53" s="340"/>
      <c r="AC53" s="2344"/>
    </row>
    <row r="54" spans="1:29" s="457" customFormat="1" x14ac:dyDescent="0.25">
      <c r="A54" s="459"/>
      <c r="B54" s="2468" t="s">
        <v>26</v>
      </c>
      <c r="C54" s="1656"/>
      <c r="D54" s="458">
        <f>SUM(D52,D40,D29)</f>
        <v>186792.7</v>
      </c>
      <c r="E54" s="2386"/>
      <c r="F54" s="340"/>
      <c r="G54" s="456">
        <f>IF(D54=0,"0.00%",(H54-D54)/D54)</f>
        <v>0.24242007316131725</v>
      </c>
      <c r="H54" s="458">
        <f>SUM(H52,H40,H29)</f>
        <v>232075</v>
      </c>
      <c r="I54" s="2316">
        <f>+H54-D54</f>
        <v>45282.299999999988</v>
      </c>
      <c r="J54" s="459"/>
      <c r="K54" s="456">
        <f>IF(H54=0,"0.00%",(L54-H54)/H54)</f>
        <v>1.4706452655391576E-2</v>
      </c>
      <c r="L54" s="458">
        <f>SUM(L52,L40,L29)</f>
        <v>235488</v>
      </c>
      <c r="M54" s="2316">
        <f>+L54-H54</f>
        <v>3413</v>
      </c>
      <c r="O54" s="456">
        <f>IF(L54=0,"0.00%",(P54-L54)/L54)</f>
        <v>3.6778944150020386E-2</v>
      </c>
      <c r="P54" s="458">
        <f>SUM(P52,P40,P29)</f>
        <v>244149</v>
      </c>
      <c r="Q54" s="2316">
        <f>+P54-L54</f>
        <v>8661</v>
      </c>
      <c r="R54" s="592"/>
      <c r="S54" s="2238">
        <f>IF(P54=0,"0.00%",(T54-P54)/P54)</f>
        <v>2.9858815723185432E-2</v>
      </c>
      <c r="T54" s="458">
        <f>SUM(T52,T40,T29)</f>
        <v>251439</v>
      </c>
      <c r="U54" s="2344"/>
      <c r="V54" s="952"/>
      <c r="W54" s="2241">
        <f>IF(T54=0,"0.00%",(X54-T54)/T54)</f>
        <v>1.4508489136530132E-2</v>
      </c>
      <c r="X54" s="458">
        <f>SUM(X52,X40,X29)</f>
        <v>255087</v>
      </c>
      <c r="Y54" s="2344"/>
      <c r="AA54" s="456" t="e">
        <f>IF(X54=0,"0.00%",(AB54-X54)/X54)</f>
        <v>#VALUE!</v>
      </c>
      <c r="AB54" s="458" t="e">
        <f>SUM(AB52,AB40,AB29)</f>
        <v>#VALUE!</v>
      </c>
      <c r="AC54" s="2344"/>
    </row>
    <row r="55" spans="1:29" s="457" customFormat="1" x14ac:dyDescent="0.25">
      <c r="A55" s="592"/>
      <c r="B55" s="2432"/>
      <c r="C55" s="1656"/>
      <c r="D55" s="340"/>
      <c r="E55" s="2386"/>
      <c r="F55" s="340"/>
      <c r="G55" s="2338"/>
      <c r="H55" s="340"/>
      <c r="I55" s="897"/>
      <c r="J55" s="455"/>
      <c r="K55" s="1668"/>
      <c r="L55" s="340"/>
      <c r="M55" s="901"/>
      <c r="O55" s="1668"/>
      <c r="P55" s="340"/>
      <c r="Q55" s="901"/>
      <c r="R55" s="592"/>
      <c r="S55" s="2341"/>
      <c r="T55" s="340"/>
      <c r="U55" s="2344"/>
      <c r="V55" s="952"/>
      <c r="W55" s="2343"/>
      <c r="X55" s="340"/>
      <c r="Y55" s="2344"/>
      <c r="AA55" s="1668"/>
      <c r="AB55" s="340"/>
      <c r="AC55" s="2344"/>
    </row>
    <row r="56" spans="1:29" s="457" customFormat="1" x14ac:dyDescent="0.25">
      <c r="A56" s="455"/>
      <c r="B56" s="2432"/>
      <c r="C56" s="1656"/>
      <c r="D56" s="340"/>
      <c r="E56" s="2386"/>
      <c r="F56" s="340"/>
      <c r="G56" s="2338"/>
      <c r="H56" s="340"/>
      <c r="I56" s="897"/>
      <c r="J56" s="455"/>
      <c r="K56" s="1668"/>
      <c r="L56" s="340"/>
      <c r="M56" s="901"/>
      <c r="O56" s="1668"/>
      <c r="P56" s="340"/>
      <c r="Q56" s="901"/>
      <c r="R56" s="592"/>
      <c r="S56" s="2341"/>
      <c r="T56" s="340"/>
      <c r="U56" s="2344"/>
      <c r="V56" s="952"/>
      <c r="W56" s="2343"/>
      <c r="X56" s="340"/>
      <c r="Y56" s="2344"/>
      <c r="AA56" s="1668"/>
      <c r="AB56" s="340"/>
      <c r="AC56" s="2344"/>
    </row>
    <row r="57" spans="1:29" s="457" customFormat="1" x14ac:dyDescent="0.25">
      <c r="A57" s="592"/>
      <c r="B57" s="2472" t="s">
        <v>25</v>
      </c>
      <c r="C57" s="900"/>
      <c r="D57" s="340"/>
      <c r="E57" s="2386"/>
      <c r="F57" s="340"/>
      <c r="G57" s="2338"/>
      <c r="H57" s="340"/>
      <c r="I57" s="897"/>
      <c r="J57" s="455"/>
      <c r="K57" s="1668"/>
      <c r="L57" s="340"/>
      <c r="M57" s="901"/>
      <c r="O57" s="1668"/>
      <c r="P57" s="340"/>
      <c r="Q57" s="901"/>
      <c r="R57" s="592"/>
      <c r="S57" s="2341"/>
      <c r="T57" s="340"/>
      <c r="U57" s="2344"/>
      <c r="V57" s="952"/>
      <c r="W57" s="2343"/>
      <c r="X57" s="340"/>
      <c r="Y57" s="2344"/>
      <c r="AA57" s="1668"/>
      <c r="AB57" s="340"/>
      <c r="AC57" s="2344"/>
    </row>
    <row r="58" spans="1:29" s="457" customFormat="1" hidden="1" x14ac:dyDescent="0.25">
      <c r="A58" s="455"/>
      <c r="B58" s="2470" t="s">
        <v>24</v>
      </c>
      <c r="C58" s="1656" t="s">
        <v>23</v>
      </c>
      <c r="D58" s="340">
        <v>0</v>
      </c>
      <c r="E58" s="2386"/>
      <c r="F58" s="340"/>
      <c r="G58" s="456" t="str">
        <f t="shared" ref="G58:G65" si="31">IF(D58=0,"0.00%",(H58-D58)/D58)</f>
        <v>0.00%</v>
      </c>
      <c r="H58" s="340">
        <f t="shared" ref="H58:H64" si="32">ROUND(D58*(LEFT(I58,5)+1),0)</f>
        <v>0</v>
      </c>
      <c r="I58" s="899" t="str">
        <f>TEXT('MYP Assumptions'!E78,"0.00%")&amp;", CPI"</f>
        <v>3.37%, CPI</v>
      </c>
      <c r="J58" s="455"/>
      <c r="K58" s="456" t="str">
        <f t="shared" ref="K58:K65" si="33">IF(H58=0,"0.00%",(L58-H58)/H58)</f>
        <v>0.00%</v>
      </c>
      <c r="L58" s="340">
        <f>ROUND(H58*(LEFT(M58,5)+1),0)</f>
        <v>0</v>
      </c>
      <c r="M58" s="899" t="str">
        <f>TEXT('MYP Assumptions'!F78,"0.00%")&amp;", CPI"</f>
        <v>3.58%, CPI</v>
      </c>
      <c r="O58" s="456" t="str">
        <f t="shared" ref="O58:O65" si="34">IF(L58=0,"0.00%",(P58-L58)/L58)</f>
        <v>0.00%</v>
      </c>
      <c r="P58" s="340">
        <f>ROUND(L58*(LEFT(Q58,5)+1),0)</f>
        <v>0</v>
      </c>
      <c r="Q58" s="899" t="str">
        <f>TEXT('MYP Assumptions'!G78,"0.00%")&amp;", CPI"</f>
        <v>3.36%, CPI</v>
      </c>
      <c r="R58" s="592"/>
      <c r="S58" s="2238" t="str">
        <f t="shared" ref="S58:S65" si="35">IF(P58=0,"0.00%",(T58-P58)/P58)</f>
        <v>0.00%</v>
      </c>
      <c r="T58" s="340">
        <f t="shared" ref="T58:T64" si="36">ROUND(P58*(LEFT(U58,5)+1),0)</f>
        <v>0</v>
      </c>
      <c r="U58" s="953" t="str">
        <f>TEXT('MYP Assumptions'!H78,"0.00%")&amp;", CPI"</f>
        <v>3.23%, CPI</v>
      </c>
      <c r="V58" s="952"/>
      <c r="W58" s="2241" t="str">
        <f t="shared" ref="W58:W65" si="37">IF(T58=0,"0.00%",(X58-T58)/T58)</f>
        <v>0.00%</v>
      </c>
      <c r="X58" s="340">
        <f>ROUND(T58*(LEFT(Y58,5)+1),0)</f>
        <v>0</v>
      </c>
      <c r="Y58" s="953" t="str">
        <f>TEXT('MYP Assumptions'!I78,"0.00%")&amp;", CPI"</f>
        <v>2.73%, CPI</v>
      </c>
      <c r="AA58" s="456" t="str">
        <f t="shared" ref="AA58:AA65" si="38">IF(X58=0,"0.00%",(AB58-X58)/X58)</f>
        <v>0.00%</v>
      </c>
      <c r="AB58" s="340">
        <f>ROUND(X58*(LEFT(AC58,5)+1),0)</f>
        <v>0</v>
      </c>
      <c r="AC58" s="953" t="str">
        <f>TEXT('MYP Assumptions'!J78,"0.00%")&amp;", CPI"</f>
        <v>2.73%, CPI</v>
      </c>
    </row>
    <row r="59" spans="1:29" s="457" customFormat="1" hidden="1" x14ac:dyDescent="0.25">
      <c r="A59" s="455"/>
      <c r="B59" s="2470" t="s">
        <v>94</v>
      </c>
      <c r="C59" s="1656" t="s">
        <v>96</v>
      </c>
      <c r="D59" s="340">
        <v>0</v>
      </c>
      <c r="E59" s="2386"/>
      <c r="F59" s="340"/>
      <c r="G59" s="456" t="str">
        <f t="shared" si="31"/>
        <v>0.00%</v>
      </c>
      <c r="H59" s="340">
        <f t="shared" si="32"/>
        <v>0</v>
      </c>
      <c r="I59" s="899" t="str">
        <f>TEXT('MYP Assumptions'!E78,"0.00%")&amp;", CPI"</f>
        <v>3.37%, CPI</v>
      </c>
      <c r="J59" s="455"/>
      <c r="K59" s="456" t="str">
        <f t="shared" si="33"/>
        <v>0.00%</v>
      </c>
      <c r="L59" s="340">
        <f t="shared" ref="L59:L64" si="39">ROUND(H59*(LEFT(M59,5)+1),0)</f>
        <v>0</v>
      </c>
      <c r="M59" s="899" t="str">
        <f>TEXT('MYP Assumptions'!F78,"0.00%")&amp;", CPI"</f>
        <v>3.58%, CPI</v>
      </c>
      <c r="O59" s="456" t="str">
        <f t="shared" si="34"/>
        <v>0.00%</v>
      </c>
      <c r="P59" s="340">
        <f t="shared" ref="P59:P64" si="40">ROUND(L59*(LEFT(Q59,5)+1),0)</f>
        <v>0</v>
      </c>
      <c r="Q59" s="899" t="str">
        <f>TEXT('MYP Assumptions'!G78,"0.00%")&amp;", CPI"</f>
        <v>3.36%, CPI</v>
      </c>
      <c r="R59" s="592"/>
      <c r="S59" s="2238" t="str">
        <f t="shared" si="35"/>
        <v>0.00%</v>
      </c>
      <c r="T59" s="340">
        <f t="shared" si="36"/>
        <v>0</v>
      </c>
      <c r="U59" s="953" t="str">
        <f>TEXT('MYP Assumptions'!H78,"0.00%")&amp;", CPI"</f>
        <v>3.23%, CPI</v>
      </c>
      <c r="V59" s="952"/>
      <c r="W59" s="2241" t="str">
        <f t="shared" si="37"/>
        <v>0.00%</v>
      </c>
      <c r="X59" s="340">
        <f t="shared" ref="X59:X64" si="41">ROUND(T59*(LEFT(Y59,5)+1),0)</f>
        <v>0</v>
      </c>
      <c r="Y59" s="953" t="str">
        <f>TEXT('MYP Assumptions'!I78,"0.00%")&amp;", CPI"</f>
        <v>2.73%, CPI</v>
      </c>
      <c r="AA59" s="456" t="str">
        <f t="shared" si="38"/>
        <v>0.00%</v>
      </c>
      <c r="AB59" s="340">
        <f t="shared" ref="AB59:AB64" si="42">ROUND(X59*(LEFT(AC59,5)+1),0)</f>
        <v>0</v>
      </c>
      <c r="AC59" s="953" t="str">
        <f>TEXT('MYP Assumptions'!J78,"0.00%")&amp;", CPI"</f>
        <v>2.73%, CPI</v>
      </c>
    </row>
    <row r="60" spans="1:29" s="457" customFormat="1" hidden="1" x14ac:dyDescent="0.25">
      <c r="A60" s="455"/>
      <c r="B60" s="2470" t="s">
        <v>95</v>
      </c>
      <c r="C60" s="1656" t="s">
        <v>97</v>
      </c>
      <c r="D60" s="340">
        <v>0</v>
      </c>
      <c r="E60" s="2386"/>
      <c r="F60" s="340"/>
      <c r="G60" s="456" t="str">
        <f t="shared" si="31"/>
        <v>0.00%</v>
      </c>
      <c r="H60" s="340">
        <f t="shared" si="32"/>
        <v>0</v>
      </c>
      <c r="I60" s="899" t="str">
        <f>TEXT('MYP Assumptions'!E78,"0.00%")&amp;", CPI"</f>
        <v>3.37%, CPI</v>
      </c>
      <c r="J60" s="455"/>
      <c r="K60" s="456" t="str">
        <f t="shared" si="33"/>
        <v>0.00%</v>
      </c>
      <c r="L60" s="340">
        <f t="shared" si="39"/>
        <v>0</v>
      </c>
      <c r="M60" s="899" t="str">
        <f>TEXT('MYP Assumptions'!F78,"0.00%")&amp;", CPI"</f>
        <v>3.58%, CPI</v>
      </c>
      <c r="O60" s="456" t="str">
        <f t="shared" si="34"/>
        <v>0.00%</v>
      </c>
      <c r="P60" s="340">
        <f t="shared" si="40"/>
        <v>0</v>
      </c>
      <c r="Q60" s="899" t="str">
        <f>TEXT('MYP Assumptions'!G78,"0.00%")&amp;", CPI"</f>
        <v>3.36%, CPI</v>
      </c>
      <c r="R60" s="592"/>
      <c r="S60" s="2238" t="str">
        <f t="shared" si="35"/>
        <v>0.00%</v>
      </c>
      <c r="T60" s="340">
        <f t="shared" si="36"/>
        <v>0</v>
      </c>
      <c r="U60" s="953" t="str">
        <f>TEXT('MYP Assumptions'!H78,"0.00%")&amp;", CPI"</f>
        <v>3.23%, CPI</v>
      </c>
      <c r="V60" s="952"/>
      <c r="W60" s="2241" t="str">
        <f t="shared" si="37"/>
        <v>0.00%</v>
      </c>
      <c r="X60" s="340">
        <f t="shared" si="41"/>
        <v>0</v>
      </c>
      <c r="Y60" s="953" t="str">
        <f>TEXT('MYP Assumptions'!I78,"0.00%")&amp;", CPI"</f>
        <v>2.73%, CPI</v>
      </c>
      <c r="AA60" s="456" t="str">
        <f t="shared" si="38"/>
        <v>0.00%</v>
      </c>
      <c r="AB60" s="340">
        <f t="shared" si="42"/>
        <v>0</v>
      </c>
      <c r="AC60" s="953" t="str">
        <f>TEXT('MYP Assumptions'!J78,"0.00%")&amp;", CPI"</f>
        <v>2.73%, CPI</v>
      </c>
    </row>
    <row r="61" spans="1:29" s="457" customFormat="1" hidden="1" x14ac:dyDescent="0.25">
      <c r="A61" s="455"/>
      <c r="B61" s="2470" t="s">
        <v>22</v>
      </c>
      <c r="C61" s="1656" t="s">
        <v>21</v>
      </c>
      <c r="D61" s="340">
        <v>0</v>
      </c>
      <c r="E61" s="2386"/>
      <c r="F61" s="340"/>
      <c r="G61" s="456" t="str">
        <f t="shared" si="31"/>
        <v>0.00%</v>
      </c>
      <c r="H61" s="340">
        <f t="shared" si="32"/>
        <v>0</v>
      </c>
      <c r="I61" s="899" t="str">
        <f>TEXT('MYP Assumptions'!E78,"0.00%")&amp;", CPI"</f>
        <v>3.37%, CPI</v>
      </c>
      <c r="J61" s="455"/>
      <c r="K61" s="456" t="str">
        <f t="shared" si="33"/>
        <v>0.00%</v>
      </c>
      <c r="L61" s="340">
        <f t="shared" si="39"/>
        <v>0</v>
      </c>
      <c r="M61" s="899" t="str">
        <f>TEXT('MYP Assumptions'!F78,"0.00%")&amp;", CPI"</f>
        <v>3.58%, CPI</v>
      </c>
      <c r="O61" s="456" t="str">
        <f t="shared" si="34"/>
        <v>0.00%</v>
      </c>
      <c r="P61" s="340">
        <f t="shared" si="40"/>
        <v>0</v>
      </c>
      <c r="Q61" s="899" t="str">
        <f>TEXT('MYP Assumptions'!G78,"0.00%")&amp;", CPI"</f>
        <v>3.36%, CPI</v>
      </c>
      <c r="R61" s="592"/>
      <c r="S61" s="2238" t="str">
        <f t="shared" si="35"/>
        <v>0.00%</v>
      </c>
      <c r="T61" s="340">
        <f t="shared" si="36"/>
        <v>0</v>
      </c>
      <c r="U61" s="953" t="str">
        <f>TEXT('MYP Assumptions'!H78,"0.00%")&amp;", CPI"</f>
        <v>3.23%, CPI</v>
      </c>
      <c r="V61" s="952"/>
      <c r="W61" s="2241" t="str">
        <f t="shared" si="37"/>
        <v>0.00%</v>
      </c>
      <c r="X61" s="340">
        <f t="shared" si="41"/>
        <v>0</v>
      </c>
      <c r="Y61" s="953" t="str">
        <f>TEXT('MYP Assumptions'!I78,"0.00%")&amp;", CPI"</f>
        <v>2.73%, CPI</v>
      </c>
      <c r="AA61" s="456" t="str">
        <f t="shared" si="38"/>
        <v>0.00%</v>
      </c>
      <c r="AB61" s="340">
        <f t="shared" si="42"/>
        <v>0</v>
      </c>
      <c r="AC61" s="953" t="str">
        <f>TEXT('MYP Assumptions'!J78,"0.00%")&amp;", CPI"</f>
        <v>2.73%, CPI</v>
      </c>
    </row>
    <row r="62" spans="1:29" s="457" customFormat="1" hidden="1" x14ac:dyDescent="0.25">
      <c r="A62" s="455"/>
      <c r="B62" s="2470" t="s">
        <v>20</v>
      </c>
      <c r="C62" s="1656" t="s">
        <v>19</v>
      </c>
      <c r="D62" s="340">
        <v>0</v>
      </c>
      <c r="E62" s="2386"/>
      <c r="F62" s="340"/>
      <c r="G62" s="456" t="str">
        <f t="shared" si="31"/>
        <v>0.00%</v>
      </c>
      <c r="H62" s="340">
        <f t="shared" si="32"/>
        <v>0</v>
      </c>
      <c r="I62" s="899" t="str">
        <f>TEXT('MYP Assumptions'!E78,"0.00%")&amp;", CPI"</f>
        <v>3.37%, CPI</v>
      </c>
      <c r="J62" s="455"/>
      <c r="K62" s="456" t="str">
        <f t="shared" si="33"/>
        <v>0.00%</v>
      </c>
      <c r="L62" s="340">
        <f t="shared" si="39"/>
        <v>0</v>
      </c>
      <c r="M62" s="899" t="str">
        <f>TEXT('MYP Assumptions'!F78,"0.00%")&amp;", CPI"</f>
        <v>3.58%, CPI</v>
      </c>
      <c r="O62" s="456" t="str">
        <f t="shared" si="34"/>
        <v>0.00%</v>
      </c>
      <c r="P62" s="340">
        <f t="shared" si="40"/>
        <v>0</v>
      </c>
      <c r="Q62" s="899" t="str">
        <f>TEXT('MYP Assumptions'!G78,"0.00%")&amp;", CPI"</f>
        <v>3.36%, CPI</v>
      </c>
      <c r="R62" s="592"/>
      <c r="S62" s="2238" t="str">
        <f t="shared" si="35"/>
        <v>0.00%</v>
      </c>
      <c r="T62" s="340">
        <f t="shared" si="36"/>
        <v>0</v>
      </c>
      <c r="U62" s="953" t="str">
        <f>TEXT('MYP Assumptions'!H78,"0.00%")&amp;", CPI"</f>
        <v>3.23%, CPI</v>
      </c>
      <c r="V62" s="952"/>
      <c r="W62" s="2241" t="str">
        <f t="shared" si="37"/>
        <v>0.00%</v>
      </c>
      <c r="X62" s="340">
        <f t="shared" si="41"/>
        <v>0</v>
      </c>
      <c r="Y62" s="953" t="str">
        <f>TEXT('MYP Assumptions'!I78,"0.00%")&amp;", CPI"</f>
        <v>2.73%, CPI</v>
      </c>
      <c r="AA62" s="456" t="str">
        <f t="shared" si="38"/>
        <v>0.00%</v>
      </c>
      <c r="AB62" s="340">
        <f t="shared" si="42"/>
        <v>0</v>
      </c>
      <c r="AC62" s="953" t="str">
        <f>TEXT('MYP Assumptions'!J78,"0.00%")&amp;", CPI"</f>
        <v>2.73%, CPI</v>
      </c>
    </row>
    <row r="63" spans="1:29" s="457" customFormat="1" hidden="1" x14ac:dyDescent="0.25">
      <c r="A63" s="455"/>
      <c r="B63" s="2470" t="s">
        <v>18</v>
      </c>
      <c r="C63" s="1656" t="s">
        <v>17</v>
      </c>
      <c r="D63" s="340">
        <v>0</v>
      </c>
      <c r="E63" s="2386"/>
      <c r="F63" s="340"/>
      <c r="G63" s="456" t="str">
        <f t="shared" si="31"/>
        <v>0.00%</v>
      </c>
      <c r="H63" s="340">
        <f t="shared" si="32"/>
        <v>0</v>
      </c>
      <c r="I63" s="899" t="str">
        <f>TEXT('MYP Assumptions'!E78,"0.00%")&amp;", CPI"</f>
        <v>3.37%, CPI</v>
      </c>
      <c r="J63" s="455"/>
      <c r="K63" s="456" t="str">
        <f t="shared" si="33"/>
        <v>0.00%</v>
      </c>
      <c r="L63" s="340">
        <f t="shared" si="39"/>
        <v>0</v>
      </c>
      <c r="M63" s="899" t="str">
        <f>TEXT('MYP Assumptions'!F78,"0.00%")&amp;", CPI"</f>
        <v>3.58%, CPI</v>
      </c>
      <c r="O63" s="456" t="str">
        <f t="shared" si="34"/>
        <v>0.00%</v>
      </c>
      <c r="P63" s="340">
        <f t="shared" si="40"/>
        <v>0</v>
      </c>
      <c r="Q63" s="899" t="str">
        <f>TEXT('MYP Assumptions'!G78,"0.00%")&amp;", CPI"</f>
        <v>3.36%, CPI</v>
      </c>
      <c r="R63" s="592"/>
      <c r="S63" s="2238" t="str">
        <f t="shared" si="35"/>
        <v>0.00%</v>
      </c>
      <c r="T63" s="340">
        <f t="shared" si="36"/>
        <v>0</v>
      </c>
      <c r="U63" s="953" t="str">
        <f>TEXT('MYP Assumptions'!H78,"0.00%")&amp;", CPI"</f>
        <v>3.23%, CPI</v>
      </c>
      <c r="V63" s="952"/>
      <c r="W63" s="2241" t="str">
        <f t="shared" si="37"/>
        <v>0.00%</v>
      </c>
      <c r="X63" s="340">
        <f t="shared" si="41"/>
        <v>0</v>
      </c>
      <c r="Y63" s="953" t="str">
        <f>TEXT('MYP Assumptions'!I78,"0.00%")&amp;", CPI"</f>
        <v>2.73%, CPI</v>
      </c>
      <c r="AA63" s="456" t="str">
        <f t="shared" si="38"/>
        <v>0.00%</v>
      </c>
      <c r="AB63" s="340">
        <f t="shared" si="42"/>
        <v>0</v>
      </c>
      <c r="AC63" s="953" t="str">
        <f>TEXT('MYP Assumptions'!J78,"0.00%")&amp;", CPI"</f>
        <v>2.73%, CPI</v>
      </c>
    </row>
    <row r="64" spans="1:29" s="457" customFormat="1" hidden="1" x14ac:dyDescent="0.25">
      <c r="A64" s="455"/>
      <c r="B64" s="2470">
        <v>4000</v>
      </c>
      <c r="C64" s="2348">
        <v>0</v>
      </c>
      <c r="D64" s="340">
        <v>0</v>
      </c>
      <c r="E64" s="2386"/>
      <c r="F64" s="340"/>
      <c r="G64" s="456" t="str">
        <f t="shared" si="31"/>
        <v>0.00%</v>
      </c>
      <c r="H64" s="340">
        <f t="shared" si="32"/>
        <v>0</v>
      </c>
      <c r="I64" s="899" t="str">
        <f>TEXT('MYP Assumptions'!E78,"0.00%")&amp;", CPI"</f>
        <v>3.37%, CPI</v>
      </c>
      <c r="J64" s="455"/>
      <c r="K64" s="456" t="str">
        <f t="shared" si="33"/>
        <v>0.00%</v>
      </c>
      <c r="L64" s="340">
        <f t="shared" si="39"/>
        <v>0</v>
      </c>
      <c r="M64" s="899" t="str">
        <f>TEXT('MYP Assumptions'!F78,"0.00%")&amp;", CPI"</f>
        <v>3.58%, CPI</v>
      </c>
      <c r="O64" s="456" t="str">
        <f t="shared" si="34"/>
        <v>0.00%</v>
      </c>
      <c r="P64" s="340">
        <f t="shared" si="40"/>
        <v>0</v>
      </c>
      <c r="Q64" s="899" t="str">
        <f>TEXT('MYP Assumptions'!G78,"0.00%")&amp;", CPI"</f>
        <v>3.36%, CPI</v>
      </c>
      <c r="R64" s="592"/>
      <c r="S64" s="2238" t="str">
        <f t="shared" si="35"/>
        <v>0.00%</v>
      </c>
      <c r="T64" s="340">
        <f t="shared" si="36"/>
        <v>0</v>
      </c>
      <c r="U64" s="953" t="str">
        <f>TEXT('MYP Assumptions'!H78,"0.00%")&amp;", CPI"</f>
        <v>3.23%, CPI</v>
      </c>
      <c r="V64" s="952"/>
      <c r="W64" s="2241" t="str">
        <f t="shared" si="37"/>
        <v>0.00%</v>
      </c>
      <c r="X64" s="340">
        <f t="shared" si="41"/>
        <v>0</v>
      </c>
      <c r="Y64" s="953" t="str">
        <f>TEXT('MYP Assumptions'!I78,"0.00%")&amp;", CPI"</f>
        <v>2.73%, CPI</v>
      </c>
      <c r="AA64" s="456" t="str">
        <f t="shared" si="38"/>
        <v>0.00%</v>
      </c>
      <c r="AB64" s="340">
        <f t="shared" si="42"/>
        <v>0</v>
      </c>
      <c r="AC64" s="953" t="str">
        <f>TEXT('MYP Assumptions'!J78,"0.00%")&amp;", CPI"</f>
        <v>2.73%, CPI</v>
      </c>
    </row>
    <row r="65" spans="1:29" s="457" customFormat="1" x14ac:dyDescent="0.25">
      <c r="A65" s="459"/>
      <c r="B65" s="1656"/>
      <c r="C65" s="1656"/>
      <c r="D65" s="458">
        <f>SUM(D58:D64)</f>
        <v>0</v>
      </c>
      <c r="E65" s="2386"/>
      <c r="F65" s="340"/>
      <c r="G65" s="456" t="str">
        <f t="shared" si="31"/>
        <v>0.00%</v>
      </c>
      <c r="H65" s="458">
        <f>SUM(H58:H64)</f>
        <v>0</v>
      </c>
      <c r="I65" s="898"/>
      <c r="J65" s="459"/>
      <c r="K65" s="456" t="str">
        <f t="shared" si="33"/>
        <v>0.00%</v>
      </c>
      <c r="L65" s="458">
        <f>SUM(L58:L64)</f>
        <v>0</v>
      </c>
      <c r="M65" s="901"/>
      <c r="O65" s="456" t="str">
        <f t="shared" si="34"/>
        <v>0.00%</v>
      </c>
      <c r="P65" s="458">
        <f>SUM(P58:P64)</f>
        <v>0</v>
      </c>
      <c r="Q65" s="901"/>
      <c r="R65" s="592"/>
      <c r="S65" s="2238" t="str">
        <f t="shared" si="35"/>
        <v>0.00%</v>
      </c>
      <c r="T65" s="458">
        <f>SUM(T58:T64)</f>
        <v>0</v>
      </c>
      <c r="U65" s="2344"/>
      <c r="V65" s="952"/>
      <c r="W65" s="2241" t="str">
        <f t="shared" si="37"/>
        <v>0.00%</v>
      </c>
      <c r="X65" s="458">
        <f>SUM(X58:X64)</f>
        <v>0</v>
      </c>
      <c r="Y65" s="2344"/>
      <c r="AA65" s="456" t="str">
        <f t="shared" si="38"/>
        <v>0.00%</v>
      </c>
      <c r="AB65" s="458">
        <f>SUM(AB58:AB64)</f>
        <v>0</v>
      </c>
      <c r="AC65" s="2344"/>
    </row>
    <row r="66" spans="1:29" s="457" customFormat="1" x14ac:dyDescent="0.25">
      <c r="A66" s="455"/>
      <c r="B66" s="2432"/>
      <c r="C66" s="1656"/>
      <c r="D66" s="340"/>
      <c r="E66" s="2386"/>
      <c r="F66" s="340"/>
      <c r="G66" s="2338"/>
      <c r="H66" s="340"/>
      <c r="I66" s="897"/>
      <c r="J66" s="455"/>
      <c r="K66" s="1668"/>
      <c r="L66" s="340"/>
      <c r="M66" s="901"/>
      <c r="O66" s="1668"/>
      <c r="P66" s="340"/>
      <c r="Q66" s="901"/>
      <c r="R66" s="592"/>
      <c r="S66" s="2341"/>
      <c r="T66" s="340"/>
      <c r="U66" s="2344"/>
      <c r="V66" s="952"/>
      <c r="W66" s="2343"/>
      <c r="X66" s="340"/>
      <c r="Y66" s="2344"/>
      <c r="AA66" s="1668"/>
      <c r="AB66" s="340"/>
      <c r="AC66" s="2344"/>
    </row>
    <row r="67" spans="1:29" s="461" customFormat="1" x14ac:dyDescent="0.25">
      <c r="B67" s="2468" t="s">
        <v>16</v>
      </c>
      <c r="C67" s="900"/>
      <c r="D67" s="460"/>
      <c r="E67" s="868"/>
      <c r="F67" s="460"/>
      <c r="G67" s="2389"/>
      <c r="H67" s="460"/>
      <c r="I67" s="900"/>
      <c r="K67" s="1669"/>
      <c r="L67" s="460"/>
      <c r="M67" s="902"/>
      <c r="O67" s="1669"/>
      <c r="P67" s="460"/>
      <c r="Q67" s="902"/>
      <c r="S67" s="1669"/>
      <c r="U67" s="2392"/>
      <c r="V67" s="2381"/>
      <c r="W67" s="2382"/>
      <c r="Y67" s="2392"/>
      <c r="AA67" s="1669"/>
      <c r="AC67" s="2392"/>
    </row>
    <row r="68" spans="1:29" s="457" customFormat="1" x14ac:dyDescent="0.25">
      <c r="A68" s="455"/>
      <c r="B68" s="2470" t="s">
        <v>15</v>
      </c>
      <c r="C68" s="1656" t="s">
        <v>14</v>
      </c>
      <c r="D68" s="340">
        <v>15642</v>
      </c>
      <c r="E68" s="2386" t="s">
        <v>211</v>
      </c>
      <c r="F68" s="340"/>
      <c r="G68" s="456">
        <f t="shared" ref="G68:G73" si="43">IF(D68=0,"0.00%",(H68-D68)/D68)</f>
        <v>-4.1043344840813192E-2</v>
      </c>
      <c r="H68" s="340">
        <v>15000</v>
      </c>
      <c r="I68" s="899"/>
      <c r="J68" s="455"/>
      <c r="K68" s="456">
        <f t="shared" ref="K68:K81" si="44">IF(H68=0,"0.00%",(L68-H68)/H68)</f>
        <v>0.11119999999999999</v>
      </c>
      <c r="L68" s="340">
        <v>16668</v>
      </c>
      <c r="M68" s="899" t="s">
        <v>1113</v>
      </c>
      <c r="O68" s="456">
        <f t="shared" ref="O68:O81" si="45">IF(L68=0,"0.00%",(P68-L68)/L68)</f>
        <v>-0.48962083033357329</v>
      </c>
      <c r="P68" s="340">
        <v>8507</v>
      </c>
      <c r="Q68" s="899" t="s">
        <v>1114</v>
      </c>
      <c r="R68" s="592"/>
      <c r="S68" s="2238">
        <f t="shared" ref="S68:S81" si="46">IF(P68=0,"0.00%",(T68-P68)/P68)</f>
        <v>-0.8569413424238862</v>
      </c>
      <c r="T68" s="340">
        <v>1217</v>
      </c>
      <c r="U68" s="899" t="s">
        <v>1114</v>
      </c>
      <c r="V68" s="952"/>
      <c r="W68" s="2241">
        <f t="shared" ref="W68:W81" si="47">IF(T68=0,"0.00%",(X68-T68)/T68)</f>
        <v>0</v>
      </c>
      <c r="X68" s="340">
        <f>T68</f>
        <v>1217</v>
      </c>
      <c r="Y68" s="953" t="s">
        <v>173</v>
      </c>
      <c r="AA68" s="456">
        <f t="shared" ref="AA68:AA81" si="48">IF(X68=0,"0.00%",(AB68-X68)/X68)</f>
        <v>2.7115858668857847E-2</v>
      </c>
      <c r="AB68" s="340">
        <f>ROUND(X68*(LEFT(AC68,5)+1),0)</f>
        <v>1250</v>
      </c>
      <c r="AC68" s="953" t="str">
        <f>TEXT('MYP Assumptions'!J78,"0.00%")&amp;", CPI"</f>
        <v>2.73%, CPI</v>
      </c>
    </row>
    <row r="69" spans="1:29" s="457" customFormat="1" hidden="1" x14ac:dyDescent="0.25">
      <c r="A69" s="455"/>
      <c r="B69" s="2470" t="s">
        <v>13</v>
      </c>
      <c r="C69" s="1656" t="s">
        <v>12</v>
      </c>
      <c r="D69" s="340">
        <v>0</v>
      </c>
      <c r="E69" s="2386"/>
      <c r="F69" s="340"/>
      <c r="G69" s="456" t="str">
        <f t="shared" si="43"/>
        <v>0.00%</v>
      </c>
      <c r="H69" s="340"/>
      <c r="I69" s="899"/>
      <c r="J69" s="455"/>
      <c r="K69" s="456" t="str">
        <f t="shared" si="44"/>
        <v>0.00%</v>
      </c>
      <c r="L69" s="340"/>
      <c r="M69" s="899"/>
      <c r="O69" s="456" t="str">
        <f t="shared" si="45"/>
        <v>0.00%</v>
      </c>
      <c r="P69" s="340">
        <f t="shared" ref="P69:P79" si="49">ROUND(L69*(LEFT(Q69,5)+1),0)</f>
        <v>0</v>
      </c>
      <c r="Q69" s="899" t="str">
        <f>TEXT('MYP Assumptions'!G78,"0.00%")&amp;", CPI"</f>
        <v>3.36%, CPI</v>
      </c>
      <c r="R69" s="592"/>
      <c r="S69" s="2238" t="str">
        <f t="shared" si="46"/>
        <v>0.00%</v>
      </c>
      <c r="T69" s="340">
        <f t="shared" ref="T69:T79" si="50">ROUND(P69*(LEFT(U69,5)+1),0)</f>
        <v>0</v>
      </c>
      <c r="U69" s="899" t="str">
        <f>TEXT('MYP Assumptions'!K78,"0.00%")&amp;", CPI"</f>
        <v>2.73%, CPI</v>
      </c>
      <c r="V69" s="952"/>
      <c r="W69" s="2241" t="str">
        <f t="shared" si="47"/>
        <v>0.00%</v>
      </c>
      <c r="X69" s="340">
        <f t="shared" ref="X69:X80" si="51">ROUND(T69*(LEFT(Y69,5)+1),0)</f>
        <v>0</v>
      </c>
      <c r="Y69" s="953" t="str">
        <f>TEXT('MYP Assumptions'!I78,"0.00%")&amp;", CPI"</f>
        <v>2.73%, CPI</v>
      </c>
      <c r="AA69" s="456" t="str">
        <f t="shared" si="48"/>
        <v>0.00%</v>
      </c>
      <c r="AB69" s="340">
        <f t="shared" ref="AB69:AB80" si="52">ROUND(X69*(LEFT(AC69,5)+1),0)</f>
        <v>0</v>
      </c>
      <c r="AC69" s="953" t="str">
        <f>TEXT('MYP Assumptions'!J78,"0.00%")&amp;", CPI"</f>
        <v>2.73%, CPI</v>
      </c>
    </row>
    <row r="70" spans="1:29" s="457" customFormat="1" hidden="1" x14ac:dyDescent="0.25">
      <c r="A70" s="455"/>
      <c r="B70" s="2470" t="s">
        <v>128</v>
      </c>
      <c r="C70" s="1656" t="s">
        <v>129</v>
      </c>
      <c r="D70" s="340">
        <v>0</v>
      </c>
      <c r="E70" s="2386"/>
      <c r="F70" s="340"/>
      <c r="G70" s="456" t="str">
        <f t="shared" si="43"/>
        <v>0.00%</v>
      </c>
      <c r="H70" s="340"/>
      <c r="I70" s="899"/>
      <c r="J70" s="455"/>
      <c r="K70" s="456" t="str">
        <f t="shared" si="44"/>
        <v>0.00%</v>
      </c>
      <c r="L70" s="340"/>
      <c r="M70" s="899"/>
      <c r="O70" s="456" t="str">
        <f t="shared" si="45"/>
        <v>0.00%</v>
      </c>
      <c r="P70" s="340">
        <f t="shared" si="49"/>
        <v>0</v>
      </c>
      <c r="Q70" s="899" t="str">
        <f>TEXT('MYP Assumptions'!G78,"0.00%")&amp;", CPI"</f>
        <v>3.36%, CPI</v>
      </c>
      <c r="R70" s="592"/>
      <c r="S70" s="2238" t="str">
        <f t="shared" si="46"/>
        <v>0.00%</v>
      </c>
      <c r="T70" s="340">
        <f t="shared" si="50"/>
        <v>0</v>
      </c>
      <c r="U70" s="899" t="str">
        <f>TEXT('MYP Assumptions'!K78,"0.00%")&amp;", CPI"</f>
        <v>2.73%, CPI</v>
      </c>
      <c r="V70" s="952"/>
      <c r="W70" s="2241" t="str">
        <f t="shared" si="47"/>
        <v>0.00%</v>
      </c>
      <c r="X70" s="340">
        <f t="shared" si="51"/>
        <v>0</v>
      </c>
      <c r="Y70" s="953" t="str">
        <f>TEXT('MYP Assumptions'!I78,"0.00%")&amp;", CPI"</f>
        <v>2.73%, CPI</v>
      </c>
      <c r="AA70" s="456" t="str">
        <f t="shared" si="48"/>
        <v>0.00%</v>
      </c>
      <c r="AB70" s="340">
        <f t="shared" si="52"/>
        <v>0</v>
      </c>
      <c r="AC70" s="953" t="str">
        <f>TEXT('MYP Assumptions'!J78,"0.00%")&amp;", CPI"</f>
        <v>2.73%, CPI</v>
      </c>
    </row>
    <row r="71" spans="1:29" s="457" customFormat="1" hidden="1" x14ac:dyDescent="0.25">
      <c r="A71" s="455"/>
      <c r="B71" s="2470" t="s">
        <v>11</v>
      </c>
      <c r="C71" s="1656" t="s">
        <v>10</v>
      </c>
      <c r="D71" s="340">
        <v>0</v>
      </c>
      <c r="E71" s="2386"/>
      <c r="F71" s="340"/>
      <c r="G71" s="456" t="str">
        <f t="shared" si="43"/>
        <v>0.00%</v>
      </c>
      <c r="H71" s="340"/>
      <c r="I71" s="899"/>
      <c r="J71" s="455"/>
      <c r="K71" s="456" t="str">
        <f t="shared" si="44"/>
        <v>0.00%</v>
      </c>
      <c r="L71" s="340"/>
      <c r="M71" s="899"/>
      <c r="O71" s="456" t="str">
        <f t="shared" si="45"/>
        <v>0.00%</v>
      </c>
      <c r="P71" s="340">
        <f t="shared" si="49"/>
        <v>0</v>
      </c>
      <c r="Q71" s="899" t="str">
        <f>TEXT('MYP Assumptions'!G78,"0.00%")&amp;", CPI"</f>
        <v>3.36%, CPI</v>
      </c>
      <c r="R71" s="592"/>
      <c r="S71" s="2238" t="str">
        <f t="shared" si="46"/>
        <v>0.00%</v>
      </c>
      <c r="T71" s="340">
        <f t="shared" si="50"/>
        <v>0</v>
      </c>
      <c r="U71" s="899" t="str">
        <f>TEXT('MYP Assumptions'!K78,"0.00%")&amp;", CPI"</f>
        <v>2.73%, CPI</v>
      </c>
      <c r="V71" s="952"/>
      <c r="W71" s="2241" t="str">
        <f t="shared" si="47"/>
        <v>0.00%</v>
      </c>
      <c r="X71" s="340">
        <f t="shared" si="51"/>
        <v>0</v>
      </c>
      <c r="Y71" s="953" t="str">
        <f>TEXT('MYP Assumptions'!I78,"0.00%")&amp;", CPI"</f>
        <v>2.73%, CPI</v>
      </c>
      <c r="AA71" s="456" t="str">
        <f t="shared" si="48"/>
        <v>0.00%</v>
      </c>
      <c r="AB71" s="340">
        <f t="shared" si="52"/>
        <v>0</v>
      </c>
      <c r="AC71" s="953" t="str">
        <f>TEXT('MYP Assumptions'!J78,"0.00%")&amp;", CPI"</f>
        <v>2.73%, CPI</v>
      </c>
    </row>
    <row r="72" spans="1:29" s="457" customFormat="1" hidden="1" x14ac:dyDescent="0.25">
      <c r="A72" s="455"/>
      <c r="B72" s="2470" t="s">
        <v>120</v>
      </c>
      <c r="C72" s="1656" t="s">
        <v>121</v>
      </c>
      <c r="D72" s="340">
        <v>0</v>
      </c>
      <c r="E72" s="2386"/>
      <c r="F72" s="340"/>
      <c r="G72" s="456" t="str">
        <f t="shared" si="43"/>
        <v>0.00%</v>
      </c>
      <c r="H72" s="340"/>
      <c r="I72" s="899"/>
      <c r="J72" s="455"/>
      <c r="K72" s="456" t="str">
        <f t="shared" si="44"/>
        <v>0.00%</v>
      </c>
      <c r="L72" s="340"/>
      <c r="M72" s="899"/>
      <c r="O72" s="456" t="str">
        <f t="shared" si="45"/>
        <v>0.00%</v>
      </c>
      <c r="P72" s="340">
        <f t="shared" si="49"/>
        <v>0</v>
      </c>
      <c r="Q72" s="899" t="str">
        <f>TEXT('MYP Assumptions'!G78,"0.00%")&amp;", CPI"</f>
        <v>3.36%, CPI</v>
      </c>
      <c r="R72" s="592"/>
      <c r="S72" s="2238" t="str">
        <f t="shared" si="46"/>
        <v>0.00%</v>
      </c>
      <c r="T72" s="340">
        <f t="shared" si="50"/>
        <v>0</v>
      </c>
      <c r="U72" s="899" t="str">
        <f>TEXT('MYP Assumptions'!K78,"0.00%")&amp;", CPI"</f>
        <v>2.73%, CPI</v>
      </c>
      <c r="V72" s="952"/>
      <c r="W72" s="2241" t="str">
        <f t="shared" si="47"/>
        <v>0.00%</v>
      </c>
      <c r="X72" s="340">
        <f t="shared" si="51"/>
        <v>0</v>
      </c>
      <c r="Y72" s="953" t="str">
        <f>TEXT('MYP Assumptions'!I78,"0.00%")&amp;", CPI"</f>
        <v>2.73%, CPI</v>
      </c>
      <c r="AA72" s="456" t="str">
        <f t="shared" si="48"/>
        <v>0.00%</v>
      </c>
      <c r="AB72" s="340">
        <f t="shared" si="52"/>
        <v>0</v>
      </c>
      <c r="AC72" s="953" t="str">
        <f>TEXT('MYP Assumptions'!J78,"0.00%")&amp;", CPI"</f>
        <v>2.73%, CPI</v>
      </c>
    </row>
    <row r="73" spans="1:29" s="457" customFormat="1" hidden="1" x14ac:dyDescent="0.25">
      <c r="A73" s="455"/>
      <c r="B73" s="2470" t="s">
        <v>126</v>
      </c>
      <c r="C73" s="1656" t="s">
        <v>127</v>
      </c>
      <c r="D73" s="340">
        <v>0</v>
      </c>
      <c r="E73" s="2386"/>
      <c r="F73" s="340"/>
      <c r="G73" s="456" t="str">
        <f t="shared" si="43"/>
        <v>0.00%</v>
      </c>
      <c r="H73" s="340"/>
      <c r="I73" s="899"/>
      <c r="J73" s="455"/>
      <c r="K73" s="456" t="str">
        <f t="shared" si="44"/>
        <v>0.00%</v>
      </c>
      <c r="L73" s="340"/>
      <c r="M73" s="899"/>
      <c r="O73" s="456" t="str">
        <f t="shared" si="45"/>
        <v>0.00%</v>
      </c>
      <c r="P73" s="340">
        <f t="shared" si="49"/>
        <v>0</v>
      </c>
      <c r="Q73" s="899" t="str">
        <f>TEXT('MYP Assumptions'!G78,"0.00%")&amp;", CPI"</f>
        <v>3.36%, CPI</v>
      </c>
      <c r="R73" s="592"/>
      <c r="S73" s="2238" t="str">
        <f t="shared" si="46"/>
        <v>0.00%</v>
      </c>
      <c r="T73" s="340">
        <f t="shared" si="50"/>
        <v>0</v>
      </c>
      <c r="U73" s="899" t="str">
        <f>TEXT('MYP Assumptions'!K78,"0.00%")&amp;", CPI"</f>
        <v>2.73%, CPI</v>
      </c>
      <c r="V73" s="952"/>
      <c r="W73" s="2241" t="str">
        <f t="shared" si="47"/>
        <v>0.00%</v>
      </c>
      <c r="X73" s="340">
        <f t="shared" si="51"/>
        <v>0</v>
      </c>
      <c r="Y73" s="953" t="str">
        <f>TEXT('MYP Assumptions'!I78,"0.00%")&amp;", CPI"</f>
        <v>2.73%, CPI</v>
      </c>
      <c r="AA73" s="456" t="str">
        <f t="shared" si="48"/>
        <v>0.00%</v>
      </c>
      <c r="AB73" s="340">
        <f t="shared" si="52"/>
        <v>0</v>
      </c>
      <c r="AC73" s="953" t="str">
        <f>TEXT('MYP Assumptions'!J78,"0.00%")&amp;", CPI"</f>
        <v>2.73%, CPI</v>
      </c>
    </row>
    <row r="74" spans="1:29" s="457" customFormat="1" hidden="1" x14ac:dyDescent="0.25">
      <c r="A74" s="455"/>
      <c r="B74" s="2470" t="s">
        <v>9</v>
      </c>
      <c r="C74" s="1656" t="s">
        <v>8</v>
      </c>
      <c r="D74" s="340">
        <v>0</v>
      </c>
      <c r="E74" s="2386"/>
      <c r="F74" s="340"/>
      <c r="G74" s="456" t="str">
        <f>IF(D74=0,"0.00%",(H74-D74)/D74)</f>
        <v>0.00%</v>
      </c>
      <c r="H74" s="340"/>
      <c r="I74" s="899"/>
      <c r="J74" s="455"/>
      <c r="K74" s="456" t="str">
        <f t="shared" si="44"/>
        <v>0.00%</v>
      </c>
      <c r="L74" s="340"/>
      <c r="M74" s="899"/>
      <c r="O74" s="456" t="str">
        <f t="shared" si="45"/>
        <v>0.00%</v>
      </c>
      <c r="P74" s="340">
        <f t="shared" si="49"/>
        <v>0</v>
      </c>
      <c r="Q74" s="899" t="str">
        <f>TEXT('MYP Assumptions'!G78,"0.00%")&amp;", CPI"</f>
        <v>3.36%, CPI</v>
      </c>
      <c r="R74" s="592"/>
      <c r="S74" s="2238" t="str">
        <f t="shared" si="46"/>
        <v>0.00%</v>
      </c>
      <c r="T74" s="340">
        <f t="shared" si="50"/>
        <v>0</v>
      </c>
      <c r="U74" s="899" t="str">
        <f>TEXT('MYP Assumptions'!K78,"0.00%")&amp;", CPI"</f>
        <v>2.73%, CPI</v>
      </c>
      <c r="V74" s="952"/>
      <c r="W74" s="2241" t="str">
        <f t="shared" si="47"/>
        <v>0.00%</v>
      </c>
      <c r="X74" s="340">
        <f t="shared" si="51"/>
        <v>0</v>
      </c>
      <c r="Y74" s="953" t="str">
        <f>TEXT('MYP Assumptions'!I78,"0.00%")&amp;", CPI"</f>
        <v>2.73%, CPI</v>
      </c>
      <c r="AA74" s="456" t="str">
        <f t="shared" si="48"/>
        <v>0.00%</v>
      </c>
      <c r="AB74" s="340">
        <f t="shared" si="52"/>
        <v>0</v>
      </c>
      <c r="AC74" s="953" t="str">
        <f>TEXT('MYP Assumptions'!J78,"0.00%")&amp;", CPI"</f>
        <v>2.73%, CPI</v>
      </c>
    </row>
    <row r="75" spans="1:29" s="457" customFormat="1" hidden="1" x14ac:dyDescent="0.25">
      <c r="A75" s="455"/>
      <c r="B75" s="2470" t="s">
        <v>122</v>
      </c>
      <c r="C75" s="1656" t="s">
        <v>123</v>
      </c>
      <c r="D75" s="340">
        <v>0</v>
      </c>
      <c r="E75" s="2386"/>
      <c r="F75" s="340"/>
      <c r="G75" s="456" t="str">
        <f t="shared" ref="G75:G81" si="53">IF(D75=0,"0.00%",(H75-D75)/D75)</f>
        <v>0.00%</v>
      </c>
      <c r="H75" s="340"/>
      <c r="I75" s="899"/>
      <c r="J75" s="455"/>
      <c r="K75" s="456" t="str">
        <f t="shared" si="44"/>
        <v>0.00%</v>
      </c>
      <c r="L75" s="340"/>
      <c r="M75" s="899"/>
      <c r="O75" s="456" t="str">
        <f t="shared" si="45"/>
        <v>0.00%</v>
      </c>
      <c r="P75" s="340">
        <f t="shared" si="49"/>
        <v>0</v>
      </c>
      <c r="Q75" s="899" t="str">
        <f>TEXT('MYP Assumptions'!G78,"0.00%")&amp;", CPI"</f>
        <v>3.36%, CPI</v>
      </c>
      <c r="R75" s="592"/>
      <c r="S75" s="2238" t="str">
        <f t="shared" si="46"/>
        <v>0.00%</v>
      </c>
      <c r="T75" s="340">
        <f t="shared" si="50"/>
        <v>0</v>
      </c>
      <c r="U75" s="899" t="str">
        <f>TEXT('MYP Assumptions'!K78,"0.00%")&amp;", CPI"</f>
        <v>2.73%, CPI</v>
      </c>
      <c r="V75" s="952"/>
      <c r="W75" s="2241" t="str">
        <f t="shared" si="47"/>
        <v>0.00%</v>
      </c>
      <c r="X75" s="340">
        <f t="shared" si="51"/>
        <v>0</v>
      </c>
      <c r="Y75" s="953" t="str">
        <f>TEXT('MYP Assumptions'!I78,"0.00%")&amp;", CPI"</f>
        <v>2.73%, CPI</v>
      </c>
      <c r="AA75" s="456" t="str">
        <f t="shared" si="48"/>
        <v>0.00%</v>
      </c>
      <c r="AB75" s="340">
        <f t="shared" si="52"/>
        <v>0</v>
      </c>
      <c r="AC75" s="953" t="str">
        <f>TEXT('MYP Assumptions'!J78,"0.00%")&amp;", CPI"</f>
        <v>2.73%, CPI</v>
      </c>
    </row>
    <row r="76" spans="1:29" s="457" customFormat="1" x14ac:dyDescent="0.25">
      <c r="A76" s="455"/>
      <c r="B76" s="2470" t="s">
        <v>7</v>
      </c>
      <c r="C76" s="1656" t="s">
        <v>6</v>
      </c>
      <c r="D76" s="340">
        <v>0</v>
      </c>
      <c r="E76" s="2386"/>
      <c r="F76" s="340"/>
      <c r="G76" s="456" t="str">
        <f t="shared" si="53"/>
        <v>0.00%</v>
      </c>
      <c r="H76" s="340"/>
      <c r="I76" s="899"/>
      <c r="J76" s="455"/>
      <c r="K76" s="456" t="str">
        <f t="shared" si="44"/>
        <v>0.00%</v>
      </c>
      <c r="L76" s="340">
        <v>500</v>
      </c>
      <c r="M76" s="899"/>
      <c r="O76" s="456">
        <f t="shared" si="45"/>
        <v>-1</v>
      </c>
      <c r="P76" s="340">
        <v>0</v>
      </c>
      <c r="Q76" s="899" t="s">
        <v>1115</v>
      </c>
      <c r="R76" s="592"/>
      <c r="S76" s="2238" t="str">
        <f t="shared" si="46"/>
        <v>0.00%</v>
      </c>
      <c r="T76" s="340">
        <v>0</v>
      </c>
      <c r="U76" s="899" t="s">
        <v>1115</v>
      </c>
      <c r="V76" s="952"/>
      <c r="W76" s="2241" t="str">
        <f t="shared" si="47"/>
        <v>0.00%</v>
      </c>
      <c r="X76" s="340">
        <f t="shared" si="51"/>
        <v>0</v>
      </c>
      <c r="Y76" s="953" t="str">
        <f>TEXT('MYP Assumptions'!I78,"0.00%")&amp;", CPI"</f>
        <v>2.73%, CPI</v>
      </c>
      <c r="AA76" s="456" t="str">
        <f t="shared" si="48"/>
        <v>0.00%</v>
      </c>
      <c r="AB76" s="340">
        <f t="shared" si="52"/>
        <v>0</v>
      </c>
      <c r="AC76" s="953" t="str">
        <f>TEXT('MYP Assumptions'!J78,"0.00%")&amp;", CPI"</f>
        <v>2.73%, CPI</v>
      </c>
    </row>
    <row r="77" spans="1:29" s="457" customFormat="1" hidden="1" x14ac:dyDescent="0.25">
      <c r="A77" s="455"/>
      <c r="B77" s="2470" t="s">
        <v>5</v>
      </c>
      <c r="C77" s="1656" t="s">
        <v>4</v>
      </c>
      <c r="D77" s="340">
        <v>0</v>
      </c>
      <c r="E77" s="2386"/>
      <c r="F77" s="340"/>
      <c r="G77" s="456" t="str">
        <f t="shared" si="53"/>
        <v>0.00%</v>
      </c>
      <c r="H77" s="340"/>
      <c r="I77" s="899"/>
      <c r="J77" s="455"/>
      <c r="K77" s="456" t="str">
        <f t="shared" si="44"/>
        <v>0.00%</v>
      </c>
      <c r="L77" s="340"/>
      <c r="M77" s="899"/>
      <c r="O77" s="456" t="str">
        <f t="shared" si="45"/>
        <v>0.00%</v>
      </c>
      <c r="P77" s="340">
        <f t="shared" si="49"/>
        <v>0</v>
      </c>
      <c r="Q77" s="899" t="str">
        <f>TEXT('MYP Assumptions'!G78,"0.00%")&amp;", CPI"</f>
        <v>3.36%, CPI</v>
      </c>
      <c r="R77" s="592"/>
      <c r="S77" s="2238" t="str">
        <f t="shared" si="46"/>
        <v>0.00%</v>
      </c>
      <c r="T77" s="340">
        <f t="shared" si="50"/>
        <v>0</v>
      </c>
      <c r="U77" s="953" t="str">
        <f>TEXT('MYP Assumptions'!H78,"0.00%")&amp;", CPI"</f>
        <v>3.23%, CPI</v>
      </c>
      <c r="V77" s="952"/>
      <c r="W77" s="2241" t="str">
        <f t="shared" si="47"/>
        <v>0.00%</v>
      </c>
      <c r="X77" s="340">
        <f t="shared" si="51"/>
        <v>0</v>
      </c>
      <c r="Y77" s="953" t="str">
        <f>TEXT('MYP Assumptions'!I78,"0.00%")&amp;", CPI"</f>
        <v>2.73%, CPI</v>
      </c>
      <c r="AA77" s="456" t="str">
        <f t="shared" si="48"/>
        <v>0.00%</v>
      </c>
      <c r="AB77" s="340">
        <f t="shared" si="52"/>
        <v>0</v>
      </c>
      <c r="AC77" s="953" t="str">
        <f>TEXT('MYP Assumptions'!J78,"0.00%")&amp;", CPI"</f>
        <v>2.73%, CPI</v>
      </c>
    </row>
    <row r="78" spans="1:29" s="457" customFormat="1" hidden="1" x14ac:dyDescent="0.25">
      <c r="A78" s="455"/>
      <c r="B78" s="2470" t="s">
        <v>3</v>
      </c>
      <c r="C78" s="1656" t="s">
        <v>2</v>
      </c>
      <c r="D78" s="340">
        <v>0</v>
      </c>
      <c r="E78" s="2386"/>
      <c r="F78" s="340"/>
      <c r="G78" s="456" t="str">
        <f t="shared" si="53"/>
        <v>0.00%</v>
      </c>
      <c r="H78" s="340"/>
      <c r="I78" s="899"/>
      <c r="J78" s="455"/>
      <c r="K78" s="456" t="str">
        <f t="shared" si="44"/>
        <v>0.00%</v>
      </c>
      <c r="L78" s="340"/>
      <c r="M78" s="899"/>
      <c r="O78" s="456" t="str">
        <f t="shared" si="45"/>
        <v>0.00%</v>
      </c>
      <c r="P78" s="340">
        <f t="shared" si="49"/>
        <v>0</v>
      </c>
      <c r="Q78" s="899" t="str">
        <f>TEXT('MYP Assumptions'!G78,"0.00%")&amp;", CPI"</f>
        <v>3.36%, CPI</v>
      </c>
      <c r="R78" s="592"/>
      <c r="S78" s="2238" t="str">
        <f t="shared" si="46"/>
        <v>0.00%</v>
      </c>
      <c r="T78" s="340">
        <f t="shared" si="50"/>
        <v>0</v>
      </c>
      <c r="U78" s="953" t="str">
        <f>TEXT('MYP Assumptions'!H78,"0.00%")&amp;", CPI"</f>
        <v>3.23%, CPI</v>
      </c>
      <c r="V78" s="952"/>
      <c r="W78" s="2241" t="str">
        <f t="shared" si="47"/>
        <v>0.00%</v>
      </c>
      <c r="X78" s="340">
        <f t="shared" si="51"/>
        <v>0</v>
      </c>
      <c r="Y78" s="953" t="str">
        <f>TEXT('MYP Assumptions'!I78,"0.00%")&amp;", CPI"</f>
        <v>2.73%, CPI</v>
      </c>
      <c r="AA78" s="456" t="str">
        <f t="shared" si="48"/>
        <v>0.00%</v>
      </c>
      <c r="AB78" s="340">
        <f t="shared" si="52"/>
        <v>0</v>
      </c>
      <c r="AC78" s="953" t="str">
        <f>TEXT('MYP Assumptions'!J78,"0.00%")&amp;", CPI"</f>
        <v>2.73%, CPI</v>
      </c>
    </row>
    <row r="79" spans="1:29" s="457" customFormat="1" hidden="1" x14ac:dyDescent="0.25">
      <c r="A79" s="455"/>
      <c r="B79" s="2470" t="s">
        <v>124</v>
      </c>
      <c r="C79" s="1656" t="s">
        <v>125</v>
      </c>
      <c r="D79" s="340">
        <v>0</v>
      </c>
      <c r="E79" s="2386"/>
      <c r="F79" s="340"/>
      <c r="G79" s="456" t="str">
        <f t="shared" si="53"/>
        <v>0.00%</v>
      </c>
      <c r="H79" s="340"/>
      <c r="I79" s="899"/>
      <c r="J79" s="455"/>
      <c r="K79" s="456" t="str">
        <f t="shared" si="44"/>
        <v>0.00%</v>
      </c>
      <c r="L79" s="340"/>
      <c r="M79" s="899"/>
      <c r="O79" s="456" t="str">
        <f t="shared" si="45"/>
        <v>0.00%</v>
      </c>
      <c r="P79" s="340">
        <f t="shared" si="49"/>
        <v>0</v>
      </c>
      <c r="Q79" s="899" t="str">
        <f>TEXT('MYP Assumptions'!G78,"0.00%")&amp;", CPI"</f>
        <v>3.36%, CPI</v>
      </c>
      <c r="R79" s="592"/>
      <c r="S79" s="2238" t="str">
        <f t="shared" si="46"/>
        <v>0.00%</v>
      </c>
      <c r="T79" s="340">
        <f t="shared" si="50"/>
        <v>0</v>
      </c>
      <c r="U79" s="953" t="str">
        <f>TEXT('MYP Assumptions'!H78,"0.00%")&amp;", CPI"</f>
        <v>3.23%, CPI</v>
      </c>
      <c r="V79" s="952"/>
      <c r="W79" s="2241" t="str">
        <f t="shared" si="47"/>
        <v>0.00%</v>
      </c>
      <c r="X79" s="340">
        <f t="shared" si="51"/>
        <v>0</v>
      </c>
      <c r="Y79" s="953" t="str">
        <f>TEXT('MYP Assumptions'!I78,"0.00%")&amp;", CPI"</f>
        <v>2.73%, CPI</v>
      </c>
      <c r="AA79" s="456" t="str">
        <f t="shared" si="48"/>
        <v>0.00%</v>
      </c>
      <c r="AB79" s="340">
        <f t="shared" si="52"/>
        <v>0</v>
      </c>
      <c r="AC79" s="953" t="str">
        <f>TEXT('MYP Assumptions'!J78,"0.00%")&amp;", CPI"</f>
        <v>2.73%, CPI</v>
      </c>
    </row>
    <row r="80" spans="1:29" s="457" customFormat="1" x14ac:dyDescent="0.25">
      <c r="A80" s="455"/>
      <c r="B80" s="2470" t="s">
        <v>1</v>
      </c>
      <c r="C80" s="1656"/>
      <c r="D80" s="340">
        <f>'18-19 Budget RS 3010-ALL'!AF80</f>
        <v>0</v>
      </c>
      <c r="E80" s="2386"/>
      <c r="F80" s="340"/>
      <c r="G80" s="456" t="str">
        <f t="shared" si="53"/>
        <v>0.00%</v>
      </c>
      <c r="H80" s="340"/>
      <c r="I80" s="899"/>
      <c r="J80" s="455"/>
      <c r="K80" s="456" t="str">
        <f t="shared" si="44"/>
        <v>0.00%</v>
      </c>
      <c r="L80" s="340">
        <v>0</v>
      </c>
      <c r="M80" s="899"/>
      <c r="O80" s="456" t="str">
        <f t="shared" si="45"/>
        <v>0.00%</v>
      </c>
      <c r="P80" s="340">
        <v>0</v>
      </c>
      <c r="Q80" s="899"/>
      <c r="R80" s="592"/>
      <c r="S80" s="2238" t="str">
        <f t="shared" si="46"/>
        <v>0.00%</v>
      </c>
      <c r="T80" s="340">
        <v>0</v>
      </c>
      <c r="U80" s="953"/>
      <c r="V80" s="952"/>
      <c r="W80" s="2241" t="str">
        <f t="shared" si="47"/>
        <v>0.00%</v>
      </c>
      <c r="X80" s="340">
        <f t="shared" si="51"/>
        <v>0</v>
      </c>
      <c r="Y80" s="953" t="str">
        <f>TEXT('MYP Assumptions'!I78,"0.00%")&amp;", CPI"</f>
        <v>2.73%, CPI</v>
      </c>
      <c r="AA80" s="456" t="str">
        <f t="shared" si="48"/>
        <v>0.00%</v>
      </c>
      <c r="AB80" s="340">
        <f t="shared" si="52"/>
        <v>0</v>
      </c>
      <c r="AC80" s="953" t="str">
        <f>TEXT('MYP Assumptions'!J78,"0.00%")&amp;", CPI"</f>
        <v>2.73%, CPI</v>
      </c>
    </row>
    <row r="81" spans="1:29" s="457" customFormat="1" x14ac:dyDescent="0.25">
      <c r="A81" s="459"/>
      <c r="B81" s="2432"/>
      <c r="C81" s="1656"/>
      <c r="D81" s="458">
        <f>SUM(D68:D80)</f>
        <v>15642</v>
      </c>
      <c r="E81" s="2386"/>
      <c r="F81" s="340"/>
      <c r="G81" s="456">
        <f t="shared" si="53"/>
        <v>-4.1043344840813192E-2</v>
      </c>
      <c r="H81" s="458">
        <f>+SUM(H68:H80)</f>
        <v>15000</v>
      </c>
      <c r="I81" s="2316">
        <f>+H81-D81</f>
        <v>-642</v>
      </c>
      <c r="J81" s="459"/>
      <c r="K81" s="456">
        <f t="shared" si="44"/>
        <v>0.14453333333333335</v>
      </c>
      <c r="L81" s="458">
        <f>+SUM(L68:L80)</f>
        <v>17168</v>
      </c>
      <c r="M81" s="2318">
        <f>+L81-H81</f>
        <v>2168</v>
      </c>
      <c r="O81" s="456">
        <f t="shared" si="45"/>
        <v>-0.50448508853681262</v>
      </c>
      <c r="P81" s="458">
        <f>+SUM(P68:P80)</f>
        <v>8507</v>
      </c>
      <c r="Q81" s="2316">
        <f>+P81-L81</f>
        <v>-8661</v>
      </c>
      <c r="R81" s="592"/>
      <c r="S81" s="2238">
        <f t="shared" si="46"/>
        <v>-0.8569413424238862</v>
      </c>
      <c r="T81" s="458">
        <f>SUM(T68:T80)</f>
        <v>1217</v>
      </c>
      <c r="U81" s="2344"/>
      <c r="V81" s="952"/>
      <c r="W81" s="2241">
        <f t="shared" si="47"/>
        <v>0</v>
      </c>
      <c r="X81" s="458">
        <f>SUM(X68:X80)</f>
        <v>1217</v>
      </c>
      <c r="Y81" s="2344"/>
      <c r="AA81" s="456">
        <f t="shared" si="48"/>
        <v>2.7115858668857847E-2</v>
      </c>
      <c r="AB81" s="458">
        <f>SUM(AB68:AB80)</f>
        <v>1250</v>
      </c>
      <c r="AC81" s="2344"/>
    </row>
    <row r="82" spans="1:29" s="457" customFormat="1" x14ac:dyDescent="0.25">
      <c r="A82" s="455"/>
      <c r="B82" s="2468"/>
      <c r="C82" s="1656"/>
      <c r="D82" s="340"/>
      <c r="E82" s="2386"/>
      <c r="F82" s="340"/>
      <c r="G82" s="456"/>
      <c r="H82" s="340"/>
      <c r="I82" s="897"/>
      <c r="J82" s="455"/>
      <c r="K82" s="1668"/>
      <c r="L82" s="340"/>
      <c r="M82" s="901"/>
      <c r="O82" s="1668"/>
      <c r="P82" s="340"/>
      <c r="Q82" s="901"/>
      <c r="R82" s="592"/>
      <c r="S82" s="2341"/>
      <c r="T82" s="340"/>
      <c r="U82" s="2344"/>
      <c r="V82" s="952"/>
      <c r="W82" s="2343"/>
      <c r="X82" s="340"/>
      <c r="Y82" s="2344"/>
      <c r="AA82" s="1668"/>
      <c r="AB82" s="340"/>
      <c r="AC82" s="2344"/>
    </row>
    <row r="83" spans="1:29" s="457" customFormat="1" x14ac:dyDescent="0.25">
      <c r="A83" s="455"/>
      <c r="B83" s="2432"/>
      <c r="C83" s="1656"/>
      <c r="D83" s="340"/>
      <c r="E83" s="2386"/>
      <c r="F83" s="340"/>
      <c r="G83" s="2338"/>
      <c r="H83" s="340"/>
      <c r="I83" s="897"/>
      <c r="J83" s="455"/>
      <c r="K83" s="1668"/>
      <c r="L83" s="340"/>
      <c r="M83" s="901"/>
      <c r="O83" s="1668"/>
      <c r="P83" s="340"/>
      <c r="Q83" s="901"/>
      <c r="R83" s="592"/>
      <c r="S83" s="2341"/>
      <c r="T83" s="340"/>
      <c r="U83" s="2344"/>
      <c r="V83" s="952"/>
      <c r="W83" s="2343"/>
      <c r="X83" s="340"/>
      <c r="Y83" s="2344"/>
      <c r="AA83" s="1668"/>
      <c r="AB83" s="340"/>
      <c r="AC83" s="2344"/>
    </row>
    <row r="84" spans="1:29" s="457" customFormat="1" x14ac:dyDescent="0.25">
      <c r="A84" s="459"/>
      <c r="B84" s="2468" t="s">
        <v>0</v>
      </c>
      <c r="C84" s="1656"/>
      <c r="D84" s="458">
        <f>SUM(D81,D65,D54,D13)</f>
        <v>209924.78</v>
      </c>
      <c r="E84" s="2386"/>
      <c r="F84" s="340"/>
      <c r="G84" s="456">
        <f>IF(D84=0,"0.00%",(H84-D84)/D84)</f>
        <v>0.22863532356685096</v>
      </c>
      <c r="H84" s="458">
        <f>SUM(H81,H65,H54,H13)</f>
        <v>257921</v>
      </c>
      <c r="I84" s="2316">
        <f>+H84-D84</f>
        <v>47996.22</v>
      </c>
      <c r="J84" s="459"/>
      <c r="K84" s="456">
        <f>IF(H84=0,"0.00%",(L84-H84)/H84)</f>
        <v>3.2583620565987258E-2</v>
      </c>
      <c r="L84" s="458">
        <f>SUM(L81,L65,L54,L13)</f>
        <v>266325</v>
      </c>
      <c r="M84" s="2316">
        <f>+L84-H84</f>
        <v>8404</v>
      </c>
      <c r="O84" s="456">
        <f>IF(L84=0,"0.00%",(P84-L84)/L84)</f>
        <v>0</v>
      </c>
      <c r="P84" s="458">
        <f>SUM(P81,P65,P54,P13)</f>
        <v>266325</v>
      </c>
      <c r="Q84" s="2316">
        <f>+P84-L84</f>
        <v>0</v>
      </c>
      <c r="R84" s="592"/>
      <c r="S84" s="2238">
        <f>IF(P84=0,"0.00%",(T84-P84)/P84)</f>
        <v>0</v>
      </c>
      <c r="T84" s="458">
        <f>SUM(T81,T65,T54,T13)</f>
        <v>266325</v>
      </c>
      <c r="U84" s="2344"/>
      <c r="V84" s="952"/>
      <c r="W84" s="2241">
        <f>IF(T84=0,"0.00%",(X84-T84)/T84)</f>
        <v>-1.9487468318783441E-3</v>
      </c>
      <c r="X84" s="458">
        <f>SUM(X81,X65,X54,X13)</f>
        <v>265806</v>
      </c>
      <c r="Y84" s="2344"/>
      <c r="AA84" s="456" t="e">
        <f>IF(X84=0,"0.00%",(AB84-X84)/X84)</f>
        <v>#VALUE!</v>
      </c>
      <c r="AB84" s="458" t="e">
        <f>SUM(AB81,AB65,AB54,AB13)</f>
        <v>#VALUE!</v>
      </c>
      <c r="AC84" s="2344"/>
    </row>
    <row r="85" spans="1:29" s="457" customFormat="1" x14ac:dyDescent="0.25">
      <c r="A85" s="455"/>
      <c r="B85" s="2432"/>
      <c r="C85" s="1656"/>
      <c r="D85" s="340"/>
      <c r="E85" s="2386"/>
      <c r="F85" s="340"/>
      <c r="G85" s="2338"/>
      <c r="H85" s="340"/>
      <c r="I85" s="897"/>
      <c r="J85" s="455"/>
      <c r="K85" s="1668"/>
      <c r="L85" s="340"/>
      <c r="M85" s="901"/>
      <c r="O85" s="1668"/>
      <c r="P85" s="340"/>
      <c r="Q85" s="901"/>
      <c r="R85" s="592"/>
      <c r="S85" s="2341"/>
      <c r="T85" s="340"/>
      <c r="U85" s="2344"/>
      <c r="V85" s="952"/>
      <c r="W85" s="2343"/>
      <c r="X85" s="340"/>
      <c r="Y85" s="2344"/>
      <c r="AA85" s="1668"/>
      <c r="AB85" s="340"/>
      <c r="AC85" s="2344"/>
    </row>
    <row r="86" spans="1:29" s="457" customFormat="1" x14ac:dyDescent="0.25">
      <c r="A86" s="455"/>
      <c r="B86" s="2468" t="s">
        <v>138</v>
      </c>
      <c r="C86" s="1656"/>
      <c r="D86" s="833">
        <f>D11-D84</f>
        <v>0</v>
      </c>
      <c r="E86" s="1656"/>
      <c r="G86" s="456" t="str">
        <f>IF(D86=0,"0.00%",(H86-D86)/D86)</f>
        <v>0.00%</v>
      </c>
      <c r="H86" s="833">
        <f>H11-H84</f>
        <v>0</v>
      </c>
      <c r="I86" s="897"/>
      <c r="J86" s="455"/>
      <c r="K86" s="456" t="str">
        <f>IF(H86=0,"0.00%",(L86-H86)/H86)</f>
        <v>0.00%</v>
      </c>
      <c r="L86" s="833">
        <f>L11-L84</f>
        <v>0</v>
      </c>
      <c r="M86" s="901"/>
      <c r="O86" s="456" t="str">
        <f>IF(L86=0,"0.00%",(P86-L86)/L86)</f>
        <v>0.00%</v>
      </c>
      <c r="P86" s="833">
        <f>P11-P84</f>
        <v>0</v>
      </c>
      <c r="Q86" s="901"/>
      <c r="R86" s="592"/>
      <c r="S86" s="2238" t="str">
        <f>IF(P86=0,"0.00%",(T86-P86)/P86)</f>
        <v>0.00%</v>
      </c>
      <c r="T86" s="833">
        <f>T11-T84</f>
        <v>0</v>
      </c>
      <c r="U86" s="2344"/>
      <c r="V86" s="952"/>
      <c r="W86" s="2241" t="str">
        <f>IF(T86=0,"0.00%",(X86-T86)/T86)</f>
        <v>0.00%</v>
      </c>
      <c r="X86" s="833">
        <f>X11-X84</f>
        <v>519</v>
      </c>
      <c r="Y86" s="2344"/>
      <c r="AA86" s="456" t="e">
        <f>IF(X86=0,"0.00%",(AB86-X86)/X86)</f>
        <v>#VALUE!</v>
      </c>
      <c r="AB86" s="833" t="e">
        <f>AB11-AB84</f>
        <v>#VALUE!</v>
      </c>
      <c r="AC86" s="2344"/>
    </row>
    <row r="87" spans="1:29" s="457" customFormat="1" x14ac:dyDescent="0.25">
      <c r="B87" s="2468"/>
      <c r="C87" s="2432"/>
      <c r="D87" s="833"/>
      <c r="E87" s="1656"/>
      <c r="G87" s="2338"/>
      <c r="H87" s="833"/>
      <c r="I87" s="897"/>
      <c r="J87" s="455"/>
      <c r="K87" s="1668"/>
      <c r="L87" s="833"/>
      <c r="M87" s="901"/>
      <c r="O87" s="1668"/>
      <c r="P87" s="833"/>
      <c r="Q87" s="901"/>
      <c r="R87" s="592"/>
      <c r="S87" s="2341"/>
      <c r="T87" s="2356"/>
      <c r="U87" s="2344"/>
      <c r="V87" s="952"/>
      <c r="W87" s="2343"/>
      <c r="X87" s="2356"/>
      <c r="Y87" s="2344"/>
      <c r="AA87" s="1668"/>
      <c r="AB87" s="2356"/>
      <c r="AC87" s="2344"/>
    </row>
    <row r="88" spans="1:29" s="457" customFormat="1" x14ac:dyDescent="0.25">
      <c r="B88" s="2468" t="s">
        <v>136</v>
      </c>
      <c r="C88" s="2443"/>
      <c r="D88" s="833">
        <f>D7+D86</f>
        <v>0</v>
      </c>
      <c r="E88" s="1656"/>
      <c r="G88" s="456" t="str">
        <f>IF(D88=0,"0.00%",(H88-D88)/D88)</f>
        <v>0.00%</v>
      </c>
      <c r="H88" s="833">
        <f>H7+H86</f>
        <v>0</v>
      </c>
      <c r="I88" s="897"/>
      <c r="J88" s="455"/>
      <c r="K88" s="456" t="str">
        <f>IF(H88=0,"0.00%",(L88-H88)/H88)</f>
        <v>0.00%</v>
      </c>
      <c r="L88" s="833">
        <f>L7+L86</f>
        <v>0</v>
      </c>
      <c r="M88" s="2342">
        <f>+L88/1.0444</f>
        <v>0</v>
      </c>
      <c r="O88" s="456" t="str">
        <f>IF(L88=0,"0.00%",(P88-L88)/L88)</f>
        <v>0.00%</v>
      </c>
      <c r="P88" s="833">
        <f>P7+P86</f>
        <v>0</v>
      </c>
      <c r="Q88" s="901"/>
      <c r="R88" s="592"/>
      <c r="S88" s="2238" t="str">
        <f>IF(P88=0,"0.00%",(T88-P88)/P88)</f>
        <v>0.00%</v>
      </c>
      <c r="T88" s="2367">
        <f>T7+T86</f>
        <v>0</v>
      </c>
      <c r="U88" s="2344"/>
      <c r="V88" s="952"/>
      <c r="W88" s="2241" t="str">
        <f>IF(T88=0,"0.00%",(X88-T88)/T88)</f>
        <v>0.00%</v>
      </c>
      <c r="X88" s="2367">
        <f>X7+X86</f>
        <v>519</v>
      </c>
      <c r="Y88" s="2344"/>
      <c r="AA88" s="456" t="e">
        <f>IF(X88=0,"0.00%",(AB88-X88)/X88)</f>
        <v>#VALUE!</v>
      </c>
      <c r="AB88" s="2367" t="e">
        <f>AB7+AB86</f>
        <v>#VALUE!</v>
      </c>
      <c r="AC88" s="2344"/>
    </row>
    <row r="89" spans="1:29" s="457" customFormat="1" x14ac:dyDescent="0.25">
      <c r="B89" s="2432"/>
      <c r="C89" s="900"/>
      <c r="D89" s="340"/>
      <c r="E89" s="1656"/>
      <c r="G89" s="2355"/>
      <c r="H89" s="340"/>
      <c r="I89" s="898"/>
      <c r="J89" s="459"/>
      <c r="K89" s="1668"/>
      <c r="L89" s="340"/>
      <c r="M89" s="901"/>
      <c r="O89" s="1668"/>
      <c r="P89" s="340"/>
      <c r="Q89" s="901"/>
      <c r="R89" s="592"/>
      <c r="S89" s="2341"/>
      <c r="U89" s="2344"/>
      <c r="V89" s="952"/>
      <c r="W89" s="2343"/>
      <c r="Y89" s="2344"/>
      <c r="AA89" s="1668"/>
      <c r="AC89" s="2344"/>
    </row>
    <row r="90" spans="1:29" s="457" customFormat="1" x14ac:dyDescent="0.25">
      <c r="B90" s="2432"/>
      <c r="C90" s="2339"/>
      <c r="D90" s="340"/>
      <c r="E90" s="1656"/>
      <c r="G90" s="2355"/>
      <c r="H90" s="455"/>
      <c r="I90" s="897"/>
      <c r="J90" s="455"/>
      <c r="K90" s="1668"/>
      <c r="L90" s="340"/>
      <c r="M90" s="901"/>
      <c r="O90" s="1668"/>
      <c r="P90" s="340"/>
      <c r="Q90" s="901"/>
      <c r="R90" s="592"/>
      <c r="S90" s="2341"/>
      <c r="T90" s="340"/>
      <c r="U90" s="2344"/>
      <c r="V90" s="952"/>
      <c r="W90" s="2343"/>
      <c r="X90" s="340"/>
      <c r="Y90" s="2344"/>
      <c r="AA90" s="1668"/>
      <c r="AB90" s="340"/>
      <c r="AC90" s="2344"/>
    </row>
    <row r="91" spans="1:29" s="457" customFormat="1" x14ac:dyDescent="0.25">
      <c r="B91" s="2432"/>
      <c r="C91" s="2339"/>
      <c r="D91" s="340"/>
      <c r="E91" s="1656"/>
      <c r="G91" s="2355"/>
      <c r="H91" s="455"/>
      <c r="I91" s="897"/>
      <c r="J91" s="455"/>
      <c r="K91" s="1668"/>
      <c r="L91" s="340"/>
      <c r="M91" s="901"/>
      <c r="O91" s="1668"/>
      <c r="P91" s="340"/>
      <c r="Q91" s="901"/>
      <c r="R91" s="592"/>
      <c r="S91" s="2341"/>
      <c r="T91" s="340"/>
      <c r="U91" s="2344"/>
      <c r="V91" s="952"/>
      <c r="W91" s="2343"/>
      <c r="X91" s="340"/>
      <c r="Y91" s="2344"/>
      <c r="AA91" s="1668"/>
      <c r="AB91" s="340"/>
      <c r="AC91" s="2344"/>
    </row>
    <row r="92" spans="1:29" s="457" customFormat="1" x14ac:dyDescent="0.25">
      <c r="B92" s="2432"/>
      <c r="C92" s="2339"/>
      <c r="D92" s="340"/>
      <c r="E92" s="1656"/>
      <c r="G92" s="2355"/>
      <c r="H92" s="455"/>
      <c r="I92" s="897"/>
      <c r="J92" s="455"/>
      <c r="K92" s="1668"/>
      <c r="L92" s="340"/>
      <c r="M92" s="901"/>
      <c r="O92" s="1668"/>
      <c r="P92" s="340"/>
      <c r="Q92" s="901"/>
      <c r="R92" s="592"/>
      <c r="S92" s="2341"/>
      <c r="T92" s="340"/>
      <c r="U92" s="2344"/>
      <c r="V92" s="952"/>
      <c r="W92" s="2343"/>
      <c r="X92" s="340"/>
      <c r="Y92" s="2344"/>
      <c r="AA92" s="1668"/>
      <c r="AB92" s="340"/>
      <c r="AC92" s="2344"/>
    </row>
    <row r="93" spans="1:29" s="457" customFormat="1" x14ac:dyDescent="0.25">
      <c r="B93" s="2432"/>
      <c r="C93" s="2339"/>
      <c r="D93" s="340"/>
      <c r="E93" s="1656"/>
      <c r="G93" s="2355"/>
      <c r="H93" s="455"/>
      <c r="I93" s="897"/>
      <c r="J93" s="455"/>
      <c r="K93" s="1668"/>
      <c r="L93" s="340"/>
      <c r="M93" s="901"/>
      <c r="O93" s="1668"/>
      <c r="P93" s="340"/>
      <c r="Q93" s="901"/>
      <c r="R93" s="592"/>
      <c r="S93" s="2341"/>
      <c r="T93" s="340"/>
      <c r="U93" s="2344"/>
      <c r="V93" s="952"/>
      <c r="W93" s="2343"/>
      <c r="X93" s="340"/>
      <c r="Y93" s="2344"/>
      <c r="AA93" s="1668"/>
      <c r="AB93" s="340"/>
      <c r="AC93" s="2344"/>
    </row>
    <row r="94" spans="1:29" s="2402" customFormat="1" ht="11.25" x14ac:dyDescent="0.2">
      <c r="B94" s="2474"/>
      <c r="C94" s="2444" t="s">
        <v>221</v>
      </c>
      <c r="D94" s="2397">
        <f>+D81+D65+D52+D40+D29</f>
        <v>202434.7</v>
      </c>
      <c r="E94" s="2363"/>
      <c r="G94" s="2399" t="s">
        <v>221</v>
      </c>
      <c r="H94" s="2397">
        <f>+H81+H65+H52+H40+H29</f>
        <v>247075</v>
      </c>
      <c r="I94" s="2400"/>
      <c r="J94" s="607"/>
      <c r="K94" s="2399" t="s">
        <v>221</v>
      </c>
      <c r="L94" s="2397">
        <f>+L81+L65+L52+L40+L29</f>
        <v>252656</v>
      </c>
      <c r="M94" s="2404"/>
      <c r="O94" s="2399" t="s">
        <v>221</v>
      </c>
      <c r="P94" s="2397">
        <f>+P81+P65+P52+P40+P29</f>
        <v>252656</v>
      </c>
      <c r="Q94" s="2404"/>
      <c r="R94" s="608"/>
      <c r="S94" s="2405" t="s">
        <v>221</v>
      </c>
      <c r="T94" s="2397">
        <f>+T81+T65+T52+T40+T29</f>
        <v>252656</v>
      </c>
      <c r="U94" s="2409"/>
      <c r="V94" s="2407"/>
      <c r="W94" s="2408" t="s">
        <v>221</v>
      </c>
      <c r="X94" s="2397">
        <f>+X81+X65+X52+X40+X29</f>
        <v>256304</v>
      </c>
      <c r="Y94" s="2409"/>
      <c r="AA94" s="2399" t="s">
        <v>221</v>
      </c>
      <c r="AB94" s="2397" t="e">
        <f>+AB81+AB65+AB52+AB40+AB29</f>
        <v>#VALUE!</v>
      </c>
      <c r="AC94" s="2409"/>
    </row>
    <row r="95" spans="1:29" s="2402" customFormat="1" ht="11.25" x14ac:dyDescent="0.2">
      <c r="A95" s="2414"/>
      <c r="B95" s="2474"/>
      <c r="C95" s="2445" t="s">
        <v>222</v>
      </c>
      <c r="D95" s="2412">
        <f>+D13</f>
        <v>7490.08</v>
      </c>
      <c r="E95" s="2419"/>
      <c r="F95" s="2410"/>
      <c r="G95" s="2415" t="s">
        <v>222</v>
      </c>
      <c r="H95" s="2412">
        <f>+H13</f>
        <v>10846</v>
      </c>
      <c r="I95" s="2404"/>
      <c r="J95" s="608"/>
      <c r="K95" s="2415" t="s">
        <v>222</v>
      </c>
      <c r="L95" s="2412">
        <f>+L13</f>
        <v>13669</v>
      </c>
      <c r="M95" s="2404"/>
      <c r="O95" s="2415" t="s">
        <v>222</v>
      </c>
      <c r="P95" s="2412">
        <f>+P13</f>
        <v>13669</v>
      </c>
      <c r="Q95" s="2404"/>
      <c r="R95" s="608"/>
      <c r="S95" s="2416" t="s">
        <v>222</v>
      </c>
      <c r="T95" s="2412">
        <f>+T13</f>
        <v>13669</v>
      </c>
      <c r="V95" s="2407"/>
      <c r="W95" s="2417" t="s">
        <v>222</v>
      </c>
      <c r="X95" s="2412">
        <f>+X13</f>
        <v>9502</v>
      </c>
      <c r="AA95" s="2415" t="s">
        <v>222</v>
      </c>
      <c r="AB95" s="2412">
        <f>+AB13</f>
        <v>82405</v>
      </c>
    </row>
    <row r="96" spans="1:29" s="2402" customFormat="1" ht="11.25" x14ac:dyDescent="0.2">
      <c r="A96" s="2414"/>
      <c r="B96" s="2474"/>
      <c r="C96" s="2445"/>
      <c r="D96" s="2418">
        <f>+D94+D95</f>
        <v>209924.78</v>
      </c>
      <c r="E96" s="2419"/>
      <c r="F96" s="2410"/>
      <c r="G96" s="2415"/>
      <c r="H96" s="2418">
        <f>+H94+H95</f>
        <v>257921</v>
      </c>
      <c r="I96" s="2398"/>
      <c r="J96" s="608"/>
      <c r="K96" s="2415"/>
      <c r="L96" s="2418">
        <f>+L94+L95</f>
        <v>266325</v>
      </c>
      <c r="M96" s="2363"/>
      <c r="O96" s="2415"/>
      <c r="P96" s="2418">
        <f>+P94+P95</f>
        <v>266325</v>
      </c>
      <c r="Q96" s="2363"/>
      <c r="R96" s="608"/>
      <c r="S96" s="2416"/>
      <c r="T96" s="2418">
        <f>+T94+T95</f>
        <v>266325</v>
      </c>
      <c r="V96" s="2407"/>
      <c r="W96" s="2417"/>
      <c r="X96" s="2418">
        <f>+X94+X95</f>
        <v>265806</v>
      </c>
      <c r="AA96" s="2415"/>
      <c r="AB96" s="2418" t="e">
        <f>+AB94+AB95</f>
        <v>#VALUE!</v>
      </c>
    </row>
    <row r="97" spans="1:28" s="457" customFormat="1" ht="15" customHeight="1" x14ac:dyDescent="0.25">
      <c r="A97" s="455"/>
      <c r="B97" s="2446"/>
      <c r="C97" s="2446"/>
      <c r="D97" s="459">
        <f>+D84-D96</f>
        <v>0</v>
      </c>
      <c r="E97" s="2386"/>
      <c r="F97" s="340"/>
      <c r="G97" s="2447"/>
      <c r="H97" s="459">
        <f>+H84-H96</f>
        <v>0</v>
      </c>
      <c r="I97" s="2339"/>
      <c r="J97" s="592"/>
      <c r="K97" s="2447"/>
      <c r="L97" s="459">
        <f>+L84-L96</f>
        <v>0</v>
      </c>
      <c r="M97" s="1656"/>
      <c r="O97" s="2447"/>
      <c r="P97" s="459">
        <f>+P84-P96</f>
        <v>0</v>
      </c>
      <c r="Q97" s="1656"/>
      <c r="R97" s="592"/>
      <c r="S97" s="2447"/>
      <c r="T97" s="459">
        <f>+T84-T96</f>
        <v>0</v>
      </c>
      <c r="V97" s="952"/>
      <c r="W97" s="2448"/>
      <c r="X97" s="459">
        <f>+X84-X96</f>
        <v>0</v>
      </c>
      <c r="AA97" s="2447"/>
      <c r="AB97" s="459" t="e">
        <f>+AB84-AB96</f>
        <v>#VALUE!</v>
      </c>
    </row>
    <row r="98" spans="1:28" s="457" customFormat="1" x14ac:dyDescent="0.25">
      <c r="A98" s="455"/>
      <c r="B98" s="2446"/>
      <c r="C98" s="2446"/>
      <c r="D98" s="455"/>
      <c r="E98" s="2386"/>
      <c r="F98" s="340"/>
      <c r="G98" s="2338"/>
      <c r="H98" s="2424"/>
      <c r="I98" s="2339"/>
      <c r="J98" s="592"/>
      <c r="K98" s="1668"/>
      <c r="L98" s="2370"/>
      <c r="M98" s="1656"/>
      <c r="O98" s="1668"/>
      <c r="P98" s="340"/>
      <c r="Q98" s="1656"/>
      <c r="R98" s="592"/>
      <c r="S98" s="2341"/>
      <c r="V98" s="952"/>
      <c r="W98" s="2343"/>
      <c r="AA98" s="1668"/>
    </row>
    <row r="99" spans="1:28" s="457" customFormat="1" x14ac:dyDescent="0.25">
      <c r="A99" s="455"/>
      <c r="B99" s="2443"/>
      <c r="C99" s="2339"/>
      <c r="D99" s="342"/>
      <c r="E99" s="2386"/>
      <c r="F99" s="340"/>
      <c r="G99" s="2338"/>
      <c r="H99" s="2424"/>
      <c r="I99" s="2339"/>
      <c r="J99" s="592"/>
      <c r="K99" s="1668"/>
      <c r="L99" s="2370"/>
      <c r="M99" s="1656"/>
      <c r="O99" s="1668"/>
      <c r="P99" s="340"/>
      <c r="Q99" s="1656"/>
      <c r="R99" s="592"/>
      <c r="S99" s="2341"/>
      <c r="V99" s="952"/>
      <c r="W99" s="2343"/>
      <c r="AA99" s="1668"/>
    </row>
    <row r="100" spans="1:28" s="457" customFormat="1" x14ac:dyDescent="0.25">
      <c r="B100" s="2443"/>
      <c r="C100" s="2339"/>
      <c r="D100" s="455"/>
      <c r="E100" s="1656"/>
      <c r="G100" s="2338"/>
      <c r="H100" s="2424"/>
      <c r="I100" s="2339"/>
      <c r="J100" s="592"/>
      <c r="K100" s="1668"/>
      <c r="L100" s="2370"/>
      <c r="M100" s="1656"/>
      <c r="O100" s="1668"/>
      <c r="P100" s="340"/>
      <c r="Q100" s="1656"/>
      <c r="R100" s="592"/>
      <c r="S100" s="2341"/>
      <c r="V100" s="952"/>
      <c r="W100" s="2343"/>
      <c r="AA100" s="1668"/>
    </row>
    <row r="101" spans="1:28" s="457" customFormat="1" x14ac:dyDescent="0.25">
      <c r="B101" s="2443"/>
      <c r="C101" s="2339"/>
      <c r="D101" s="455"/>
      <c r="E101" s="1656"/>
      <c r="G101" s="2338"/>
      <c r="H101" s="2424"/>
      <c r="I101" s="2339"/>
      <c r="J101" s="592"/>
      <c r="K101" s="1668"/>
      <c r="L101" s="2370"/>
      <c r="M101" s="1656"/>
      <c r="O101" s="1668"/>
      <c r="P101" s="340"/>
      <c r="Q101" s="1656"/>
      <c r="R101" s="592"/>
      <c r="S101" s="2341"/>
      <c r="V101" s="952"/>
      <c r="W101" s="2343"/>
      <c r="AA101" s="1668"/>
    </row>
    <row r="102" spans="1:28" s="457" customFormat="1" ht="15" customHeight="1" x14ac:dyDescent="0.25">
      <c r="B102" s="2443"/>
      <c r="C102" s="2339"/>
      <c r="D102" s="455"/>
      <c r="E102" s="1656"/>
      <c r="G102" s="2338"/>
      <c r="H102" s="2424"/>
      <c r="I102" s="2339"/>
      <c r="J102" s="592"/>
      <c r="K102" s="1668"/>
      <c r="L102" s="2370"/>
      <c r="M102" s="1656"/>
      <c r="O102" s="1668"/>
      <c r="P102" s="340"/>
      <c r="Q102" s="1656"/>
      <c r="R102" s="592"/>
      <c r="S102" s="2341"/>
      <c r="V102" s="952"/>
      <c r="W102" s="2343"/>
      <c r="AA102" s="1668"/>
    </row>
    <row r="103" spans="1:28" s="457" customFormat="1" x14ac:dyDescent="0.25">
      <c r="B103" s="2443"/>
      <c r="C103" s="2339"/>
      <c r="D103" s="455"/>
      <c r="E103" s="1656"/>
      <c r="G103" s="2338"/>
      <c r="H103" s="2424"/>
      <c r="I103" s="2339"/>
      <c r="J103" s="592"/>
      <c r="K103" s="1668"/>
      <c r="L103" s="2370"/>
      <c r="M103" s="1656"/>
      <c r="O103" s="1668"/>
      <c r="P103" s="340"/>
      <c r="Q103" s="1656"/>
      <c r="R103" s="592"/>
      <c r="S103" s="2341"/>
      <c r="V103" s="952"/>
      <c r="W103" s="2343"/>
      <c r="AA103" s="1668"/>
    </row>
    <row r="104" spans="1:28" s="457" customFormat="1" x14ac:dyDescent="0.25">
      <c r="B104" s="2443"/>
      <c r="C104" s="2339"/>
      <c r="D104" s="455"/>
      <c r="E104" s="1656"/>
      <c r="G104" s="2338"/>
      <c r="H104" s="2424"/>
      <c r="I104" s="2339"/>
      <c r="J104" s="592"/>
      <c r="K104" s="1668"/>
      <c r="L104" s="2370"/>
      <c r="M104" s="1656"/>
      <c r="O104" s="1668"/>
      <c r="P104" s="340"/>
      <c r="Q104" s="1656"/>
      <c r="R104" s="592"/>
      <c r="S104" s="2341"/>
      <c r="V104" s="952"/>
      <c r="W104" s="2343"/>
      <c r="AA104" s="1668"/>
    </row>
    <row r="105" spans="1:28" s="457" customFormat="1" ht="15" customHeight="1" x14ac:dyDescent="0.25">
      <c r="B105" s="2565"/>
      <c r="C105" s="2565"/>
      <c r="D105" s="455"/>
      <c r="E105" s="1656"/>
      <c r="G105" s="2338"/>
      <c r="H105" s="2424"/>
      <c r="I105" s="2339"/>
      <c r="J105" s="592"/>
      <c r="K105" s="1668"/>
      <c r="L105" s="2370"/>
      <c r="M105" s="1656"/>
      <c r="O105" s="1668"/>
      <c r="P105" s="340"/>
      <c r="Q105" s="1656"/>
      <c r="R105" s="592"/>
      <c r="S105" s="2341"/>
      <c r="V105" s="952"/>
      <c r="W105" s="2343"/>
      <c r="AA105" s="1668"/>
    </row>
    <row r="106" spans="1:28" s="457" customFormat="1" x14ac:dyDescent="0.25">
      <c r="B106" s="2565"/>
      <c r="C106" s="2565"/>
      <c r="D106" s="455"/>
      <c r="E106" s="1656"/>
      <c r="G106" s="2338"/>
      <c r="H106" s="2424"/>
      <c r="I106" s="2339"/>
      <c r="J106" s="592"/>
      <c r="K106" s="1668"/>
      <c r="L106" s="2370"/>
      <c r="M106" s="1656"/>
      <c r="O106" s="1668"/>
      <c r="P106" s="340"/>
      <c r="Q106" s="1656"/>
      <c r="R106" s="592"/>
      <c r="S106" s="2341"/>
      <c r="V106" s="952"/>
      <c r="W106" s="2343"/>
      <c r="AA106" s="1668"/>
    </row>
    <row r="107" spans="1:28" s="457" customFormat="1" x14ac:dyDescent="0.25">
      <c r="B107" s="2443"/>
      <c r="C107" s="2339"/>
      <c r="D107" s="460"/>
      <c r="E107" s="1656"/>
      <c r="G107" s="2338"/>
      <c r="H107" s="2424"/>
      <c r="I107" s="2339"/>
      <c r="J107" s="592"/>
      <c r="K107" s="1668"/>
      <c r="L107" s="2370"/>
      <c r="M107" s="1656"/>
      <c r="O107" s="1668"/>
      <c r="P107" s="340"/>
      <c r="Q107" s="1656"/>
      <c r="R107" s="592"/>
      <c r="S107" s="2341"/>
      <c r="V107" s="952"/>
      <c r="W107" s="2343"/>
      <c r="AA107" s="1668"/>
    </row>
    <row r="108" spans="1:28" s="457" customFormat="1" x14ac:dyDescent="0.25">
      <c r="B108" s="2443"/>
      <c r="C108" s="2339"/>
      <c r="D108" s="455"/>
      <c r="E108" s="1656"/>
      <c r="G108" s="2338"/>
      <c r="H108" s="2424"/>
      <c r="I108" s="2339"/>
      <c r="J108" s="592"/>
      <c r="K108" s="1668"/>
      <c r="L108" s="2370"/>
      <c r="M108" s="1656"/>
      <c r="O108" s="1668"/>
      <c r="P108" s="340"/>
      <c r="Q108" s="1656"/>
      <c r="R108" s="592"/>
      <c r="S108" s="2341"/>
      <c r="V108" s="952"/>
      <c r="W108" s="2343"/>
      <c r="AA108" s="1668"/>
    </row>
    <row r="109" spans="1:28" s="457" customFormat="1" x14ac:dyDescent="0.25">
      <c r="B109" s="2443"/>
      <c r="C109" s="2339"/>
      <c r="D109" s="455"/>
      <c r="E109" s="1656"/>
      <c r="G109" s="2338"/>
      <c r="H109" s="2424"/>
      <c r="I109" s="2339"/>
      <c r="J109" s="592"/>
      <c r="K109" s="1668"/>
      <c r="L109" s="2370"/>
      <c r="M109" s="1656"/>
      <c r="O109" s="1668"/>
      <c r="P109" s="340"/>
      <c r="Q109" s="1656"/>
      <c r="R109" s="592"/>
      <c r="S109" s="2341"/>
      <c r="V109" s="952"/>
      <c r="W109" s="2343"/>
      <c r="AA109" s="1668"/>
    </row>
    <row r="110" spans="1:28" s="457" customFormat="1" ht="28.5" customHeight="1" x14ac:dyDescent="0.25">
      <c r="B110" s="2443"/>
      <c r="C110" s="2339"/>
      <c r="D110" s="342"/>
      <c r="E110" s="1656"/>
      <c r="G110" s="2338"/>
      <c r="H110" s="2424"/>
      <c r="I110" s="2339"/>
      <c r="J110" s="592"/>
      <c r="K110" s="1668"/>
      <c r="L110" s="2370"/>
      <c r="M110" s="1656"/>
      <c r="O110" s="1668"/>
      <c r="P110" s="340"/>
      <c r="Q110" s="1656"/>
      <c r="R110" s="592"/>
      <c r="S110" s="2341"/>
      <c r="V110" s="952"/>
      <c r="W110" s="2343"/>
      <c r="AA110" s="1668"/>
    </row>
    <row r="111" spans="1:28" s="457" customFormat="1" x14ac:dyDescent="0.25">
      <c r="B111" s="2443"/>
      <c r="C111" s="2339"/>
      <c r="D111" s="455"/>
      <c r="E111" s="1656"/>
      <c r="G111" s="2338"/>
      <c r="H111" s="2424"/>
      <c r="I111" s="2339"/>
      <c r="J111" s="592"/>
      <c r="K111" s="1668"/>
      <c r="L111" s="2370"/>
      <c r="M111" s="1656"/>
      <c r="O111" s="1668"/>
      <c r="P111" s="340"/>
      <c r="Q111" s="1656"/>
      <c r="R111" s="592"/>
      <c r="S111" s="2341"/>
      <c r="V111" s="952"/>
      <c r="W111" s="2343"/>
      <c r="AA111" s="1668"/>
    </row>
    <row r="112" spans="1:28" s="457" customFormat="1" x14ac:dyDescent="0.25">
      <c r="B112" s="2443"/>
      <c r="C112" s="2339"/>
      <c r="D112" s="455"/>
      <c r="E112" s="1656"/>
      <c r="G112" s="2338"/>
      <c r="H112" s="2424"/>
      <c r="I112" s="2339"/>
      <c r="J112" s="592"/>
      <c r="K112" s="1668"/>
      <c r="L112" s="2370"/>
      <c r="M112" s="1656"/>
      <c r="O112" s="1668"/>
      <c r="P112" s="340"/>
      <c r="Q112" s="1656"/>
      <c r="R112" s="592"/>
      <c r="S112" s="2341"/>
      <c r="V112" s="952"/>
      <c r="W112" s="2343"/>
      <c r="AA112" s="1668"/>
    </row>
    <row r="113" spans="2:27" s="457" customFormat="1" x14ac:dyDescent="0.25">
      <c r="B113" s="2443"/>
      <c r="C113" s="2339"/>
      <c r="D113" s="455"/>
      <c r="E113" s="1656"/>
      <c r="G113" s="2338"/>
      <c r="H113" s="2424"/>
      <c r="I113" s="2339"/>
      <c r="J113" s="592"/>
      <c r="K113" s="1668"/>
      <c r="L113" s="2370"/>
      <c r="M113" s="1656"/>
      <c r="O113" s="1668"/>
      <c r="P113" s="340"/>
      <c r="Q113" s="1656"/>
      <c r="R113" s="592"/>
      <c r="S113" s="2341"/>
      <c r="V113" s="952"/>
      <c r="W113" s="2343"/>
      <c r="AA113" s="1668"/>
    </row>
    <row r="114" spans="2:27" s="457" customFormat="1" x14ac:dyDescent="0.25">
      <c r="B114" s="2443"/>
      <c r="C114" s="2339"/>
      <c r="D114" s="455"/>
      <c r="E114" s="1656"/>
      <c r="G114" s="2338"/>
      <c r="H114" s="2424"/>
      <c r="I114" s="2339"/>
      <c r="J114" s="592"/>
      <c r="K114" s="1668"/>
      <c r="L114" s="2370"/>
      <c r="M114" s="1656"/>
      <c r="O114" s="1668"/>
      <c r="P114" s="340"/>
      <c r="Q114" s="1656"/>
      <c r="R114" s="592"/>
      <c r="S114" s="2341"/>
      <c r="V114" s="952"/>
      <c r="W114" s="2343"/>
      <c r="AA114" s="1668"/>
    </row>
    <row r="115" spans="2:27" s="457" customFormat="1" x14ac:dyDescent="0.25">
      <c r="B115" s="2443"/>
      <c r="C115" s="2339"/>
      <c r="D115" s="455"/>
      <c r="E115" s="1656"/>
      <c r="G115" s="2338"/>
      <c r="H115" s="2424"/>
      <c r="I115" s="2339"/>
      <c r="J115" s="592"/>
      <c r="K115" s="1668"/>
      <c r="L115" s="2370"/>
      <c r="M115" s="1656"/>
      <c r="O115" s="1668"/>
      <c r="P115" s="340"/>
      <c r="Q115" s="1656"/>
      <c r="R115" s="592"/>
      <c r="S115" s="2341"/>
      <c r="V115" s="952"/>
      <c r="W115" s="2343"/>
      <c r="AA115" s="1668"/>
    </row>
    <row r="116" spans="2:27" s="457" customFormat="1" x14ac:dyDescent="0.25">
      <c r="B116" s="2443"/>
      <c r="C116" s="2339"/>
      <c r="D116" s="455"/>
      <c r="E116" s="1656"/>
      <c r="G116" s="2338"/>
      <c r="H116" s="2424"/>
      <c r="I116" s="2339"/>
      <c r="J116" s="592"/>
      <c r="K116" s="1668"/>
      <c r="L116" s="2370"/>
      <c r="M116" s="1656"/>
      <c r="O116" s="1668"/>
      <c r="P116" s="340"/>
      <c r="Q116" s="1656"/>
      <c r="R116" s="592"/>
      <c r="S116" s="2341"/>
      <c r="V116" s="952"/>
      <c r="W116" s="2343"/>
      <c r="AA116" s="1668"/>
    </row>
    <row r="117" spans="2:27" s="457" customFormat="1" x14ac:dyDescent="0.25">
      <c r="B117" s="2443"/>
      <c r="C117" s="2339"/>
      <c r="D117" s="455"/>
      <c r="E117" s="1656"/>
      <c r="G117" s="2338"/>
      <c r="H117" s="2424"/>
      <c r="I117" s="2339"/>
      <c r="J117" s="592"/>
      <c r="K117" s="1668"/>
      <c r="L117" s="2370"/>
      <c r="M117" s="1656"/>
      <c r="O117" s="1668"/>
      <c r="P117" s="340"/>
      <c r="Q117" s="1656"/>
      <c r="R117" s="592"/>
      <c r="S117" s="2341"/>
      <c r="V117" s="952"/>
      <c r="W117" s="2343"/>
      <c r="AA117" s="1668"/>
    </row>
    <row r="118" spans="2:27" s="457" customFormat="1" x14ac:dyDescent="0.25">
      <c r="B118" s="2443"/>
      <c r="C118" s="2339"/>
      <c r="D118" s="455"/>
      <c r="E118" s="1656"/>
      <c r="G118" s="2338"/>
      <c r="H118" s="2424"/>
      <c r="I118" s="2339"/>
      <c r="J118" s="592"/>
      <c r="K118" s="1668"/>
      <c r="L118" s="2370"/>
      <c r="M118" s="1656"/>
      <c r="O118" s="1668"/>
      <c r="P118" s="340"/>
      <c r="Q118" s="1656"/>
      <c r="R118" s="592"/>
      <c r="S118" s="2341"/>
      <c r="V118" s="952"/>
      <c r="W118" s="2343"/>
      <c r="AA118" s="1668"/>
    </row>
    <row r="119" spans="2:27" s="457" customFormat="1" x14ac:dyDescent="0.25">
      <c r="B119" s="2443"/>
      <c r="C119" s="2339"/>
      <c r="D119" s="455"/>
      <c r="E119" s="1656"/>
      <c r="G119" s="2338"/>
      <c r="H119" s="2424"/>
      <c r="I119" s="2339"/>
      <c r="J119" s="592"/>
      <c r="K119" s="1668"/>
      <c r="L119" s="2370"/>
      <c r="M119" s="1656"/>
      <c r="O119" s="1668"/>
      <c r="P119" s="340"/>
      <c r="Q119" s="1656"/>
      <c r="R119" s="592"/>
      <c r="S119" s="2341"/>
      <c r="V119" s="952"/>
      <c r="W119" s="2343"/>
      <c r="AA119" s="1668"/>
    </row>
    <row r="120" spans="2:27" s="457" customFormat="1" x14ac:dyDescent="0.25">
      <c r="B120" s="2443"/>
      <c r="C120" s="2339"/>
      <c r="D120" s="455"/>
      <c r="E120" s="1656"/>
      <c r="G120" s="2338"/>
      <c r="H120" s="2424"/>
      <c r="I120" s="2339"/>
      <c r="J120" s="592"/>
      <c r="K120" s="1668"/>
      <c r="L120" s="2370"/>
      <c r="M120" s="1656"/>
      <c r="O120" s="1668"/>
      <c r="P120" s="340"/>
      <c r="Q120" s="1656"/>
      <c r="R120" s="592"/>
      <c r="S120" s="2341"/>
      <c r="V120" s="952"/>
      <c r="W120" s="2343"/>
      <c r="AA120" s="1668"/>
    </row>
    <row r="121" spans="2:27" s="457" customFormat="1" x14ac:dyDescent="0.25">
      <c r="B121" s="2443"/>
      <c r="C121" s="2339"/>
      <c r="D121" s="455"/>
      <c r="E121" s="1656"/>
      <c r="G121" s="2338"/>
      <c r="H121" s="2424"/>
      <c r="I121" s="2339"/>
      <c r="J121" s="592"/>
      <c r="K121" s="1668"/>
      <c r="L121" s="2370"/>
      <c r="M121" s="1656"/>
      <c r="O121" s="1668"/>
      <c r="P121" s="340"/>
      <c r="Q121" s="1656"/>
      <c r="R121" s="592"/>
      <c r="S121" s="2341"/>
      <c r="V121" s="952"/>
      <c r="W121" s="2343"/>
      <c r="AA121" s="1668"/>
    </row>
    <row r="122" spans="2:27" s="457" customFormat="1" x14ac:dyDescent="0.25">
      <c r="B122" s="2443"/>
      <c r="C122" s="2339"/>
      <c r="D122" s="455"/>
      <c r="E122" s="1656"/>
      <c r="G122" s="2338"/>
      <c r="H122" s="2424"/>
      <c r="I122" s="2339"/>
      <c r="J122" s="592"/>
      <c r="K122" s="1668"/>
      <c r="L122" s="2370"/>
      <c r="M122" s="1656"/>
      <c r="O122" s="1668"/>
      <c r="P122" s="340"/>
      <c r="Q122" s="1656"/>
      <c r="R122" s="592"/>
      <c r="S122" s="2341"/>
      <c r="V122" s="952"/>
      <c r="W122" s="2343"/>
      <c r="AA122" s="1668"/>
    </row>
    <row r="123" spans="2:27" s="457" customFormat="1" x14ac:dyDescent="0.25">
      <c r="B123" s="2443"/>
      <c r="C123" s="2339"/>
      <c r="D123" s="455"/>
      <c r="E123" s="1656"/>
      <c r="G123" s="2338"/>
      <c r="H123" s="2424"/>
      <c r="I123" s="2339"/>
      <c r="J123" s="592"/>
      <c r="K123" s="1668"/>
      <c r="L123" s="2370"/>
      <c r="M123" s="1656"/>
      <c r="O123" s="1668"/>
      <c r="P123" s="340"/>
      <c r="Q123" s="1656"/>
      <c r="R123" s="592"/>
      <c r="S123" s="2341"/>
      <c r="V123" s="952"/>
      <c r="W123" s="2343"/>
      <c r="AA123" s="1668"/>
    </row>
    <row r="124" spans="2:27" s="457" customFormat="1" x14ac:dyDescent="0.25">
      <c r="B124" s="2443"/>
      <c r="C124" s="2339"/>
      <c r="D124" s="455"/>
      <c r="E124" s="1656"/>
      <c r="G124" s="2338"/>
      <c r="H124" s="2424"/>
      <c r="I124" s="2339"/>
      <c r="J124" s="592"/>
      <c r="K124" s="1668"/>
      <c r="L124" s="2370"/>
      <c r="M124" s="1656"/>
      <c r="O124" s="1668"/>
      <c r="P124" s="340"/>
      <c r="Q124" s="1656"/>
      <c r="R124" s="592"/>
      <c r="S124" s="2341"/>
      <c r="V124" s="952"/>
      <c r="W124" s="2343"/>
      <c r="AA124" s="1668"/>
    </row>
    <row r="125" spans="2:27" s="457" customFormat="1" x14ac:dyDescent="0.25">
      <c r="B125" s="2443"/>
      <c r="C125" s="2339"/>
      <c r="D125" s="455"/>
      <c r="E125" s="1656"/>
      <c r="G125" s="2338"/>
      <c r="H125" s="2424"/>
      <c r="I125" s="2339"/>
      <c r="J125" s="592"/>
      <c r="K125" s="1668"/>
      <c r="L125" s="2370"/>
      <c r="M125" s="1656"/>
      <c r="O125" s="1668"/>
      <c r="P125" s="340"/>
      <c r="Q125" s="1656"/>
      <c r="R125" s="592"/>
      <c r="S125" s="2341"/>
      <c r="V125" s="952"/>
      <c r="W125" s="2343"/>
      <c r="AA125" s="1668"/>
    </row>
    <row r="126" spans="2:27" s="457" customFormat="1" x14ac:dyDescent="0.25">
      <c r="B126" s="2432"/>
      <c r="C126" s="1656"/>
      <c r="D126" s="340"/>
      <c r="E126" s="1656"/>
      <c r="G126" s="2338"/>
      <c r="H126" s="2424"/>
      <c r="I126" s="2339"/>
      <c r="J126" s="592"/>
      <c r="K126" s="1668"/>
      <c r="L126" s="2370"/>
      <c r="M126" s="1656"/>
      <c r="O126" s="1668"/>
      <c r="P126" s="340"/>
      <c r="Q126" s="1656"/>
      <c r="R126" s="592"/>
      <c r="S126" s="2341"/>
      <c r="V126" s="952"/>
      <c r="W126" s="2343"/>
      <c r="AA126" s="1668"/>
    </row>
    <row r="127" spans="2:27" s="457" customFormat="1" x14ac:dyDescent="0.25">
      <c r="B127" s="2432"/>
      <c r="C127" s="1656"/>
      <c r="D127" s="340"/>
      <c r="E127" s="1656"/>
      <c r="G127" s="2338"/>
      <c r="H127" s="2424"/>
      <c r="I127" s="2339"/>
      <c r="J127" s="592"/>
      <c r="K127" s="1668"/>
      <c r="L127" s="2370"/>
      <c r="M127" s="1656"/>
      <c r="O127" s="1668"/>
      <c r="P127" s="340"/>
      <c r="Q127" s="1656"/>
      <c r="R127" s="592"/>
      <c r="S127" s="2341"/>
      <c r="V127" s="952"/>
      <c r="W127" s="2343"/>
      <c r="AA127" s="1668"/>
    </row>
    <row r="128" spans="2:27" s="457" customFormat="1" x14ac:dyDescent="0.25">
      <c r="B128" s="2432"/>
      <c r="C128" s="1656"/>
      <c r="D128" s="340"/>
      <c r="E128" s="1656"/>
      <c r="G128" s="2338"/>
      <c r="H128" s="2424"/>
      <c r="I128" s="2339"/>
      <c r="J128" s="592"/>
      <c r="K128" s="1668"/>
      <c r="L128" s="2370"/>
      <c r="M128" s="1656"/>
      <c r="O128" s="1668"/>
      <c r="P128" s="340"/>
      <c r="Q128" s="1656"/>
      <c r="R128" s="592"/>
      <c r="S128" s="2341"/>
      <c r="V128" s="952"/>
      <c r="W128" s="2343"/>
      <c r="AA128" s="1668"/>
    </row>
    <row r="129" spans="2:27" s="457" customFormat="1" x14ac:dyDescent="0.25">
      <c r="B129" s="2432"/>
      <c r="C129" s="1656"/>
      <c r="D129" s="340"/>
      <c r="E129" s="1656"/>
      <c r="G129" s="2338"/>
      <c r="H129" s="2424"/>
      <c r="I129" s="2339"/>
      <c r="J129" s="592"/>
      <c r="K129" s="1668"/>
      <c r="L129" s="2370"/>
      <c r="M129" s="1656"/>
      <c r="O129" s="1668"/>
      <c r="P129" s="340"/>
      <c r="Q129" s="1656"/>
      <c r="R129" s="592"/>
      <c r="S129" s="2341"/>
      <c r="V129" s="952"/>
      <c r="W129" s="2343"/>
      <c r="AA129" s="1668"/>
    </row>
    <row r="130" spans="2:27" s="457" customFormat="1" x14ac:dyDescent="0.25">
      <c r="B130" s="2432"/>
      <c r="C130" s="1656"/>
      <c r="D130" s="340"/>
      <c r="E130" s="1656"/>
      <c r="G130" s="2338"/>
      <c r="H130" s="2424"/>
      <c r="I130" s="2339"/>
      <c r="J130" s="592"/>
      <c r="K130" s="1668"/>
      <c r="L130" s="2370"/>
      <c r="M130" s="1656"/>
      <c r="O130" s="1668"/>
      <c r="P130" s="340"/>
      <c r="Q130" s="1656"/>
      <c r="R130" s="592"/>
      <c r="S130" s="2341"/>
      <c r="V130" s="952"/>
      <c r="W130" s="2343"/>
      <c r="AA130" s="1668"/>
    </row>
    <row r="131" spans="2:27" s="457" customFormat="1" x14ac:dyDescent="0.25">
      <c r="B131" s="2432"/>
      <c r="C131" s="1656"/>
      <c r="D131" s="340"/>
      <c r="E131" s="1656"/>
      <c r="G131" s="2338"/>
      <c r="H131" s="2424"/>
      <c r="I131" s="2339"/>
      <c r="J131" s="592"/>
      <c r="K131" s="1668"/>
      <c r="L131" s="2370"/>
      <c r="M131" s="1656"/>
      <c r="O131" s="1668"/>
      <c r="P131" s="340"/>
      <c r="Q131" s="1656"/>
      <c r="R131" s="592"/>
      <c r="S131" s="2341"/>
      <c r="V131" s="952"/>
      <c r="W131" s="2343"/>
      <c r="AA131" s="1668"/>
    </row>
  </sheetData>
  <sheetProtection password="E247" sheet="1" objects="1" scenarios="1"/>
  <mergeCells count="1">
    <mergeCell ref="B105:C106"/>
  </mergeCells>
  <pageMargins left="0.25" right="0.25" top="0.5" bottom="0.5" header="0.25" footer="0.25"/>
  <pageSetup paperSize="5" scale="96" orientation="portrait" r:id="rId1"/>
  <headerFooter>
    <oddHeader>&amp;L&amp;F</oddHeader>
    <oddFooter>&amp;R&amp;A</oddFooter>
  </headerFooter>
  <ignoredErrors>
    <ignoredError sqref="B21"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C131"/>
  <sheetViews>
    <sheetView zoomScaleNormal="100" workbookViewId="0">
      <pane xSplit="3" ySplit="6" topLeftCell="H7" activePane="bottomRight" state="frozen"/>
      <selection activeCell="H7" sqref="H7"/>
      <selection pane="topRight" activeCell="H7" sqref="H7"/>
      <selection pane="bottomLeft" activeCell="H7" sqref="H7"/>
      <selection pane="bottomRight" activeCell="H7" sqref="H7"/>
    </sheetView>
  </sheetViews>
  <sheetFormatPr defaultRowHeight="15" x14ac:dyDescent="0.25"/>
  <cols>
    <col min="1" max="1" width="1.7109375" style="56" customWidth="1"/>
    <col min="2" max="2" width="8.5703125" style="872" customWidth="1"/>
    <col min="3" max="3" width="18.28515625" style="844" customWidth="1"/>
    <col min="4" max="4" width="16" style="2" hidden="1" customWidth="1"/>
    <col min="5" max="5" width="17.7109375" style="844" hidden="1" customWidth="1"/>
    <col min="6" max="6" width="6" style="39" hidden="1" customWidth="1"/>
    <col min="7" max="7" width="9.7109375" style="52" hidden="1" customWidth="1"/>
    <col min="8" max="8" width="13.85546875" style="121" bestFit="1" customWidth="1"/>
    <col min="9" max="9" width="26" style="853" hidden="1" customWidth="1"/>
    <col min="10" max="10" width="5.7109375" style="59" hidden="1" customWidth="1"/>
    <col min="11" max="11" width="12" style="333" hidden="1" customWidth="1"/>
    <col min="12" max="12" width="15.42578125" style="122" bestFit="1" customWidth="1"/>
    <col min="13" max="13" width="26" style="844" hidden="1" customWidth="1"/>
    <col min="14" max="14" width="5.7109375" style="39" hidden="1" customWidth="1"/>
    <col min="15" max="15" width="12.28515625" style="333" hidden="1" customWidth="1"/>
    <col min="16" max="16" width="15.42578125" style="2" bestFit="1" customWidth="1"/>
    <col min="17" max="17" width="24.85546875" style="844" hidden="1" customWidth="1"/>
    <col min="18" max="18" width="5.28515625" style="51" hidden="1" customWidth="1"/>
    <col min="19" max="19" width="16" style="338" hidden="1" customWidth="1"/>
    <col min="20" max="20" width="14" style="39" customWidth="1"/>
    <col min="21" max="21" width="24.85546875" style="2176" hidden="1" customWidth="1"/>
    <col min="22" max="22" width="5.7109375" style="109" customWidth="1"/>
    <col min="23" max="23" width="9.42578125" style="2244" hidden="1" customWidth="1"/>
    <col min="24" max="24" width="14" style="39" hidden="1" customWidth="1"/>
    <col min="25" max="25" width="24.85546875" style="39" hidden="1" customWidth="1"/>
    <col min="26" max="26" width="5.7109375" style="39" hidden="1" customWidth="1"/>
    <col min="27" max="27" width="9.42578125" style="333" hidden="1" customWidth="1"/>
    <col min="28" max="28" width="14" style="39" hidden="1" customWidth="1"/>
    <col min="29" max="29" width="24.85546875" style="39" hidden="1" customWidth="1"/>
    <col min="30" max="16384" width="9.140625" style="39"/>
  </cols>
  <sheetData>
    <row r="1" spans="1:29" x14ac:dyDescent="0.25">
      <c r="B1" s="872" t="s">
        <v>61</v>
      </c>
      <c r="C1" s="873" t="s">
        <v>219</v>
      </c>
      <c r="D1" s="97">
        <v>20112</v>
      </c>
      <c r="E1" s="842" t="s">
        <v>900</v>
      </c>
      <c r="F1" s="98"/>
      <c r="G1" s="325"/>
      <c r="H1" s="97">
        <v>24664</v>
      </c>
      <c r="I1" s="842" t="s">
        <v>901</v>
      </c>
      <c r="K1" s="338"/>
      <c r="L1" s="97">
        <f>+H1</f>
        <v>24664</v>
      </c>
      <c r="M1" s="842" t="s">
        <v>901</v>
      </c>
      <c r="N1" s="51"/>
      <c r="O1" s="338"/>
      <c r="P1" s="97">
        <f>+L1</f>
        <v>24664</v>
      </c>
      <c r="Q1" s="842" t="s">
        <v>901</v>
      </c>
      <c r="T1" s="86">
        <f>+P4</f>
        <v>23664</v>
      </c>
      <c r="U1" s="2255"/>
      <c r="X1" s="86">
        <f>T1</f>
        <v>23664</v>
      </c>
      <c r="Y1" s="98"/>
      <c r="AB1" s="86">
        <f>X1</f>
        <v>23664</v>
      </c>
      <c r="AC1" s="98"/>
    </row>
    <row r="2" spans="1:29" ht="17.25" x14ac:dyDescent="0.4">
      <c r="B2" s="874" t="s">
        <v>59</v>
      </c>
      <c r="C2" s="875" t="s">
        <v>691</v>
      </c>
      <c r="D2" s="2">
        <f>-23528.3+13755.59</f>
        <v>-9772.7099999999991</v>
      </c>
      <c r="E2" s="842" t="s">
        <v>898</v>
      </c>
      <c r="F2" s="98"/>
      <c r="G2" s="326"/>
      <c r="H2" s="2">
        <v>11186.71</v>
      </c>
      <c r="I2" s="842" t="s">
        <v>214</v>
      </c>
      <c r="K2" s="338"/>
      <c r="L2" s="2">
        <v>21392.71</v>
      </c>
      <c r="M2" s="842" t="s">
        <v>214</v>
      </c>
      <c r="N2" s="51"/>
      <c r="O2" s="338"/>
      <c r="P2" s="2">
        <f>-L3</f>
        <v>23392.71</v>
      </c>
      <c r="Q2" s="842" t="s">
        <v>214</v>
      </c>
      <c r="T2" s="2">
        <v>0</v>
      </c>
      <c r="U2" s="2255"/>
      <c r="X2" s="87">
        <v>0</v>
      </c>
      <c r="Y2" s="98"/>
      <c r="AB2" s="87">
        <v>0</v>
      </c>
      <c r="AC2" s="98"/>
    </row>
    <row r="3" spans="1:29" ht="17.25" x14ac:dyDescent="0.4">
      <c r="D3" s="99">
        <v>3416.3</v>
      </c>
      <c r="E3" s="843" t="s">
        <v>174</v>
      </c>
      <c r="F3" s="100"/>
      <c r="G3" s="83"/>
      <c r="H3" s="99">
        <f>+-35850.71+22535</f>
        <v>-13315.71</v>
      </c>
      <c r="I3" s="843" t="s">
        <v>215</v>
      </c>
      <c r="K3" s="338"/>
      <c r="L3" s="99">
        <f>-46056.71+22664</f>
        <v>-23392.71</v>
      </c>
      <c r="M3" s="843" t="s">
        <v>215</v>
      </c>
      <c r="N3" s="51"/>
      <c r="O3" s="338"/>
      <c r="P3" s="99">
        <v>-24392.71</v>
      </c>
      <c r="Q3" s="843" t="s">
        <v>215</v>
      </c>
      <c r="T3" s="87">
        <v>0</v>
      </c>
      <c r="U3" s="2179"/>
      <c r="X3" s="86">
        <f>SUM(X1:X2)</f>
        <v>23664</v>
      </c>
      <c r="Y3" s="51"/>
      <c r="AB3" s="86">
        <f>SUM(AB1:AB2)</f>
        <v>23664</v>
      </c>
      <c r="AC3" s="51"/>
    </row>
    <row r="4" spans="1:29" x14ac:dyDescent="0.25">
      <c r="D4" s="281">
        <f>+SUM(D1:D3)</f>
        <v>13755.59</v>
      </c>
      <c r="H4" s="281">
        <f>+SUM(H1:H3)</f>
        <v>22535</v>
      </c>
      <c r="I4" s="844"/>
      <c r="K4" s="338"/>
      <c r="L4" s="281">
        <f>+SUM(L1:L3)</f>
        <v>22664</v>
      </c>
      <c r="N4" s="51"/>
      <c r="O4" s="338"/>
      <c r="P4" s="281">
        <f>+SUM(P1:P3)</f>
        <v>23664</v>
      </c>
      <c r="T4" s="86">
        <f>SUM(T1:T3)</f>
        <v>23664</v>
      </c>
      <c r="U4" s="2179"/>
      <c r="X4" s="86"/>
      <c r="Y4" s="51"/>
      <c r="AB4" s="86"/>
      <c r="AC4" s="51"/>
    </row>
    <row r="5" spans="1:29" ht="15.75" x14ac:dyDescent="0.25">
      <c r="B5" s="876" t="s">
        <v>56</v>
      </c>
      <c r="P5" s="122"/>
      <c r="T5" s="73"/>
      <c r="X5" s="73"/>
      <c r="AB5" s="73"/>
    </row>
    <row r="6" spans="1:29" s="89" customFormat="1" ht="15.75" x14ac:dyDescent="0.25">
      <c r="A6" s="88"/>
      <c r="B6" s="877"/>
      <c r="C6" s="877"/>
      <c r="D6" s="243" t="s">
        <v>55</v>
      </c>
      <c r="E6" s="845"/>
      <c r="G6" s="327"/>
      <c r="H6" s="282" t="str">
        <f>LEFT(D6,4)+1&amp;"-"&amp;RIGHT(D6,4)+1</f>
        <v>2017-2018</v>
      </c>
      <c r="I6" s="854"/>
      <c r="J6" s="93"/>
      <c r="K6" s="334"/>
      <c r="L6" s="123" t="str">
        <f>LEFT(H6,4)+1&amp;"-"&amp;RIGHT(H6,4)+1</f>
        <v>2018-2019</v>
      </c>
      <c r="M6" s="888"/>
      <c r="N6" s="96"/>
      <c r="O6" s="337"/>
      <c r="P6" s="123" t="str">
        <f>LEFT(L6,4)+1&amp;"-"&amp;RIGHT(L6,4)+1</f>
        <v>2019-2020</v>
      </c>
      <c r="Q6" s="888"/>
      <c r="R6" s="2237"/>
      <c r="S6" s="2242"/>
      <c r="T6" s="95" t="str">
        <f>LEFT(P6,4)+1&amp;"-"&amp;RIGHT(P6,4)+1</f>
        <v>2020-2021</v>
      </c>
      <c r="U6" s="2256"/>
      <c r="V6" s="110"/>
      <c r="W6" s="2245"/>
      <c r="X6" s="95" t="str">
        <f>LEFT(T6,4)+1&amp;"-"&amp;RIGHT(T6,4)+1</f>
        <v>2021-2022</v>
      </c>
      <c r="Y6" s="95"/>
      <c r="Z6" s="96"/>
      <c r="AA6" s="337"/>
      <c r="AB6" s="95" t="str">
        <f>LEFT(X6,4)+1&amp;"-"&amp;RIGHT(X6,4)+1</f>
        <v>2022-2023</v>
      </c>
      <c r="AC6" s="95"/>
    </row>
    <row r="7" spans="1:29" s="457" customFormat="1" x14ac:dyDescent="0.25">
      <c r="B7" s="2468" t="s">
        <v>54</v>
      </c>
      <c r="C7" s="1656"/>
      <c r="D7" s="340">
        <v>0</v>
      </c>
      <c r="E7" s="1656"/>
      <c r="G7" s="2338"/>
      <c r="H7" s="340">
        <f>D89</f>
        <v>0</v>
      </c>
      <c r="I7" s="1656"/>
      <c r="J7" s="599"/>
      <c r="K7" s="1668"/>
      <c r="L7" s="340">
        <f>H89</f>
        <v>0</v>
      </c>
      <c r="M7" s="1656"/>
      <c r="O7" s="1668"/>
      <c r="P7" s="340">
        <f>L89</f>
        <v>0</v>
      </c>
      <c r="Q7" s="1656"/>
      <c r="R7" s="592"/>
      <c r="S7" s="2341"/>
      <c r="T7" s="340">
        <f>P89</f>
        <v>0</v>
      </c>
      <c r="U7" s="2215"/>
      <c r="V7" s="952"/>
      <c r="W7" s="2343"/>
      <c r="X7" s="340">
        <f>T89</f>
        <v>0</v>
      </c>
      <c r="AA7" s="1668"/>
      <c r="AB7" s="340">
        <f>X89</f>
        <v>-294</v>
      </c>
    </row>
    <row r="8" spans="1:29" s="457" customFormat="1" x14ac:dyDescent="0.25">
      <c r="B8" s="2432"/>
      <c r="C8" s="1656"/>
      <c r="D8" s="340"/>
      <c r="E8" s="1656"/>
      <c r="G8" s="2338"/>
      <c r="H8" s="340"/>
      <c r="I8" s="1656"/>
      <c r="J8" s="592"/>
      <c r="K8" s="1668"/>
      <c r="L8" s="340"/>
      <c r="M8" s="1656"/>
      <c r="O8" s="1668"/>
      <c r="P8" s="340"/>
      <c r="Q8" s="1656"/>
      <c r="R8" s="592"/>
      <c r="S8" s="2341"/>
      <c r="U8" s="2215"/>
      <c r="V8" s="952"/>
      <c r="W8" s="2343"/>
      <c r="AA8" s="1668"/>
    </row>
    <row r="9" spans="1:29" s="457" customFormat="1" x14ac:dyDescent="0.25">
      <c r="B9" s="2432" t="s">
        <v>52</v>
      </c>
      <c r="C9" s="1656" t="s">
        <v>53</v>
      </c>
      <c r="D9" s="340">
        <f>+D1+D2</f>
        <v>10339.290000000001</v>
      </c>
      <c r="E9" s="1656" t="s">
        <v>899</v>
      </c>
      <c r="G9" s="456">
        <f>IF(D9=0,"0.00%",(H9-D9)/D9)</f>
        <v>0.39835520620854997</v>
      </c>
      <c r="H9" s="833">
        <v>14458</v>
      </c>
      <c r="I9" s="1656" t="s">
        <v>173</v>
      </c>
      <c r="J9" s="342"/>
      <c r="K9" s="456">
        <f>IF(H9=0,"0.00%",(L9-H9)/H9)</f>
        <v>-0.91209019228109001</v>
      </c>
      <c r="L9" s="833">
        <v>1271</v>
      </c>
      <c r="M9" s="1656" t="s">
        <v>173</v>
      </c>
      <c r="O9" s="456">
        <f>IF(L9=0,"0.00%",(P9-L9)/L9)</f>
        <v>17.618410700236034</v>
      </c>
      <c r="P9" s="833">
        <v>23664</v>
      </c>
      <c r="Q9" s="1656" t="s">
        <v>173</v>
      </c>
      <c r="R9" s="592"/>
      <c r="S9" s="2238">
        <f>IF(P9=0,"0.00%",(T9-P9)/P9)</f>
        <v>0</v>
      </c>
      <c r="T9" s="833">
        <v>23664</v>
      </c>
      <c r="U9" s="2215"/>
      <c r="V9" s="952"/>
      <c r="W9" s="2241">
        <f>IF(T9=0,"0.00%",(X9-T9)/T9)</f>
        <v>0</v>
      </c>
      <c r="X9" s="833">
        <f>X3</f>
        <v>23664</v>
      </c>
      <c r="AA9" s="456">
        <f>IF(X9=0,"0.00%",(AB9-X9)/X9)</f>
        <v>0</v>
      </c>
      <c r="AB9" s="833">
        <f>AB3</f>
        <v>23664</v>
      </c>
    </row>
    <row r="10" spans="1:29" s="457" customFormat="1" x14ac:dyDescent="0.25">
      <c r="B10" s="2432"/>
      <c r="C10" s="1656" t="s">
        <v>51</v>
      </c>
      <c r="D10" s="340">
        <f>+D3</f>
        <v>3416.3</v>
      </c>
      <c r="E10" s="1656" t="str">
        <f>+E3</f>
        <v>15-16 c/o</v>
      </c>
      <c r="G10" s="456">
        <f t="shared" ref="G10:G15" si="0">IF(D10=0,"0.00%",(H10-D10)/D10)</f>
        <v>-1</v>
      </c>
      <c r="H10" s="833">
        <v>0</v>
      </c>
      <c r="I10" s="1656"/>
      <c r="J10" s="342"/>
      <c r="K10" s="456" t="str">
        <f>IF(H10=0,"0.00%",(L10-H10)/H10)</f>
        <v>0.00%</v>
      </c>
      <c r="L10" s="833">
        <v>21393</v>
      </c>
      <c r="M10" s="1656"/>
      <c r="O10" s="456">
        <f>IF(L10=0,"0.00%",(P10-L10)/L10)</f>
        <v>-1</v>
      </c>
      <c r="P10" s="833"/>
      <c r="Q10" s="1656"/>
      <c r="R10" s="592"/>
      <c r="S10" s="2238" t="str">
        <f>IF(P10=0,"0.00%",(T10-P10)/P10)</f>
        <v>0.00%</v>
      </c>
      <c r="T10" s="833">
        <v>0</v>
      </c>
      <c r="U10" s="2215"/>
      <c r="V10" s="952"/>
      <c r="W10" s="2241" t="str">
        <f>IF(T10=0,"0.00%",(X10-T10)/T10)</f>
        <v>0.00%</v>
      </c>
      <c r="X10" s="833">
        <f>-T3</f>
        <v>0</v>
      </c>
      <c r="AA10" s="456" t="str">
        <f>IF(X10=0,"0.00%",(AB10-X10)/X10)</f>
        <v>0.00%</v>
      </c>
      <c r="AB10" s="833">
        <f>-X2</f>
        <v>0</v>
      </c>
    </row>
    <row r="11" spans="1:29" s="457" customFormat="1" x14ac:dyDescent="0.25">
      <c r="B11" s="2468" t="s">
        <v>137</v>
      </c>
      <c r="C11" s="1656"/>
      <c r="D11" s="458">
        <f>SUM(D9:D10)</f>
        <v>13755.59</v>
      </c>
      <c r="E11" s="1656"/>
      <c r="G11" s="456">
        <f t="shared" si="0"/>
        <v>5.1063603960280861E-2</v>
      </c>
      <c r="H11" s="458">
        <f>SUM(H9:H10)</f>
        <v>14458</v>
      </c>
      <c r="I11" s="2316">
        <f>+H11-D11</f>
        <v>702.40999999999985</v>
      </c>
      <c r="J11" s="601"/>
      <c r="K11" s="456">
        <f>IF(H11=0,"0.00%",(L11-H11)/H11)</f>
        <v>0.56757504495780886</v>
      </c>
      <c r="L11" s="458">
        <f>SUM(L9:L10)</f>
        <v>22664</v>
      </c>
      <c r="M11" s="2316">
        <f>+L11-H11</f>
        <v>8206</v>
      </c>
      <c r="O11" s="456">
        <f>IF(L11=0,"0.00%",(P11-L11)/L11)</f>
        <v>4.4122837980938932E-2</v>
      </c>
      <c r="P11" s="458">
        <f>SUM(P9:P10)</f>
        <v>23664</v>
      </c>
      <c r="Q11" s="2316">
        <f>+P11-L11</f>
        <v>1000</v>
      </c>
      <c r="R11" s="592"/>
      <c r="S11" s="2238">
        <f>IF(P11=0,"0.00%",(T11-P11)/P11)</f>
        <v>0</v>
      </c>
      <c r="T11" s="2353">
        <f>SUM(T9:T10)</f>
        <v>23664</v>
      </c>
      <c r="U11" s="2215"/>
      <c r="V11" s="952"/>
      <c r="W11" s="2241">
        <f>IF(T11=0,"0.00%",(X11-T11)/T11)</f>
        <v>0</v>
      </c>
      <c r="X11" s="2353">
        <f>SUM(X9:X10)</f>
        <v>23664</v>
      </c>
      <c r="AA11" s="456">
        <f>IF(X11=0,"0.00%",(AB11-X11)/X11)</f>
        <v>0</v>
      </c>
      <c r="AB11" s="2353">
        <f>SUM(AB9:AB10)</f>
        <v>23664</v>
      </c>
    </row>
    <row r="12" spans="1:29" s="457" customFormat="1" x14ac:dyDescent="0.25">
      <c r="B12" s="2432"/>
      <c r="C12" s="1656"/>
      <c r="D12" s="340"/>
      <c r="E12" s="1656"/>
      <c r="G12" s="2338"/>
      <c r="H12" s="833"/>
      <c r="I12" s="1656"/>
      <c r="J12" s="602"/>
      <c r="K12" s="2338"/>
      <c r="L12" s="833"/>
      <c r="M12" s="1656"/>
      <c r="O12" s="2338"/>
      <c r="P12" s="833"/>
      <c r="Q12" s="1656"/>
      <c r="R12" s="592"/>
      <c r="S12" s="2355"/>
      <c r="T12" s="2356"/>
      <c r="U12" s="2361"/>
      <c r="V12" s="952"/>
      <c r="W12" s="2357"/>
      <c r="X12" s="2356"/>
      <c r="AA12" s="2338"/>
      <c r="AB12" s="2356"/>
    </row>
    <row r="13" spans="1:29" s="457" customFormat="1" x14ac:dyDescent="0.25">
      <c r="B13" s="2432"/>
      <c r="C13" s="2384" t="s">
        <v>64</v>
      </c>
      <c r="D13" s="2359">
        <f>ROUNDUP(D11-(D11/(1+E13)),2)</f>
        <v>490.8</v>
      </c>
      <c r="E13" s="2361">
        <v>3.6999999999999998E-2</v>
      </c>
      <c r="G13" s="456">
        <f t="shared" si="0"/>
        <v>0.95191524042379783</v>
      </c>
      <c r="H13" s="2359">
        <v>958</v>
      </c>
      <c r="I13" s="2455">
        <v>4.4400000000000002E-2</v>
      </c>
      <c r="J13" s="603"/>
      <c r="K13" s="456">
        <f>IF(H13=0,"0.00%",(L13-H13)/H13)</f>
        <v>0.21503131524008351</v>
      </c>
      <c r="L13" s="2359">
        <v>1164</v>
      </c>
      <c r="M13" s="2455">
        <v>5.4100000000000002E-2</v>
      </c>
      <c r="O13" s="456">
        <f>IF(L13=0,"0.00%",(P13-L13)/L13)</f>
        <v>0</v>
      </c>
      <c r="P13" s="2359">
        <v>1164</v>
      </c>
      <c r="Q13" s="2455">
        <f>M13</f>
        <v>5.4100000000000002E-2</v>
      </c>
      <c r="R13" s="592"/>
      <c r="S13" s="2238">
        <f>IF(P13=0,"0.00%",(T13-P13)/P13)</f>
        <v>0</v>
      </c>
      <c r="T13" s="2359">
        <v>1164</v>
      </c>
      <c r="U13" s="2455">
        <f>Q13</f>
        <v>5.4100000000000002E-2</v>
      </c>
      <c r="V13" s="952"/>
      <c r="W13" s="2241">
        <f>IF(T13=0,"0.00%",(X13-T13)/T13)</f>
        <v>-0.27491408934707906</v>
      </c>
      <c r="X13" s="2362">
        <f>ROUND(X11-(X11/(1+E13)),0)</f>
        <v>844</v>
      </c>
      <c r="AA13" s="456">
        <f>IF(X13=0,"0.00%",(AB13-X13)/X13)</f>
        <v>12.674170616113743</v>
      </c>
      <c r="AB13" s="2362">
        <f>ROUND(AB11-(AB11/(1+G13)),0)</f>
        <v>11541</v>
      </c>
    </row>
    <row r="14" spans="1:29" s="457" customFormat="1" x14ac:dyDescent="0.25">
      <c r="B14" s="2432"/>
      <c r="C14" s="1656"/>
      <c r="D14" s="340"/>
      <c r="E14" s="1656"/>
      <c r="G14" s="2338"/>
      <c r="H14" s="833"/>
      <c r="I14" s="1656"/>
      <c r="J14" s="602"/>
      <c r="K14" s="2338"/>
      <c r="L14" s="833"/>
      <c r="M14" s="1656"/>
      <c r="O14" s="2338"/>
      <c r="P14" s="833"/>
      <c r="Q14" s="1656"/>
      <c r="R14" s="592"/>
      <c r="S14" s="2355"/>
      <c r="T14" s="2356"/>
      <c r="U14" s="2361"/>
      <c r="V14" s="952"/>
      <c r="W14" s="2357"/>
      <c r="X14" s="2356"/>
      <c r="AA14" s="2338"/>
      <c r="AB14" s="2356"/>
    </row>
    <row r="15" spans="1:29" s="457" customFormat="1" x14ac:dyDescent="0.25">
      <c r="B15" s="2468" t="s">
        <v>50</v>
      </c>
      <c r="C15" s="1656"/>
      <c r="D15" s="1866">
        <f>D11-D13</f>
        <v>13264.79</v>
      </c>
      <c r="E15" s="1656"/>
      <c r="G15" s="456">
        <f t="shared" si="0"/>
        <v>1.7731905292130454E-2</v>
      </c>
      <c r="H15" s="2359">
        <f>H11-H13</f>
        <v>13500</v>
      </c>
      <c r="I15" s="1656"/>
      <c r="J15" s="601"/>
      <c r="K15" s="456">
        <f>IF(H15=0,"0.00%",(L15-H15)/H15)</f>
        <v>0.59259259259259256</v>
      </c>
      <c r="L15" s="2359">
        <f>L11-L13</f>
        <v>21500</v>
      </c>
      <c r="M15" s="2316">
        <f>+L15-H15</f>
        <v>8000</v>
      </c>
      <c r="O15" s="456">
        <f>IF(L15=0,"0.00%",(P15-L15)/L15)</f>
        <v>4.6511627906976744E-2</v>
      </c>
      <c r="P15" s="2359">
        <f>P11-P13</f>
        <v>22500</v>
      </c>
      <c r="Q15" s="2316">
        <f>+P15-L15</f>
        <v>1000</v>
      </c>
      <c r="R15" s="592"/>
      <c r="S15" s="2238">
        <f>IF(P15=0,"0.00%",(T15-P15)/P15)</f>
        <v>0</v>
      </c>
      <c r="T15" s="2366">
        <f>T11-T13</f>
        <v>22500</v>
      </c>
      <c r="U15" s="2361"/>
      <c r="V15" s="952"/>
      <c r="W15" s="2241">
        <f>IF(T15=0,"0.00%",(X15-T15)/T15)</f>
        <v>1.4222222222222223E-2</v>
      </c>
      <c r="X15" s="2366">
        <f>X11-X13</f>
        <v>22820</v>
      </c>
      <c r="AA15" s="456">
        <f>IF(X15=0,"0.00%",(AB15-X15)/X15)</f>
        <v>-0.46875547765118319</v>
      </c>
      <c r="AB15" s="2366">
        <f>AB11-AB13</f>
        <v>12123</v>
      </c>
    </row>
    <row r="16" spans="1:29" s="457" customFormat="1" x14ac:dyDescent="0.25">
      <c r="B16" s="2432"/>
      <c r="C16" s="1656"/>
      <c r="D16" s="340"/>
      <c r="E16" s="1656"/>
      <c r="G16" s="2338"/>
      <c r="H16" s="833"/>
      <c r="I16" s="2316">
        <f>+H16-D16</f>
        <v>0</v>
      </c>
      <c r="J16" s="601"/>
      <c r="K16" s="1668"/>
      <c r="L16" s="833"/>
      <c r="M16" s="1656"/>
      <c r="O16" s="1668"/>
      <c r="P16" s="833"/>
      <c r="Q16" s="1656"/>
      <c r="R16" s="592"/>
      <c r="S16" s="2341"/>
      <c r="T16" s="2367"/>
      <c r="U16" s="2361"/>
      <c r="V16" s="952"/>
      <c r="W16" s="2343"/>
      <c r="X16" s="2367"/>
      <c r="AA16" s="1668"/>
      <c r="AB16" s="2367"/>
    </row>
    <row r="17" spans="1:29" s="457" customFormat="1" x14ac:dyDescent="0.25">
      <c r="B17" s="2432"/>
      <c r="C17" s="2432"/>
      <c r="D17" s="340"/>
      <c r="E17" s="1656"/>
      <c r="G17" s="2338"/>
      <c r="H17" s="833"/>
      <c r="I17" s="1656"/>
      <c r="J17" s="602"/>
      <c r="K17" s="1668"/>
      <c r="L17" s="833"/>
      <c r="M17" s="1656"/>
      <c r="O17" s="1668"/>
      <c r="P17" s="833"/>
      <c r="Q17" s="1656"/>
      <c r="R17" s="592"/>
      <c r="S17" s="2341"/>
      <c r="T17" s="2356"/>
      <c r="U17" s="2361"/>
      <c r="V17" s="952"/>
      <c r="W17" s="2343"/>
      <c r="X17" s="2356"/>
      <c r="AA17" s="1668"/>
      <c r="AB17" s="2356"/>
    </row>
    <row r="18" spans="1:29" s="457" customFormat="1" x14ac:dyDescent="0.25">
      <c r="A18" s="2433"/>
      <c r="B18" s="2432"/>
      <c r="C18" s="1656"/>
      <c r="D18" s="459" t="s">
        <v>807</v>
      </c>
      <c r="E18" s="1867"/>
      <c r="F18" s="2433"/>
      <c r="G18" s="2338"/>
      <c r="H18" s="459" t="s">
        <v>176</v>
      </c>
      <c r="I18" s="1867"/>
      <c r="J18" s="604"/>
      <c r="K18" s="1668"/>
      <c r="L18" s="2370"/>
      <c r="M18" s="1867"/>
      <c r="O18" s="1668"/>
      <c r="P18" s="340"/>
      <c r="Q18" s="1867"/>
      <c r="R18" s="592"/>
      <c r="S18" s="2341"/>
      <c r="U18" s="2469"/>
      <c r="V18" s="952"/>
      <c r="W18" s="2343"/>
      <c r="Y18" s="2433"/>
      <c r="AA18" s="1668"/>
      <c r="AC18" s="2433"/>
    </row>
    <row r="19" spans="1:29" s="457" customFormat="1" ht="17.25" x14ac:dyDescent="0.4">
      <c r="A19" s="2436"/>
      <c r="B19" s="2432"/>
      <c r="C19" s="1656"/>
      <c r="D19" s="2435" t="s">
        <v>808</v>
      </c>
      <c r="E19" s="2434"/>
      <c r="F19" s="2436"/>
      <c r="G19" s="2338"/>
      <c r="H19" s="2435" t="s">
        <v>48</v>
      </c>
      <c r="I19" s="2371"/>
      <c r="J19" s="459"/>
      <c r="K19" s="1668"/>
      <c r="L19" s="2372" t="s">
        <v>48</v>
      </c>
      <c r="M19" s="2371"/>
      <c r="O19" s="1668"/>
      <c r="P19" s="2372" t="s">
        <v>48</v>
      </c>
      <c r="Q19" s="2371"/>
      <c r="R19" s="592"/>
      <c r="S19" s="2341"/>
      <c r="T19" s="2372" t="s">
        <v>48</v>
      </c>
      <c r="U19" s="2373">
        <v>0.02</v>
      </c>
      <c r="V19" s="952"/>
      <c r="W19" s="2343"/>
      <c r="X19" s="2372" t="s">
        <v>48</v>
      </c>
      <c r="Y19" s="2374">
        <v>0.02</v>
      </c>
      <c r="AA19" s="1668"/>
      <c r="AB19" s="2372" t="s">
        <v>48</v>
      </c>
      <c r="AC19" s="2374">
        <v>0.02</v>
      </c>
    </row>
    <row r="20" spans="1:29" s="2378" customFormat="1" hidden="1" x14ac:dyDescent="0.25">
      <c r="A20" s="461"/>
      <c r="B20" s="2468" t="s">
        <v>46</v>
      </c>
      <c r="C20" s="2384"/>
      <c r="D20" s="1866"/>
      <c r="E20" s="2375"/>
      <c r="F20" s="1866"/>
      <c r="G20" s="2376"/>
      <c r="H20" s="1866"/>
      <c r="I20" s="868"/>
      <c r="J20" s="460"/>
      <c r="K20" s="606"/>
      <c r="L20" s="1866"/>
      <c r="M20" s="2379"/>
      <c r="O20" s="606"/>
      <c r="P20" s="1866"/>
      <c r="Q20" s="2379"/>
      <c r="R20" s="461"/>
      <c r="S20" s="1669"/>
      <c r="T20" s="1866"/>
      <c r="U20" s="2380"/>
      <c r="V20" s="2381"/>
      <c r="W20" s="2382"/>
      <c r="X20" s="1866"/>
      <c r="Y20" s="2383"/>
      <c r="AA20" s="606"/>
      <c r="AB20" s="1866"/>
      <c r="AC20" s="2383"/>
    </row>
    <row r="21" spans="1:29" s="457" customFormat="1" hidden="1" x14ac:dyDescent="0.25">
      <c r="A21" s="342"/>
      <c r="B21" s="2470" t="s">
        <v>65</v>
      </c>
      <c r="C21" s="1656" t="s">
        <v>66</v>
      </c>
      <c r="D21" s="340">
        <v>0</v>
      </c>
      <c r="E21" s="2386"/>
      <c r="F21" s="340"/>
      <c r="G21" s="456" t="str">
        <f t="shared" ref="G21:G30" si="1">IF(D21=0,"0.00%",(H21-D21)/D21)</f>
        <v>0.00%</v>
      </c>
      <c r="H21" s="340">
        <f t="shared" ref="H21:H27" si="2">ROUND(D21*(1+$I$19),0)</f>
        <v>0</v>
      </c>
      <c r="I21" s="899" t="str">
        <f t="shared" ref="I21:I28" si="3">TEXT($I$19,"0.0%")&amp;" = Est. S &amp; C"</f>
        <v>0.0% = Est. S &amp; C</v>
      </c>
      <c r="J21" s="455"/>
      <c r="K21" s="456" t="str">
        <f t="shared" ref="K21:K27" si="4">IF(H21=0,"0.00%",(L21-H21)/H21)</f>
        <v>0.00%</v>
      </c>
      <c r="L21" s="340">
        <f>ROUND(H21*(1+M19),0)</f>
        <v>0</v>
      </c>
      <c r="M21" s="897" t="str">
        <f>TEXT(M19,"0.0%")&amp;" = Est. S &amp; C"</f>
        <v>0.0% = Est. S &amp; C</v>
      </c>
      <c r="O21" s="456" t="str">
        <f t="shared" ref="O21:O27" si="5">IF(L21=0,"0.00%",(P21-L21)/L21)</f>
        <v>0.00%</v>
      </c>
      <c r="P21" s="340">
        <f>ROUND(L21*(1+Q19),0)</f>
        <v>0</v>
      </c>
      <c r="Q21" s="897" t="str">
        <f>TEXT(Q19,"0.0%")&amp;" = Est. S &amp; C"</f>
        <v>0.0% = Est. S &amp; C</v>
      </c>
      <c r="R21" s="592"/>
      <c r="S21" s="2238" t="str">
        <f t="shared" ref="S21:S27" si="6">IF(P21=0,"0.00%",(T21-P21)/P21)</f>
        <v>0.00%</v>
      </c>
      <c r="T21" s="340">
        <f>ROUND(P21*(1+U19),0)</f>
        <v>0</v>
      </c>
      <c r="U21" s="2471" t="str">
        <f>TEXT(U19,"0.0%")&amp;" = Est. S &amp; C"</f>
        <v>2.0% = Est. S &amp; C</v>
      </c>
      <c r="V21" s="952"/>
      <c r="W21" s="2241" t="str">
        <f t="shared" ref="W21:W27" si="7">IF(T21=0,"0.00%",(X21-T21)/T21)</f>
        <v>0.00%</v>
      </c>
      <c r="X21" s="340">
        <f>ROUND(T21*(1+Y19),0)</f>
        <v>0</v>
      </c>
      <c r="Y21" s="455" t="str">
        <f>TEXT(Y19,"0.0%")&amp;" = Est. S &amp; C"</f>
        <v>2.0% = Est. S &amp; C</v>
      </c>
      <c r="AA21" s="456" t="str">
        <f t="shared" ref="AA21:AA27" si="8">IF(X21=0,"0.00%",(AB21-X21)/X21)</f>
        <v>0.00%</v>
      </c>
      <c r="AB21" s="340">
        <f>ROUND(X21*(1+AC19),0)</f>
        <v>0</v>
      </c>
      <c r="AC21" s="455" t="str">
        <f>TEXT(AC19,"0.0%")&amp;" = Est. S &amp; C"</f>
        <v>2.0% = Est. S &amp; C</v>
      </c>
    </row>
    <row r="22" spans="1:29" s="457" customFormat="1" hidden="1" x14ac:dyDescent="0.25">
      <c r="A22" s="455"/>
      <c r="B22" s="2470" t="s">
        <v>45</v>
      </c>
      <c r="C22" s="1656" t="s">
        <v>44</v>
      </c>
      <c r="D22" s="340">
        <v>0</v>
      </c>
      <c r="E22" s="2386"/>
      <c r="F22" s="340"/>
      <c r="G22" s="456" t="str">
        <f t="shared" si="1"/>
        <v>0.00%</v>
      </c>
      <c r="H22" s="340">
        <f t="shared" si="2"/>
        <v>0</v>
      </c>
      <c r="I22" s="897" t="str">
        <f t="shared" si="3"/>
        <v>0.0% = Est. S &amp; C</v>
      </c>
      <c r="J22" s="455"/>
      <c r="K22" s="456" t="str">
        <f t="shared" si="4"/>
        <v>0.00%</v>
      </c>
      <c r="L22" s="340">
        <f>ROUND(H22*(1+M19),0)</f>
        <v>0</v>
      </c>
      <c r="M22" s="897" t="str">
        <f>TEXT(M19,"0.0%")&amp;" = Est. S &amp; C"</f>
        <v>0.0% = Est. S &amp; C</v>
      </c>
      <c r="O22" s="456" t="str">
        <f t="shared" si="5"/>
        <v>0.00%</v>
      </c>
      <c r="P22" s="340">
        <f>ROUND(L22*(1+Q19),0)</f>
        <v>0</v>
      </c>
      <c r="Q22" s="897" t="str">
        <f>TEXT(Q19,"0.0%")&amp;" = Est. S &amp; C"</f>
        <v>0.0% = Est. S &amp; C</v>
      </c>
      <c r="R22" s="592"/>
      <c r="S22" s="2238" t="str">
        <f t="shared" si="6"/>
        <v>0.00%</v>
      </c>
      <c r="T22" s="340">
        <f>ROUND(P22*(1+U19),0)</f>
        <v>0</v>
      </c>
      <c r="U22" s="2471" t="str">
        <f>TEXT(U19,"0.0%")&amp;" = Est. S &amp; C"</f>
        <v>2.0% = Est. S &amp; C</v>
      </c>
      <c r="V22" s="952"/>
      <c r="W22" s="2241" t="str">
        <f t="shared" si="7"/>
        <v>0.00%</v>
      </c>
      <c r="X22" s="340">
        <f>ROUND(T22*(1+Y19),0)</f>
        <v>0</v>
      </c>
      <c r="Y22" s="455" t="str">
        <f>TEXT(Y19,"0.0%")&amp;" = Est. S &amp; C"</f>
        <v>2.0% = Est. S &amp; C</v>
      </c>
      <c r="AA22" s="456" t="str">
        <f t="shared" si="8"/>
        <v>0.00%</v>
      </c>
      <c r="AB22" s="340">
        <f>ROUND(X22*(1+AC19),0)</f>
        <v>0</v>
      </c>
      <c r="AC22" s="455" t="str">
        <f>TEXT(AC19,"0.0%")&amp;" = Est. S &amp; C"</f>
        <v>2.0% = Est. S &amp; C</v>
      </c>
    </row>
    <row r="23" spans="1:29" s="457" customFormat="1" hidden="1" x14ac:dyDescent="0.25">
      <c r="A23" s="455"/>
      <c r="B23" s="2470" t="s">
        <v>43</v>
      </c>
      <c r="C23" s="1656" t="s">
        <v>42</v>
      </c>
      <c r="D23" s="340">
        <v>0</v>
      </c>
      <c r="E23" s="2386"/>
      <c r="F23" s="340"/>
      <c r="G23" s="456" t="str">
        <f t="shared" si="1"/>
        <v>0.00%</v>
      </c>
      <c r="H23" s="340">
        <f t="shared" si="2"/>
        <v>0</v>
      </c>
      <c r="I23" s="897" t="str">
        <f t="shared" si="3"/>
        <v>0.0% = Est. S &amp; C</v>
      </c>
      <c r="J23" s="455"/>
      <c r="K23" s="456" t="str">
        <f t="shared" si="4"/>
        <v>0.00%</v>
      </c>
      <c r="L23" s="340">
        <f>ROUND(H23*(1+M19),0)</f>
        <v>0</v>
      </c>
      <c r="M23" s="897" t="str">
        <f>TEXT(M19,"0.0%")&amp;" = Est. S &amp; C"</f>
        <v>0.0% = Est. S &amp; C</v>
      </c>
      <c r="O23" s="456" t="str">
        <f t="shared" si="5"/>
        <v>0.00%</v>
      </c>
      <c r="P23" s="340">
        <f>ROUND(L23*(1+Q19),0)</f>
        <v>0</v>
      </c>
      <c r="Q23" s="897" t="str">
        <f>TEXT(Q19,"0.0%")&amp;" = Est. S &amp; C"</f>
        <v>0.0% = Est. S &amp; C</v>
      </c>
      <c r="R23" s="592"/>
      <c r="S23" s="2238" t="str">
        <f t="shared" si="6"/>
        <v>0.00%</v>
      </c>
      <c r="T23" s="340">
        <f>ROUND(P23*(1+U19),0)</f>
        <v>0</v>
      </c>
      <c r="U23" s="2471" t="str">
        <f>TEXT(U19,"0.0%")&amp;" = Est. S &amp; C"</f>
        <v>2.0% = Est. S &amp; C</v>
      </c>
      <c r="V23" s="952"/>
      <c r="W23" s="2241" t="str">
        <f t="shared" si="7"/>
        <v>0.00%</v>
      </c>
      <c r="X23" s="340">
        <f>ROUND(T23*(1+Y19),0)</f>
        <v>0</v>
      </c>
      <c r="Y23" s="455" t="str">
        <f>TEXT(Y19,"0.0%")&amp;" = Est. S &amp; C"</f>
        <v>2.0% = Est. S &amp; C</v>
      </c>
      <c r="AA23" s="456" t="str">
        <f t="shared" si="8"/>
        <v>0.00%</v>
      </c>
      <c r="AB23" s="340">
        <f>ROUND(X23*(1+AC19),0)</f>
        <v>0</v>
      </c>
      <c r="AC23" s="455" t="str">
        <f>TEXT(AC19,"0.0%")&amp;" = Est. S &amp; C"</f>
        <v>2.0% = Est. S &amp; C</v>
      </c>
    </row>
    <row r="24" spans="1:29" s="457" customFormat="1" hidden="1" x14ac:dyDescent="0.25">
      <c r="A24" s="455"/>
      <c r="B24" s="2470" t="s">
        <v>41</v>
      </c>
      <c r="C24" s="1656" t="s">
        <v>40</v>
      </c>
      <c r="D24" s="340">
        <v>0</v>
      </c>
      <c r="E24" s="2386"/>
      <c r="F24" s="340"/>
      <c r="G24" s="456" t="str">
        <f t="shared" si="1"/>
        <v>0.00%</v>
      </c>
      <c r="H24" s="340">
        <f t="shared" si="2"/>
        <v>0</v>
      </c>
      <c r="I24" s="897" t="str">
        <f t="shared" si="3"/>
        <v>0.0% = Est. S &amp; C</v>
      </c>
      <c r="J24" s="455"/>
      <c r="K24" s="456" t="str">
        <f t="shared" si="4"/>
        <v>0.00%</v>
      </c>
      <c r="L24" s="340">
        <f>ROUND(H24*(1+M19),0)</f>
        <v>0</v>
      </c>
      <c r="M24" s="897" t="str">
        <f>TEXT(M19,"0.0%")&amp;" = Est. S &amp; C"</f>
        <v>0.0% = Est. S &amp; C</v>
      </c>
      <c r="O24" s="456" t="str">
        <f t="shared" si="5"/>
        <v>0.00%</v>
      </c>
      <c r="P24" s="340">
        <f>ROUND(L24*(1+Q19),0)</f>
        <v>0</v>
      </c>
      <c r="Q24" s="897" t="str">
        <f>TEXT(Q19,"0.0%")&amp;" = Est. S &amp; C"</f>
        <v>0.0% = Est. S &amp; C</v>
      </c>
      <c r="R24" s="592"/>
      <c r="S24" s="2238" t="str">
        <f t="shared" si="6"/>
        <v>0.00%</v>
      </c>
      <c r="T24" s="340">
        <f>ROUND(P24*(1+U19),0)</f>
        <v>0</v>
      </c>
      <c r="U24" s="2471" t="str">
        <f>TEXT(U19,"0.0%")&amp;" = Est. S &amp; C"</f>
        <v>2.0% = Est. S &amp; C</v>
      </c>
      <c r="V24" s="952"/>
      <c r="W24" s="2241" t="str">
        <f t="shared" si="7"/>
        <v>0.00%</v>
      </c>
      <c r="X24" s="340">
        <f>ROUND(T24*(1+Y19),0)</f>
        <v>0</v>
      </c>
      <c r="Y24" s="455" t="str">
        <f>TEXT(Y19,"0.0%")&amp;" = Est. S &amp; C"</f>
        <v>2.0% = Est. S &amp; C</v>
      </c>
      <c r="AA24" s="456" t="str">
        <f t="shared" si="8"/>
        <v>0.00%</v>
      </c>
      <c r="AB24" s="340">
        <f>ROUND(X24*(1+AC19),0)</f>
        <v>0</v>
      </c>
      <c r="AC24" s="455" t="str">
        <f>TEXT(AC19,"0.0%")&amp;" = Est. S &amp; C"</f>
        <v>2.0% = Est. S &amp; C</v>
      </c>
    </row>
    <row r="25" spans="1:29" s="457" customFormat="1" hidden="1" x14ac:dyDescent="0.25">
      <c r="A25" s="455"/>
      <c r="B25" s="2470" t="s">
        <v>67</v>
      </c>
      <c r="C25" s="1656" t="s">
        <v>68</v>
      </c>
      <c r="D25" s="340">
        <v>0</v>
      </c>
      <c r="E25" s="2386"/>
      <c r="F25" s="340"/>
      <c r="G25" s="456" t="str">
        <f t="shared" si="1"/>
        <v>0.00%</v>
      </c>
      <c r="H25" s="340">
        <f t="shared" si="2"/>
        <v>0</v>
      </c>
      <c r="I25" s="897" t="str">
        <f t="shared" si="3"/>
        <v>0.0% = Est. S &amp; C</v>
      </c>
      <c r="J25" s="455"/>
      <c r="K25" s="456" t="str">
        <f t="shared" si="4"/>
        <v>0.00%</v>
      </c>
      <c r="L25" s="340">
        <f>ROUND(H25*(1+M19),0)</f>
        <v>0</v>
      </c>
      <c r="M25" s="897" t="str">
        <f>TEXT(M19,"0.0%")&amp;" = Est. S &amp; C"</f>
        <v>0.0% = Est. S &amp; C</v>
      </c>
      <c r="O25" s="456" t="str">
        <f t="shared" si="5"/>
        <v>0.00%</v>
      </c>
      <c r="P25" s="340">
        <f>ROUND(L25*(1+Q19),0)</f>
        <v>0</v>
      </c>
      <c r="Q25" s="897" t="str">
        <f>TEXT(Q19,"0.0%")&amp;" = Est. S &amp; C"</f>
        <v>0.0% = Est. S &amp; C</v>
      </c>
      <c r="R25" s="592"/>
      <c r="S25" s="2238" t="str">
        <f t="shared" si="6"/>
        <v>0.00%</v>
      </c>
      <c r="T25" s="340">
        <f>ROUND(P25*(1+U19),0)</f>
        <v>0</v>
      </c>
      <c r="U25" s="2471" t="str">
        <f>TEXT(U19,"0.0%")&amp;" = Est. S &amp; C"</f>
        <v>2.0% = Est. S &amp; C</v>
      </c>
      <c r="V25" s="952"/>
      <c r="W25" s="2241" t="str">
        <f t="shared" si="7"/>
        <v>0.00%</v>
      </c>
      <c r="X25" s="340">
        <f>ROUND(T25*(1+Y19),0)</f>
        <v>0</v>
      </c>
      <c r="Y25" s="455" t="str">
        <f>TEXT(Y19,"0.0%")&amp;" = Est. S &amp; C"</f>
        <v>2.0% = Est. S &amp; C</v>
      </c>
      <c r="AA25" s="456" t="str">
        <f t="shared" si="8"/>
        <v>0.00%</v>
      </c>
      <c r="AB25" s="340">
        <f>ROUND(X25*(1+AC19),0)</f>
        <v>0</v>
      </c>
      <c r="AC25" s="455" t="str">
        <f>TEXT(AC19,"0.0%")&amp;" = Est. S &amp; C"</f>
        <v>2.0% = Est. S &amp; C</v>
      </c>
    </row>
    <row r="26" spans="1:29" s="457" customFormat="1" hidden="1" x14ac:dyDescent="0.25">
      <c r="A26" s="455"/>
      <c r="B26" s="2470" t="s">
        <v>39</v>
      </c>
      <c r="C26" s="1656" t="s">
        <v>38</v>
      </c>
      <c r="D26" s="340">
        <v>0</v>
      </c>
      <c r="E26" s="2386"/>
      <c r="F26" s="340"/>
      <c r="G26" s="456" t="str">
        <f t="shared" si="1"/>
        <v>0.00%</v>
      </c>
      <c r="H26" s="340">
        <f t="shared" si="2"/>
        <v>0</v>
      </c>
      <c r="I26" s="897" t="str">
        <f t="shared" si="3"/>
        <v>0.0% = Est. S &amp; C</v>
      </c>
      <c r="J26" s="455"/>
      <c r="K26" s="456" t="str">
        <f t="shared" si="4"/>
        <v>0.00%</v>
      </c>
      <c r="L26" s="340">
        <f>ROUND(H26*(1+M19),0)</f>
        <v>0</v>
      </c>
      <c r="M26" s="2341" t="str">
        <f>TEXT(M19,"0.0%")&amp;" = Est. S &amp; C"</f>
        <v>0.0% = Est. S &amp; C</v>
      </c>
      <c r="O26" s="456" t="str">
        <f t="shared" si="5"/>
        <v>0.00%</v>
      </c>
      <c r="P26" s="340">
        <f>ROUND(L26*(1+Q19),0)</f>
        <v>0</v>
      </c>
      <c r="Q26" s="897" t="str">
        <f>TEXT(Q19,"0.0%")&amp;" = Est. S &amp; C"</f>
        <v>0.0% = Est. S &amp; C</v>
      </c>
      <c r="R26" s="592"/>
      <c r="S26" s="2238" t="str">
        <f t="shared" si="6"/>
        <v>0.00%</v>
      </c>
      <c r="T26" s="340">
        <f>ROUND(P26*(1+U19),0)</f>
        <v>0</v>
      </c>
      <c r="U26" s="2471" t="str">
        <f>TEXT(U19,"0.0%")&amp;" = Est. S &amp; C"</f>
        <v>2.0% = Est. S &amp; C</v>
      </c>
      <c r="V26" s="952"/>
      <c r="W26" s="2241" t="str">
        <f t="shared" si="7"/>
        <v>0.00%</v>
      </c>
      <c r="X26" s="340">
        <f>ROUND(T26*(1+Y19),0)</f>
        <v>0</v>
      </c>
      <c r="Y26" s="455" t="str">
        <f>TEXT(Y19,"0.0%")&amp;" = Est. S &amp; C"</f>
        <v>2.0% = Est. S &amp; C</v>
      </c>
      <c r="AA26" s="456" t="str">
        <f t="shared" si="8"/>
        <v>0.00%</v>
      </c>
      <c r="AB26" s="340">
        <f>ROUND(X26*(1+AC19),0)</f>
        <v>0</v>
      </c>
      <c r="AC26" s="455" t="str">
        <f>TEXT(AC19,"0.0%")&amp;" = Est. S &amp; C"</f>
        <v>2.0% = Est. S &amp; C</v>
      </c>
    </row>
    <row r="27" spans="1:29" s="457" customFormat="1" hidden="1" x14ac:dyDescent="0.25">
      <c r="A27" s="455"/>
      <c r="B27" s="2470" t="s">
        <v>37</v>
      </c>
      <c r="C27" s="1656" t="s">
        <v>36</v>
      </c>
      <c r="D27" s="340">
        <v>0</v>
      </c>
      <c r="E27" s="2386"/>
      <c r="F27" s="340"/>
      <c r="G27" s="456" t="str">
        <f t="shared" si="1"/>
        <v>0.00%</v>
      </c>
      <c r="H27" s="340">
        <f t="shared" si="2"/>
        <v>0</v>
      </c>
      <c r="I27" s="897" t="str">
        <f t="shared" si="3"/>
        <v>0.0% = Est. S &amp; C</v>
      </c>
      <c r="J27" s="455"/>
      <c r="K27" s="456" t="str">
        <f t="shared" si="4"/>
        <v>0.00%</v>
      </c>
      <c r="L27" s="340">
        <f>ROUND(H27*(1+M19),0)</f>
        <v>0</v>
      </c>
      <c r="M27" s="897" t="str">
        <f>TEXT(M19,"0.0%")&amp;" = Est. S &amp; C"</f>
        <v>0.0% = Est. S &amp; C</v>
      </c>
      <c r="O27" s="456" t="str">
        <f t="shared" si="5"/>
        <v>0.00%</v>
      </c>
      <c r="P27" s="340">
        <f>ROUND(L27*(1+Q19),0)</f>
        <v>0</v>
      </c>
      <c r="Q27" s="897" t="str">
        <f>TEXT(Q19,"0.0%")&amp;" = Est. S &amp; C"</f>
        <v>0.0% = Est. S &amp; C</v>
      </c>
      <c r="R27" s="592"/>
      <c r="S27" s="2238" t="str">
        <f t="shared" si="6"/>
        <v>0.00%</v>
      </c>
      <c r="T27" s="340">
        <f>ROUND(P27*(1+U19),0)</f>
        <v>0</v>
      </c>
      <c r="U27" s="2471" t="str">
        <f>TEXT(U19,"0.0%")&amp;" = Est. S &amp; C"</f>
        <v>2.0% = Est. S &amp; C</v>
      </c>
      <c r="V27" s="952"/>
      <c r="W27" s="2241" t="str">
        <f t="shared" si="7"/>
        <v>0.00%</v>
      </c>
      <c r="X27" s="340">
        <f>ROUND(T27*(1+Y19),0)</f>
        <v>0</v>
      </c>
      <c r="Y27" s="455" t="str">
        <f>TEXT(Y19,"0.0%")&amp;" = Est. S &amp; C"</f>
        <v>2.0% = Est. S &amp; C</v>
      </c>
      <c r="AA27" s="456" t="str">
        <f t="shared" si="8"/>
        <v>0.00%</v>
      </c>
      <c r="AB27" s="340">
        <f>ROUND(X27*(1+AC19),0)</f>
        <v>0</v>
      </c>
      <c r="AC27" s="455" t="str">
        <f>TEXT(AC19,"0.0%")&amp;" = Est. S &amp; C"</f>
        <v>2.0% = Est. S &amp; C</v>
      </c>
    </row>
    <row r="28" spans="1:29" s="457" customFormat="1" hidden="1" x14ac:dyDescent="0.25">
      <c r="A28" s="455"/>
      <c r="B28" s="2470" t="s">
        <v>207</v>
      </c>
      <c r="C28" s="1656"/>
      <c r="D28" s="340">
        <v>0</v>
      </c>
      <c r="E28" s="2386"/>
      <c r="F28" s="340"/>
      <c r="G28" s="456" t="str">
        <f>IF(D28=0,"0.00%",(H28-D28)/D28)</f>
        <v>0.00%</v>
      </c>
      <c r="H28" s="340">
        <f>ROUND(D28*(1+$I$19),0)</f>
        <v>0</v>
      </c>
      <c r="I28" s="897" t="str">
        <f t="shared" si="3"/>
        <v>0.0% = Est. S &amp; C</v>
      </c>
      <c r="J28" s="455"/>
      <c r="K28" s="456" t="str">
        <f>IF(H28=0,"0.00%",(L28-H28)/H28)</f>
        <v>0.00%</v>
      </c>
      <c r="L28" s="340">
        <f>ROUND(H28*(1+M20),0)</f>
        <v>0</v>
      </c>
      <c r="M28" s="897" t="str">
        <f>TEXT(M20,"0.0%")&amp;" = Est. S &amp; C"</f>
        <v>0.0% = Est. S &amp; C</v>
      </c>
      <c r="O28" s="456" t="str">
        <f>IF(L28=0,"0.00%",(P28-L28)/L28)</f>
        <v>0.00%</v>
      </c>
      <c r="P28" s="340">
        <f>ROUND(L28*(1+Q20),0)</f>
        <v>0</v>
      </c>
      <c r="Q28" s="897" t="str">
        <f>TEXT(Q20,"0.0%")&amp;" = Est. S &amp; C"</f>
        <v>0.0% = Est. S &amp; C</v>
      </c>
      <c r="R28" s="592"/>
      <c r="S28" s="2238" t="str">
        <f>IF(P28=0,"0.00%",(T28-P28)/P28)</f>
        <v>0.00%</v>
      </c>
      <c r="T28" s="340">
        <f>ROUND(P28*(1+U20),0)</f>
        <v>0</v>
      </c>
      <c r="U28" s="2471" t="str">
        <f>TEXT(U20,"0.0%")&amp;" = Est. S &amp; C"</f>
        <v>0.0% = Est. S &amp; C</v>
      </c>
      <c r="V28" s="952"/>
      <c r="W28" s="2241" t="str">
        <f>IF(T28=0,"0.00%",(X28-T28)/T28)</f>
        <v>0.00%</v>
      </c>
      <c r="X28" s="340">
        <f>ROUND(T28*(1+Y20),0)</f>
        <v>0</v>
      </c>
      <c r="Y28" s="455" t="str">
        <f>TEXT(Y20,"0.0%")&amp;" = Est. S &amp; C"</f>
        <v>0.0% = Est. S &amp; C</v>
      </c>
      <c r="AA28" s="456" t="str">
        <f>IF(X28=0,"0.00%",(AB28-X28)/X28)</f>
        <v>0.00%</v>
      </c>
      <c r="AB28" s="340">
        <f>ROUND(X28*(1+AC20),0)</f>
        <v>0</v>
      </c>
      <c r="AC28" s="455" t="str">
        <f>TEXT(AC20,"0.0%")&amp;" = Est. S &amp; C"</f>
        <v>0.0% = Est. S &amp; C</v>
      </c>
    </row>
    <row r="29" spans="1:29" s="457" customFormat="1" ht="6" hidden="1" customHeight="1" x14ac:dyDescent="0.25">
      <c r="A29" s="455"/>
      <c r="B29" s="2470"/>
      <c r="C29" s="1656"/>
      <c r="D29" s="340"/>
      <c r="E29" s="2386"/>
      <c r="F29" s="340"/>
      <c r="G29" s="456"/>
      <c r="H29" s="340"/>
      <c r="I29" s="897"/>
      <c r="J29" s="455"/>
      <c r="K29" s="1668"/>
      <c r="L29" s="340"/>
      <c r="M29" s="901"/>
      <c r="O29" s="1668"/>
      <c r="P29" s="340"/>
      <c r="Q29" s="901"/>
      <c r="R29" s="592"/>
      <c r="S29" s="2341"/>
      <c r="T29" s="340"/>
      <c r="U29" s="2365"/>
      <c r="V29" s="952"/>
      <c r="W29" s="2343"/>
      <c r="X29" s="340"/>
      <c r="Y29" s="2344"/>
      <c r="AA29" s="1668"/>
      <c r="AB29" s="340"/>
      <c r="AC29" s="2344"/>
    </row>
    <row r="30" spans="1:29" s="457" customFormat="1" hidden="1" x14ac:dyDescent="0.25">
      <c r="A30" s="459"/>
      <c r="B30" s="2470"/>
      <c r="C30" s="1656"/>
      <c r="D30" s="458">
        <f>SUM(D21:D29)</f>
        <v>0</v>
      </c>
      <c r="E30" s="2386"/>
      <c r="F30" s="340"/>
      <c r="G30" s="456" t="str">
        <f t="shared" si="1"/>
        <v>0.00%</v>
      </c>
      <c r="H30" s="458">
        <f>SUM(H21:H29)</f>
        <v>0</v>
      </c>
      <c r="I30" s="898"/>
      <c r="J30" s="459"/>
      <c r="K30" s="456" t="str">
        <f>IF(H30=0,"0.00%",(L30-H30)/H30)</f>
        <v>0.00%</v>
      </c>
      <c r="L30" s="458">
        <f>SUM(L21:L29)</f>
        <v>0</v>
      </c>
      <c r="M30" s="901"/>
      <c r="O30" s="456" t="str">
        <f>IF(L30=0,"0.00%",(P30-L30)/L30)</f>
        <v>0.00%</v>
      </c>
      <c r="P30" s="458">
        <f>SUM(P21:P29)</f>
        <v>0</v>
      </c>
      <c r="Q30" s="901"/>
      <c r="R30" s="592"/>
      <c r="S30" s="2238" t="str">
        <f>IF(P30=0,"0.00%",(T30-P30)/P30)</f>
        <v>0.00%</v>
      </c>
      <c r="T30" s="458">
        <f>SUM(T21:T29)</f>
        <v>0</v>
      </c>
      <c r="U30" s="2365"/>
      <c r="V30" s="952"/>
      <c r="W30" s="2241" t="str">
        <f>IF(T30=0,"0.00%",(X30-T30)/T30)</f>
        <v>0.00%</v>
      </c>
      <c r="X30" s="458">
        <f>SUM(X21:X29)</f>
        <v>0</v>
      </c>
      <c r="Y30" s="2344"/>
      <c r="AA30" s="456" t="str">
        <f>IF(X30=0,"0.00%",(AB30-X30)/X30)</f>
        <v>0.00%</v>
      </c>
      <c r="AB30" s="458">
        <f>SUM(AB21:AB29)</f>
        <v>0</v>
      </c>
      <c r="AC30" s="2344"/>
    </row>
    <row r="31" spans="1:29" s="457" customFormat="1" hidden="1" x14ac:dyDescent="0.25">
      <c r="A31" s="455"/>
      <c r="B31" s="2432"/>
      <c r="C31" s="1656"/>
      <c r="D31" s="340"/>
      <c r="E31" s="2386"/>
      <c r="F31" s="340"/>
      <c r="G31" s="2338"/>
      <c r="H31" s="340"/>
      <c r="I31" s="899"/>
      <c r="J31" s="455"/>
      <c r="K31" s="1668"/>
      <c r="L31" s="340"/>
      <c r="M31" s="2388"/>
      <c r="O31" s="1668"/>
      <c r="P31" s="340"/>
      <c r="Q31" s="2388"/>
      <c r="R31" s="592"/>
      <c r="S31" s="2341"/>
      <c r="T31" s="340"/>
      <c r="U31" s="2365"/>
      <c r="V31" s="952"/>
      <c r="W31" s="2343"/>
      <c r="X31" s="340"/>
      <c r="Y31" s="2344"/>
      <c r="AA31" s="1668"/>
      <c r="AB31" s="340"/>
      <c r="AC31" s="2344"/>
    </row>
    <row r="32" spans="1:29" s="461" customFormat="1" hidden="1" x14ac:dyDescent="0.25">
      <c r="B32" s="2472" t="s">
        <v>35</v>
      </c>
      <c r="C32" s="900"/>
      <c r="D32" s="460"/>
      <c r="E32" s="868"/>
      <c r="F32" s="460"/>
      <c r="G32" s="2389"/>
      <c r="H32" s="460"/>
      <c r="I32" s="868"/>
      <c r="J32" s="460"/>
      <c r="K32" s="1669"/>
      <c r="L32" s="460"/>
      <c r="M32" s="902"/>
      <c r="O32" s="1669"/>
      <c r="P32" s="460"/>
      <c r="Q32" s="902"/>
      <c r="S32" s="1669"/>
      <c r="T32" s="460"/>
      <c r="U32" s="2473"/>
      <c r="V32" s="2381"/>
      <c r="W32" s="2382"/>
      <c r="X32" s="460"/>
      <c r="Y32" s="2392"/>
      <c r="AA32" s="1669"/>
      <c r="AB32" s="460"/>
      <c r="AC32" s="2392"/>
    </row>
    <row r="33" spans="1:29" s="457" customFormat="1" hidden="1" x14ac:dyDescent="0.25">
      <c r="A33" s="455"/>
      <c r="B33" s="2470" t="s">
        <v>69</v>
      </c>
      <c r="C33" s="1656" t="s">
        <v>70</v>
      </c>
      <c r="D33" s="340">
        <v>0</v>
      </c>
      <c r="E33" s="2386"/>
      <c r="F33" s="340"/>
      <c r="G33" s="456" t="str">
        <f t="shared" ref="G33:G39" si="9">IF(D33=0,"0.00%",(H33-D33)/D33)</f>
        <v>0.00%</v>
      </c>
      <c r="H33" s="340">
        <f t="shared" ref="H33:H39" si="10">ROUND(D33*(1+$I$19),0)</f>
        <v>0</v>
      </c>
      <c r="I33" s="897" t="str">
        <f t="shared" ref="I33:I39" si="11">TEXT($I$19,"0.0%")&amp;" = Est. S &amp; C"</f>
        <v>0.0% = Est. S &amp; C</v>
      </c>
      <c r="J33" s="455"/>
      <c r="K33" s="456" t="str">
        <f t="shared" ref="K33:K39" si="12">IF(H33=0,"0.00%",(L33-H33)/H33)</f>
        <v>0.00%</v>
      </c>
      <c r="L33" s="340">
        <f>ROUND(H33*(1+M19),0)</f>
        <v>0</v>
      </c>
      <c r="M33" s="897" t="str">
        <f>TEXT(M19,"0.0%")&amp;" = Est. S &amp; C"</f>
        <v>0.0% = Est. S &amp; C</v>
      </c>
      <c r="O33" s="456" t="str">
        <f t="shared" ref="O33:O39" si="13">IF(L33=0,"0.00%",(P33-L33)/L33)</f>
        <v>0.00%</v>
      </c>
      <c r="P33" s="340">
        <f>ROUND(L33*(1+Q19),0)</f>
        <v>0</v>
      </c>
      <c r="Q33" s="897" t="str">
        <f>TEXT(Q19,"0.0%")&amp;" = Est. S &amp; C"</f>
        <v>0.0% = Est. S &amp; C</v>
      </c>
      <c r="R33" s="592"/>
      <c r="S33" s="2238" t="str">
        <f t="shared" ref="S33:S39" si="14">IF(P33=0,"0.00%",(T33-P33)/P33)</f>
        <v>0.00%</v>
      </c>
      <c r="T33" s="340">
        <f>ROUND(P33*(1+U19),0)</f>
        <v>0</v>
      </c>
      <c r="U33" s="2471" t="str">
        <f>TEXT(U19,"0.0%")&amp;" = Est. S &amp; C"</f>
        <v>2.0% = Est. S &amp; C</v>
      </c>
      <c r="V33" s="952"/>
      <c r="W33" s="2241" t="str">
        <f t="shared" ref="W33:W39" si="15">IF(T33=0,"0.00%",(X33-T33)/T33)</f>
        <v>0.00%</v>
      </c>
      <c r="X33" s="340">
        <f>ROUND(T33*(1+Y19),0)</f>
        <v>0</v>
      </c>
      <c r="Y33" s="455" t="str">
        <f>TEXT(Y19,"0.0%")&amp;" = Est. S &amp; C"</f>
        <v>2.0% = Est. S &amp; C</v>
      </c>
      <c r="AA33" s="456" t="str">
        <f t="shared" ref="AA33:AA39" si="16">IF(X33=0,"0.00%",(AB33-X33)/X33)</f>
        <v>0.00%</v>
      </c>
      <c r="AB33" s="340">
        <f>ROUND(X33*(1+AC19),0)</f>
        <v>0</v>
      </c>
      <c r="AC33" s="455" t="str">
        <f>TEXT(AC19,"0.0%")&amp;" = Est. S &amp; C"</f>
        <v>2.0% = Est. S &amp; C</v>
      </c>
    </row>
    <row r="34" spans="1:29" s="457" customFormat="1" hidden="1" x14ac:dyDescent="0.25">
      <c r="A34" s="455"/>
      <c r="B34" s="2470" t="s">
        <v>34</v>
      </c>
      <c r="C34" s="1656" t="s">
        <v>33</v>
      </c>
      <c r="D34" s="340">
        <v>0</v>
      </c>
      <c r="E34" s="2386"/>
      <c r="F34" s="340"/>
      <c r="G34" s="456" t="str">
        <f t="shared" si="9"/>
        <v>0.00%</v>
      </c>
      <c r="H34" s="340">
        <f t="shared" si="10"/>
        <v>0</v>
      </c>
      <c r="I34" s="897" t="str">
        <f t="shared" si="11"/>
        <v>0.0% = Est. S &amp; C</v>
      </c>
      <c r="J34" s="455"/>
      <c r="K34" s="456" t="str">
        <f t="shared" si="12"/>
        <v>0.00%</v>
      </c>
      <c r="L34" s="340">
        <f>ROUND(H34*(1+M19),0)</f>
        <v>0</v>
      </c>
      <c r="M34" s="897" t="str">
        <f>TEXT(M19,"0.0%")&amp;" = Est. S &amp; C"</f>
        <v>0.0% = Est. S &amp; C</v>
      </c>
      <c r="O34" s="456" t="str">
        <f t="shared" si="13"/>
        <v>0.00%</v>
      </c>
      <c r="P34" s="340">
        <f>ROUND(L34*(1+Q19),0)</f>
        <v>0</v>
      </c>
      <c r="Q34" s="897" t="str">
        <f>TEXT(Q19,"0.0%")&amp;" = Est. S &amp; C"</f>
        <v>0.0% = Est. S &amp; C</v>
      </c>
      <c r="R34" s="592"/>
      <c r="S34" s="2238" t="str">
        <f t="shared" si="14"/>
        <v>0.00%</v>
      </c>
      <c r="T34" s="340">
        <f>ROUND(P34*(1+U19),0)</f>
        <v>0</v>
      </c>
      <c r="U34" s="2471" t="str">
        <f>TEXT(U19,"0.0%")&amp;" = Est. S &amp; C"</f>
        <v>2.0% = Est. S &amp; C</v>
      </c>
      <c r="V34" s="952"/>
      <c r="W34" s="2241" t="str">
        <f t="shared" si="15"/>
        <v>0.00%</v>
      </c>
      <c r="X34" s="340">
        <f>ROUND(T34*(1+Y19),0)</f>
        <v>0</v>
      </c>
      <c r="Y34" s="455" t="str">
        <f>TEXT(Y19,"0.0%")&amp;" = Est. S &amp; C"</f>
        <v>2.0% = Est. S &amp; C</v>
      </c>
      <c r="AA34" s="456" t="str">
        <f t="shared" si="16"/>
        <v>0.00%</v>
      </c>
      <c r="AB34" s="340">
        <f>ROUND(X34*(1+AC19),0)</f>
        <v>0</v>
      </c>
      <c r="AC34" s="455" t="str">
        <f>TEXT(AC19,"0.0%")&amp;" = Est. S &amp; C"</f>
        <v>2.0% = Est. S &amp; C</v>
      </c>
    </row>
    <row r="35" spans="1:29" s="457" customFormat="1" hidden="1" x14ac:dyDescent="0.25">
      <c r="A35" s="455"/>
      <c r="B35" s="2470" t="s">
        <v>32</v>
      </c>
      <c r="C35" s="1656" t="s">
        <v>31</v>
      </c>
      <c r="D35" s="340">
        <v>0</v>
      </c>
      <c r="E35" s="2386"/>
      <c r="F35" s="340"/>
      <c r="G35" s="456" t="str">
        <f t="shared" si="9"/>
        <v>0.00%</v>
      </c>
      <c r="H35" s="340">
        <f t="shared" si="10"/>
        <v>0</v>
      </c>
      <c r="I35" s="897" t="str">
        <f t="shared" si="11"/>
        <v>0.0% = Est. S &amp; C</v>
      </c>
      <c r="J35" s="455"/>
      <c r="K35" s="456" t="str">
        <f t="shared" si="12"/>
        <v>0.00%</v>
      </c>
      <c r="L35" s="340">
        <f>ROUND(H35*(1+M19),0)</f>
        <v>0</v>
      </c>
      <c r="M35" s="897" t="str">
        <f>TEXT(M19,"0.0%")&amp;" = Est. S &amp; C"</f>
        <v>0.0% = Est. S &amp; C</v>
      </c>
      <c r="O35" s="456" t="str">
        <f t="shared" si="13"/>
        <v>0.00%</v>
      </c>
      <c r="P35" s="340">
        <f>ROUND(L35*(1+Q19),0)</f>
        <v>0</v>
      </c>
      <c r="Q35" s="897" t="str">
        <f>TEXT(Q19,"0.0%")&amp;" = Est. S &amp; C"</f>
        <v>0.0% = Est. S &amp; C</v>
      </c>
      <c r="R35" s="592"/>
      <c r="S35" s="2238" t="str">
        <f t="shared" si="14"/>
        <v>0.00%</v>
      </c>
      <c r="T35" s="340">
        <f>ROUND(P35*(1+U19),0)</f>
        <v>0</v>
      </c>
      <c r="U35" s="2471" t="str">
        <f>TEXT(U19,"0.0%")&amp;" = Est. S &amp; C"</f>
        <v>2.0% = Est. S &amp; C</v>
      </c>
      <c r="V35" s="952"/>
      <c r="W35" s="2241" t="str">
        <f t="shared" si="15"/>
        <v>0.00%</v>
      </c>
      <c r="X35" s="340">
        <f>ROUND(T35*(1+Y19),0)</f>
        <v>0</v>
      </c>
      <c r="Y35" s="455" t="str">
        <f>TEXT(Y19,"0.0%")&amp;" = Est. S &amp; C"</f>
        <v>2.0% = Est. S &amp; C</v>
      </c>
      <c r="AA35" s="456" t="str">
        <f t="shared" si="16"/>
        <v>0.00%</v>
      </c>
      <c r="AB35" s="340">
        <f>ROUND(X35*(1+AC19),0)</f>
        <v>0</v>
      </c>
      <c r="AC35" s="455" t="str">
        <f>TEXT(AC19,"0.0%")&amp;" = Est. S &amp; C"</f>
        <v>2.0% = Est. S &amp; C</v>
      </c>
    </row>
    <row r="36" spans="1:29" s="457" customFormat="1" hidden="1" x14ac:dyDescent="0.25">
      <c r="A36" s="455"/>
      <c r="B36" s="2470" t="s">
        <v>30</v>
      </c>
      <c r="C36" s="1656" t="s">
        <v>29</v>
      </c>
      <c r="D36" s="340">
        <v>0</v>
      </c>
      <c r="E36" s="2386"/>
      <c r="F36" s="340"/>
      <c r="G36" s="456" t="str">
        <f t="shared" si="9"/>
        <v>0.00%</v>
      </c>
      <c r="H36" s="340">
        <f t="shared" si="10"/>
        <v>0</v>
      </c>
      <c r="I36" s="897" t="str">
        <f t="shared" si="11"/>
        <v>0.0% = Est. S &amp; C</v>
      </c>
      <c r="J36" s="455"/>
      <c r="K36" s="456" t="str">
        <f t="shared" si="12"/>
        <v>0.00%</v>
      </c>
      <c r="L36" s="340">
        <f>ROUND(H36*(1+M19),0)</f>
        <v>0</v>
      </c>
      <c r="M36" s="897" t="str">
        <f>TEXT(M19,"0.0%")&amp;" = Est. S &amp; C"</f>
        <v>0.0% = Est. S &amp; C</v>
      </c>
      <c r="O36" s="456" t="str">
        <f t="shared" si="13"/>
        <v>0.00%</v>
      </c>
      <c r="P36" s="340">
        <f>ROUND(L36*(1+Q19),0)</f>
        <v>0</v>
      </c>
      <c r="Q36" s="897" t="str">
        <f>TEXT(Q19,"0.0%")&amp;" = Est. S &amp; C"</f>
        <v>0.0% = Est. S &amp; C</v>
      </c>
      <c r="R36" s="592"/>
      <c r="S36" s="2238" t="str">
        <f t="shared" si="14"/>
        <v>0.00%</v>
      </c>
      <c r="T36" s="340">
        <f>ROUND(P36*(1+U19),0)</f>
        <v>0</v>
      </c>
      <c r="U36" s="2471" t="str">
        <f>TEXT(U19,"0.0%")&amp;" = Est. S &amp; C"</f>
        <v>2.0% = Est. S &amp; C</v>
      </c>
      <c r="V36" s="952"/>
      <c r="W36" s="2241" t="str">
        <f t="shared" si="15"/>
        <v>0.00%</v>
      </c>
      <c r="X36" s="340">
        <f>ROUND(T36*(1+Y19),0)</f>
        <v>0</v>
      </c>
      <c r="Y36" s="455" t="str">
        <f>TEXT(Y19,"0.0%")&amp;" = Est. S &amp; C"</f>
        <v>2.0% = Est. S &amp; C</v>
      </c>
      <c r="AA36" s="456" t="str">
        <f t="shared" si="16"/>
        <v>0.00%</v>
      </c>
      <c r="AB36" s="340">
        <f>ROUND(X36*(1+AC19),0)</f>
        <v>0</v>
      </c>
      <c r="AC36" s="455" t="str">
        <f>TEXT(AC19,"0.0%")&amp;" = Est. S &amp; C"</f>
        <v>2.0% = Est. S &amp; C</v>
      </c>
    </row>
    <row r="37" spans="1:29" s="457" customFormat="1" hidden="1" x14ac:dyDescent="0.25">
      <c r="A37" s="455"/>
      <c r="B37" s="2470" t="s">
        <v>72</v>
      </c>
      <c r="C37" s="1656" t="s">
        <v>71</v>
      </c>
      <c r="D37" s="340">
        <v>0</v>
      </c>
      <c r="E37" s="2386"/>
      <c r="F37" s="340"/>
      <c r="G37" s="456" t="str">
        <f t="shared" si="9"/>
        <v>0.00%</v>
      </c>
      <c r="H37" s="340">
        <f t="shared" si="10"/>
        <v>0</v>
      </c>
      <c r="I37" s="897" t="str">
        <f t="shared" si="11"/>
        <v>0.0% = Est. S &amp; C</v>
      </c>
      <c r="J37" s="455"/>
      <c r="K37" s="456" t="str">
        <f t="shared" si="12"/>
        <v>0.00%</v>
      </c>
      <c r="L37" s="340">
        <f>ROUND(H37*(1+M19),0)</f>
        <v>0</v>
      </c>
      <c r="M37" s="897" t="str">
        <f>TEXT(M19,"0.0%")&amp;" = Est. S &amp; C"</f>
        <v>0.0% = Est. S &amp; C</v>
      </c>
      <c r="O37" s="456" t="str">
        <f t="shared" si="13"/>
        <v>0.00%</v>
      </c>
      <c r="P37" s="340">
        <f>ROUND(L37*(1+Q19),0)</f>
        <v>0</v>
      </c>
      <c r="Q37" s="897" t="str">
        <f>TEXT(Q19,"0.0%")&amp;" = Est. S &amp; C"</f>
        <v>0.0% = Est. S &amp; C</v>
      </c>
      <c r="R37" s="592"/>
      <c r="S37" s="2238" t="str">
        <f t="shared" si="14"/>
        <v>0.00%</v>
      </c>
      <c r="T37" s="340">
        <f>ROUND(P37*(1+U19),0)</f>
        <v>0</v>
      </c>
      <c r="U37" s="2471" t="str">
        <f>TEXT(U19,"0.0%")&amp;" = Est. S &amp; C"</f>
        <v>2.0% = Est. S &amp; C</v>
      </c>
      <c r="V37" s="952"/>
      <c r="W37" s="2241" t="str">
        <f t="shared" si="15"/>
        <v>0.00%</v>
      </c>
      <c r="X37" s="340">
        <f>ROUND(T37*(1+Y19),0)</f>
        <v>0</v>
      </c>
      <c r="Y37" s="455" t="str">
        <f>TEXT(Y19,"0.0%")&amp;" = Est. S &amp; C"</f>
        <v>2.0% = Est. S &amp; C</v>
      </c>
      <c r="AA37" s="456" t="str">
        <f t="shared" si="16"/>
        <v>0.00%</v>
      </c>
      <c r="AB37" s="340">
        <f>ROUND(X37*(1+AC19),0)</f>
        <v>0</v>
      </c>
      <c r="AC37" s="455" t="str">
        <f>TEXT(AC19,"0.0%")&amp;" = Est. S &amp; C"</f>
        <v>2.0% = Est. S &amp; C</v>
      </c>
    </row>
    <row r="38" spans="1:29" s="457" customFormat="1" hidden="1" x14ac:dyDescent="0.25">
      <c r="A38" s="455"/>
      <c r="B38" s="2470" t="s">
        <v>114</v>
      </c>
      <c r="C38" s="1656" t="s">
        <v>117</v>
      </c>
      <c r="D38" s="340">
        <v>0</v>
      </c>
      <c r="E38" s="2386"/>
      <c r="F38" s="340"/>
      <c r="G38" s="456" t="str">
        <f t="shared" si="9"/>
        <v>0.00%</v>
      </c>
      <c r="H38" s="340">
        <f t="shared" si="10"/>
        <v>0</v>
      </c>
      <c r="I38" s="897" t="str">
        <f t="shared" si="11"/>
        <v>0.0% = Est. S &amp; C</v>
      </c>
      <c r="J38" s="455"/>
      <c r="K38" s="456" t="str">
        <f t="shared" si="12"/>
        <v>0.00%</v>
      </c>
      <c r="L38" s="340">
        <f>ROUND(H38*(1+M19),0)</f>
        <v>0</v>
      </c>
      <c r="M38" s="897" t="str">
        <f>TEXT(M19,"0.0%")&amp;" = Est. S &amp; C"</f>
        <v>0.0% = Est. S &amp; C</v>
      </c>
      <c r="O38" s="456" t="str">
        <f t="shared" si="13"/>
        <v>0.00%</v>
      </c>
      <c r="P38" s="340">
        <f>ROUND(L38*(1+Q19),0)</f>
        <v>0</v>
      </c>
      <c r="Q38" s="897" t="str">
        <f>TEXT(Q19,"0.0%")&amp;" = Est. S &amp; C"</f>
        <v>0.0% = Est. S &amp; C</v>
      </c>
      <c r="R38" s="592"/>
      <c r="S38" s="2238" t="str">
        <f t="shared" si="14"/>
        <v>0.00%</v>
      </c>
      <c r="T38" s="340">
        <f>ROUND(P38*(1+U19),0)</f>
        <v>0</v>
      </c>
      <c r="U38" s="2471" t="str">
        <f>TEXT(U19,"0.0%")&amp;" = Est. S &amp; C"</f>
        <v>2.0% = Est. S &amp; C</v>
      </c>
      <c r="V38" s="952"/>
      <c r="W38" s="2241" t="str">
        <f t="shared" si="15"/>
        <v>0.00%</v>
      </c>
      <c r="X38" s="340">
        <f>ROUND(T38*(1+Y19),0)</f>
        <v>0</v>
      </c>
      <c r="Y38" s="455" t="str">
        <f>TEXT(Y19,"0.0%")&amp;" = Est. S &amp; C"</f>
        <v>2.0% = Est. S &amp; C</v>
      </c>
      <c r="AA38" s="456" t="str">
        <f t="shared" si="16"/>
        <v>0.00%</v>
      </c>
      <c r="AB38" s="340">
        <f>ROUND(X38*(1+AC19),0)</f>
        <v>0</v>
      </c>
      <c r="AC38" s="455" t="str">
        <f>TEXT(AC19,"0.0%")&amp;" = Est. S &amp; C"</f>
        <v>2.0% = Est. S &amp; C</v>
      </c>
    </row>
    <row r="39" spans="1:29" s="457" customFormat="1" hidden="1" x14ac:dyDescent="0.25">
      <c r="A39" s="455"/>
      <c r="B39" s="2470" t="s">
        <v>73</v>
      </c>
      <c r="C39" s="1656" t="s">
        <v>74</v>
      </c>
      <c r="D39" s="340">
        <v>0</v>
      </c>
      <c r="E39" s="2386"/>
      <c r="F39" s="340"/>
      <c r="G39" s="456" t="str">
        <f t="shared" si="9"/>
        <v>0.00%</v>
      </c>
      <c r="H39" s="340">
        <f t="shared" si="10"/>
        <v>0</v>
      </c>
      <c r="I39" s="897" t="str">
        <f t="shared" si="11"/>
        <v>0.0% = Est. S &amp; C</v>
      </c>
      <c r="J39" s="455"/>
      <c r="K39" s="456" t="str">
        <f t="shared" si="12"/>
        <v>0.00%</v>
      </c>
      <c r="L39" s="340">
        <f>ROUND(H39*(1+M19),0)</f>
        <v>0</v>
      </c>
      <c r="M39" s="897" t="str">
        <f>TEXT(M19,"0.0%")&amp;" = Est. S &amp; C"</f>
        <v>0.0% = Est. S &amp; C</v>
      </c>
      <c r="O39" s="456" t="str">
        <f t="shared" si="13"/>
        <v>0.00%</v>
      </c>
      <c r="P39" s="340">
        <f>ROUND(L39*(1+Q19),0)</f>
        <v>0</v>
      </c>
      <c r="Q39" s="897" t="str">
        <f>TEXT(Q19,"0.0%")&amp;" = Est. S &amp; C"</f>
        <v>0.0% = Est. S &amp; C</v>
      </c>
      <c r="R39" s="592"/>
      <c r="S39" s="2238" t="str">
        <f t="shared" si="14"/>
        <v>0.00%</v>
      </c>
      <c r="T39" s="340">
        <f>ROUND(P39*(1+U19),0)</f>
        <v>0</v>
      </c>
      <c r="U39" s="2471" t="str">
        <f>TEXT(U19,"0.0%")&amp;" = Est. S &amp; C"</f>
        <v>2.0% = Est. S &amp; C</v>
      </c>
      <c r="V39" s="952"/>
      <c r="W39" s="2241" t="str">
        <f t="shared" si="15"/>
        <v>0.00%</v>
      </c>
      <c r="X39" s="340">
        <f>ROUND(T39*(1+Y19),0)</f>
        <v>0</v>
      </c>
      <c r="Y39" s="455" t="str">
        <f>TEXT(Y19,"0.0%")&amp;" = Est. S &amp; C"</f>
        <v>2.0% = Est. S &amp; C</v>
      </c>
      <c r="AA39" s="456" t="str">
        <f t="shared" si="16"/>
        <v>0.00%</v>
      </c>
      <c r="AB39" s="340">
        <f>ROUND(X39*(1+AC19),0)</f>
        <v>0</v>
      </c>
      <c r="AC39" s="455" t="str">
        <f>TEXT(AC19,"0.0%")&amp;" = Est. S &amp; C"</f>
        <v>2.0% = Est. S &amp; C</v>
      </c>
    </row>
    <row r="40" spans="1:29" s="457" customFormat="1" ht="6" hidden="1" customHeight="1" x14ac:dyDescent="0.25">
      <c r="A40" s="455"/>
      <c r="B40" s="2470"/>
      <c r="C40" s="1656"/>
      <c r="D40" s="340"/>
      <c r="E40" s="2386"/>
      <c r="F40" s="340"/>
      <c r="G40" s="2338"/>
      <c r="H40" s="340"/>
      <c r="I40" s="897"/>
      <c r="J40" s="455"/>
      <c r="K40" s="1668"/>
      <c r="L40" s="340"/>
      <c r="M40" s="901"/>
      <c r="O40" s="1668"/>
      <c r="P40" s="340"/>
      <c r="Q40" s="901"/>
      <c r="R40" s="592"/>
      <c r="S40" s="2341"/>
      <c r="T40" s="340"/>
      <c r="U40" s="2365"/>
      <c r="V40" s="952"/>
      <c r="W40" s="2343"/>
      <c r="X40" s="340"/>
      <c r="Y40" s="2344"/>
      <c r="AA40" s="1668"/>
      <c r="AB40" s="340"/>
      <c r="AC40" s="2344"/>
    </row>
    <row r="41" spans="1:29" s="457" customFormat="1" hidden="1" x14ac:dyDescent="0.25">
      <c r="A41" s="459"/>
      <c r="B41" s="2470"/>
      <c r="C41" s="1656"/>
      <c r="D41" s="458">
        <f>SUM(D33:D40)</f>
        <v>0</v>
      </c>
      <c r="E41" s="2386"/>
      <c r="F41" s="340"/>
      <c r="G41" s="456" t="str">
        <f>IF(D41=0,"0.00%",(H41-D41)/D41)</f>
        <v>0.00%</v>
      </c>
      <c r="H41" s="458">
        <f>SUM(H33:H40)</f>
        <v>0</v>
      </c>
      <c r="I41" s="898"/>
      <c r="J41" s="459"/>
      <c r="K41" s="456" t="str">
        <f>IF(H41=0,"0.00%",(L41-H41)/H41)</f>
        <v>0.00%</v>
      </c>
      <c r="L41" s="458">
        <f>SUM(L33:L40)</f>
        <v>0</v>
      </c>
      <c r="M41" s="901"/>
      <c r="O41" s="456" t="str">
        <f>IF(L41=0,"0.00%",(P41-L41)/L41)</f>
        <v>0.00%</v>
      </c>
      <c r="P41" s="458">
        <f>SUM(P33:P40)</f>
        <v>0</v>
      </c>
      <c r="Q41" s="901"/>
      <c r="R41" s="592"/>
      <c r="S41" s="2238" t="str">
        <f>IF(P41=0,"0.00%",(T41-P41)/P41)</f>
        <v>0.00%</v>
      </c>
      <c r="T41" s="458">
        <f>SUM(T33:T40)</f>
        <v>0</v>
      </c>
      <c r="U41" s="2365"/>
      <c r="V41" s="952"/>
      <c r="W41" s="2241" t="str">
        <f>IF(T41=0,"0.00%",(X41-T41)/T41)</f>
        <v>0.00%</v>
      </c>
      <c r="X41" s="458">
        <f>SUM(X33:X40)</f>
        <v>0</v>
      </c>
      <c r="Y41" s="2344"/>
      <c r="AA41" s="456" t="str">
        <f>IF(X41=0,"0.00%",(AB41-X41)/X41)</f>
        <v>0.00%</v>
      </c>
      <c r="AB41" s="458">
        <f>SUM(AB33:AB40)</f>
        <v>0</v>
      </c>
      <c r="AC41" s="2344"/>
    </row>
    <row r="42" spans="1:29" s="457" customFormat="1" hidden="1" x14ac:dyDescent="0.25">
      <c r="A42" s="455"/>
      <c r="B42" s="2432" t="s">
        <v>28</v>
      </c>
      <c r="C42" s="1656"/>
      <c r="D42" s="340"/>
      <c r="E42" s="2386"/>
      <c r="F42" s="340"/>
      <c r="G42" s="2338"/>
      <c r="H42" s="340"/>
      <c r="I42" s="897"/>
      <c r="J42" s="455"/>
      <c r="K42" s="1668"/>
      <c r="L42" s="340"/>
      <c r="M42" s="901"/>
      <c r="O42" s="1668"/>
      <c r="P42" s="340"/>
      <c r="Q42" s="901"/>
      <c r="R42" s="592"/>
      <c r="S42" s="2341"/>
      <c r="T42" s="340"/>
      <c r="U42" s="2365"/>
      <c r="V42" s="952"/>
      <c r="W42" s="2343"/>
      <c r="X42" s="340"/>
      <c r="Y42" s="2344"/>
      <c r="AA42" s="1668"/>
      <c r="AB42" s="340"/>
      <c r="AC42" s="2344"/>
    </row>
    <row r="43" spans="1:29" s="457" customFormat="1" hidden="1" x14ac:dyDescent="0.25">
      <c r="A43" s="460"/>
      <c r="B43" s="2468" t="s">
        <v>27</v>
      </c>
      <c r="C43" s="1656"/>
      <c r="D43" s="340"/>
      <c r="E43" s="2386"/>
      <c r="F43" s="340"/>
      <c r="G43" s="2338"/>
      <c r="H43" s="340"/>
      <c r="I43" s="897"/>
      <c r="J43" s="455"/>
      <c r="K43" s="1668"/>
      <c r="L43" s="340"/>
      <c r="M43" s="901"/>
      <c r="O43" s="1668"/>
      <c r="P43" s="340"/>
      <c r="Q43" s="901"/>
      <c r="R43" s="592"/>
      <c r="S43" s="2341"/>
      <c r="T43" s="340"/>
      <c r="U43" s="2365"/>
      <c r="V43" s="952"/>
      <c r="W43" s="2343"/>
      <c r="X43" s="340"/>
      <c r="Y43" s="2344"/>
      <c r="AA43" s="1668"/>
      <c r="AB43" s="340"/>
      <c r="AC43" s="2344"/>
    </row>
    <row r="44" spans="1:29" s="457" customFormat="1" hidden="1" x14ac:dyDescent="0.25">
      <c r="A44" s="455"/>
      <c r="B44" s="2470" t="s">
        <v>83</v>
      </c>
      <c r="C44" s="1656" t="s">
        <v>76</v>
      </c>
      <c r="D44" s="340">
        <v>0</v>
      </c>
      <c r="E44" s="899" t="str">
        <f>TEXT('MYP Assumptions'!$D$57,"0.00%")&amp;", STRS rate"</f>
        <v>12.58%, STRS rate</v>
      </c>
      <c r="F44" s="340"/>
      <c r="G44" s="456" t="str">
        <f t="shared" ref="G44:G53" si="17">IF(D44=0,"0.00%",(H44-D44)/D44)</f>
        <v>0.00%</v>
      </c>
      <c r="H44" s="340">
        <f>ROUND(H30*LEFT(I44,6),0)</f>
        <v>0</v>
      </c>
      <c r="I44" s="899" t="str">
        <f>TEXT('MYP Assumptions'!E57,"0.00%")&amp;", projected STRS rate"</f>
        <v>14.43%, projected STRS rate</v>
      </c>
      <c r="J44" s="455"/>
      <c r="K44" s="456" t="str">
        <f t="shared" ref="K44:K53" si="18">IF(H44=0,"0.00%",(L44-H44)/H44)</f>
        <v>0.00%</v>
      </c>
      <c r="L44" s="340">
        <f>ROUND(L30*LEFT(M44,6),0)</f>
        <v>0</v>
      </c>
      <c r="M44" s="899" t="str">
        <f>TEXT('MYP Assumptions'!F57,"0.00%")&amp;", projected STRS rate"</f>
        <v>16.28%, projected STRS rate</v>
      </c>
      <c r="O44" s="456" t="str">
        <f t="shared" ref="O44:O53" si="19">IF(L44=0,"0.00%",(P44-L44)/L44)</f>
        <v>0.00%</v>
      </c>
      <c r="P44" s="340">
        <f>ROUND(P30*LEFT(Q44,6),0)</f>
        <v>0</v>
      </c>
      <c r="Q44" s="899" t="str">
        <f>TEXT('MYP Assumptions'!G57,"0.00%")&amp;", projected STRS rate"</f>
        <v>18.13%, projected STRS rate</v>
      </c>
      <c r="R44" s="592"/>
      <c r="S44" s="2238" t="str">
        <f t="shared" ref="S44:S53" si="20">IF(P44=0,"0.00%",(T44-P44)/P44)</f>
        <v>0.00%</v>
      </c>
      <c r="T44" s="340">
        <f>ROUND(T30*LEFT(U44,6),0)</f>
        <v>0</v>
      </c>
      <c r="U44" s="2471" t="str">
        <f>TEXT('MYP Assumptions'!H57,"0.00%")&amp;", projected STRS rate"</f>
        <v>19.10%, projected STRS rate</v>
      </c>
      <c r="V44" s="952"/>
      <c r="W44" s="2241" t="str">
        <f t="shared" ref="W44:W53" si="21">IF(T44=0,"0.00%",(X44-T44)/T44)</f>
        <v>0.00%</v>
      </c>
      <c r="X44" s="340">
        <f>ROUND(X30*LEFT(Y44,6),0)</f>
        <v>0</v>
      </c>
      <c r="Y44" s="953" t="str">
        <f>TEXT('MYP Assumptions'!I57,"0.00%")&amp;", projected STRS rate"</f>
        <v>19.10%, projected STRS rate</v>
      </c>
      <c r="AA44" s="456" t="str">
        <f t="shared" ref="AA44:AA53" si="22">IF(X44=0,"0.00%",(AB44-X44)/X44)</f>
        <v>0.00%</v>
      </c>
      <c r="AB44" s="340" t="e">
        <f>ROUND(AB30*LEFT(AC44,6),0)</f>
        <v>#VALUE!</v>
      </c>
      <c r="AC44" s="953" t="str">
        <f>TEXT('MYP Assumptions'!J57,"0.00%")&amp;", projected STRS rate"</f>
        <v>0.00%, projected STRS rate</v>
      </c>
    </row>
    <row r="45" spans="1:29" s="457" customFormat="1" hidden="1" x14ac:dyDescent="0.25">
      <c r="A45" s="455"/>
      <c r="B45" s="2470" t="s">
        <v>84</v>
      </c>
      <c r="C45" s="1656" t="s">
        <v>77</v>
      </c>
      <c r="D45" s="340">
        <v>0</v>
      </c>
      <c r="E45" s="899" t="str">
        <f>TEXT('MYP Assumptions'!$D$58,"0.00%")&amp;", PERS rate"</f>
        <v>13.89%, PERS rate</v>
      </c>
      <c r="F45" s="340"/>
      <c r="G45" s="456" t="str">
        <f t="shared" si="17"/>
        <v>0.00%</v>
      </c>
      <c r="H45" s="340">
        <f>ROUND(H41*LEFT(I45,6),0)</f>
        <v>0</v>
      </c>
      <c r="I45" s="899" t="str">
        <f>TEXT('MYP Assumptions'!E58,"0.00%")&amp;", projected PERS rate"</f>
        <v>15.53%, projected PERS rate</v>
      </c>
      <c r="J45" s="455"/>
      <c r="K45" s="456" t="str">
        <f t="shared" si="18"/>
        <v>0.00%</v>
      </c>
      <c r="L45" s="340">
        <f>ROUND(L41*LEFT(M45,6),0)</f>
        <v>0</v>
      </c>
      <c r="M45" s="899" t="str">
        <f>TEXT('MYP Assumptions'!F58,"0.00%")&amp;", projected PERS rate"</f>
        <v>18.06%, projected PERS rate</v>
      </c>
      <c r="O45" s="456" t="str">
        <f t="shared" si="19"/>
        <v>0.00%</v>
      </c>
      <c r="P45" s="340">
        <f>ROUND(P41*LEFT(Q45,6),0)</f>
        <v>0</v>
      </c>
      <c r="Q45" s="899" t="str">
        <f>TEXT('MYP Assumptions'!G58,"0.00%")&amp;", projected PERS rate"</f>
        <v>20.80%, projected PERS rate</v>
      </c>
      <c r="R45" s="592"/>
      <c r="S45" s="2238" t="str">
        <f t="shared" si="20"/>
        <v>0.00%</v>
      </c>
      <c r="T45" s="340">
        <f>ROUND(T41*LEFT(U45,6),0)</f>
        <v>0</v>
      </c>
      <c r="U45" s="2471" t="str">
        <f>TEXT('MYP Assumptions'!H58,"0.00%")&amp;", projected PERS rate"</f>
        <v>23.50%, projected PERS rate</v>
      </c>
      <c r="V45" s="952"/>
      <c r="W45" s="2241" t="str">
        <f t="shared" si="21"/>
        <v>0.00%</v>
      </c>
      <c r="X45" s="340">
        <f>ROUND(X41*LEFT(Y45,6),0)</f>
        <v>0</v>
      </c>
      <c r="Y45" s="953" t="str">
        <f>TEXT('MYP Assumptions'!I58,"0.00%")&amp;", projected PERS rate"</f>
        <v>24.60%, projected PERS rate</v>
      </c>
      <c r="AA45" s="456" t="str">
        <f t="shared" si="22"/>
        <v>0.00%</v>
      </c>
      <c r="AB45" s="340" t="e">
        <f>ROUND(AB41*LEFT(AC45,6),0)</f>
        <v>#VALUE!</v>
      </c>
      <c r="AC45" s="953" t="str">
        <f>TEXT('MYP Assumptions'!J58,"0.00%")&amp;", projected PERS rate"</f>
        <v>0.00%, projected PERS rate</v>
      </c>
    </row>
    <row r="46" spans="1:29" s="457" customFormat="1" hidden="1" x14ac:dyDescent="0.25">
      <c r="A46" s="455"/>
      <c r="B46" s="2470" t="s">
        <v>85</v>
      </c>
      <c r="C46" s="1656" t="s">
        <v>78</v>
      </c>
      <c r="D46" s="340">
        <v>0</v>
      </c>
      <c r="E46" s="899" t="str">
        <f>TEXT('MYP Assumptions'!$D$60,"0.00%")&amp;", SS rate"</f>
        <v>6.20%, SS rate</v>
      </c>
      <c r="F46" s="340"/>
      <c r="G46" s="456" t="str">
        <f t="shared" si="17"/>
        <v>0.00%</v>
      </c>
      <c r="H46" s="340">
        <f>ROUND(H41*LEFT(I46,5),0)</f>
        <v>0</v>
      </c>
      <c r="I46" s="899" t="str">
        <f>TEXT('MYP Assumptions'!E60,"0.00%")&amp;", no rate change"</f>
        <v>6.20%, no rate change</v>
      </c>
      <c r="J46" s="455"/>
      <c r="K46" s="456" t="str">
        <f t="shared" si="18"/>
        <v>0.00%</v>
      </c>
      <c r="L46" s="340">
        <f>ROUND(L41*LEFT(M46,5),0)</f>
        <v>0</v>
      </c>
      <c r="M46" s="899" t="str">
        <f>TEXT('MYP Assumptions'!F60,"0.00%")&amp;", no rate change"</f>
        <v>6.20%, no rate change</v>
      </c>
      <c r="O46" s="456" t="str">
        <f t="shared" si="19"/>
        <v>0.00%</v>
      </c>
      <c r="P46" s="340">
        <f>ROUND(P41*LEFT(Q46,5),0)</f>
        <v>0</v>
      </c>
      <c r="Q46" s="899" t="str">
        <f>TEXT('MYP Assumptions'!G60,"0.00%")&amp;", no rate change"</f>
        <v>6.20%, no rate change</v>
      </c>
      <c r="R46" s="592"/>
      <c r="S46" s="2238" t="str">
        <f t="shared" si="20"/>
        <v>0.00%</v>
      </c>
      <c r="T46" s="340">
        <f>ROUND(T41*LEFT(U46,5),0)</f>
        <v>0</v>
      </c>
      <c r="U46" s="2471" t="str">
        <f>TEXT('MYP Assumptions'!H60,"0.00%")&amp;", no rate change"</f>
        <v>6.20%, no rate change</v>
      </c>
      <c r="V46" s="952"/>
      <c r="W46" s="2241" t="str">
        <f t="shared" si="21"/>
        <v>0.00%</v>
      </c>
      <c r="X46" s="340">
        <f>ROUND(X41*LEFT(Y46,5),0)</f>
        <v>0</v>
      </c>
      <c r="Y46" s="953" t="str">
        <f>TEXT('MYP Assumptions'!I60,"0.00%")&amp;", no rate change"</f>
        <v>6.20%, no rate change</v>
      </c>
      <c r="AA46" s="456" t="str">
        <f t="shared" si="22"/>
        <v>0.00%</v>
      </c>
      <c r="AB46" s="340">
        <f>ROUND(AB41*LEFT(AC46,5),0)</f>
        <v>0</v>
      </c>
      <c r="AC46" s="953" t="str">
        <f>TEXT('MYP Assumptions'!J60,"0.00%")&amp;", no rate change"</f>
        <v>0.00%, no rate change</v>
      </c>
    </row>
    <row r="47" spans="1:29" s="457" customFormat="1" hidden="1" x14ac:dyDescent="0.25">
      <c r="A47" s="455"/>
      <c r="B47" s="2470" t="s">
        <v>86</v>
      </c>
      <c r="C47" s="1656" t="s">
        <v>79</v>
      </c>
      <c r="D47" s="340">
        <v>0</v>
      </c>
      <c r="E47" s="899" t="str">
        <f>TEXT('MYP Assumptions'!$D$61,"0.00%")&amp;", Medicare rate"</f>
        <v>1.45%, Medicare rate</v>
      </c>
      <c r="F47" s="340"/>
      <c r="G47" s="456" t="str">
        <f t="shared" si="17"/>
        <v>0.00%</v>
      </c>
      <c r="H47" s="340">
        <f>ROUND((H41+H30)*LEFT(I47,5),0)</f>
        <v>0</v>
      </c>
      <c r="I47" s="899" t="str">
        <f>TEXT('MYP Assumptions'!E61,"0.00%")&amp;", no rate change"</f>
        <v>1.45%, no rate change</v>
      </c>
      <c r="J47" s="455"/>
      <c r="K47" s="456" t="str">
        <f t="shared" si="18"/>
        <v>0.00%</v>
      </c>
      <c r="L47" s="340">
        <f>ROUND((L41+L30)*LEFT(M47,5),0)</f>
        <v>0</v>
      </c>
      <c r="M47" s="899" t="str">
        <f>TEXT('MYP Assumptions'!F61,"0.00%")&amp;", no rate change"</f>
        <v>1.45%, no rate change</v>
      </c>
      <c r="O47" s="456" t="str">
        <f t="shared" si="19"/>
        <v>0.00%</v>
      </c>
      <c r="P47" s="340">
        <f>ROUND((P41+P30)*LEFT(Q47,5),0)</f>
        <v>0</v>
      </c>
      <c r="Q47" s="899" t="str">
        <f>TEXT('MYP Assumptions'!G61,"0.00%")&amp;", no rate change"</f>
        <v>1.45%, no rate change</v>
      </c>
      <c r="R47" s="592"/>
      <c r="S47" s="2238" t="str">
        <f t="shared" si="20"/>
        <v>0.00%</v>
      </c>
      <c r="T47" s="340">
        <f>ROUND((T41+T30)*LEFT(U47,5),0)</f>
        <v>0</v>
      </c>
      <c r="U47" s="2471" t="str">
        <f>TEXT('MYP Assumptions'!H61,"0.00%")&amp;", no rate change"</f>
        <v>1.45%, no rate change</v>
      </c>
      <c r="V47" s="952"/>
      <c r="W47" s="2241" t="str">
        <f t="shared" si="21"/>
        <v>0.00%</v>
      </c>
      <c r="X47" s="340">
        <f>ROUND((X41+X30)*LEFT(Y47,5),0)</f>
        <v>0</v>
      </c>
      <c r="Y47" s="953" t="str">
        <f>TEXT('MYP Assumptions'!I61,"0.00%")&amp;", no rate change"</f>
        <v>1.45%, no rate change</v>
      </c>
      <c r="AA47" s="456" t="str">
        <f t="shared" si="22"/>
        <v>0.00%</v>
      </c>
      <c r="AB47" s="340">
        <f>ROUND((AB41+AB30)*LEFT(AC47,5),0)</f>
        <v>0</v>
      </c>
      <c r="AC47" s="953" t="str">
        <f>TEXT('MYP Assumptions'!J61,"0.00%")&amp;", no rate change"</f>
        <v>0.00%, no rate change</v>
      </c>
    </row>
    <row r="48" spans="1:29" s="457" customFormat="1" hidden="1" x14ac:dyDescent="0.25">
      <c r="A48" s="455"/>
      <c r="B48" s="2470" t="s">
        <v>87</v>
      </c>
      <c r="C48" s="1656" t="s">
        <v>80</v>
      </c>
      <c r="D48" s="340">
        <v>0</v>
      </c>
      <c r="E48" s="899"/>
      <c r="F48" s="340"/>
      <c r="G48" s="456" t="str">
        <f t="shared" si="17"/>
        <v>0.00%</v>
      </c>
      <c r="H48" s="340">
        <f>ROUND((D48)*(LEFT(I48,5)+1),0)</f>
        <v>0</v>
      </c>
      <c r="I48" s="899" t="str">
        <f>TEXT('MYP Assumptions'!$I$68,"0.00%")&amp;", projected increase"</f>
        <v>5.00%, projected increase</v>
      </c>
      <c r="J48" s="455"/>
      <c r="K48" s="456" t="str">
        <f t="shared" si="18"/>
        <v>0.00%</v>
      </c>
      <c r="L48" s="340">
        <f>ROUND((H48)*(LEFT(M48,5)+1),0)</f>
        <v>0</v>
      </c>
      <c r="M48" s="899" t="str">
        <f>TEXT('MYP Assumptions'!$I$68,"0.00%")&amp;", projected increase"</f>
        <v>5.00%, projected increase</v>
      </c>
      <c r="O48" s="456" t="str">
        <f t="shared" si="19"/>
        <v>0.00%</v>
      </c>
      <c r="P48" s="340">
        <f>ROUND((L48)*(LEFT(Q48,5)+1),0)</f>
        <v>0</v>
      </c>
      <c r="Q48" s="899" t="str">
        <f>TEXT('MYP Assumptions'!$I$68,"0.00%")&amp;", projected increase"</f>
        <v>5.00%, projected increase</v>
      </c>
      <c r="R48" s="592"/>
      <c r="S48" s="2238" t="str">
        <f t="shared" si="20"/>
        <v>0.00%</v>
      </c>
      <c r="T48" s="340">
        <f>ROUND((P48)*(LEFT(U48,5)+1),0)</f>
        <v>0</v>
      </c>
      <c r="U48" s="2471" t="str">
        <f>TEXT('MYP Assumptions'!$I$68,"0.00%")&amp;", projected increase"</f>
        <v>5.00%, projected increase</v>
      </c>
      <c r="V48" s="952"/>
      <c r="W48" s="2241" t="str">
        <f t="shared" si="21"/>
        <v>0.00%</v>
      </c>
      <c r="X48" s="340">
        <f>ROUND((T48)*(LEFT(Y48,5)+1),0)</f>
        <v>0</v>
      </c>
      <c r="Y48" s="953" t="str">
        <f>TEXT('MYP Assumptions'!$I$68,"0.00%")&amp;", projected increase"</f>
        <v>5.00%, projected increase</v>
      </c>
      <c r="AA48" s="456" t="str">
        <f t="shared" si="22"/>
        <v>0.00%</v>
      </c>
      <c r="AB48" s="340">
        <f>ROUND((X48)*(LEFT(AC48,5)+1),0)</f>
        <v>0</v>
      </c>
      <c r="AC48" s="953" t="str">
        <f>TEXT('MYP Assumptions'!$I$68,"0.00%")&amp;", projected increase"</f>
        <v>5.00%, projected increase</v>
      </c>
    </row>
    <row r="49" spans="1:29" s="457" customFormat="1" hidden="1" x14ac:dyDescent="0.25">
      <c r="A49" s="455"/>
      <c r="B49" s="2470" t="s">
        <v>88</v>
      </c>
      <c r="C49" s="1656" t="s">
        <v>81</v>
      </c>
      <c r="D49" s="340">
        <v>0</v>
      </c>
      <c r="E49" s="899" t="str">
        <f>TEXT('MYP Assumptions'!$D$62,"0.00%")&amp;", SUI rate"</f>
        <v>0.05%, SUI rate</v>
      </c>
      <c r="F49" s="340"/>
      <c r="G49" s="456" t="str">
        <f t="shared" si="17"/>
        <v>0.00%</v>
      </c>
      <c r="H49" s="340">
        <f>ROUND((H41+H30)*LEFT(I49,5),0)</f>
        <v>0</v>
      </c>
      <c r="I49" s="899" t="str">
        <f>TEXT('MYP Assumptions'!E62,"0.00%")&amp;", no rate change"</f>
        <v>0.05%, no rate change</v>
      </c>
      <c r="J49" s="455"/>
      <c r="K49" s="456" t="str">
        <f t="shared" si="18"/>
        <v>0.00%</v>
      </c>
      <c r="L49" s="340">
        <f>ROUND((L41+L30)*LEFT(M49,5),0)</f>
        <v>0</v>
      </c>
      <c r="M49" s="899" t="str">
        <f>TEXT('MYP Assumptions'!F62,"0.00%")&amp;", no rate change"</f>
        <v>0.05%, no rate change</v>
      </c>
      <c r="O49" s="456" t="str">
        <f t="shared" si="19"/>
        <v>0.00%</v>
      </c>
      <c r="P49" s="340">
        <f>ROUND((P41+P30)*LEFT(Q49,5),0)</f>
        <v>0</v>
      </c>
      <c r="Q49" s="899" t="str">
        <f>TEXT('MYP Assumptions'!G62,"0.00%")&amp;", no rate change"</f>
        <v>0.05%, no rate change</v>
      </c>
      <c r="R49" s="592"/>
      <c r="S49" s="2238" t="str">
        <f t="shared" si="20"/>
        <v>0.00%</v>
      </c>
      <c r="T49" s="340">
        <f>ROUND((T41+T30)*LEFT(U49,5),0)</f>
        <v>0</v>
      </c>
      <c r="U49" s="2471" t="str">
        <f>TEXT('MYP Assumptions'!H62,"0.00%")&amp;", no rate change"</f>
        <v>0.05%, no rate change</v>
      </c>
      <c r="V49" s="952"/>
      <c r="W49" s="2241" t="str">
        <f t="shared" si="21"/>
        <v>0.00%</v>
      </c>
      <c r="X49" s="340">
        <f>ROUND((X41+X30)*LEFT(Y49,5),0)</f>
        <v>0</v>
      </c>
      <c r="Y49" s="953" t="str">
        <f>TEXT('MYP Assumptions'!I62,"0.00%")&amp;", no rate change"</f>
        <v>0.05%, no rate change</v>
      </c>
      <c r="AA49" s="456" t="str">
        <f t="shared" si="22"/>
        <v>0.00%</v>
      </c>
      <c r="AB49" s="340">
        <f>ROUND((AB41+AB30)*LEFT(AC49,5),0)</f>
        <v>0</v>
      </c>
      <c r="AC49" s="953" t="str">
        <f>TEXT('MYP Assumptions'!J62,"0.00%")&amp;", no rate change"</f>
        <v>0.00%, no rate change</v>
      </c>
    </row>
    <row r="50" spans="1:29" s="457" customFormat="1" hidden="1" x14ac:dyDescent="0.25">
      <c r="A50" s="455"/>
      <c r="B50" s="2470" t="s">
        <v>89</v>
      </c>
      <c r="C50" s="1656" t="s">
        <v>82</v>
      </c>
      <c r="D50" s="340">
        <v>0</v>
      </c>
      <c r="E50" s="899" t="str">
        <f>TEXT('MYP Assumptions'!$D$63,"0.00%")&amp;", W/C rate"</f>
        <v>1.10%, W/C rate</v>
      </c>
      <c r="F50" s="340"/>
      <c r="G50" s="456" t="str">
        <f t="shared" si="17"/>
        <v>0.00%</v>
      </c>
      <c r="H50" s="340">
        <f>ROUND((H41+H30)*LEFT(I50,5),0)</f>
        <v>0</v>
      </c>
      <c r="I50" s="899" t="str">
        <f>TEXT('MYP Assumptions'!E63,"0.00%")&amp;", no rate change"</f>
        <v>0.80%, no rate change</v>
      </c>
      <c r="J50" s="455"/>
      <c r="K50" s="456" t="str">
        <f t="shared" si="18"/>
        <v>0.00%</v>
      </c>
      <c r="L50" s="340">
        <f>ROUND((L41+L30)*LEFT(M50,5),0)</f>
        <v>0</v>
      </c>
      <c r="M50" s="899" t="str">
        <f>TEXT('MYP Assumptions'!F63,"0.00%")&amp;", no rate change"</f>
        <v>0.80%, no rate change</v>
      </c>
      <c r="O50" s="456" t="str">
        <f t="shared" si="19"/>
        <v>0.00%</v>
      </c>
      <c r="P50" s="340">
        <f>ROUND((P41+P30)*LEFT(Q50,5),0)</f>
        <v>0</v>
      </c>
      <c r="Q50" s="899" t="str">
        <f>TEXT('MYP Assumptions'!G63,"0.00%")&amp;", no rate change"</f>
        <v>0.80%, no rate change</v>
      </c>
      <c r="R50" s="592"/>
      <c r="S50" s="2238" t="str">
        <f t="shared" si="20"/>
        <v>0.00%</v>
      </c>
      <c r="T50" s="340">
        <f>ROUND((T41+T30)*LEFT(U50,5),0)</f>
        <v>0</v>
      </c>
      <c r="U50" s="2471" t="str">
        <f>TEXT('MYP Assumptions'!H63,"0.00%")&amp;", no rate change"</f>
        <v>0.80%, no rate change</v>
      </c>
      <c r="V50" s="952"/>
      <c r="W50" s="2241" t="str">
        <f t="shared" si="21"/>
        <v>0.00%</v>
      </c>
      <c r="X50" s="340">
        <f>ROUND((X41+X30)*LEFT(Y50,5),0)</f>
        <v>0</v>
      </c>
      <c r="Y50" s="953" t="str">
        <f>TEXT('MYP Assumptions'!I63,"0.00%")&amp;", no rate change"</f>
        <v>0.80%, no rate change</v>
      </c>
      <c r="AA50" s="456" t="str">
        <f t="shared" si="22"/>
        <v>0.00%</v>
      </c>
      <c r="AB50" s="340">
        <f>ROUND((AB41+AB30)*LEFT(AC50,5),0)</f>
        <v>0</v>
      </c>
      <c r="AC50" s="953" t="str">
        <f>TEXT('MYP Assumptions'!J63,"0.00%")&amp;", no rate change"</f>
        <v>0.00%, no rate change</v>
      </c>
    </row>
    <row r="51" spans="1:29" s="457" customFormat="1" hidden="1" x14ac:dyDescent="0.25">
      <c r="A51" s="455"/>
      <c r="B51" s="2470" t="s">
        <v>90</v>
      </c>
      <c r="C51" s="1656" t="s">
        <v>92</v>
      </c>
      <c r="D51" s="340">
        <v>0</v>
      </c>
      <c r="E51" s="2386"/>
      <c r="F51" s="340"/>
      <c r="G51" s="456" t="str">
        <f t="shared" si="17"/>
        <v>0.00%</v>
      </c>
      <c r="H51" s="340">
        <f>D51</f>
        <v>0</v>
      </c>
      <c r="I51" s="899" t="s">
        <v>165</v>
      </c>
      <c r="J51" s="455"/>
      <c r="K51" s="456" t="str">
        <f t="shared" si="18"/>
        <v>0.00%</v>
      </c>
      <c r="L51" s="340">
        <f>H51</f>
        <v>0</v>
      </c>
      <c r="M51" s="899" t="s">
        <v>165</v>
      </c>
      <c r="O51" s="456" t="str">
        <f t="shared" si="19"/>
        <v>0.00%</v>
      </c>
      <c r="P51" s="340">
        <f>L51</f>
        <v>0</v>
      </c>
      <c r="Q51" s="899" t="s">
        <v>165</v>
      </c>
      <c r="R51" s="592"/>
      <c r="S51" s="2238" t="str">
        <f t="shared" si="20"/>
        <v>0.00%</v>
      </c>
      <c r="T51" s="340">
        <f>P51</f>
        <v>0</v>
      </c>
      <c r="U51" s="2471" t="s">
        <v>165</v>
      </c>
      <c r="V51" s="952"/>
      <c r="W51" s="2241" t="str">
        <f t="shared" si="21"/>
        <v>0.00%</v>
      </c>
      <c r="X51" s="340">
        <f>T51</f>
        <v>0</v>
      </c>
      <c r="Y51" s="953" t="s">
        <v>165</v>
      </c>
      <c r="AA51" s="456" t="str">
        <f t="shared" si="22"/>
        <v>0.00%</v>
      </c>
      <c r="AB51" s="340">
        <f>X51</f>
        <v>0</v>
      </c>
      <c r="AC51" s="953" t="s">
        <v>165</v>
      </c>
    </row>
    <row r="52" spans="1:29" s="457" customFormat="1" hidden="1" x14ac:dyDescent="0.25">
      <c r="A52" s="455"/>
      <c r="B52" s="2470" t="s">
        <v>91</v>
      </c>
      <c r="C52" s="1656" t="s">
        <v>93</v>
      </c>
      <c r="D52" s="340">
        <v>0</v>
      </c>
      <c r="E52" s="2386"/>
      <c r="F52" s="340"/>
      <c r="G52" s="456" t="str">
        <f t="shared" si="17"/>
        <v>0.00%</v>
      </c>
      <c r="H52" s="340">
        <f>D52</f>
        <v>0</v>
      </c>
      <c r="I52" s="899" t="s">
        <v>165</v>
      </c>
      <c r="J52" s="455"/>
      <c r="K52" s="456" t="str">
        <f t="shared" si="18"/>
        <v>0.00%</v>
      </c>
      <c r="L52" s="340">
        <f>H52</f>
        <v>0</v>
      </c>
      <c r="M52" s="899" t="s">
        <v>165</v>
      </c>
      <c r="O52" s="456" t="str">
        <f t="shared" si="19"/>
        <v>0.00%</v>
      </c>
      <c r="P52" s="340">
        <f>L52</f>
        <v>0</v>
      </c>
      <c r="Q52" s="899" t="s">
        <v>165</v>
      </c>
      <c r="R52" s="592"/>
      <c r="S52" s="2238" t="str">
        <f t="shared" si="20"/>
        <v>0.00%</v>
      </c>
      <c r="T52" s="340">
        <f>P52</f>
        <v>0</v>
      </c>
      <c r="U52" s="2471" t="s">
        <v>165</v>
      </c>
      <c r="V52" s="952"/>
      <c r="W52" s="2241" t="str">
        <f t="shared" si="21"/>
        <v>0.00%</v>
      </c>
      <c r="X52" s="340">
        <f>T52</f>
        <v>0</v>
      </c>
      <c r="Y52" s="953" t="s">
        <v>165</v>
      </c>
      <c r="AA52" s="456" t="str">
        <f t="shared" si="22"/>
        <v>0.00%</v>
      </c>
      <c r="AB52" s="340">
        <f>X52</f>
        <v>0</v>
      </c>
      <c r="AC52" s="953" t="s">
        <v>165</v>
      </c>
    </row>
    <row r="53" spans="1:29" s="457" customFormat="1" hidden="1" x14ac:dyDescent="0.25">
      <c r="A53" s="459"/>
      <c r="B53" s="2470"/>
      <c r="C53" s="1656"/>
      <c r="D53" s="458">
        <f>SUM(D44:D52)</f>
        <v>0</v>
      </c>
      <c r="E53" s="2386"/>
      <c r="F53" s="340"/>
      <c r="G53" s="456" t="str">
        <f t="shared" si="17"/>
        <v>0.00%</v>
      </c>
      <c r="H53" s="458">
        <f>SUM(H44:H52)</f>
        <v>0</v>
      </c>
      <c r="I53" s="898"/>
      <c r="J53" s="459"/>
      <c r="K53" s="456" t="str">
        <f t="shared" si="18"/>
        <v>0.00%</v>
      </c>
      <c r="L53" s="458">
        <f>SUM(L44:L52)</f>
        <v>0</v>
      </c>
      <c r="M53" s="901"/>
      <c r="O53" s="456" t="str">
        <f t="shared" si="19"/>
        <v>0.00%</v>
      </c>
      <c r="P53" s="458">
        <f>SUM(P44:P52)</f>
        <v>0</v>
      </c>
      <c r="Q53" s="901"/>
      <c r="R53" s="592"/>
      <c r="S53" s="2238" t="str">
        <f t="shared" si="20"/>
        <v>0.00%</v>
      </c>
      <c r="T53" s="458">
        <f>SUM(T44:T52)</f>
        <v>0</v>
      </c>
      <c r="U53" s="2365"/>
      <c r="V53" s="952"/>
      <c r="W53" s="2241" t="str">
        <f t="shared" si="21"/>
        <v>0.00%</v>
      </c>
      <c r="X53" s="458">
        <f>SUM(X44:X52)</f>
        <v>0</v>
      </c>
      <c r="Y53" s="2344"/>
      <c r="AA53" s="456" t="str">
        <f t="shared" si="22"/>
        <v>0.00%</v>
      </c>
      <c r="AB53" s="458" t="e">
        <f>SUM(AB44:AB52)</f>
        <v>#VALUE!</v>
      </c>
      <c r="AC53" s="2344"/>
    </row>
    <row r="54" spans="1:29" s="457" customFormat="1" hidden="1" x14ac:dyDescent="0.25">
      <c r="A54" s="460"/>
      <c r="B54" s="2470"/>
      <c r="C54" s="1656"/>
      <c r="D54" s="340"/>
      <c r="E54" s="2386"/>
      <c r="F54" s="340"/>
      <c r="G54" s="2338"/>
      <c r="H54" s="340"/>
      <c r="I54" s="897"/>
      <c r="J54" s="455"/>
      <c r="K54" s="1668"/>
      <c r="L54" s="340"/>
      <c r="M54" s="901"/>
      <c r="O54" s="1668"/>
      <c r="P54" s="340"/>
      <c r="Q54" s="901"/>
      <c r="R54" s="592"/>
      <c r="S54" s="2341"/>
      <c r="T54" s="340"/>
      <c r="U54" s="2365"/>
      <c r="V54" s="952"/>
      <c r="W54" s="2343"/>
      <c r="X54" s="340"/>
      <c r="Y54" s="2344"/>
      <c r="AA54" s="1668"/>
      <c r="AB54" s="340"/>
      <c r="AC54" s="2344"/>
    </row>
    <row r="55" spans="1:29" s="457" customFormat="1" hidden="1" x14ac:dyDescent="0.25">
      <c r="A55" s="459"/>
      <c r="B55" s="2468" t="s">
        <v>26</v>
      </c>
      <c r="C55" s="1656"/>
      <c r="D55" s="458">
        <f>SUM(D53,D41,D30)</f>
        <v>0</v>
      </c>
      <c r="E55" s="2386"/>
      <c r="F55" s="340"/>
      <c r="G55" s="456" t="str">
        <f>IF(D55=0,"0.00%",(H55-D55)/D55)</f>
        <v>0.00%</v>
      </c>
      <c r="H55" s="458">
        <f>SUM(H53,H41,H30)</f>
        <v>0</v>
      </c>
      <c r="I55" s="898"/>
      <c r="J55" s="459"/>
      <c r="K55" s="456" t="str">
        <f>IF(H55=0,"0.00%",(L55-H55)/H55)</f>
        <v>0.00%</v>
      </c>
      <c r="L55" s="458">
        <f>SUM(L53,L41,L30)</f>
        <v>0</v>
      </c>
      <c r="M55" s="901"/>
      <c r="O55" s="456" t="str">
        <f>IF(L55=0,"0.00%",(P55-L55)/L55)</f>
        <v>0.00%</v>
      </c>
      <c r="P55" s="458">
        <f>SUM(P53,P41,P30)</f>
        <v>0</v>
      </c>
      <c r="Q55" s="901"/>
      <c r="R55" s="592"/>
      <c r="S55" s="2238" t="str">
        <f>IF(P55=0,"0.00%",(T55-P55)/P55)</f>
        <v>0.00%</v>
      </c>
      <c r="T55" s="458">
        <f>SUM(T53,T41,T30)</f>
        <v>0</v>
      </c>
      <c r="U55" s="2365"/>
      <c r="V55" s="952"/>
      <c r="W55" s="2241" t="str">
        <f>IF(T55=0,"0.00%",(X55-T55)/T55)</f>
        <v>0.00%</v>
      </c>
      <c r="X55" s="458">
        <f>SUM(X53,X41,X30)</f>
        <v>0</v>
      </c>
      <c r="Y55" s="2344"/>
      <c r="AA55" s="456" t="str">
        <f>IF(X55=0,"0.00%",(AB55-X55)/X55)</f>
        <v>0.00%</v>
      </c>
      <c r="AB55" s="458" t="e">
        <f>SUM(AB53,AB41,AB30)</f>
        <v>#VALUE!</v>
      </c>
      <c r="AC55" s="2344"/>
    </row>
    <row r="56" spans="1:29" s="457" customFormat="1" hidden="1" x14ac:dyDescent="0.25">
      <c r="A56" s="592"/>
      <c r="B56" s="2432"/>
      <c r="C56" s="1656"/>
      <c r="D56" s="340"/>
      <c r="E56" s="2386"/>
      <c r="F56" s="340"/>
      <c r="G56" s="2338"/>
      <c r="H56" s="340"/>
      <c r="I56" s="897"/>
      <c r="J56" s="455"/>
      <c r="K56" s="1668"/>
      <c r="L56" s="340"/>
      <c r="M56" s="901"/>
      <c r="O56" s="1668"/>
      <c r="P56" s="340"/>
      <c r="Q56" s="901"/>
      <c r="R56" s="592"/>
      <c r="S56" s="2341"/>
      <c r="T56" s="340"/>
      <c r="U56" s="2365"/>
      <c r="V56" s="952"/>
      <c r="W56" s="2343"/>
      <c r="X56" s="340"/>
      <c r="Y56" s="2344"/>
      <c r="AA56" s="1668"/>
      <c r="AB56" s="340"/>
      <c r="AC56" s="2344"/>
    </row>
    <row r="57" spans="1:29" s="457" customFormat="1" x14ac:dyDescent="0.25">
      <c r="A57" s="455"/>
      <c r="B57" s="2432"/>
      <c r="C57" s="1656"/>
      <c r="D57" s="340"/>
      <c r="E57" s="2386"/>
      <c r="F57" s="340"/>
      <c r="G57" s="2338"/>
      <c r="H57" s="340"/>
      <c r="I57" s="897"/>
      <c r="J57" s="455"/>
      <c r="K57" s="1668"/>
      <c r="L57" s="340"/>
      <c r="M57" s="901"/>
      <c r="O57" s="1668"/>
      <c r="P57" s="340"/>
      <c r="Q57" s="901"/>
      <c r="R57" s="592"/>
      <c r="S57" s="2341"/>
      <c r="T57" s="340"/>
      <c r="U57" s="2365"/>
      <c r="V57" s="952"/>
      <c r="W57" s="2343"/>
      <c r="X57" s="340"/>
      <c r="Y57" s="2344"/>
      <c r="AA57" s="1668"/>
      <c r="AB57" s="340"/>
      <c r="AC57" s="2344"/>
    </row>
    <row r="58" spans="1:29" s="457" customFormat="1" x14ac:dyDescent="0.25">
      <c r="A58" s="592"/>
      <c r="B58" s="2472" t="s">
        <v>25</v>
      </c>
      <c r="C58" s="900"/>
      <c r="D58" s="340"/>
      <c r="E58" s="2386"/>
      <c r="F58" s="340"/>
      <c r="G58" s="2338"/>
      <c r="H58" s="340"/>
      <c r="I58" s="897"/>
      <c r="J58" s="455"/>
      <c r="K58" s="1668"/>
      <c r="L58" s="340"/>
      <c r="M58" s="901"/>
      <c r="O58" s="1668"/>
      <c r="P58" s="340"/>
      <c r="Q58" s="901"/>
      <c r="R58" s="592"/>
      <c r="S58" s="2341"/>
      <c r="T58" s="340"/>
      <c r="U58" s="2342"/>
      <c r="V58" s="952"/>
      <c r="W58" s="2343"/>
      <c r="X58" s="340"/>
      <c r="Y58" s="2344"/>
      <c r="AA58" s="1668"/>
      <c r="AB58" s="340"/>
      <c r="AC58" s="2344"/>
    </row>
    <row r="59" spans="1:29" s="457" customFormat="1" hidden="1" x14ac:dyDescent="0.25">
      <c r="A59" s="455"/>
      <c r="B59" s="2470" t="s">
        <v>24</v>
      </c>
      <c r="C59" s="1656" t="s">
        <v>23</v>
      </c>
      <c r="D59" s="340">
        <v>0</v>
      </c>
      <c r="E59" s="2386"/>
      <c r="F59" s="340"/>
      <c r="G59" s="456" t="str">
        <f t="shared" ref="G59:G66" si="23">IF(D59=0,"0.00%",(H59-D59)/D59)</f>
        <v>0.00%</v>
      </c>
      <c r="H59" s="340">
        <f t="shared" ref="H59:H65" si="24">ROUND(D59*(LEFT(I59,5)+1),0)</f>
        <v>0</v>
      </c>
      <c r="I59" s="899" t="str">
        <f>TEXT('MYP Assumptions'!E78,"0.00%")&amp;", CPI"</f>
        <v>3.37%, CPI</v>
      </c>
      <c r="J59" s="455"/>
      <c r="K59" s="456" t="str">
        <f t="shared" ref="K59:K66" si="25">IF(H59=0,"0.00%",(L59-H59)/H59)</f>
        <v>0.00%</v>
      </c>
      <c r="L59" s="340">
        <f>ROUND(H59*(LEFT(M59,5)+1),0)</f>
        <v>0</v>
      </c>
      <c r="M59" s="899" t="str">
        <f>TEXT('MYP Assumptions'!F78,"0.00%")&amp;", CPI"</f>
        <v>3.58%, CPI</v>
      </c>
      <c r="O59" s="456" t="str">
        <f t="shared" ref="O59:O66" si="26">IF(L59=0,"0.00%",(P59-L59)/L59)</f>
        <v>0.00%</v>
      </c>
      <c r="P59" s="340">
        <f>ROUND(L59*(LEFT(Q59,5)+1),0)</f>
        <v>0</v>
      </c>
      <c r="Q59" s="899" t="str">
        <f>TEXT('MYP Assumptions'!G78,"0.00%")&amp;", CPI"</f>
        <v>3.36%, CPI</v>
      </c>
      <c r="R59" s="592"/>
      <c r="S59" s="2238" t="str">
        <f t="shared" ref="S59:S66" si="27">IF(P59=0,"0.00%",(T59-P59)/P59)</f>
        <v>0.00%</v>
      </c>
      <c r="T59" s="340">
        <f>ROUND(P59*(LEFT(U59,5)+1),0)</f>
        <v>0</v>
      </c>
      <c r="U59" s="2254" t="str">
        <f>TEXT('MYP Assumptions'!H78,"0.00%")&amp;", CPI"</f>
        <v>3.23%, CPI</v>
      </c>
      <c r="V59" s="952"/>
      <c r="W59" s="2241" t="str">
        <f t="shared" ref="W59:W66" si="28">IF(T59=0,"0.00%",(X59-T59)/T59)</f>
        <v>0.00%</v>
      </c>
      <c r="X59" s="340">
        <f>ROUND(T59*(LEFT(Y59,5)+1),0)</f>
        <v>0</v>
      </c>
      <c r="Y59" s="953" t="str">
        <f>TEXT('MYP Assumptions'!I78,"0.00%")&amp;", CPI"</f>
        <v>2.73%, CPI</v>
      </c>
      <c r="AA59" s="456" t="str">
        <f t="shared" ref="AA59:AA66" si="29">IF(X59=0,"0.00%",(AB59-X59)/X59)</f>
        <v>0.00%</v>
      </c>
      <c r="AB59" s="340">
        <f>ROUND(X59*(LEFT(AC59,5)+1),0)</f>
        <v>0</v>
      </c>
      <c r="AC59" s="953" t="str">
        <f>TEXT('MYP Assumptions'!J78,"0.00%")&amp;", CPI"</f>
        <v>2.73%, CPI</v>
      </c>
    </row>
    <row r="60" spans="1:29" s="457" customFormat="1" hidden="1" x14ac:dyDescent="0.25">
      <c r="A60" s="455"/>
      <c r="B60" s="2470" t="s">
        <v>94</v>
      </c>
      <c r="C60" s="1656" t="s">
        <v>96</v>
      </c>
      <c r="D60" s="340">
        <v>0</v>
      </c>
      <c r="E60" s="2386"/>
      <c r="F60" s="340"/>
      <c r="G60" s="456" t="str">
        <f t="shared" si="23"/>
        <v>0.00%</v>
      </c>
      <c r="H60" s="340">
        <f t="shared" si="24"/>
        <v>0</v>
      </c>
      <c r="I60" s="899" t="str">
        <f>TEXT('MYP Assumptions'!E78,"0.00%")&amp;", CPI"</f>
        <v>3.37%, CPI</v>
      </c>
      <c r="J60" s="455"/>
      <c r="K60" s="456" t="str">
        <f t="shared" si="25"/>
        <v>0.00%</v>
      </c>
      <c r="L60" s="340">
        <f t="shared" ref="L60:L65" si="30">ROUND(H60*(LEFT(M60,5)+1),0)</f>
        <v>0</v>
      </c>
      <c r="M60" s="899" t="str">
        <f>TEXT('MYP Assumptions'!F78,"0.00%")&amp;", CPI"</f>
        <v>3.58%, CPI</v>
      </c>
      <c r="O60" s="456" t="str">
        <f t="shared" si="26"/>
        <v>0.00%</v>
      </c>
      <c r="P60" s="340">
        <f t="shared" ref="P60:P65" si="31">ROUND(L60*(LEFT(Q60,5)+1),0)</f>
        <v>0</v>
      </c>
      <c r="Q60" s="899" t="str">
        <f>TEXT('MYP Assumptions'!G78,"0.00%")&amp;", CPI"</f>
        <v>3.36%, CPI</v>
      </c>
      <c r="R60" s="592"/>
      <c r="S60" s="2238" t="str">
        <f t="shared" si="27"/>
        <v>0.00%</v>
      </c>
      <c r="T60" s="340">
        <f t="shared" ref="T60:T65" si="32">ROUND(P60*(LEFT(U60,5)+1),0)</f>
        <v>0</v>
      </c>
      <c r="U60" s="2254" t="str">
        <f>TEXT('MYP Assumptions'!H78,"0.00%")&amp;", CPI"</f>
        <v>3.23%, CPI</v>
      </c>
      <c r="V60" s="952"/>
      <c r="W60" s="2241" t="str">
        <f t="shared" si="28"/>
        <v>0.00%</v>
      </c>
      <c r="X60" s="340">
        <f t="shared" ref="X60:X65" si="33">ROUND(T60*(LEFT(Y60,5)+1),0)</f>
        <v>0</v>
      </c>
      <c r="Y60" s="953" t="str">
        <f>TEXT('MYP Assumptions'!I78,"0.00%")&amp;", CPI"</f>
        <v>2.73%, CPI</v>
      </c>
      <c r="AA60" s="456" t="str">
        <f t="shared" si="29"/>
        <v>0.00%</v>
      </c>
      <c r="AB60" s="340">
        <f t="shared" ref="AB60:AB65" si="34">ROUND(X60*(LEFT(AC60,5)+1),0)</f>
        <v>0</v>
      </c>
      <c r="AC60" s="953" t="str">
        <f>TEXT('MYP Assumptions'!J78,"0.00%")&amp;", CPI"</f>
        <v>2.73%, CPI</v>
      </c>
    </row>
    <row r="61" spans="1:29" s="457" customFormat="1" hidden="1" x14ac:dyDescent="0.25">
      <c r="A61" s="455"/>
      <c r="B61" s="2470" t="s">
        <v>95</v>
      </c>
      <c r="C61" s="1656" t="s">
        <v>97</v>
      </c>
      <c r="D61" s="340">
        <v>0</v>
      </c>
      <c r="E61" s="2386"/>
      <c r="F61" s="340"/>
      <c r="G61" s="456" t="str">
        <f t="shared" si="23"/>
        <v>0.00%</v>
      </c>
      <c r="H61" s="340">
        <f t="shared" si="24"/>
        <v>0</v>
      </c>
      <c r="I61" s="899" t="str">
        <f>TEXT('MYP Assumptions'!E78,"0.00%")&amp;", CPI"</f>
        <v>3.37%, CPI</v>
      </c>
      <c r="J61" s="455"/>
      <c r="K61" s="456" t="str">
        <f t="shared" si="25"/>
        <v>0.00%</v>
      </c>
      <c r="L61" s="340">
        <f t="shared" si="30"/>
        <v>0</v>
      </c>
      <c r="M61" s="899" t="str">
        <f>TEXT('MYP Assumptions'!F78,"0.00%")&amp;", CPI"</f>
        <v>3.58%, CPI</v>
      </c>
      <c r="O61" s="456" t="str">
        <f t="shared" si="26"/>
        <v>0.00%</v>
      </c>
      <c r="P61" s="340">
        <f t="shared" si="31"/>
        <v>0</v>
      </c>
      <c r="Q61" s="899" t="str">
        <f>TEXT('MYP Assumptions'!G78,"0.00%")&amp;", CPI"</f>
        <v>3.36%, CPI</v>
      </c>
      <c r="R61" s="592"/>
      <c r="S61" s="2238" t="str">
        <f t="shared" si="27"/>
        <v>0.00%</v>
      </c>
      <c r="T61" s="340">
        <f t="shared" si="32"/>
        <v>0</v>
      </c>
      <c r="U61" s="2254" t="str">
        <f>TEXT('MYP Assumptions'!H78,"0.00%")&amp;", CPI"</f>
        <v>3.23%, CPI</v>
      </c>
      <c r="V61" s="952"/>
      <c r="W61" s="2241" t="str">
        <f t="shared" si="28"/>
        <v>0.00%</v>
      </c>
      <c r="X61" s="340">
        <f t="shared" si="33"/>
        <v>0</v>
      </c>
      <c r="Y61" s="953" t="str">
        <f>TEXT('MYP Assumptions'!I78,"0.00%")&amp;", CPI"</f>
        <v>2.73%, CPI</v>
      </c>
      <c r="AA61" s="456" t="str">
        <f t="shared" si="29"/>
        <v>0.00%</v>
      </c>
      <c r="AB61" s="340">
        <f t="shared" si="34"/>
        <v>0</v>
      </c>
      <c r="AC61" s="953" t="str">
        <f>TEXT('MYP Assumptions'!J78,"0.00%")&amp;", CPI"</f>
        <v>2.73%, CPI</v>
      </c>
    </row>
    <row r="62" spans="1:29" s="457" customFormat="1" x14ac:dyDescent="0.25">
      <c r="A62" s="455"/>
      <c r="B62" s="2470" t="s">
        <v>22</v>
      </c>
      <c r="C62" s="1656" t="s">
        <v>21</v>
      </c>
      <c r="D62" s="340">
        <v>674.79</v>
      </c>
      <c r="E62" s="2386"/>
      <c r="F62" s="340"/>
      <c r="G62" s="456">
        <f t="shared" si="23"/>
        <v>1.9638850605373526</v>
      </c>
      <c r="H62" s="340">
        <v>2000</v>
      </c>
      <c r="I62" s="899"/>
      <c r="J62" s="455"/>
      <c r="K62" s="456">
        <f t="shared" si="25"/>
        <v>4</v>
      </c>
      <c r="L62" s="340">
        <v>10000</v>
      </c>
      <c r="M62" s="899"/>
      <c r="O62" s="456">
        <f t="shared" si="26"/>
        <v>0</v>
      </c>
      <c r="P62" s="340">
        <f>L62</f>
        <v>10000</v>
      </c>
      <c r="Q62" s="899"/>
      <c r="R62" s="592"/>
      <c r="S62" s="2238">
        <f t="shared" si="27"/>
        <v>0</v>
      </c>
      <c r="T62" s="340">
        <f>P62</f>
        <v>10000</v>
      </c>
      <c r="U62" s="2254"/>
      <c r="V62" s="952"/>
      <c r="W62" s="2241">
        <f t="shared" si="28"/>
        <v>2.7300000000000001E-2</v>
      </c>
      <c r="X62" s="340">
        <f t="shared" si="33"/>
        <v>10273</v>
      </c>
      <c r="Y62" s="953" t="str">
        <f>TEXT('MYP Assumptions'!I78,"0.00%")&amp;", CPI"</f>
        <v>2.73%, CPI</v>
      </c>
      <c r="AA62" s="456">
        <f t="shared" si="29"/>
        <v>2.7255913559816995E-2</v>
      </c>
      <c r="AB62" s="340">
        <f t="shared" si="34"/>
        <v>10553</v>
      </c>
      <c r="AC62" s="953" t="str">
        <f>TEXT('MYP Assumptions'!J78,"0.00%")&amp;", CPI"</f>
        <v>2.73%, CPI</v>
      </c>
    </row>
    <row r="63" spans="1:29" s="457" customFormat="1" hidden="1" x14ac:dyDescent="0.25">
      <c r="A63" s="455"/>
      <c r="B63" s="2470" t="s">
        <v>20</v>
      </c>
      <c r="C63" s="1656" t="s">
        <v>19</v>
      </c>
      <c r="D63" s="340">
        <v>0</v>
      </c>
      <c r="E63" s="2386"/>
      <c r="F63" s="340"/>
      <c r="G63" s="456" t="str">
        <f t="shared" si="23"/>
        <v>0.00%</v>
      </c>
      <c r="H63" s="340">
        <f t="shared" si="24"/>
        <v>0</v>
      </c>
      <c r="I63" s="899" t="str">
        <f>TEXT('MYP Assumptions'!E78,"0.00%")&amp;", CPI"</f>
        <v>3.37%, CPI</v>
      </c>
      <c r="J63" s="455"/>
      <c r="K63" s="456" t="str">
        <f t="shared" si="25"/>
        <v>0.00%</v>
      </c>
      <c r="L63" s="340">
        <f t="shared" si="30"/>
        <v>0</v>
      </c>
      <c r="M63" s="899" t="str">
        <f>TEXT('MYP Assumptions'!F78,"0.00%")&amp;", CPI"</f>
        <v>3.58%, CPI</v>
      </c>
      <c r="O63" s="456" t="str">
        <f t="shared" si="26"/>
        <v>0.00%</v>
      </c>
      <c r="P63" s="340">
        <f t="shared" si="31"/>
        <v>0</v>
      </c>
      <c r="Q63" s="899" t="str">
        <f>TEXT('MYP Assumptions'!G78,"0.00%")&amp;", CPI"</f>
        <v>3.36%, CPI</v>
      </c>
      <c r="R63" s="592"/>
      <c r="S63" s="2238" t="str">
        <f t="shared" si="27"/>
        <v>0.00%</v>
      </c>
      <c r="T63" s="340">
        <f t="shared" si="32"/>
        <v>0</v>
      </c>
      <c r="U63" s="2254" t="str">
        <f>TEXT('MYP Assumptions'!H78,"0.00%")&amp;", CPI"</f>
        <v>3.23%, CPI</v>
      </c>
      <c r="V63" s="952"/>
      <c r="W63" s="2241" t="str">
        <f t="shared" si="28"/>
        <v>0.00%</v>
      </c>
      <c r="X63" s="340">
        <f t="shared" si="33"/>
        <v>0</v>
      </c>
      <c r="Y63" s="953" t="str">
        <f>TEXT('MYP Assumptions'!I78,"0.00%")&amp;", CPI"</f>
        <v>2.73%, CPI</v>
      </c>
      <c r="AA63" s="456" t="str">
        <f t="shared" si="29"/>
        <v>0.00%</v>
      </c>
      <c r="AB63" s="340">
        <f t="shared" si="34"/>
        <v>0</v>
      </c>
      <c r="AC63" s="953" t="str">
        <f>TEXT('MYP Assumptions'!J78,"0.00%")&amp;", CPI"</f>
        <v>2.73%, CPI</v>
      </c>
    </row>
    <row r="64" spans="1:29" s="457" customFormat="1" hidden="1" x14ac:dyDescent="0.25">
      <c r="A64" s="455"/>
      <c r="B64" s="2470" t="s">
        <v>18</v>
      </c>
      <c r="C64" s="1656" t="s">
        <v>17</v>
      </c>
      <c r="D64" s="340">
        <v>0</v>
      </c>
      <c r="E64" s="2386"/>
      <c r="F64" s="340"/>
      <c r="G64" s="456" t="str">
        <f t="shared" si="23"/>
        <v>0.00%</v>
      </c>
      <c r="H64" s="340">
        <f t="shared" si="24"/>
        <v>0</v>
      </c>
      <c r="I64" s="899" t="str">
        <f>TEXT('MYP Assumptions'!E78,"0.00%")&amp;", CPI"</f>
        <v>3.37%, CPI</v>
      </c>
      <c r="J64" s="455"/>
      <c r="K64" s="456" t="str">
        <f t="shared" si="25"/>
        <v>0.00%</v>
      </c>
      <c r="L64" s="340">
        <f t="shared" si="30"/>
        <v>0</v>
      </c>
      <c r="M64" s="899" t="str">
        <f>TEXT('MYP Assumptions'!F78,"0.00%")&amp;", CPI"</f>
        <v>3.58%, CPI</v>
      </c>
      <c r="O64" s="456" t="str">
        <f t="shared" si="26"/>
        <v>0.00%</v>
      </c>
      <c r="P64" s="340">
        <f t="shared" si="31"/>
        <v>0</v>
      </c>
      <c r="Q64" s="899" t="str">
        <f>TEXT('MYP Assumptions'!G78,"0.00%")&amp;", CPI"</f>
        <v>3.36%, CPI</v>
      </c>
      <c r="R64" s="592"/>
      <c r="S64" s="2238" t="str">
        <f t="shared" si="27"/>
        <v>0.00%</v>
      </c>
      <c r="T64" s="340">
        <f t="shared" si="32"/>
        <v>0</v>
      </c>
      <c r="U64" s="2254" t="str">
        <f>TEXT('MYP Assumptions'!H78,"0.00%")&amp;", CPI"</f>
        <v>3.23%, CPI</v>
      </c>
      <c r="V64" s="952"/>
      <c r="W64" s="2241" t="str">
        <f t="shared" si="28"/>
        <v>0.00%</v>
      </c>
      <c r="X64" s="340">
        <f t="shared" si="33"/>
        <v>0</v>
      </c>
      <c r="Y64" s="953" t="str">
        <f>TEXT('MYP Assumptions'!I78,"0.00%")&amp;", CPI"</f>
        <v>2.73%, CPI</v>
      </c>
      <c r="AA64" s="456" t="str">
        <f t="shared" si="29"/>
        <v>0.00%</v>
      </c>
      <c r="AB64" s="340">
        <f t="shared" si="34"/>
        <v>0</v>
      </c>
      <c r="AC64" s="953" t="str">
        <f>TEXT('MYP Assumptions'!J78,"0.00%")&amp;", CPI"</f>
        <v>2.73%, CPI</v>
      </c>
    </row>
    <row r="65" spans="1:29" s="457" customFormat="1" hidden="1" x14ac:dyDescent="0.25">
      <c r="A65" s="455"/>
      <c r="B65" s="2470">
        <v>4000</v>
      </c>
      <c r="C65" s="2348">
        <v>0</v>
      </c>
      <c r="D65" s="340">
        <v>0</v>
      </c>
      <c r="E65" s="2386"/>
      <c r="F65" s="340"/>
      <c r="G65" s="456" t="str">
        <f t="shared" si="23"/>
        <v>0.00%</v>
      </c>
      <c r="H65" s="340">
        <f t="shared" si="24"/>
        <v>0</v>
      </c>
      <c r="I65" s="899" t="str">
        <f>TEXT('MYP Assumptions'!E78,"0.00%")&amp;", CPI"</f>
        <v>3.37%, CPI</v>
      </c>
      <c r="J65" s="455"/>
      <c r="K65" s="456" t="str">
        <f t="shared" si="25"/>
        <v>0.00%</v>
      </c>
      <c r="L65" s="340">
        <f t="shared" si="30"/>
        <v>0</v>
      </c>
      <c r="M65" s="899" t="str">
        <f>TEXT('MYP Assumptions'!F78,"0.00%")&amp;", CPI"</f>
        <v>3.58%, CPI</v>
      </c>
      <c r="O65" s="456" t="str">
        <f t="shared" si="26"/>
        <v>0.00%</v>
      </c>
      <c r="P65" s="340">
        <f t="shared" si="31"/>
        <v>0</v>
      </c>
      <c r="Q65" s="899" t="str">
        <f>TEXT('MYP Assumptions'!G78,"0.00%")&amp;", CPI"</f>
        <v>3.36%, CPI</v>
      </c>
      <c r="R65" s="592"/>
      <c r="S65" s="2238" t="str">
        <f t="shared" si="27"/>
        <v>0.00%</v>
      </c>
      <c r="T65" s="340">
        <f t="shared" si="32"/>
        <v>0</v>
      </c>
      <c r="U65" s="2254" t="str">
        <f>TEXT('MYP Assumptions'!H78,"0.00%")&amp;", CPI"</f>
        <v>3.23%, CPI</v>
      </c>
      <c r="V65" s="952"/>
      <c r="W65" s="2241" t="str">
        <f t="shared" si="28"/>
        <v>0.00%</v>
      </c>
      <c r="X65" s="340">
        <f t="shared" si="33"/>
        <v>0</v>
      </c>
      <c r="Y65" s="953" t="str">
        <f>TEXT('MYP Assumptions'!I78,"0.00%")&amp;", CPI"</f>
        <v>2.73%, CPI</v>
      </c>
      <c r="AA65" s="456" t="str">
        <f t="shared" si="29"/>
        <v>0.00%</v>
      </c>
      <c r="AB65" s="340">
        <f t="shared" si="34"/>
        <v>0</v>
      </c>
      <c r="AC65" s="953" t="str">
        <f>TEXT('MYP Assumptions'!J78,"0.00%")&amp;", CPI"</f>
        <v>2.73%, CPI</v>
      </c>
    </row>
    <row r="66" spans="1:29" s="457" customFormat="1" x14ac:dyDescent="0.25">
      <c r="A66" s="459"/>
      <c r="B66" s="1656"/>
      <c r="C66" s="1656"/>
      <c r="D66" s="458">
        <f>SUM(D59:D65)</f>
        <v>674.79</v>
      </c>
      <c r="E66" s="2386"/>
      <c r="F66" s="340"/>
      <c r="G66" s="456">
        <f t="shared" si="23"/>
        <v>1.9638850605373526</v>
      </c>
      <c r="H66" s="458">
        <f>SUM(H59:H65)</f>
        <v>2000</v>
      </c>
      <c r="I66" s="2316">
        <f>+H66-D66</f>
        <v>1325.21</v>
      </c>
      <c r="J66" s="459"/>
      <c r="K66" s="456">
        <f t="shared" si="25"/>
        <v>4</v>
      </c>
      <c r="L66" s="458">
        <f>SUM(L59:L65)</f>
        <v>10000</v>
      </c>
      <c r="M66" s="2316">
        <f>+L66-H66</f>
        <v>8000</v>
      </c>
      <c r="O66" s="456">
        <f t="shared" si="26"/>
        <v>0</v>
      </c>
      <c r="P66" s="458">
        <f>SUM(P59:P65)</f>
        <v>10000</v>
      </c>
      <c r="Q66" s="2316">
        <f>+P66-L66</f>
        <v>0</v>
      </c>
      <c r="R66" s="592"/>
      <c r="S66" s="2238">
        <f t="shared" si="27"/>
        <v>0</v>
      </c>
      <c r="T66" s="458">
        <f>SUM(T59:T65)</f>
        <v>10000</v>
      </c>
      <c r="U66" s="2342"/>
      <c r="V66" s="952"/>
      <c r="W66" s="2241">
        <f t="shared" si="28"/>
        <v>2.7300000000000001E-2</v>
      </c>
      <c r="X66" s="458">
        <f>SUM(X59:X65)</f>
        <v>10273</v>
      </c>
      <c r="Y66" s="2344"/>
      <c r="AA66" s="456">
        <f t="shared" si="29"/>
        <v>2.7255913559816995E-2</v>
      </c>
      <c r="AB66" s="458">
        <f>SUM(AB59:AB65)</f>
        <v>10553</v>
      </c>
      <c r="AC66" s="2344"/>
    </row>
    <row r="67" spans="1:29" s="457" customFormat="1" x14ac:dyDescent="0.25">
      <c r="A67" s="455"/>
      <c r="B67" s="2432"/>
      <c r="C67" s="1656"/>
      <c r="D67" s="340"/>
      <c r="E67" s="2386"/>
      <c r="F67" s="340"/>
      <c r="G67" s="2338"/>
      <c r="H67" s="340"/>
      <c r="I67" s="897"/>
      <c r="J67" s="455"/>
      <c r="K67" s="1668"/>
      <c r="L67" s="340"/>
      <c r="M67" s="901"/>
      <c r="O67" s="1668"/>
      <c r="P67" s="340"/>
      <c r="Q67" s="901"/>
      <c r="R67" s="592"/>
      <c r="S67" s="2341"/>
      <c r="T67" s="340"/>
      <c r="U67" s="2342"/>
      <c r="V67" s="952"/>
      <c r="W67" s="2343"/>
      <c r="X67" s="340"/>
      <c r="Y67" s="2344"/>
      <c r="AA67" s="1668"/>
      <c r="AB67" s="340"/>
      <c r="AC67" s="2344"/>
    </row>
    <row r="68" spans="1:29" s="461" customFormat="1" x14ac:dyDescent="0.25">
      <c r="B68" s="2468" t="s">
        <v>16</v>
      </c>
      <c r="C68" s="900"/>
      <c r="D68" s="460"/>
      <c r="E68" s="868"/>
      <c r="F68" s="460"/>
      <c r="G68" s="2389"/>
      <c r="H68" s="460"/>
      <c r="I68" s="900"/>
      <c r="K68" s="1669"/>
      <c r="L68" s="460"/>
      <c r="M68" s="902"/>
      <c r="O68" s="1669"/>
      <c r="P68" s="460"/>
      <c r="Q68" s="902"/>
      <c r="S68" s="1669"/>
      <c r="U68" s="2391"/>
      <c r="V68" s="2381"/>
      <c r="W68" s="2382"/>
      <c r="Y68" s="2392"/>
      <c r="AA68" s="1669"/>
      <c r="AC68" s="2392"/>
    </row>
    <row r="69" spans="1:29" s="457" customFormat="1" hidden="1" x14ac:dyDescent="0.25">
      <c r="A69" s="455"/>
      <c r="B69" s="2470" t="s">
        <v>15</v>
      </c>
      <c r="C69" s="1656" t="s">
        <v>14</v>
      </c>
      <c r="D69" s="340">
        <v>0</v>
      </c>
      <c r="E69" s="2386"/>
      <c r="F69" s="340"/>
      <c r="G69" s="456" t="str">
        <f t="shared" ref="G69:G74" si="35">IF(D69=0,"0.00%",(H69-D69)/D69)</f>
        <v>0.00%</v>
      </c>
      <c r="H69" s="340">
        <f>ROUND(D69*(LEFT(I69,5)+1),0)</f>
        <v>0</v>
      </c>
      <c r="I69" s="899" t="str">
        <f>TEXT('MYP Assumptions'!E78,"0.00%")&amp;", CPI"</f>
        <v>3.37%, CPI</v>
      </c>
      <c r="J69" s="455"/>
      <c r="K69" s="456" t="str">
        <f t="shared" ref="K69:K82" si="36">IF(H69=0,"0.00%",(L69-H69)/H69)</f>
        <v>0.00%</v>
      </c>
      <c r="L69" s="340">
        <f>ROUND(H69*(LEFT(M69,5)+1),0)</f>
        <v>0</v>
      </c>
      <c r="M69" s="899" t="str">
        <f>TEXT('MYP Assumptions'!F78,"0.00%")&amp;", CPI"</f>
        <v>3.58%, CPI</v>
      </c>
      <c r="O69" s="456" t="str">
        <f t="shared" ref="O69:O82" si="37">IF(L69=0,"0.00%",(P69-L69)/L69)</f>
        <v>0.00%</v>
      </c>
      <c r="P69" s="340">
        <f>ROUND(L69*(LEFT(Q69,5)+1),0)</f>
        <v>0</v>
      </c>
      <c r="Q69" s="899" t="str">
        <f>TEXT('MYP Assumptions'!G78,"0.00%")&amp;", CPI"</f>
        <v>3.36%, CPI</v>
      </c>
      <c r="R69" s="592"/>
      <c r="S69" s="2238" t="str">
        <f t="shared" ref="S69:S82" si="38">IF(P69=0,"0.00%",(T69-P69)/P69)</f>
        <v>0.00%</v>
      </c>
      <c r="T69" s="340">
        <f>ROUND(P69*(LEFT(U69,5)+1),0)</f>
        <v>0</v>
      </c>
      <c r="U69" s="2254" t="str">
        <f>TEXT('MYP Assumptions'!H78,"0.00%")&amp;", CPI"</f>
        <v>3.23%, CPI</v>
      </c>
      <c r="V69" s="952"/>
      <c r="W69" s="2241" t="str">
        <f t="shared" ref="W69:W82" si="39">IF(T69=0,"0.00%",(X69-T69)/T69)</f>
        <v>0.00%</v>
      </c>
      <c r="X69" s="340">
        <f>ROUND(T69*(LEFT(Y69,5)+1),0)</f>
        <v>0</v>
      </c>
      <c r="Y69" s="953" t="str">
        <f>TEXT('MYP Assumptions'!I78,"0.00%")&amp;", CPI"</f>
        <v>2.73%, CPI</v>
      </c>
      <c r="AA69" s="456" t="str">
        <f t="shared" ref="AA69:AA82" si="40">IF(X69=0,"0.00%",(AB69-X69)/X69)</f>
        <v>0.00%</v>
      </c>
      <c r="AB69" s="340">
        <f>ROUND(X69*(LEFT(AC69,5)+1),0)</f>
        <v>0</v>
      </c>
      <c r="AC69" s="953" t="str">
        <f>TEXT('MYP Assumptions'!J78,"0.00%")&amp;", CPI"</f>
        <v>2.73%, CPI</v>
      </c>
    </row>
    <row r="70" spans="1:29" s="457" customFormat="1" hidden="1" x14ac:dyDescent="0.25">
      <c r="A70" s="455"/>
      <c r="B70" s="2470" t="s">
        <v>13</v>
      </c>
      <c r="C70" s="1656" t="s">
        <v>12</v>
      </c>
      <c r="D70" s="340">
        <v>0</v>
      </c>
      <c r="E70" s="2386"/>
      <c r="F70" s="340"/>
      <c r="G70" s="456" t="str">
        <f t="shared" si="35"/>
        <v>0.00%</v>
      </c>
      <c r="H70" s="340">
        <f>ROUND(D70*(LEFT(I70,5)+1),0)</f>
        <v>0</v>
      </c>
      <c r="I70" s="899" t="str">
        <f>TEXT('MYP Assumptions'!E78,"0.00%")&amp;", CPI"</f>
        <v>3.37%, CPI</v>
      </c>
      <c r="J70" s="455"/>
      <c r="K70" s="456" t="str">
        <f t="shared" si="36"/>
        <v>0.00%</v>
      </c>
      <c r="L70" s="340">
        <f t="shared" ref="L70:L81" si="41">ROUND(H70*(LEFT(M70,5)+1),0)</f>
        <v>0</v>
      </c>
      <c r="M70" s="899" t="str">
        <f>TEXT('MYP Assumptions'!F78,"0.00%")&amp;", CPI"</f>
        <v>3.58%, CPI</v>
      </c>
      <c r="O70" s="456" t="str">
        <f t="shared" si="37"/>
        <v>0.00%</v>
      </c>
      <c r="P70" s="340">
        <f t="shared" ref="P70:P81" si="42">ROUND(L70*(LEFT(Q70,5)+1),0)</f>
        <v>0</v>
      </c>
      <c r="Q70" s="899" t="str">
        <f>TEXT('MYP Assumptions'!G78,"0.00%")&amp;", CPI"</f>
        <v>3.36%, CPI</v>
      </c>
      <c r="R70" s="592"/>
      <c r="S70" s="2238" t="str">
        <f t="shared" si="38"/>
        <v>0.00%</v>
      </c>
      <c r="T70" s="340">
        <f t="shared" ref="T70:T81" si="43">ROUND(P70*(LEFT(U70,5)+1),0)</f>
        <v>0</v>
      </c>
      <c r="U70" s="2254" t="str">
        <f>TEXT('MYP Assumptions'!H78,"0.00%")&amp;", CPI"</f>
        <v>3.23%, CPI</v>
      </c>
      <c r="V70" s="952"/>
      <c r="W70" s="2241" t="str">
        <f t="shared" si="39"/>
        <v>0.00%</v>
      </c>
      <c r="X70" s="340">
        <f t="shared" ref="X70:X81" si="44">ROUND(T70*(LEFT(Y70,5)+1),0)</f>
        <v>0</v>
      </c>
      <c r="Y70" s="953" t="str">
        <f>TEXT('MYP Assumptions'!I78,"0.00%")&amp;", CPI"</f>
        <v>2.73%, CPI</v>
      </c>
      <c r="AA70" s="456" t="str">
        <f t="shared" si="40"/>
        <v>0.00%</v>
      </c>
      <c r="AB70" s="340">
        <f t="shared" ref="AB70:AB81" si="45">ROUND(X70*(LEFT(AC70,5)+1),0)</f>
        <v>0</v>
      </c>
      <c r="AC70" s="953" t="str">
        <f>TEXT('MYP Assumptions'!J78,"0.00%")&amp;", CPI"</f>
        <v>2.73%, CPI</v>
      </c>
    </row>
    <row r="71" spans="1:29" s="457" customFormat="1" hidden="1" x14ac:dyDescent="0.25">
      <c r="A71" s="455"/>
      <c r="B71" s="2470" t="s">
        <v>128</v>
      </c>
      <c r="C71" s="1656" t="s">
        <v>129</v>
      </c>
      <c r="D71" s="340">
        <v>0</v>
      </c>
      <c r="E71" s="2386"/>
      <c r="F71" s="340"/>
      <c r="G71" s="456" t="str">
        <f t="shared" si="35"/>
        <v>0.00%</v>
      </c>
      <c r="H71" s="340">
        <f t="shared" ref="H71:H76" si="46">ROUND(D71*(LEFT(I71,5)+1),0)</f>
        <v>0</v>
      </c>
      <c r="I71" s="899" t="str">
        <f>TEXT('MYP Assumptions'!E78,"0.00%")&amp;", CPI"</f>
        <v>3.37%, CPI</v>
      </c>
      <c r="J71" s="455"/>
      <c r="K71" s="456" t="str">
        <f t="shared" si="36"/>
        <v>0.00%</v>
      </c>
      <c r="L71" s="340">
        <f t="shared" si="41"/>
        <v>0</v>
      </c>
      <c r="M71" s="899" t="str">
        <f>TEXT('MYP Assumptions'!F78,"0.00%")&amp;", CPI"</f>
        <v>3.58%, CPI</v>
      </c>
      <c r="O71" s="456" t="str">
        <f t="shared" si="37"/>
        <v>0.00%</v>
      </c>
      <c r="P71" s="340">
        <f t="shared" si="42"/>
        <v>0</v>
      </c>
      <c r="Q71" s="899" t="str">
        <f>TEXT('MYP Assumptions'!G78,"0.00%")&amp;", CPI"</f>
        <v>3.36%, CPI</v>
      </c>
      <c r="R71" s="592"/>
      <c r="S71" s="2238" t="str">
        <f t="shared" si="38"/>
        <v>0.00%</v>
      </c>
      <c r="T71" s="340">
        <f t="shared" si="43"/>
        <v>0</v>
      </c>
      <c r="U71" s="2254" t="str">
        <f>TEXT('MYP Assumptions'!H78,"0.00%")&amp;", CPI"</f>
        <v>3.23%, CPI</v>
      </c>
      <c r="V71" s="952"/>
      <c r="W71" s="2241" t="str">
        <f t="shared" si="39"/>
        <v>0.00%</v>
      </c>
      <c r="X71" s="340">
        <f t="shared" si="44"/>
        <v>0</v>
      </c>
      <c r="Y71" s="953" t="str">
        <f>TEXT('MYP Assumptions'!I78,"0.00%")&amp;", CPI"</f>
        <v>2.73%, CPI</v>
      </c>
      <c r="AA71" s="456" t="str">
        <f t="shared" si="40"/>
        <v>0.00%</v>
      </c>
      <c r="AB71" s="340">
        <f t="shared" si="45"/>
        <v>0</v>
      </c>
      <c r="AC71" s="953" t="str">
        <f>TEXT('MYP Assumptions'!J78,"0.00%")&amp;", CPI"</f>
        <v>2.73%, CPI</v>
      </c>
    </row>
    <row r="72" spans="1:29" s="457" customFormat="1" hidden="1" x14ac:dyDescent="0.25">
      <c r="A72" s="455"/>
      <c r="B72" s="2470" t="s">
        <v>11</v>
      </c>
      <c r="C72" s="1656" t="s">
        <v>10</v>
      </c>
      <c r="D72" s="340">
        <v>0</v>
      </c>
      <c r="E72" s="2386"/>
      <c r="F72" s="340"/>
      <c r="G72" s="456" t="str">
        <f t="shared" si="35"/>
        <v>0.00%</v>
      </c>
      <c r="H72" s="340">
        <f t="shared" si="46"/>
        <v>0</v>
      </c>
      <c r="I72" s="899" t="str">
        <f>TEXT('MYP Assumptions'!E78,"0.00%")&amp;", CPI"</f>
        <v>3.37%, CPI</v>
      </c>
      <c r="J72" s="455"/>
      <c r="K72" s="456" t="str">
        <f t="shared" si="36"/>
        <v>0.00%</v>
      </c>
      <c r="L72" s="340">
        <f t="shared" si="41"/>
        <v>0</v>
      </c>
      <c r="M72" s="899" t="str">
        <f>TEXT('MYP Assumptions'!F78,"0.00%")&amp;", CPI"</f>
        <v>3.58%, CPI</v>
      </c>
      <c r="O72" s="456" t="str">
        <f t="shared" si="37"/>
        <v>0.00%</v>
      </c>
      <c r="P72" s="340">
        <f t="shared" si="42"/>
        <v>0</v>
      </c>
      <c r="Q72" s="899" t="str">
        <f>TEXT('MYP Assumptions'!G78,"0.00%")&amp;", CPI"</f>
        <v>3.36%, CPI</v>
      </c>
      <c r="R72" s="592"/>
      <c r="S72" s="2238" t="str">
        <f t="shared" si="38"/>
        <v>0.00%</v>
      </c>
      <c r="T72" s="340">
        <f t="shared" si="43"/>
        <v>0</v>
      </c>
      <c r="U72" s="2254" t="str">
        <f>TEXT('MYP Assumptions'!H78,"0.00%")&amp;", CPI"</f>
        <v>3.23%, CPI</v>
      </c>
      <c r="V72" s="952"/>
      <c r="W72" s="2241" t="str">
        <f t="shared" si="39"/>
        <v>0.00%</v>
      </c>
      <c r="X72" s="340">
        <f t="shared" si="44"/>
        <v>0</v>
      </c>
      <c r="Y72" s="953" t="str">
        <f>TEXT('MYP Assumptions'!I78,"0.00%")&amp;", CPI"</f>
        <v>2.73%, CPI</v>
      </c>
      <c r="AA72" s="456" t="str">
        <f t="shared" si="40"/>
        <v>0.00%</v>
      </c>
      <c r="AB72" s="340">
        <f t="shared" si="45"/>
        <v>0</v>
      </c>
      <c r="AC72" s="953" t="str">
        <f>TEXT('MYP Assumptions'!J78,"0.00%")&amp;", CPI"</f>
        <v>2.73%, CPI</v>
      </c>
    </row>
    <row r="73" spans="1:29" s="457" customFormat="1" hidden="1" x14ac:dyDescent="0.25">
      <c r="A73" s="455"/>
      <c r="B73" s="2470" t="s">
        <v>120</v>
      </c>
      <c r="C73" s="1656" t="s">
        <v>121</v>
      </c>
      <c r="D73" s="340">
        <v>0</v>
      </c>
      <c r="E73" s="2386"/>
      <c r="F73" s="340"/>
      <c r="G73" s="456" t="str">
        <f t="shared" si="35"/>
        <v>0.00%</v>
      </c>
      <c r="H73" s="340">
        <f t="shared" si="46"/>
        <v>0</v>
      </c>
      <c r="I73" s="899" t="str">
        <f>TEXT('MYP Assumptions'!E78,"0.00%")&amp;", CPI"</f>
        <v>3.37%, CPI</v>
      </c>
      <c r="J73" s="455"/>
      <c r="K73" s="456" t="str">
        <f t="shared" si="36"/>
        <v>0.00%</v>
      </c>
      <c r="L73" s="340">
        <f t="shared" si="41"/>
        <v>0</v>
      </c>
      <c r="M73" s="899" t="str">
        <f>TEXT('MYP Assumptions'!F78,"0.00%")&amp;", CPI"</f>
        <v>3.58%, CPI</v>
      </c>
      <c r="O73" s="456" t="str">
        <f t="shared" si="37"/>
        <v>0.00%</v>
      </c>
      <c r="P73" s="340">
        <f t="shared" si="42"/>
        <v>0</v>
      </c>
      <c r="Q73" s="899" t="str">
        <f>TEXT('MYP Assumptions'!G78,"0.00%")&amp;", CPI"</f>
        <v>3.36%, CPI</v>
      </c>
      <c r="R73" s="592"/>
      <c r="S73" s="2238" t="str">
        <f t="shared" si="38"/>
        <v>0.00%</v>
      </c>
      <c r="T73" s="340">
        <f t="shared" si="43"/>
        <v>0</v>
      </c>
      <c r="U73" s="2254" t="str">
        <f>TEXT('MYP Assumptions'!H78,"0.00%")&amp;", CPI"</f>
        <v>3.23%, CPI</v>
      </c>
      <c r="V73" s="952"/>
      <c r="W73" s="2241" t="str">
        <f t="shared" si="39"/>
        <v>0.00%</v>
      </c>
      <c r="X73" s="340">
        <f t="shared" si="44"/>
        <v>0</v>
      </c>
      <c r="Y73" s="953" t="str">
        <f>TEXT('MYP Assumptions'!I78,"0.00%")&amp;", CPI"</f>
        <v>2.73%, CPI</v>
      </c>
      <c r="AA73" s="456" t="str">
        <f t="shared" si="40"/>
        <v>0.00%</v>
      </c>
      <c r="AB73" s="340">
        <f t="shared" si="45"/>
        <v>0</v>
      </c>
      <c r="AC73" s="953" t="str">
        <f>TEXT('MYP Assumptions'!J78,"0.00%")&amp;", CPI"</f>
        <v>2.73%, CPI</v>
      </c>
    </row>
    <row r="74" spans="1:29" s="457" customFormat="1" hidden="1" x14ac:dyDescent="0.25">
      <c r="A74" s="455"/>
      <c r="B74" s="2470" t="s">
        <v>126</v>
      </c>
      <c r="C74" s="1656" t="s">
        <v>127</v>
      </c>
      <c r="D74" s="340">
        <v>0</v>
      </c>
      <c r="E74" s="2386"/>
      <c r="F74" s="340"/>
      <c r="G74" s="456" t="str">
        <f t="shared" si="35"/>
        <v>0.00%</v>
      </c>
      <c r="H74" s="340">
        <f t="shared" si="46"/>
        <v>0</v>
      </c>
      <c r="I74" s="899" t="str">
        <f>TEXT('MYP Assumptions'!E78,"0.00%")&amp;", CPI"</f>
        <v>3.37%, CPI</v>
      </c>
      <c r="J74" s="455"/>
      <c r="K74" s="456" t="str">
        <f t="shared" si="36"/>
        <v>0.00%</v>
      </c>
      <c r="L74" s="340">
        <f t="shared" si="41"/>
        <v>0</v>
      </c>
      <c r="M74" s="899" t="str">
        <f>TEXT('MYP Assumptions'!F78,"0.00%")&amp;", CPI"</f>
        <v>3.58%, CPI</v>
      </c>
      <c r="O74" s="456" t="str">
        <f t="shared" si="37"/>
        <v>0.00%</v>
      </c>
      <c r="P74" s="340">
        <f t="shared" si="42"/>
        <v>0</v>
      </c>
      <c r="Q74" s="899" t="str">
        <f>TEXT('MYP Assumptions'!G78,"0.00%")&amp;", CPI"</f>
        <v>3.36%, CPI</v>
      </c>
      <c r="R74" s="592"/>
      <c r="S74" s="2238" t="str">
        <f t="shared" si="38"/>
        <v>0.00%</v>
      </c>
      <c r="T74" s="340">
        <f t="shared" si="43"/>
        <v>0</v>
      </c>
      <c r="U74" s="2254" t="str">
        <f>TEXT('MYP Assumptions'!H78,"0.00%")&amp;", CPI"</f>
        <v>3.23%, CPI</v>
      </c>
      <c r="V74" s="952"/>
      <c r="W74" s="2241" t="str">
        <f t="shared" si="39"/>
        <v>0.00%</v>
      </c>
      <c r="X74" s="340">
        <f t="shared" si="44"/>
        <v>0</v>
      </c>
      <c r="Y74" s="953" t="str">
        <f>TEXT('MYP Assumptions'!I78,"0.00%")&amp;", CPI"</f>
        <v>2.73%, CPI</v>
      </c>
      <c r="AA74" s="456" t="str">
        <f t="shared" si="40"/>
        <v>0.00%</v>
      </c>
      <c r="AB74" s="340">
        <f t="shared" si="45"/>
        <v>0</v>
      </c>
      <c r="AC74" s="953" t="str">
        <f>TEXT('MYP Assumptions'!J78,"0.00%")&amp;", CPI"</f>
        <v>2.73%, CPI</v>
      </c>
    </row>
    <row r="75" spans="1:29" s="457" customFormat="1" hidden="1" x14ac:dyDescent="0.25">
      <c r="A75" s="455"/>
      <c r="B75" s="2470" t="s">
        <v>9</v>
      </c>
      <c r="C75" s="1656" t="s">
        <v>8</v>
      </c>
      <c r="D75" s="340">
        <v>0</v>
      </c>
      <c r="E75" s="2386"/>
      <c r="F75" s="340"/>
      <c r="G75" s="456" t="str">
        <f>IF(D75=0,"0.00%",(H75-D75)/D75)</f>
        <v>0.00%</v>
      </c>
      <c r="H75" s="340">
        <f t="shared" si="46"/>
        <v>0</v>
      </c>
      <c r="I75" s="899" t="str">
        <f>TEXT('MYP Assumptions'!E78,"0.00%")&amp;", CPI"</f>
        <v>3.37%, CPI</v>
      </c>
      <c r="J75" s="455"/>
      <c r="K75" s="456" t="str">
        <f t="shared" si="36"/>
        <v>0.00%</v>
      </c>
      <c r="L75" s="340">
        <f t="shared" si="41"/>
        <v>0</v>
      </c>
      <c r="M75" s="899" t="str">
        <f>TEXT('MYP Assumptions'!F78,"0.00%")&amp;", CPI"</f>
        <v>3.58%, CPI</v>
      </c>
      <c r="O75" s="456" t="str">
        <f t="shared" si="37"/>
        <v>0.00%</v>
      </c>
      <c r="P75" s="340">
        <f t="shared" si="42"/>
        <v>0</v>
      </c>
      <c r="Q75" s="899" t="str">
        <f>TEXT('MYP Assumptions'!G78,"0.00%")&amp;", CPI"</f>
        <v>3.36%, CPI</v>
      </c>
      <c r="R75" s="592"/>
      <c r="S75" s="2238" t="str">
        <f t="shared" si="38"/>
        <v>0.00%</v>
      </c>
      <c r="T75" s="340">
        <f t="shared" si="43"/>
        <v>0</v>
      </c>
      <c r="U75" s="2254" t="str">
        <f>TEXT('MYP Assumptions'!H78,"0.00%")&amp;", CPI"</f>
        <v>3.23%, CPI</v>
      </c>
      <c r="V75" s="952"/>
      <c r="W75" s="2241" t="str">
        <f t="shared" si="39"/>
        <v>0.00%</v>
      </c>
      <c r="X75" s="340">
        <f t="shared" si="44"/>
        <v>0</v>
      </c>
      <c r="Y75" s="953" t="str">
        <f>TEXT('MYP Assumptions'!I78,"0.00%")&amp;", CPI"</f>
        <v>2.73%, CPI</v>
      </c>
      <c r="AA75" s="456" t="str">
        <f t="shared" si="40"/>
        <v>0.00%</v>
      </c>
      <c r="AB75" s="340">
        <f t="shared" si="45"/>
        <v>0</v>
      </c>
      <c r="AC75" s="953" t="str">
        <f>TEXT('MYP Assumptions'!J78,"0.00%")&amp;", CPI"</f>
        <v>2.73%, CPI</v>
      </c>
    </row>
    <row r="76" spans="1:29" s="457" customFormat="1" hidden="1" x14ac:dyDescent="0.25">
      <c r="A76" s="455"/>
      <c r="B76" s="2470" t="s">
        <v>122</v>
      </c>
      <c r="C76" s="1656" t="s">
        <v>123</v>
      </c>
      <c r="D76" s="340">
        <v>0</v>
      </c>
      <c r="E76" s="2386"/>
      <c r="F76" s="340"/>
      <c r="G76" s="456" t="str">
        <f t="shared" ref="G76:G82" si="47">IF(D76=0,"0.00%",(H76-D76)/D76)</f>
        <v>0.00%</v>
      </c>
      <c r="H76" s="340">
        <f t="shared" si="46"/>
        <v>0</v>
      </c>
      <c r="I76" s="899" t="str">
        <f>TEXT('MYP Assumptions'!E78,"0.00%")&amp;", CPI"</f>
        <v>3.37%, CPI</v>
      </c>
      <c r="J76" s="455"/>
      <c r="K76" s="456" t="str">
        <f t="shared" si="36"/>
        <v>0.00%</v>
      </c>
      <c r="L76" s="340">
        <f t="shared" si="41"/>
        <v>0</v>
      </c>
      <c r="M76" s="899" t="str">
        <f>TEXT('MYP Assumptions'!F78,"0.00%")&amp;", CPI"</f>
        <v>3.58%, CPI</v>
      </c>
      <c r="O76" s="456" t="str">
        <f t="shared" si="37"/>
        <v>0.00%</v>
      </c>
      <c r="P76" s="340">
        <f t="shared" si="42"/>
        <v>0</v>
      </c>
      <c r="Q76" s="899" t="str">
        <f>TEXT('MYP Assumptions'!G78,"0.00%")&amp;", CPI"</f>
        <v>3.36%, CPI</v>
      </c>
      <c r="R76" s="592"/>
      <c r="S76" s="2238" t="str">
        <f t="shared" si="38"/>
        <v>0.00%</v>
      </c>
      <c r="T76" s="340">
        <f t="shared" si="43"/>
        <v>0</v>
      </c>
      <c r="U76" s="2254" t="str">
        <f>TEXT('MYP Assumptions'!H78,"0.00%")&amp;", CPI"</f>
        <v>3.23%, CPI</v>
      </c>
      <c r="V76" s="952"/>
      <c r="W76" s="2241" t="str">
        <f t="shared" si="39"/>
        <v>0.00%</v>
      </c>
      <c r="X76" s="340">
        <f t="shared" si="44"/>
        <v>0</v>
      </c>
      <c r="Y76" s="953" t="str">
        <f>TEXT('MYP Assumptions'!I78,"0.00%")&amp;", CPI"</f>
        <v>2.73%, CPI</v>
      </c>
      <c r="AA76" s="456" t="str">
        <f t="shared" si="40"/>
        <v>0.00%</v>
      </c>
      <c r="AB76" s="340">
        <f t="shared" si="45"/>
        <v>0</v>
      </c>
      <c r="AC76" s="953" t="str">
        <f>TEXT('MYP Assumptions'!J78,"0.00%")&amp;", CPI"</f>
        <v>2.73%, CPI</v>
      </c>
    </row>
    <row r="77" spans="1:29" s="457" customFormat="1" hidden="1" x14ac:dyDescent="0.25">
      <c r="A77" s="455"/>
      <c r="B77" s="2470" t="s">
        <v>7</v>
      </c>
      <c r="C77" s="1656" t="s">
        <v>6</v>
      </c>
      <c r="D77" s="340">
        <v>0</v>
      </c>
      <c r="E77" s="2386"/>
      <c r="F77" s="340"/>
      <c r="G77" s="456" t="str">
        <f t="shared" si="47"/>
        <v>0.00%</v>
      </c>
      <c r="H77" s="340">
        <f>ROUND(D77*(LEFT(I77,5)+1),0)</f>
        <v>0</v>
      </c>
      <c r="I77" s="899" t="str">
        <f>TEXT('MYP Assumptions'!E78,"0.00%")&amp;", CPI"</f>
        <v>3.37%, CPI</v>
      </c>
      <c r="J77" s="455"/>
      <c r="K77" s="456" t="str">
        <f t="shared" si="36"/>
        <v>0.00%</v>
      </c>
      <c r="L77" s="340">
        <f t="shared" si="41"/>
        <v>0</v>
      </c>
      <c r="M77" s="899" t="str">
        <f>TEXT('MYP Assumptions'!F78,"0.00%")&amp;", CPI"</f>
        <v>3.58%, CPI</v>
      </c>
      <c r="O77" s="456" t="str">
        <f t="shared" si="37"/>
        <v>0.00%</v>
      </c>
      <c r="P77" s="340">
        <f t="shared" si="42"/>
        <v>0</v>
      </c>
      <c r="Q77" s="899" t="str">
        <f>TEXT('MYP Assumptions'!G78,"0.00%")&amp;", CPI"</f>
        <v>3.36%, CPI</v>
      </c>
      <c r="R77" s="592"/>
      <c r="S77" s="2238" t="str">
        <f t="shared" si="38"/>
        <v>0.00%</v>
      </c>
      <c r="T77" s="340">
        <f t="shared" si="43"/>
        <v>0</v>
      </c>
      <c r="U77" s="2254" t="str">
        <f>TEXT('MYP Assumptions'!H78,"0.00%")&amp;", CPI"</f>
        <v>3.23%, CPI</v>
      </c>
      <c r="V77" s="952"/>
      <c r="W77" s="2241" t="str">
        <f t="shared" si="39"/>
        <v>0.00%</v>
      </c>
      <c r="X77" s="340">
        <f t="shared" si="44"/>
        <v>0</v>
      </c>
      <c r="Y77" s="953" t="str">
        <f>TEXT('MYP Assumptions'!I78,"0.00%")&amp;", CPI"</f>
        <v>2.73%, CPI</v>
      </c>
      <c r="AA77" s="456" t="str">
        <f t="shared" si="40"/>
        <v>0.00%</v>
      </c>
      <c r="AB77" s="340">
        <f t="shared" si="45"/>
        <v>0</v>
      </c>
      <c r="AC77" s="953" t="str">
        <f>TEXT('MYP Assumptions'!J78,"0.00%")&amp;", CPI"</f>
        <v>2.73%, CPI</v>
      </c>
    </row>
    <row r="78" spans="1:29" s="457" customFormat="1" x14ac:dyDescent="0.25">
      <c r="A78" s="455"/>
      <c r="B78" s="2470" t="s">
        <v>5</v>
      </c>
      <c r="C78" s="1656" t="s">
        <v>4</v>
      </c>
      <c r="D78" s="340">
        <v>12590</v>
      </c>
      <c r="E78" s="2386" t="s">
        <v>731</v>
      </c>
      <c r="F78" s="340"/>
      <c r="G78" s="456">
        <f t="shared" si="47"/>
        <v>-8.6576648133439238E-2</v>
      </c>
      <c r="H78" s="340">
        <v>11500</v>
      </c>
      <c r="I78" s="899"/>
      <c r="J78" s="455"/>
      <c r="K78" s="456">
        <f t="shared" si="36"/>
        <v>0</v>
      </c>
      <c r="L78" s="340">
        <v>11500</v>
      </c>
      <c r="M78" s="899"/>
      <c r="O78" s="456">
        <f t="shared" si="37"/>
        <v>8.6956521739130432E-2</v>
      </c>
      <c r="P78" s="340">
        <v>12500</v>
      </c>
      <c r="Q78" s="899"/>
      <c r="R78" s="592"/>
      <c r="S78" s="2238">
        <f t="shared" si="38"/>
        <v>0</v>
      </c>
      <c r="T78" s="340">
        <f>P78</f>
        <v>12500</v>
      </c>
      <c r="U78" s="2254"/>
      <c r="V78" s="952"/>
      <c r="W78" s="2241">
        <f t="shared" si="39"/>
        <v>2.7279999999999999E-2</v>
      </c>
      <c r="X78" s="340">
        <f t="shared" si="44"/>
        <v>12841</v>
      </c>
      <c r="Y78" s="953" t="str">
        <f>TEXT('MYP Assumptions'!I78,"0.00%")&amp;", CPI"</f>
        <v>2.73%, CPI</v>
      </c>
      <c r="AA78" s="456">
        <f t="shared" si="40"/>
        <v>2.7334319757028269E-2</v>
      </c>
      <c r="AB78" s="340">
        <f t="shared" si="45"/>
        <v>13192</v>
      </c>
      <c r="AC78" s="953" t="str">
        <f>TEXT('MYP Assumptions'!J78,"0.00%")&amp;", CPI"</f>
        <v>2.73%, CPI</v>
      </c>
    </row>
    <row r="79" spans="1:29" s="457" customFormat="1" hidden="1" x14ac:dyDescent="0.25">
      <c r="A79" s="455"/>
      <c r="B79" s="2470" t="s">
        <v>3</v>
      </c>
      <c r="C79" s="1656" t="s">
        <v>2</v>
      </c>
      <c r="D79" s="340">
        <v>0</v>
      </c>
      <c r="E79" s="2386"/>
      <c r="F79" s="340"/>
      <c r="G79" s="456" t="str">
        <f t="shared" si="47"/>
        <v>0.00%</v>
      </c>
      <c r="H79" s="340">
        <f>ROUND(D79*(LEFT(I79,5)+1),0)</f>
        <v>0</v>
      </c>
      <c r="I79" s="899" t="str">
        <f>TEXT('MYP Assumptions'!E78,"0.00%")&amp;", CPI"</f>
        <v>3.37%, CPI</v>
      </c>
      <c r="J79" s="455"/>
      <c r="K79" s="456" t="str">
        <f t="shared" si="36"/>
        <v>0.00%</v>
      </c>
      <c r="L79" s="340">
        <f t="shared" si="41"/>
        <v>0</v>
      </c>
      <c r="M79" s="899" t="str">
        <f>TEXT('MYP Assumptions'!F78,"0.00%")&amp;", CPI"</f>
        <v>3.58%, CPI</v>
      </c>
      <c r="O79" s="456" t="str">
        <f t="shared" si="37"/>
        <v>0.00%</v>
      </c>
      <c r="P79" s="340">
        <f t="shared" si="42"/>
        <v>0</v>
      </c>
      <c r="Q79" s="899" t="str">
        <f>TEXT('MYP Assumptions'!G78,"0.00%")&amp;", CPI"</f>
        <v>3.36%, CPI</v>
      </c>
      <c r="R79" s="592"/>
      <c r="S79" s="2238" t="str">
        <f t="shared" si="38"/>
        <v>0.00%</v>
      </c>
      <c r="T79" s="340">
        <f t="shared" si="43"/>
        <v>0</v>
      </c>
      <c r="U79" s="2254" t="str">
        <f>TEXT('MYP Assumptions'!H78,"0.00%")&amp;", CPI"</f>
        <v>3.23%, CPI</v>
      </c>
      <c r="V79" s="952"/>
      <c r="W79" s="2241" t="str">
        <f t="shared" si="39"/>
        <v>0.00%</v>
      </c>
      <c r="X79" s="340">
        <f t="shared" si="44"/>
        <v>0</v>
      </c>
      <c r="Y79" s="953" t="str">
        <f>TEXT('MYP Assumptions'!I78,"0.00%")&amp;", CPI"</f>
        <v>2.73%, CPI</v>
      </c>
      <c r="AA79" s="456" t="str">
        <f t="shared" si="40"/>
        <v>0.00%</v>
      </c>
      <c r="AB79" s="340">
        <f t="shared" si="45"/>
        <v>0</v>
      </c>
      <c r="AC79" s="953" t="str">
        <f>TEXT('MYP Assumptions'!J78,"0.00%")&amp;", CPI"</f>
        <v>2.73%, CPI</v>
      </c>
    </row>
    <row r="80" spans="1:29" s="457" customFormat="1" hidden="1" x14ac:dyDescent="0.25">
      <c r="A80" s="455"/>
      <c r="B80" s="2470" t="s">
        <v>124</v>
      </c>
      <c r="C80" s="1656" t="s">
        <v>125</v>
      </c>
      <c r="D80" s="340">
        <v>0</v>
      </c>
      <c r="E80" s="2386"/>
      <c r="F80" s="340"/>
      <c r="G80" s="456" t="str">
        <f t="shared" si="47"/>
        <v>0.00%</v>
      </c>
      <c r="H80" s="340">
        <f>ROUND(D80*(LEFT(I80,5)+1),0)</f>
        <v>0</v>
      </c>
      <c r="I80" s="899" t="str">
        <f>TEXT('MYP Assumptions'!E78,"0.00%")&amp;", CPI"</f>
        <v>3.37%, CPI</v>
      </c>
      <c r="J80" s="455"/>
      <c r="K80" s="456" t="str">
        <f t="shared" si="36"/>
        <v>0.00%</v>
      </c>
      <c r="L80" s="340">
        <f t="shared" si="41"/>
        <v>0</v>
      </c>
      <c r="M80" s="899" t="str">
        <f>TEXT('MYP Assumptions'!F78,"0.00%")&amp;", CPI"</f>
        <v>3.58%, CPI</v>
      </c>
      <c r="O80" s="456" t="str">
        <f t="shared" si="37"/>
        <v>0.00%</v>
      </c>
      <c r="P80" s="340">
        <f t="shared" si="42"/>
        <v>0</v>
      </c>
      <c r="Q80" s="899" t="str">
        <f>TEXT('MYP Assumptions'!G78,"0.00%")&amp;", CPI"</f>
        <v>3.36%, CPI</v>
      </c>
      <c r="R80" s="592"/>
      <c r="S80" s="2238" t="str">
        <f t="shared" si="38"/>
        <v>0.00%</v>
      </c>
      <c r="T80" s="340">
        <f t="shared" si="43"/>
        <v>0</v>
      </c>
      <c r="U80" s="2254" t="str">
        <f>TEXT('MYP Assumptions'!H78,"0.00%")&amp;", CPI"</f>
        <v>3.23%, CPI</v>
      </c>
      <c r="V80" s="952"/>
      <c r="W80" s="2241" t="str">
        <f t="shared" si="39"/>
        <v>0.00%</v>
      </c>
      <c r="X80" s="340">
        <f t="shared" si="44"/>
        <v>0</v>
      </c>
      <c r="Y80" s="953" t="str">
        <f>TEXT('MYP Assumptions'!I78,"0.00%")&amp;", CPI"</f>
        <v>2.73%, CPI</v>
      </c>
      <c r="AA80" s="456" t="str">
        <f t="shared" si="40"/>
        <v>0.00%</v>
      </c>
      <c r="AB80" s="340">
        <f t="shared" si="45"/>
        <v>0</v>
      </c>
      <c r="AC80" s="953" t="str">
        <f>TEXT('MYP Assumptions'!J78,"0.00%")&amp;", CPI"</f>
        <v>2.73%, CPI</v>
      </c>
    </row>
    <row r="81" spans="1:29" s="457" customFormat="1" hidden="1" x14ac:dyDescent="0.25">
      <c r="A81" s="455"/>
      <c r="B81" s="2470" t="s">
        <v>1</v>
      </c>
      <c r="C81" s="1656"/>
      <c r="D81" s="340">
        <f>'18-19 Budget RS 3010-ALL'!AF80</f>
        <v>0</v>
      </c>
      <c r="E81" s="2386"/>
      <c r="F81" s="340"/>
      <c r="G81" s="456" t="str">
        <f t="shared" si="47"/>
        <v>0.00%</v>
      </c>
      <c r="H81" s="340">
        <f>ROUND(D81*(LEFT(I81,5)+1),0)</f>
        <v>0</v>
      </c>
      <c r="I81" s="899" t="str">
        <f>TEXT('MYP Assumptions'!E78,"0.00%")&amp;", CPI"</f>
        <v>3.37%, CPI</v>
      </c>
      <c r="J81" s="455"/>
      <c r="K81" s="456" t="str">
        <f t="shared" si="36"/>
        <v>0.00%</v>
      </c>
      <c r="L81" s="340">
        <f t="shared" si="41"/>
        <v>0</v>
      </c>
      <c r="M81" s="899" t="str">
        <f>TEXT('MYP Assumptions'!F78,"0.00%")&amp;", CPI"</f>
        <v>3.58%, CPI</v>
      </c>
      <c r="O81" s="456" t="str">
        <f t="shared" si="37"/>
        <v>0.00%</v>
      </c>
      <c r="P81" s="340">
        <f t="shared" si="42"/>
        <v>0</v>
      </c>
      <c r="Q81" s="899" t="str">
        <f>TEXT('MYP Assumptions'!G78,"0.00%")&amp;", CPI"</f>
        <v>3.36%, CPI</v>
      </c>
      <c r="R81" s="592"/>
      <c r="S81" s="2238" t="str">
        <f t="shared" si="38"/>
        <v>0.00%</v>
      </c>
      <c r="T81" s="340">
        <f t="shared" si="43"/>
        <v>0</v>
      </c>
      <c r="U81" s="2254" t="str">
        <f>TEXT('MYP Assumptions'!H78,"0.00%")&amp;", CPI"</f>
        <v>3.23%, CPI</v>
      </c>
      <c r="V81" s="952"/>
      <c r="W81" s="2241" t="str">
        <f t="shared" si="39"/>
        <v>0.00%</v>
      </c>
      <c r="X81" s="340">
        <f t="shared" si="44"/>
        <v>0</v>
      </c>
      <c r="Y81" s="953" t="str">
        <f>TEXT('MYP Assumptions'!I78,"0.00%")&amp;", CPI"</f>
        <v>2.73%, CPI</v>
      </c>
      <c r="AA81" s="456" t="str">
        <f t="shared" si="40"/>
        <v>0.00%</v>
      </c>
      <c r="AB81" s="340">
        <f t="shared" si="45"/>
        <v>0</v>
      </c>
      <c r="AC81" s="953" t="str">
        <f>TEXT('MYP Assumptions'!J78,"0.00%")&amp;", CPI"</f>
        <v>2.73%, CPI</v>
      </c>
    </row>
    <row r="82" spans="1:29" s="457" customFormat="1" x14ac:dyDescent="0.25">
      <c r="A82" s="459"/>
      <c r="B82" s="2432"/>
      <c r="C82" s="1656"/>
      <c r="D82" s="458">
        <f>SUM(D69:D81)</f>
        <v>12590</v>
      </c>
      <c r="E82" s="2386"/>
      <c r="F82" s="340"/>
      <c r="G82" s="456">
        <f t="shared" si="47"/>
        <v>-8.6576648133439238E-2</v>
      </c>
      <c r="H82" s="458">
        <f>SUM(H69:H81)</f>
        <v>11500</v>
      </c>
      <c r="I82" s="2316">
        <f>+H82-D82</f>
        <v>-1090</v>
      </c>
      <c r="J82" s="459"/>
      <c r="K82" s="456">
        <f t="shared" si="36"/>
        <v>0</v>
      </c>
      <c r="L82" s="458">
        <f>SUM(L69:L81)</f>
        <v>11500</v>
      </c>
      <c r="M82" s="2316">
        <f>+L82-H82</f>
        <v>0</v>
      </c>
      <c r="O82" s="456">
        <f t="shared" si="37"/>
        <v>8.6956521739130432E-2</v>
      </c>
      <c r="P82" s="458">
        <f>SUM(P69:P81)</f>
        <v>12500</v>
      </c>
      <c r="Q82" s="2316">
        <f>+P82-L82</f>
        <v>1000</v>
      </c>
      <c r="R82" s="592"/>
      <c r="S82" s="2238">
        <f t="shared" si="38"/>
        <v>0</v>
      </c>
      <c r="T82" s="458">
        <f>SUM(T69:T81)</f>
        <v>12500</v>
      </c>
      <c r="U82" s="2342"/>
      <c r="V82" s="952"/>
      <c r="W82" s="2241">
        <f t="shared" si="39"/>
        <v>2.7279999999999999E-2</v>
      </c>
      <c r="X82" s="458">
        <f>SUM(X69:X81)</f>
        <v>12841</v>
      </c>
      <c r="Y82" s="2344"/>
      <c r="AA82" s="456">
        <f t="shared" si="40"/>
        <v>2.7334319757028269E-2</v>
      </c>
      <c r="AB82" s="458">
        <f>SUM(AB69:AB81)</f>
        <v>13192</v>
      </c>
      <c r="AC82" s="2344"/>
    </row>
    <row r="83" spans="1:29" s="457" customFormat="1" x14ac:dyDescent="0.25">
      <c r="A83" s="455"/>
      <c r="B83" s="2468"/>
      <c r="C83" s="1656"/>
      <c r="D83" s="340"/>
      <c r="E83" s="2386"/>
      <c r="F83" s="340"/>
      <c r="G83" s="456"/>
      <c r="H83" s="340"/>
      <c r="I83" s="897"/>
      <c r="J83" s="455"/>
      <c r="K83" s="1668"/>
      <c r="L83" s="340"/>
      <c r="M83" s="901"/>
      <c r="O83" s="1668"/>
      <c r="P83" s="340"/>
      <c r="Q83" s="901"/>
      <c r="R83" s="592"/>
      <c r="S83" s="2341"/>
      <c r="T83" s="340"/>
      <c r="U83" s="2342"/>
      <c r="V83" s="952"/>
      <c r="W83" s="2343"/>
      <c r="X83" s="340"/>
      <c r="Y83" s="2344"/>
      <c r="AA83" s="1668"/>
      <c r="AB83" s="340"/>
      <c r="AC83" s="2344"/>
    </row>
    <row r="84" spans="1:29" s="457" customFormat="1" x14ac:dyDescent="0.25">
      <c r="A84" s="455"/>
      <c r="B84" s="2432"/>
      <c r="C84" s="1656"/>
      <c r="D84" s="340"/>
      <c r="E84" s="2386"/>
      <c r="F84" s="340"/>
      <c r="G84" s="2338"/>
      <c r="H84" s="340"/>
      <c r="I84" s="897"/>
      <c r="J84" s="455"/>
      <c r="K84" s="1668"/>
      <c r="L84" s="340"/>
      <c r="M84" s="901"/>
      <c r="O84" s="1668"/>
      <c r="P84" s="340"/>
      <c r="Q84" s="901"/>
      <c r="R84" s="592"/>
      <c r="S84" s="2341"/>
      <c r="T84" s="340"/>
      <c r="U84" s="2342"/>
      <c r="V84" s="952"/>
      <c r="W84" s="2343"/>
      <c r="X84" s="340"/>
      <c r="Y84" s="2344"/>
      <c r="AA84" s="1668"/>
      <c r="AB84" s="340"/>
      <c r="AC84" s="2344"/>
    </row>
    <row r="85" spans="1:29" s="457" customFormat="1" x14ac:dyDescent="0.25">
      <c r="A85" s="459"/>
      <c r="B85" s="2468" t="s">
        <v>0</v>
      </c>
      <c r="C85" s="1656"/>
      <c r="D85" s="458">
        <f>SUM(D82,D66,D55,D13)</f>
        <v>13755.59</v>
      </c>
      <c r="E85" s="2386"/>
      <c r="F85" s="340"/>
      <c r="G85" s="456">
        <f>IF(D85=0,"0.00%",(H85-D85)/D85)</f>
        <v>5.1063603960280861E-2</v>
      </c>
      <c r="H85" s="458">
        <f>SUM(H82,H66,H55,H13)</f>
        <v>14458</v>
      </c>
      <c r="I85" s="2316">
        <f>+H85-D85</f>
        <v>702.40999999999985</v>
      </c>
      <c r="J85" s="459"/>
      <c r="K85" s="456">
        <f>IF(H85=0,"0.00%",(L85-H85)/H85)</f>
        <v>0.56757504495780886</v>
      </c>
      <c r="L85" s="458">
        <f>SUM(L82,L66,L55,L13)</f>
        <v>22664</v>
      </c>
      <c r="M85" s="2316">
        <f>+L85-H85</f>
        <v>8206</v>
      </c>
      <c r="O85" s="456">
        <f>IF(L85=0,"0.00%",(P85-L85)/L85)</f>
        <v>4.4122837980938932E-2</v>
      </c>
      <c r="P85" s="458">
        <f>SUM(P82,P66,P55,P13)</f>
        <v>23664</v>
      </c>
      <c r="Q85" s="2316">
        <f>+P85-L85</f>
        <v>1000</v>
      </c>
      <c r="R85" s="592"/>
      <c r="S85" s="2238">
        <f>IF(P85=0,"0.00%",(T85-P85)/P85)</f>
        <v>0</v>
      </c>
      <c r="T85" s="458">
        <f>SUM(T82,T66,T55,T13)</f>
        <v>23664</v>
      </c>
      <c r="U85" s="2342"/>
      <c r="V85" s="952"/>
      <c r="W85" s="2241">
        <f>IF(T85=0,"0.00%",(X85-T85)/T85)</f>
        <v>1.242393509127789E-2</v>
      </c>
      <c r="X85" s="458">
        <f>SUM(X82,X66,X55,X13)</f>
        <v>23958</v>
      </c>
      <c r="Y85" s="2344"/>
      <c r="AA85" s="456" t="e">
        <f>IF(X85=0,"0.00%",(AB85-X85)/X85)</f>
        <v>#VALUE!</v>
      </c>
      <c r="AB85" s="458" t="e">
        <f>SUM(AB82,AB66,AB55,AB13)</f>
        <v>#VALUE!</v>
      </c>
      <c r="AC85" s="2344"/>
    </row>
    <row r="86" spans="1:29" s="457" customFormat="1" x14ac:dyDescent="0.25">
      <c r="A86" s="455"/>
      <c r="B86" s="2432"/>
      <c r="C86" s="1656"/>
      <c r="D86" s="340"/>
      <c r="E86" s="2386"/>
      <c r="F86" s="340"/>
      <c r="G86" s="2338"/>
      <c r="H86" s="340"/>
      <c r="I86" s="897"/>
      <c r="J86" s="455"/>
      <c r="K86" s="1668"/>
      <c r="L86" s="340"/>
      <c r="M86" s="901"/>
      <c r="O86" s="1668"/>
      <c r="P86" s="340"/>
      <c r="Q86" s="901"/>
      <c r="R86" s="592"/>
      <c r="S86" s="2341"/>
      <c r="T86" s="340"/>
      <c r="U86" s="2342"/>
      <c r="V86" s="952"/>
      <c r="W86" s="2343"/>
      <c r="X86" s="340"/>
      <c r="Y86" s="2344"/>
      <c r="AA86" s="1668"/>
      <c r="AB86" s="340"/>
      <c r="AC86" s="2344"/>
    </row>
    <row r="87" spans="1:29" s="457" customFormat="1" x14ac:dyDescent="0.25">
      <c r="A87" s="455"/>
      <c r="B87" s="2468" t="s">
        <v>138</v>
      </c>
      <c r="C87" s="1656"/>
      <c r="D87" s="833">
        <f>D11-D85</f>
        <v>0</v>
      </c>
      <c r="E87" s="1656"/>
      <c r="G87" s="456" t="str">
        <f>IF(D87=0,"0.00%",(H87-D87)/D87)</f>
        <v>0.00%</v>
      </c>
      <c r="H87" s="833">
        <f>H11-H85</f>
        <v>0</v>
      </c>
      <c r="I87" s="897"/>
      <c r="J87" s="455"/>
      <c r="K87" s="456" t="str">
        <f>IF(H87=0,"0.00%",(L87-H87)/H87)</f>
        <v>0.00%</v>
      </c>
      <c r="L87" s="833">
        <f>L11-L85</f>
        <v>0</v>
      </c>
      <c r="M87" s="901"/>
      <c r="O87" s="456" t="str">
        <f>IF(L87=0,"0.00%",(P87-L87)/L87)</f>
        <v>0.00%</v>
      </c>
      <c r="P87" s="833">
        <f>P11-P85</f>
        <v>0</v>
      </c>
      <c r="Q87" s="901"/>
      <c r="R87" s="592"/>
      <c r="S87" s="2238" t="str">
        <f>IF(P87=0,"0.00%",(T87-P87)/P87)</f>
        <v>0.00%</v>
      </c>
      <c r="T87" s="833">
        <f>T11-T85</f>
        <v>0</v>
      </c>
      <c r="U87" s="2342"/>
      <c r="V87" s="952"/>
      <c r="W87" s="2241" t="str">
        <f>IF(T87=0,"0.00%",(X87-T87)/T87)</f>
        <v>0.00%</v>
      </c>
      <c r="X87" s="833">
        <f>X11-X85</f>
        <v>-294</v>
      </c>
      <c r="Y87" s="2344"/>
      <c r="AA87" s="456" t="e">
        <f>IF(X87=0,"0.00%",(AB87-X87)/X87)</f>
        <v>#VALUE!</v>
      </c>
      <c r="AB87" s="833" t="e">
        <f>AB11-AB85</f>
        <v>#VALUE!</v>
      </c>
      <c r="AC87" s="2344"/>
    </row>
    <row r="88" spans="1:29" s="457" customFormat="1" x14ac:dyDescent="0.25">
      <c r="B88" s="2468"/>
      <c r="C88" s="2432"/>
      <c r="D88" s="833"/>
      <c r="E88" s="1656"/>
      <c r="G88" s="2338"/>
      <c r="H88" s="833"/>
      <c r="I88" s="897"/>
      <c r="J88" s="455"/>
      <c r="K88" s="1668"/>
      <c r="L88" s="833"/>
      <c r="M88" s="901"/>
      <c r="O88" s="1668"/>
      <c r="P88" s="833"/>
      <c r="Q88" s="901"/>
      <c r="R88" s="592"/>
      <c r="S88" s="2341"/>
      <c r="T88" s="2356"/>
      <c r="U88" s="2342"/>
      <c r="V88" s="952"/>
      <c r="W88" s="2343"/>
      <c r="X88" s="2356"/>
      <c r="Y88" s="2344"/>
      <c r="AA88" s="1668"/>
      <c r="AB88" s="2356"/>
      <c r="AC88" s="2344"/>
    </row>
    <row r="89" spans="1:29" s="457" customFormat="1" x14ac:dyDescent="0.25">
      <c r="B89" s="2468" t="s">
        <v>136</v>
      </c>
      <c r="C89" s="2443"/>
      <c r="D89" s="833">
        <f>D7+D87</f>
        <v>0</v>
      </c>
      <c r="E89" s="1656"/>
      <c r="G89" s="456" t="str">
        <f>IF(D89=0,"0.00%",(H89-D89)/D89)</f>
        <v>0.00%</v>
      </c>
      <c r="H89" s="833">
        <f>H7+H87</f>
        <v>0</v>
      </c>
      <c r="I89" s="897"/>
      <c r="J89" s="455"/>
      <c r="K89" s="456" t="str">
        <f>IF(H89=0,"0.00%",(L89-H89)/H89)</f>
        <v>0.00%</v>
      </c>
      <c r="L89" s="833">
        <f>L7+L87</f>
        <v>0</v>
      </c>
      <c r="M89" s="901"/>
      <c r="O89" s="456" t="str">
        <f>IF(L89=0,"0.00%",(P89-L89)/L89)</f>
        <v>0.00%</v>
      </c>
      <c r="P89" s="833">
        <f>P7+P87</f>
        <v>0</v>
      </c>
      <c r="Q89" s="901"/>
      <c r="R89" s="592"/>
      <c r="S89" s="2238" t="str">
        <f>IF(P89=0,"0.00%",(T89-P89)/P89)</f>
        <v>0.00%</v>
      </c>
      <c r="T89" s="2367">
        <f>T7+T87</f>
        <v>0</v>
      </c>
      <c r="U89" s="2342"/>
      <c r="V89" s="952"/>
      <c r="W89" s="2241" t="str">
        <f>IF(T89=0,"0.00%",(X89-T89)/T89)</f>
        <v>0.00%</v>
      </c>
      <c r="X89" s="2367">
        <f>X7+X87</f>
        <v>-294</v>
      </c>
      <c r="Y89" s="2344"/>
      <c r="AA89" s="456" t="e">
        <f>IF(X89=0,"0.00%",(AB89-X89)/X89)</f>
        <v>#VALUE!</v>
      </c>
      <c r="AB89" s="2367" t="e">
        <f>AB7+AB87</f>
        <v>#VALUE!</v>
      </c>
      <c r="AC89" s="2344"/>
    </row>
    <row r="90" spans="1:29" s="457" customFormat="1" x14ac:dyDescent="0.25">
      <c r="B90" s="2432"/>
      <c r="C90" s="900"/>
      <c r="D90" s="340"/>
      <c r="E90" s="1656"/>
      <c r="G90" s="2355"/>
      <c r="H90" s="459"/>
      <c r="I90" s="898"/>
      <c r="J90" s="459"/>
      <c r="K90" s="1668"/>
      <c r="L90" s="459"/>
      <c r="M90" s="901"/>
      <c r="O90" s="1668"/>
      <c r="P90" s="459"/>
      <c r="Q90" s="901"/>
      <c r="R90" s="592"/>
      <c r="S90" s="2341"/>
      <c r="T90" s="459"/>
      <c r="U90" s="2342"/>
      <c r="V90" s="952"/>
      <c r="W90" s="2343"/>
      <c r="X90" s="459"/>
      <c r="Y90" s="2344"/>
      <c r="AA90" s="1668"/>
      <c r="AB90" s="459"/>
      <c r="AC90" s="2344"/>
    </row>
    <row r="91" spans="1:29" s="457" customFormat="1" x14ac:dyDescent="0.25">
      <c r="B91" s="2432"/>
      <c r="C91" s="2339"/>
      <c r="D91" s="340"/>
      <c r="E91" s="1656"/>
      <c r="G91" s="2355"/>
      <c r="H91" s="455"/>
      <c r="I91" s="897"/>
      <c r="J91" s="455"/>
      <c r="K91" s="1668"/>
      <c r="L91" s="340"/>
      <c r="M91" s="901"/>
      <c r="O91" s="1668"/>
      <c r="P91" s="340"/>
      <c r="Q91" s="901"/>
      <c r="R91" s="592"/>
      <c r="S91" s="2341"/>
      <c r="T91" s="340"/>
      <c r="U91" s="2342"/>
      <c r="V91" s="952"/>
      <c r="W91" s="2343"/>
      <c r="X91" s="340"/>
      <c r="Y91" s="2344"/>
      <c r="AA91" s="1668"/>
      <c r="AB91" s="340"/>
      <c r="AC91" s="2344"/>
    </row>
    <row r="92" spans="1:29" s="457" customFormat="1" x14ac:dyDescent="0.25">
      <c r="B92" s="2432"/>
      <c r="C92" s="2339"/>
      <c r="D92" s="340"/>
      <c r="E92" s="1656"/>
      <c r="G92" s="2355"/>
      <c r="H92" s="455"/>
      <c r="I92" s="897"/>
      <c r="J92" s="455"/>
      <c r="K92" s="1668"/>
      <c r="L92" s="340"/>
      <c r="M92" s="901"/>
      <c r="O92" s="1668"/>
      <c r="P92" s="340"/>
      <c r="Q92" s="901"/>
      <c r="R92" s="592"/>
      <c r="S92" s="2341"/>
      <c r="T92" s="340"/>
      <c r="U92" s="2342"/>
      <c r="V92" s="952"/>
      <c r="W92" s="2343"/>
      <c r="X92" s="340"/>
      <c r="Y92" s="2344"/>
      <c r="AA92" s="1668"/>
      <c r="AB92" s="340"/>
      <c r="AC92" s="2344"/>
    </row>
    <row r="93" spans="1:29" s="457" customFormat="1" x14ac:dyDescent="0.25">
      <c r="B93" s="2432"/>
      <c r="C93" s="2339"/>
      <c r="D93" s="340"/>
      <c r="E93" s="1656"/>
      <c r="G93" s="2355"/>
      <c r="H93" s="455"/>
      <c r="I93" s="897"/>
      <c r="J93" s="455"/>
      <c r="K93" s="1668"/>
      <c r="L93" s="340"/>
      <c r="M93" s="901"/>
      <c r="O93" s="1668"/>
      <c r="P93" s="340"/>
      <c r="Q93" s="901"/>
      <c r="R93" s="592"/>
      <c r="S93" s="2341"/>
      <c r="T93" s="340"/>
      <c r="U93" s="2342"/>
      <c r="V93" s="952"/>
      <c r="W93" s="2343"/>
      <c r="X93" s="340"/>
      <c r="Y93" s="2344"/>
      <c r="AA93" s="1668"/>
      <c r="AB93" s="340"/>
      <c r="AC93" s="2344"/>
    </row>
    <row r="94" spans="1:29" s="457" customFormat="1" x14ac:dyDescent="0.25">
      <c r="B94" s="2432"/>
      <c r="C94" s="2339"/>
      <c r="D94" s="340"/>
      <c r="E94" s="1656"/>
      <c r="G94" s="2355"/>
      <c r="H94" s="455"/>
      <c r="I94" s="897"/>
      <c r="J94" s="455"/>
      <c r="K94" s="1668"/>
      <c r="L94" s="340"/>
      <c r="M94" s="901"/>
      <c r="O94" s="1668"/>
      <c r="P94" s="340"/>
      <c r="Q94" s="901"/>
      <c r="R94" s="592"/>
      <c r="S94" s="2341"/>
      <c r="T94" s="340"/>
      <c r="U94" s="2342"/>
      <c r="V94" s="952"/>
      <c r="W94" s="2343"/>
      <c r="X94" s="340"/>
      <c r="Y94" s="2344"/>
      <c r="AA94" s="1668"/>
      <c r="AB94" s="340"/>
      <c r="AC94" s="2344"/>
    </row>
    <row r="95" spans="1:29" s="2402" customFormat="1" ht="11.25" x14ac:dyDescent="0.2">
      <c r="B95" s="2474"/>
      <c r="C95" s="2444" t="s">
        <v>221</v>
      </c>
      <c r="D95" s="2397">
        <f>+D82+D66+D53+D41+D30</f>
        <v>13264.79</v>
      </c>
      <c r="E95" s="2363"/>
      <c r="G95" s="2399" t="s">
        <v>221</v>
      </c>
      <c r="H95" s="2397">
        <f>+H82+H66+H53+H41+H30</f>
        <v>13500</v>
      </c>
      <c r="I95" s="2400"/>
      <c r="J95" s="607"/>
      <c r="K95" s="2399" t="s">
        <v>221</v>
      </c>
      <c r="L95" s="2397">
        <f>+L82+L66+L53+L41+L30</f>
        <v>21500</v>
      </c>
      <c r="M95" s="2404"/>
      <c r="O95" s="2399" t="s">
        <v>221</v>
      </c>
      <c r="P95" s="2397">
        <f>+P82+P66+P53+P41+P30</f>
        <v>22500</v>
      </c>
      <c r="Q95" s="2404"/>
      <c r="R95" s="608"/>
      <c r="S95" s="2405" t="s">
        <v>221</v>
      </c>
      <c r="T95" s="2397">
        <f>+T82+T66+T53+T41+T30</f>
        <v>22500</v>
      </c>
      <c r="U95" s="2406"/>
      <c r="V95" s="2407"/>
      <c r="W95" s="2408" t="s">
        <v>221</v>
      </c>
      <c r="X95" s="2397">
        <f>+X82+X66+X53+X41+X30</f>
        <v>23114</v>
      </c>
      <c r="Y95" s="2409"/>
      <c r="AA95" s="2399" t="s">
        <v>221</v>
      </c>
      <c r="AB95" s="2397" t="e">
        <f>+AB82+AB66+AB53+AB41+AB30</f>
        <v>#VALUE!</v>
      </c>
      <c r="AC95" s="2409"/>
    </row>
    <row r="96" spans="1:29" s="2402" customFormat="1" ht="11.25" x14ac:dyDescent="0.2">
      <c r="A96" s="2414"/>
      <c r="B96" s="2474"/>
      <c r="C96" s="2445" t="s">
        <v>222</v>
      </c>
      <c r="D96" s="2412">
        <f>+D13</f>
        <v>490.8</v>
      </c>
      <c r="E96" s="2419"/>
      <c r="F96" s="2410"/>
      <c r="G96" s="2415" t="s">
        <v>222</v>
      </c>
      <c r="H96" s="2412">
        <f>+H13</f>
        <v>958</v>
      </c>
      <c r="I96" s="2398"/>
      <c r="J96" s="608"/>
      <c r="K96" s="2415" t="s">
        <v>222</v>
      </c>
      <c r="L96" s="2412">
        <f>+L13</f>
        <v>1164</v>
      </c>
      <c r="M96" s="2404"/>
      <c r="O96" s="2415" t="s">
        <v>222</v>
      </c>
      <c r="P96" s="2412">
        <f>+P13</f>
        <v>1164</v>
      </c>
      <c r="Q96" s="2363"/>
      <c r="R96" s="608"/>
      <c r="S96" s="2416" t="s">
        <v>222</v>
      </c>
      <c r="T96" s="2412">
        <f>+T13</f>
        <v>1164</v>
      </c>
      <c r="U96" s="2232"/>
      <c r="V96" s="2407"/>
      <c r="W96" s="2417" t="s">
        <v>222</v>
      </c>
      <c r="X96" s="2412">
        <f>+X13</f>
        <v>844</v>
      </c>
      <c r="AA96" s="2415" t="s">
        <v>222</v>
      </c>
      <c r="AB96" s="2412">
        <f>+AB13</f>
        <v>11541</v>
      </c>
    </row>
    <row r="97" spans="1:29" s="2402" customFormat="1" ht="11.25" x14ac:dyDescent="0.2">
      <c r="A97" s="2414"/>
      <c r="B97" s="2474"/>
      <c r="C97" s="2445"/>
      <c r="D97" s="2418">
        <f>+D95+D96</f>
        <v>13755.59</v>
      </c>
      <c r="E97" s="2419"/>
      <c r="F97" s="2410"/>
      <c r="G97" s="2415"/>
      <c r="H97" s="2418">
        <f>+H95+H96</f>
        <v>14458</v>
      </c>
      <c r="I97" s="2398"/>
      <c r="J97" s="608"/>
      <c r="K97" s="2415"/>
      <c r="L97" s="2418">
        <f>+L95+L96</f>
        <v>22664</v>
      </c>
      <c r="M97" s="2363"/>
      <c r="O97" s="2415"/>
      <c r="P97" s="2418">
        <f>+P95+P96</f>
        <v>23664</v>
      </c>
      <c r="Q97" s="2363"/>
      <c r="R97" s="608"/>
      <c r="S97" s="2416"/>
      <c r="T97" s="2418">
        <f>+T95+T96</f>
        <v>23664</v>
      </c>
      <c r="U97" s="2232"/>
      <c r="V97" s="2407"/>
      <c r="W97" s="2417"/>
      <c r="X97" s="2418">
        <f>+X95+X96</f>
        <v>23958</v>
      </c>
      <c r="AA97" s="2415"/>
      <c r="AB97" s="2418" t="e">
        <f>+AB95+AB96</f>
        <v>#VALUE!</v>
      </c>
    </row>
    <row r="98" spans="1:29" s="457" customFormat="1" ht="15" customHeight="1" x14ac:dyDescent="0.25">
      <c r="A98" s="455"/>
      <c r="B98" s="2446"/>
      <c r="C98" s="2446"/>
      <c r="D98" s="459">
        <f>+D85-D97</f>
        <v>0</v>
      </c>
      <c r="E98" s="2386"/>
      <c r="F98" s="340"/>
      <c r="G98" s="2447"/>
      <c r="H98" s="459">
        <f>+H85-H97</f>
        <v>0</v>
      </c>
      <c r="I98" s="2339"/>
      <c r="J98" s="592"/>
      <c r="K98" s="2447"/>
      <c r="L98" s="459">
        <f>+L85-L97</f>
        <v>0</v>
      </c>
      <c r="M98" s="1656"/>
      <c r="O98" s="2447"/>
      <c r="P98" s="459">
        <f>+P85-P97</f>
        <v>0</v>
      </c>
      <c r="Q98" s="1656"/>
      <c r="R98" s="592"/>
      <c r="S98" s="2447"/>
      <c r="T98" s="459">
        <f>+T85-T97</f>
        <v>0</v>
      </c>
      <c r="U98" s="2215"/>
      <c r="V98" s="952"/>
      <c r="W98" s="2448"/>
      <c r="X98" s="459">
        <f>+X85-X97</f>
        <v>0</v>
      </c>
      <c r="AA98" s="2447"/>
      <c r="AB98" s="459" t="e">
        <f>+AB85-AB97</f>
        <v>#VALUE!</v>
      </c>
    </row>
    <row r="99" spans="1:29" s="457" customFormat="1" x14ac:dyDescent="0.25">
      <c r="A99" s="455"/>
      <c r="B99" s="2446"/>
      <c r="C99" s="2446"/>
      <c r="D99" s="455"/>
      <c r="E99" s="2386"/>
      <c r="F99" s="340"/>
      <c r="G99" s="2338"/>
      <c r="H99" s="2424"/>
      <c r="I99" s="2339"/>
      <c r="J99" s="592"/>
      <c r="K99" s="1668"/>
      <c r="L99" s="2370"/>
      <c r="M99" s="1656"/>
      <c r="O99" s="1668"/>
      <c r="P99" s="340"/>
      <c r="Q99" s="1656"/>
      <c r="R99" s="592"/>
      <c r="S99" s="2341"/>
      <c r="U99" s="2215"/>
      <c r="V99" s="952"/>
      <c r="W99" s="2343"/>
      <c r="AA99" s="1668"/>
    </row>
    <row r="100" spans="1:29" s="2475" customFormat="1" x14ac:dyDescent="0.25">
      <c r="A100" s="455"/>
      <c r="B100" s="2443"/>
      <c r="C100" s="2339"/>
      <c r="D100" s="342"/>
      <c r="E100" s="2386"/>
      <c r="F100" s="340"/>
      <c r="G100" s="2338"/>
      <c r="H100" s="2424"/>
      <c r="I100" s="2339"/>
      <c r="J100" s="592"/>
      <c r="K100" s="1668"/>
      <c r="L100" s="2370"/>
      <c r="M100" s="1656"/>
      <c r="N100" s="457"/>
      <c r="O100" s="1668"/>
      <c r="P100" s="340"/>
      <c r="Q100" s="1656"/>
      <c r="R100" s="592"/>
      <c r="S100" s="2341"/>
      <c r="T100" s="457"/>
      <c r="U100" s="2215"/>
      <c r="V100" s="952"/>
      <c r="W100" s="2343"/>
      <c r="X100" s="457"/>
      <c r="Y100" s="457"/>
      <c r="Z100" s="457"/>
      <c r="AA100" s="1668"/>
      <c r="AB100" s="457"/>
      <c r="AC100" s="457"/>
    </row>
    <row r="101" spans="1:29" s="2475" customFormat="1" x14ac:dyDescent="0.25">
      <c r="A101" s="457"/>
      <c r="B101" s="2443"/>
      <c r="C101" s="2339"/>
      <c r="D101" s="455"/>
      <c r="E101" s="1656"/>
      <c r="F101" s="457"/>
      <c r="G101" s="2338"/>
      <c r="H101" s="2424"/>
      <c r="I101" s="2339"/>
      <c r="J101" s="592"/>
      <c r="K101" s="1668"/>
      <c r="L101" s="2370"/>
      <c r="M101" s="1656"/>
      <c r="N101" s="457"/>
      <c r="O101" s="1668"/>
      <c r="P101" s="340"/>
      <c r="Q101" s="1656"/>
      <c r="R101" s="592"/>
      <c r="S101" s="2341"/>
      <c r="T101" s="457"/>
      <c r="U101" s="2215"/>
      <c r="V101" s="952"/>
      <c r="W101" s="2343"/>
      <c r="X101" s="457"/>
      <c r="Y101" s="457"/>
      <c r="Z101" s="457"/>
      <c r="AA101" s="1668"/>
      <c r="AB101" s="457"/>
      <c r="AC101" s="457"/>
    </row>
    <row r="102" spans="1:29" s="2475" customFormat="1" x14ac:dyDescent="0.25">
      <c r="A102" s="457"/>
      <c r="B102" s="2443"/>
      <c r="C102" s="2339"/>
      <c r="D102" s="455"/>
      <c r="E102" s="1656"/>
      <c r="F102" s="457"/>
      <c r="G102" s="2338"/>
      <c r="H102" s="2424"/>
      <c r="I102" s="2339"/>
      <c r="J102" s="592"/>
      <c r="K102" s="1668"/>
      <c r="L102" s="2370"/>
      <c r="M102" s="1656"/>
      <c r="N102" s="457"/>
      <c r="O102" s="1668"/>
      <c r="P102" s="340"/>
      <c r="Q102" s="1656"/>
      <c r="R102" s="592"/>
      <c r="S102" s="2341"/>
      <c r="T102" s="457"/>
      <c r="U102" s="2215"/>
      <c r="V102" s="952"/>
      <c r="W102" s="2343"/>
      <c r="X102" s="457"/>
      <c r="Y102" s="457"/>
      <c r="Z102" s="457"/>
      <c r="AA102" s="1668"/>
      <c r="AB102" s="457"/>
      <c r="AC102" s="457"/>
    </row>
    <row r="103" spans="1:29" s="2475" customFormat="1" ht="15" customHeight="1" x14ac:dyDescent="0.25">
      <c r="A103" s="457"/>
      <c r="B103" s="2443"/>
      <c r="C103" s="2339"/>
      <c r="D103" s="455"/>
      <c r="E103" s="1656"/>
      <c r="F103" s="457"/>
      <c r="G103" s="2338"/>
      <c r="H103" s="2424"/>
      <c r="I103" s="2339"/>
      <c r="J103" s="592"/>
      <c r="K103" s="1668"/>
      <c r="L103" s="2370"/>
      <c r="M103" s="1656"/>
      <c r="N103" s="457"/>
      <c r="O103" s="1668"/>
      <c r="P103" s="340"/>
      <c r="Q103" s="1656"/>
      <c r="R103" s="592"/>
      <c r="S103" s="2341"/>
      <c r="T103" s="457"/>
      <c r="U103" s="2215"/>
      <c r="V103" s="952"/>
      <c r="W103" s="2343"/>
      <c r="X103" s="457"/>
      <c r="Y103" s="457"/>
      <c r="Z103" s="457"/>
      <c r="AA103" s="1668"/>
      <c r="AB103" s="457"/>
      <c r="AC103" s="457"/>
    </row>
    <row r="104" spans="1:29" s="2475" customFormat="1" x14ac:dyDescent="0.25">
      <c r="A104" s="457"/>
      <c r="B104" s="2443"/>
      <c r="C104" s="2339"/>
      <c r="D104" s="455"/>
      <c r="E104" s="1656"/>
      <c r="F104" s="457"/>
      <c r="G104" s="2338"/>
      <c r="H104" s="2424"/>
      <c r="I104" s="2339"/>
      <c r="J104" s="592"/>
      <c r="K104" s="1668"/>
      <c r="L104" s="2370"/>
      <c r="M104" s="1656"/>
      <c r="N104" s="457"/>
      <c r="O104" s="1668"/>
      <c r="P104" s="340"/>
      <c r="Q104" s="1656"/>
      <c r="R104" s="592"/>
      <c r="S104" s="2341"/>
      <c r="T104" s="457"/>
      <c r="U104" s="2215"/>
      <c r="V104" s="952"/>
      <c r="W104" s="2343"/>
      <c r="X104" s="457"/>
      <c r="Y104" s="457"/>
      <c r="Z104" s="457"/>
      <c r="AA104" s="1668"/>
      <c r="AB104" s="457"/>
      <c r="AC104" s="457"/>
    </row>
    <row r="105" spans="1:29" s="2475" customFormat="1" x14ac:dyDescent="0.25">
      <c r="A105" s="457"/>
      <c r="B105" s="2443"/>
      <c r="C105" s="2339"/>
      <c r="D105" s="455"/>
      <c r="E105" s="1656"/>
      <c r="F105" s="457"/>
      <c r="G105" s="2338"/>
      <c r="H105" s="2424"/>
      <c r="I105" s="2339"/>
      <c r="J105" s="592"/>
      <c r="K105" s="1668"/>
      <c r="L105" s="2370"/>
      <c r="M105" s="1656"/>
      <c r="N105" s="457"/>
      <c r="O105" s="1668"/>
      <c r="P105" s="340"/>
      <c r="Q105" s="1656"/>
      <c r="R105" s="592"/>
      <c r="S105" s="2341"/>
      <c r="T105" s="457"/>
      <c r="U105" s="2215"/>
      <c r="V105" s="952"/>
      <c r="W105" s="2343"/>
      <c r="X105" s="457"/>
      <c r="Y105" s="457"/>
      <c r="Z105" s="457"/>
      <c r="AA105" s="1668"/>
      <c r="AB105" s="457"/>
      <c r="AC105" s="457"/>
    </row>
    <row r="106" spans="1:29" s="2475" customFormat="1" ht="15" customHeight="1" x14ac:dyDescent="0.25">
      <c r="A106" s="457"/>
      <c r="B106" s="2565"/>
      <c r="C106" s="2565"/>
      <c r="D106" s="455"/>
      <c r="E106" s="1656"/>
      <c r="F106" s="457"/>
      <c r="G106" s="2338"/>
      <c r="H106" s="2424"/>
      <c r="I106" s="2339"/>
      <c r="J106" s="592"/>
      <c r="K106" s="1668"/>
      <c r="L106" s="2370"/>
      <c r="M106" s="1656"/>
      <c r="N106" s="457"/>
      <c r="O106" s="1668"/>
      <c r="P106" s="340"/>
      <c r="Q106" s="1656"/>
      <c r="R106" s="592"/>
      <c r="S106" s="2341"/>
      <c r="T106" s="457"/>
      <c r="U106" s="2215"/>
      <c r="V106" s="952"/>
      <c r="W106" s="2343"/>
      <c r="X106" s="457"/>
      <c r="Y106" s="457"/>
      <c r="Z106" s="457"/>
      <c r="AA106" s="1668"/>
      <c r="AB106" s="457"/>
      <c r="AC106" s="457"/>
    </row>
    <row r="107" spans="1:29" s="2475" customFormat="1" x14ac:dyDescent="0.25">
      <c r="A107" s="457"/>
      <c r="B107" s="2565"/>
      <c r="C107" s="2565"/>
      <c r="D107" s="455"/>
      <c r="E107" s="1656"/>
      <c r="F107" s="457"/>
      <c r="G107" s="2338"/>
      <c r="H107" s="2424"/>
      <c r="I107" s="2339"/>
      <c r="J107" s="592"/>
      <c r="K107" s="1668"/>
      <c r="L107" s="2370"/>
      <c r="M107" s="1656"/>
      <c r="N107" s="457"/>
      <c r="O107" s="1668"/>
      <c r="P107" s="340"/>
      <c r="Q107" s="1656"/>
      <c r="R107" s="592"/>
      <c r="S107" s="2341"/>
      <c r="T107" s="457"/>
      <c r="U107" s="2215"/>
      <c r="V107" s="952"/>
      <c r="W107" s="2343"/>
      <c r="X107" s="457"/>
      <c r="Y107" s="457"/>
      <c r="Z107" s="457"/>
      <c r="AA107" s="1668"/>
      <c r="AB107" s="457"/>
      <c r="AC107" s="457"/>
    </row>
    <row r="108" spans="1:29" s="2475" customFormat="1" x14ac:dyDescent="0.25">
      <c r="A108" s="457"/>
      <c r="B108" s="2443"/>
      <c r="C108" s="2339"/>
      <c r="D108" s="460"/>
      <c r="E108" s="1656"/>
      <c r="F108" s="457"/>
      <c r="G108" s="2338"/>
      <c r="H108" s="2424"/>
      <c r="I108" s="2339"/>
      <c r="J108" s="592"/>
      <c r="K108" s="1668"/>
      <c r="L108" s="2370"/>
      <c r="M108" s="1656"/>
      <c r="N108" s="457"/>
      <c r="O108" s="1668"/>
      <c r="P108" s="340"/>
      <c r="Q108" s="1656"/>
      <c r="R108" s="592"/>
      <c r="S108" s="2341"/>
      <c r="T108" s="457"/>
      <c r="U108" s="2215"/>
      <c r="V108" s="952"/>
      <c r="W108" s="2343"/>
      <c r="X108" s="457"/>
      <c r="Y108" s="457"/>
      <c r="Z108" s="457"/>
      <c r="AA108" s="1668"/>
      <c r="AB108" s="457"/>
      <c r="AC108" s="457"/>
    </row>
    <row r="109" spans="1:29" s="2475" customFormat="1" x14ac:dyDescent="0.25">
      <c r="A109" s="457"/>
      <c r="B109" s="2443"/>
      <c r="C109" s="2339"/>
      <c r="D109" s="455"/>
      <c r="E109" s="1656"/>
      <c r="F109" s="457"/>
      <c r="G109" s="2338"/>
      <c r="H109" s="2424"/>
      <c r="I109" s="2339"/>
      <c r="J109" s="592"/>
      <c r="K109" s="1668"/>
      <c r="L109" s="2370"/>
      <c r="M109" s="1656"/>
      <c r="N109" s="457"/>
      <c r="O109" s="1668"/>
      <c r="P109" s="340"/>
      <c r="Q109" s="1656"/>
      <c r="R109" s="592"/>
      <c r="S109" s="2341"/>
      <c r="T109" s="457"/>
      <c r="U109" s="2215"/>
      <c r="V109" s="952"/>
      <c r="W109" s="2343"/>
      <c r="X109" s="457"/>
      <c r="Y109" s="457"/>
      <c r="Z109" s="457"/>
      <c r="AA109" s="1668"/>
      <c r="AB109" s="457"/>
      <c r="AC109" s="457"/>
    </row>
    <row r="110" spans="1:29" s="2475" customFormat="1" x14ac:dyDescent="0.25">
      <c r="A110" s="457"/>
      <c r="B110" s="2443"/>
      <c r="C110" s="2339"/>
      <c r="D110" s="455"/>
      <c r="E110" s="1656"/>
      <c r="F110" s="457"/>
      <c r="G110" s="2338"/>
      <c r="H110" s="2424"/>
      <c r="I110" s="2339"/>
      <c r="J110" s="592"/>
      <c r="K110" s="1668"/>
      <c r="L110" s="2370"/>
      <c r="M110" s="1656"/>
      <c r="N110" s="457"/>
      <c r="O110" s="1668"/>
      <c r="P110" s="340"/>
      <c r="Q110" s="1656"/>
      <c r="R110" s="592"/>
      <c r="S110" s="2341"/>
      <c r="T110" s="457"/>
      <c r="U110" s="2215"/>
      <c r="V110" s="952"/>
      <c r="W110" s="2343"/>
      <c r="X110" s="457"/>
      <c r="Y110" s="457"/>
      <c r="Z110" s="457"/>
      <c r="AA110" s="1668"/>
      <c r="AB110" s="457"/>
      <c r="AC110" s="457"/>
    </row>
    <row r="111" spans="1:29" s="2475" customFormat="1" ht="28.5" customHeight="1" x14ac:dyDescent="0.25">
      <c r="A111" s="457"/>
      <c r="B111" s="2443"/>
      <c r="C111" s="2339"/>
      <c r="D111" s="342"/>
      <c r="E111" s="1656"/>
      <c r="F111" s="457"/>
      <c r="G111" s="2338"/>
      <c r="H111" s="2424"/>
      <c r="I111" s="2339"/>
      <c r="J111" s="592"/>
      <c r="K111" s="1668"/>
      <c r="L111" s="2370"/>
      <c r="M111" s="1656"/>
      <c r="N111" s="457"/>
      <c r="O111" s="1668"/>
      <c r="P111" s="340"/>
      <c r="Q111" s="1656"/>
      <c r="R111" s="592"/>
      <c r="S111" s="2341"/>
      <c r="T111" s="457"/>
      <c r="U111" s="2215"/>
      <c r="V111" s="952"/>
      <c r="W111" s="2343"/>
      <c r="X111" s="457"/>
      <c r="Y111" s="457"/>
      <c r="Z111" s="457"/>
      <c r="AA111" s="1668"/>
      <c r="AB111" s="457"/>
      <c r="AC111" s="457"/>
    </row>
    <row r="112" spans="1:29" s="2475" customFormat="1" x14ac:dyDescent="0.25">
      <c r="A112" s="457"/>
      <c r="B112" s="2443"/>
      <c r="C112" s="2339"/>
      <c r="D112" s="455"/>
      <c r="E112" s="1656"/>
      <c r="F112" s="457"/>
      <c r="G112" s="2338"/>
      <c r="H112" s="2424"/>
      <c r="I112" s="2339"/>
      <c r="J112" s="592"/>
      <c r="K112" s="1668"/>
      <c r="L112" s="2370"/>
      <c r="M112" s="1656"/>
      <c r="N112" s="457"/>
      <c r="O112" s="1668"/>
      <c r="P112" s="340"/>
      <c r="Q112" s="1656"/>
      <c r="R112" s="592"/>
      <c r="S112" s="2341"/>
      <c r="T112" s="457"/>
      <c r="U112" s="2215"/>
      <c r="V112" s="952"/>
      <c r="W112" s="2343"/>
      <c r="X112" s="457"/>
      <c r="Y112" s="457"/>
      <c r="Z112" s="457"/>
      <c r="AA112" s="1668"/>
      <c r="AB112" s="457"/>
      <c r="AC112" s="457"/>
    </row>
    <row r="113" spans="1:29" s="2475" customFormat="1" x14ac:dyDescent="0.25">
      <c r="A113" s="457"/>
      <c r="B113" s="2443"/>
      <c r="C113" s="2339"/>
      <c r="D113" s="455"/>
      <c r="E113" s="1656"/>
      <c r="F113" s="457"/>
      <c r="G113" s="2338"/>
      <c r="H113" s="2424"/>
      <c r="I113" s="2339"/>
      <c r="J113" s="592"/>
      <c r="K113" s="1668"/>
      <c r="L113" s="2370"/>
      <c r="M113" s="1656"/>
      <c r="N113" s="457"/>
      <c r="O113" s="1668"/>
      <c r="P113" s="340"/>
      <c r="Q113" s="1656"/>
      <c r="R113" s="592"/>
      <c r="S113" s="2341"/>
      <c r="T113" s="457"/>
      <c r="U113" s="2215"/>
      <c r="V113" s="952"/>
      <c r="W113" s="2343"/>
      <c r="X113" s="457"/>
      <c r="Y113" s="457"/>
      <c r="Z113" s="457"/>
      <c r="AA113" s="1668"/>
      <c r="AB113" s="457"/>
      <c r="AC113" s="457"/>
    </row>
    <row r="114" spans="1:29" s="2475" customFormat="1" x14ac:dyDescent="0.25">
      <c r="A114" s="457"/>
      <c r="B114" s="2443"/>
      <c r="C114" s="2339"/>
      <c r="D114" s="455"/>
      <c r="E114" s="1656"/>
      <c r="F114" s="457"/>
      <c r="G114" s="2338"/>
      <c r="H114" s="2424"/>
      <c r="I114" s="2339"/>
      <c r="J114" s="592"/>
      <c r="K114" s="1668"/>
      <c r="L114" s="2370"/>
      <c r="M114" s="1656"/>
      <c r="N114" s="457"/>
      <c r="O114" s="1668"/>
      <c r="P114" s="340"/>
      <c r="Q114" s="1656"/>
      <c r="R114" s="592"/>
      <c r="S114" s="2341"/>
      <c r="T114" s="457"/>
      <c r="U114" s="2215"/>
      <c r="V114" s="952"/>
      <c r="W114" s="2343"/>
      <c r="X114" s="457"/>
      <c r="Y114" s="457"/>
      <c r="Z114" s="457"/>
      <c r="AA114" s="1668"/>
      <c r="AB114" s="457"/>
      <c r="AC114" s="457"/>
    </row>
    <row r="115" spans="1:29" s="2475" customFormat="1" x14ac:dyDescent="0.25">
      <c r="A115" s="457"/>
      <c r="B115" s="2443"/>
      <c r="C115" s="2339"/>
      <c r="D115" s="455"/>
      <c r="E115" s="1656"/>
      <c r="F115" s="457"/>
      <c r="G115" s="2338"/>
      <c r="H115" s="2424"/>
      <c r="I115" s="2339"/>
      <c r="J115" s="592"/>
      <c r="K115" s="1668"/>
      <c r="L115" s="2370"/>
      <c r="M115" s="1656"/>
      <c r="N115" s="457"/>
      <c r="O115" s="1668"/>
      <c r="P115" s="340"/>
      <c r="Q115" s="1656"/>
      <c r="R115" s="592"/>
      <c r="S115" s="2341"/>
      <c r="T115" s="457"/>
      <c r="U115" s="2215"/>
      <c r="V115" s="952"/>
      <c r="W115" s="2343"/>
      <c r="X115" s="457"/>
      <c r="Y115" s="457"/>
      <c r="Z115" s="457"/>
      <c r="AA115" s="1668"/>
      <c r="AB115" s="457"/>
      <c r="AC115" s="457"/>
    </row>
    <row r="116" spans="1:29" s="457" customFormat="1" x14ac:dyDescent="0.25">
      <c r="B116" s="2443"/>
      <c r="C116" s="2339"/>
      <c r="D116" s="455"/>
      <c r="E116" s="1656"/>
      <c r="G116" s="2338"/>
      <c r="H116" s="2424"/>
      <c r="I116" s="2339"/>
      <c r="J116" s="592"/>
      <c r="K116" s="1668"/>
      <c r="L116" s="2370"/>
      <c r="M116" s="1656"/>
      <c r="O116" s="1668"/>
      <c r="P116" s="340"/>
      <c r="Q116" s="1656"/>
      <c r="R116" s="592"/>
      <c r="S116" s="2341"/>
      <c r="U116" s="2215"/>
      <c r="V116" s="952"/>
      <c r="W116" s="2343"/>
      <c r="AA116" s="1668"/>
    </row>
    <row r="117" spans="1:29" s="457" customFormat="1" x14ac:dyDescent="0.25">
      <c r="B117" s="2443"/>
      <c r="C117" s="2339"/>
      <c r="D117" s="455"/>
      <c r="E117" s="1656"/>
      <c r="G117" s="2338"/>
      <c r="H117" s="2424"/>
      <c r="I117" s="2339"/>
      <c r="J117" s="592"/>
      <c r="K117" s="1668"/>
      <c r="L117" s="2370"/>
      <c r="M117" s="1656"/>
      <c r="O117" s="1668"/>
      <c r="P117" s="340"/>
      <c r="Q117" s="1656"/>
      <c r="R117" s="592"/>
      <c r="S117" s="2341"/>
      <c r="U117" s="2215"/>
      <c r="V117" s="952"/>
      <c r="W117" s="2343"/>
      <c r="AA117" s="1668"/>
    </row>
    <row r="118" spans="1:29" s="457" customFormat="1" x14ac:dyDescent="0.25">
      <c r="B118" s="2443"/>
      <c r="C118" s="2339"/>
      <c r="D118" s="455"/>
      <c r="E118" s="1656"/>
      <c r="G118" s="2338"/>
      <c r="H118" s="2424"/>
      <c r="I118" s="2339"/>
      <c r="J118" s="592"/>
      <c r="K118" s="1668"/>
      <c r="L118" s="2370"/>
      <c r="M118" s="1656"/>
      <c r="O118" s="1668"/>
      <c r="P118" s="340"/>
      <c r="Q118" s="1656"/>
      <c r="R118" s="592"/>
      <c r="S118" s="2341"/>
      <c r="U118" s="2215"/>
      <c r="V118" s="952"/>
      <c r="W118" s="2343"/>
      <c r="AA118" s="1668"/>
    </row>
    <row r="119" spans="1:29" s="457" customFormat="1" x14ac:dyDescent="0.25">
      <c r="B119" s="2443"/>
      <c r="C119" s="2339"/>
      <c r="D119" s="455"/>
      <c r="E119" s="1656"/>
      <c r="G119" s="2338"/>
      <c r="H119" s="2424"/>
      <c r="I119" s="2339"/>
      <c r="J119" s="592"/>
      <c r="K119" s="1668"/>
      <c r="L119" s="2370"/>
      <c r="M119" s="1656"/>
      <c r="O119" s="1668"/>
      <c r="P119" s="340"/>
      <c r="Q119" s="1656"/>
      <c r="R119" s="592"/>
      <c r="S119" s="2341"/>
      <c r="U119" s="2215"/>
      <c r="V119" s="952"/>
      <c r="W119" s="2343"/>
      <c r="AA119" s="1668"/>
    </row>
    <row r="120" spans="1:29" s="457" customFormat="1" x14ac:dyDescent="0.25">
      <c r="B120" s="2443"/>
      <c r="C120" s="2339"/>
      <c r="D120" s="455"/>
      <c r="E120" s="1656"/>
      <c r="G120" s="2338"/>
      <c r="H120" s="2424"/>
      <c r="I120" s="2339"/>
      <c r="J120" s="592"/>
      <c r="K120" s="1668"/>
      <c r="L120" s="2370"/>
      <c r="M120" s="1656"/>
      <c r="O120" s="1668"/>
      <c r="P120" s="340"/>
      <c r="Q120" s="1656"/>
      <c r="R120" s="592"/>
      <c r="S120" s="2341"/>
      <c r="U120" s="2215"/>
      <c r="V120" s="952"/>
      <c r="W120" s="2343"/>
      <c r="AA120" s="1668"/>
    </row>
    <row r="121" spans="1:29" s="457" customFormat="1" x14ac:dyDescent="0.25">
      <c r="B121" s="2443"/>
      <c r="C121" s="2339"/>
      <c r="D121" s="455"/>
      <c r="E121" s="1656"/>
      <c r="G121" s="2338"/>
      <c r="H121" s="2424"/>
      <c r="I121" s="2339"/>
      <c r="J121" s="592"/>
      <c r="K121" s="1668"/>
      <c r="L121" s="2370"/>
      <c r="M121" s="1656"/>
      <c r="O121" s="1668"/>
      <c r="P121" s="340"/>
      <c r="Q121" s="1656"/>
      <c r="R121" s="592"/>
      <c r="S121" s="2341"/>
      <c r="U121" s="2215"/>
      <c r="V121" s="952"/>
      <c r="W121" s="2343"/>
      <c r="AA121" s="1668"/>
    </row>
    <row r="122" spans="1:29" s="457" customFormat="1" x14ac:dyDescent="0.25">
      <c r="B122" s="2443"/>
      <c r="C122" s="2339"/>
      <c r="D122" s="455"/>
      <c r="E122" s="1656"/>
      <c r="G122" s="2338"/>
      <c r="H122" s="2424"/>
      <c r="I122" s="2339"/>
      <c r="J122" s="592"/>
      <c r="K122" s="1668"/>
      <c r="L122" s="2370"/>
      <c r="M122" s="1656"/>
      <c r="O122" s="1668"/>
      <c r="P122" s="340"/>
      <c r="Q122" s="1656"/>
      <c r="R122" s="592"/>
      <c r="S122" s="2341"/>
      <c r="U122" s="2215"/>
      <c r="V122" s="952"/>
      <c r="W122" s="2343"/>
      <c r="AA122" s="1668"/>
    </row>
    <row r="123" spans="1:29" s="457" customFormat="1" x14ac:dyDescent="0.25">
      <c r="B123" s="2443"/>
      <c r="C123" s="2339"/>
      <c r="D123" s="455"/>
      <c r="E123" s="1656"/>
      <c r="G123" s="2338"/>
      <c r="H123" s="2424"/>
      <c r="I123" s="2339"/>
      <c r="J123" s="592"/>
      <c r="K123" s="1668"/>
      <c r="L123" s="2370"/>
      <c r="M123" s="1656"/>
      <c r="O123" s="1668"/>
      <c r="P123" s="340"/>
      <c r="Q123" s="1656"/>
      <c r="R123" s="592"/>
      <c r="S123" s="2341"/>
      <c r="U123" s="2215"/>
      <c r="V123" s="952"/>
      <c r="W123" s="2343"/>
      <c r="AA123" s="1668"/>
    </row>
    <row r="124" spans="1:29" s="457" customFormat="1" x14ac:dyDescent="0.25">
      <c r="B124" s="2443"/>
      <c r="C124" s="2339"/>
      <c r="D124" s="455"/>
      <c r="E124" s="1656"/>
      <c r="G124" s="2338"/>
      <c r="H124" s="2424"/>
      <c r="I124" s="2339"/>
      <c r="J124" s="592"/>
      <c r="K124" s="1668"/>
      <c r="L124" s="2370"/>
      <c r="M124" s="1656"/>
      <c r="O124" s="1668"/>
      <c r="P124" s="340"/>
      <c r="Q124" s="1656"/>
      <c r="R124" s="592"/>
      <c r="S124" s="2341"/>
      <c r="U124" s="2215"/>
      <c r="V124" s="952"/>
      <c r="W124" s="2343"/>
      <c r="AA124" s="1668"/>
    </row>
    <row r="125" spans="1:29" s="457" customFormat="1" x14ac:dyDescent="0.25">
      <c r="B125" s="2443"/>
      <c r="C125" s="2339"/>
      <c r="D125" s="455"/>
      <c r="E125" s="1656"/>
      <c r="G125" s="2338"/>
      <c r="H125" s="2424"/>
      <c r="I125" s="2339"/>
      <c r="J125" s="592"/>
      <c r="K125" s="1668"/>
      <c r="L125" s="2370"/>
      <c r="M125" s="1656"/>
      <c r="O125" s="1668"/>
      <c r="P125" s="340"/>
      <c r="Q125" s="1656"/>
      <c r="R125" s="592"/>
      <c r="S125" s="2341"/>
      <c r="U125" s="2215"/>
      <c r="V125" s="952"/>
      <c r="W125" s="2343"/>
      <c r="AA125" s="1668"/>
    </row>
    <row r="126" spans="1:29" s="457" customFormat="1" x14ac:dyDescent="0.25">
      <c r="B126" s="2443"/>
      <c r="C126" s="2339"/>
      <c r="D126" s="455"/>
      <c r="E126" s="1656"/>
      <c r="G126" s="2338"/>
      <c r="H126" s="2424"/>
      <c r="I126" s="2339"/>
      <c r="J126" s="592"/>
      <c r="K126" s="1668"/>
      <c r="L126" s="2370"/>
      <c r="M126" s="1656"/>
      <c r="O126" s="1668"/>
      <c r="P126" s="340"/>
      <c r="Q126" s="1656"/>
      <c r="R126" s="592"/>
      <c r="S126" s="2341"/>
      <c r="U126" s="2215"/>
      <c r="V126" s="952"/>
      <c r="W126" s="2343"/>
      <c r="AA126" s="1668"/>
    </row>
    <row r="127" spans="1:29" s="457" customFormat="1" x14ac:dyDescent="0.25">
      <c r="B127" s="2432"/>
      <c r="C127" s="1656"/>
      <c r="D127" s="340"/>
      <c r="E127" s="1656"/>
      <c r="G127" s="2338"/>
      <c r="H127" s="2424"/>
      <c r="I127" s="2339"/>
      <c r="J127" s="592"/>
      <c r="K127" s="1668"/>
      <c r="L127" s="2370"/>
      <c r="M127" s="1656"/>
      <c r="O127" s="1668"/>
      <c r="P127" s="340"/>
      <c r="Q127" s="1656"/>
      <c r="R127" s="592"/>
      <c r="S127" s="2341"/>
      <c r="U127" s="2215"/>
      <c r="V127" s="952"/>
      <c r="W127" s="2343"/>
      <c r="AA127" s="1668"/>
    </row>
    <row r="128" spans="1:29" s="457" customFormat="1" x14ac:dyDescent="0.25">
      <c r="B128" s="2432"/>
      <c r="C128" s="1656"/>
      <c r="D128" s="340"/>
      <c r="E128" s="1656"/>
      <c r="G128" s="2338"/>
      <c r="H128" s="2424"/>
      <c r="I128" s="2339"/>
      <c r="J128" s="592"/>
      <c r="K128" s="1668"/>
      <c r="L128" s="2370"/>
      <c r="M128" s="1656"/>
      <c r="O128" s="1668"/>
      <c r="P128" s="340"/>
      <c r="Q128" s="1656"/>
      <c r="R128" s="592"/>
      <c r="S128" s="2341"/>
      <c r="U128" s="2215"/>
      <c r="V128" s="952"/>
      <c r="W128" s="2343"/>
      <c r="AA128" s="1668"/>
    </row>
    <row r="129" spans="2:27" s="457" customFormat="1" x14ac:dyDescent="0.25">
      <c r="B129" s="2432"/>
      <c r="C129" s="1656"/>
      <c r="D129" s="340"/>
      <c r="E129" s="1656"/>
      <c r="G129" s="2338"/>
      <c r="H129" s="2424"/>
      <c r="I129" s="2339"/>
      <c r="J129" s="592"/>
      <c r="K129" s="1668"/>
      <c r="L129" s="2370"/>
      <c r="M129" s="1656"/>
      <c r="O129" s="1668"/>
      <c r="P129" s="340"/>
      <c r="Q129" s="1656"/>
      <c r="R129" s="592"/>
      <c r="S129" s="2341"/>
      <c r="U129" s="2215"/>
      <c r="V129" s="952"/>
      <c r="W129" s="2343"/>
      <c r="AA129" s="1668"/>
    </row>
    <row r="130" spans="2:27" s="457" customFormat="1" x14ac:dyDescent="0.25">
      <c r="B130" s="2432"/>
      <c r="C130" s="1656"/>
      <c r="D130" s="340"/>
      <c r="E130" s="1656"/>
      <c r="G130" s="2338"/>
      <c r="H130" s="2424"/>
      <c r="I130" s="2339"/>
      <c r="J130" s="592"/>
      <c r="K130" s="1668"/>
      <c r="L130" s="2370"/>
      <c r="M130" s="1656"/>
      <c r="O130" s="1668"/>
      <c r="P130" s="340"/>
      <c r="Q130" s="1656"/>
      <c r="R130" s="592"/>
      <c r="S130" s="2341"/>
      <c r="U130" s="2215"/>
      <c r="V130" s="952"/>
      <c r="W130" s="2343"/>
      <c r="AA130" s="1668"/>
    </row>
    <row r="131" spans="2:27" s="457" customFormat="1" x14ac:dyDescent="0.25">
      <c r="B131" s="2432"/>
      <c r="C131" s="1656"/>
      <c r="D131" s="340"/>
      <c r="E131" s="1656"/>
      <c r="G131" s="2338"/>
      <c r="H131" s="2424"/>
      <c r="I131" s="2339"/>
      <c r="J131" s="592"/>
      <c r="K131" s="1668"/>
      <c r="L131" s="2370"/>
      <c r="M131" s="1656"/>
      <c r="O131" s="1668"/>
      <c r="P131" s="340"/>
      <c r="Q131" s="1656"/>
      <c r="R131" s="592"/>
      <c r="S131" s="2341"/>
      <c r="U131" s="2215"/>
      <c r="V131" s="952"/>
      <c r="W131" s="2343"/>
      <c r="AA131" s="1668"/>
    </row>
  </sheetData>
  <sheetProtection password="E247" sheet="1" objects="1" scenarios="1"/>
  <mergeCells count="1">
    <mergeCell ref="B106:C107"/>
  </mergeCells>
  <pageMargins left="0.25" right="0.25" top="0.5" bottom="0.5" header="0.25" footer="0.25"/>
  <pageSetup paperSize="5" orientation="portrait" r:id="rId1"/>
  <headerFooter>
    <oddHeader>&amp;L&amp;F</oddHeader>
    <oddFooter>&amp;R&amp;A</oddFooter>
  </headerFooter>
  <ignoredErrors>
    <ignoredError sqref="B62:B82"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C131"/>
  <sheetViews>
    <sheetView zoomScaleNormal="100" workbookViewId="0">
      <pane xSplit="3" ySplit="6" topLeftCell="H7" activePane="bottomRight" state="frozen"/>
      <selection activeCell="H7" sqref="H7"/>
      <selection pane="topRight" activeCell="H7" sqref="H7"/>
      <selection pane="bottomLeft" activeCell="H7" sqref="H7"/>
      <selection pane="bottomRight" activeCell="H7" sqref="H7"/>
    </sheetView>
  </sheetViews>
  <sheetFormatPr defaultRowHeight="15" x14ac:dyDescent="0.25"/>
  <cols>
    <col min="1" max="1" width="1.7109375" style="56" customWidth="1"/>
    <col min="2" max="2" width="8.5703125" style="2172" customWidth="1"/>
    <col min="3" max="3" width="18.28515625" style="844" customWidth="1"/>
    <col min="4" max="4" width="16" style="2" hidden="1" customWidth="1"/>
    <col min="5" max="5" width="17.5703125" style="844" hidden="1" customWidth="1"/>
    <col min="6" max="6" width="6" style="39" hidden="1" customWidth="1"/>
    <col min="7" max="7" width="9.42578125" style="52" hidden="1" customWidth="1"/>
    <col min="8" max="8" width="13.85546875" style="121" bestFit="1" customWidth="1"/>
    <col min="9" max="9" width="26" style="853" hidden="1" customWidth="1"/>
    <col min="10" max="10" width="5.7109375" style="59" hidden="1" customWidth="1"/>
    <col min="11" max="11" width="10" style="333" hidden="1" customWidth="1"/>
    <col min="12" max="12" width="14.5703125" style="122" bestFit="1" customWidth="1"/>
    <col min="13" max="13" width="26" style="844" hidden="1" customWidth="1"/>
    <col min="14" max="14" width="5.7109375" style="39" hidden="1" customWidth="1"/>
    <col min="15" max="15" width="9.42578125" style="333" hidden="1" customWidth="1"/>
    <col min="16" max="16" width="14" style="2" bestFit="1" customWidth="1"/>
    <col min="17" max="17" width="27.85546875" style="844" hidden="1" customWidth="1"/>
    <col min="18" max="18" width="5.28515625" style="51" hidden="1" customWidth="1"/>
    <col min="19" max="19" width="15" style="338" hidden="1" customWidth="1"/>
    <col min="20" max="20" width="14" style="39" customWidth="1"/>
    <col min="21" max="21" width="24.85546875" style="39" hidden="1" customWidth="1"/>
    <col min="22" max="22" width="5.7109375" style="109" customWidth="1"/>
    <col min="23" max="23" width="9.42578125" style="2244" hidden="1" customWidth="1"/>
    <col min="24" max="24" width="14" style="39" hidden="1" customWidth="1"/>
    <col min="25" max="25" width="24.85546875" style="39" hidden="1" customWidth="1"/>
    <col min="26" max="26" width="5.7109375" style="39" hidden="1" customWidth="1"/>
    <col min="27" max="27" width="9.42578125" style="333" hidden="1" customWidth="1"/>
    <col min="28" max="28" width="14" style="39" hidden="1" customWidth="1"/>
    <col min="29" max="29" width="24.85546875" style="39" hidden="1" customWidth="1"/>
    <col min="30" max="16384" width="9.140625" style="39"/>
  </cols>
  <sheetData>
    <row r="1" spans="1:29" x14ac:dyDescent="0.25">
      <c r="B1" s="2172" t="s">
        <v>61</v>
      </c>
      <c r="C1" s="873" t="s">
        <v>181</v>
      </c>
      <c r="D1" s="97">
        <v>121525</v>
      </c>
      <c r="E1" s="842" t="s">
        <v>900</v>
      </c>
      <c r="F1" s="98"/>
      <c r="G1" s="325"/>
      <c r="H1" s="97">
        <v>120798</v>
      </c>
      <c r="I1" s="842" t="s">
        <v>901</v>
      </c>
      <c r="K1" s="338"/>
      <c r="L1" s="97">
        <v>120798</v>
      </c>
      <c r="M1" s="842" t="s">
        <v>901</v>
      </c>
      <c r="N1" s="51"/>
      <c r="O1" s="338"/>
      <c r="P1" s="97">
        <f>+L1</f>
        <v>120798</v>
      </c>
      <c r="Q1" s="842" t="s">
        <v>901</v>
      </c>
      <c r="T1" s="86">
        <f>P1</f>
        <v>120798</v>
      </c>
      <c r="U1" s="98"/>
      <c r="X1" s="86">
        <f>T1</f>
        <v>120798</v>
      </c>
      <c r="Y1" s="98"/>
      <c r="AB1" s="86">
        <f>X1</f>
        <v>120798</v>
      </c>
      <c r="AC1" s="98"/>
    </row>
    <row r="2" spans="1:29" ht="17.25" x14ac:dyDescent="0.4">
      <c r="B2" s="2173" t="s">
        <v>59</v>
      </c>
      <c r="C2" s="295">
        <v>4203</v>
      </c>
      <c r="D2" s="2">
        <f>-158978.2+142850.68</f>
        <v>-16127.520000000019</v>
      </c>
      <c r="E2" s="842" t="s">
        <v>898</v>
      </c>
      <c r="F2" s="98"/>
      <c r="G2" s="1663"/>
      <c r="H2" s="2">
        <f>-D2</f>
        <v>16127.520000000019</v>
      </c>
      <c r="I2" s="842" t="s">
        <v>214</v>
      </c>
      <c r="K2" s="338"/>
      <c r="L2" s="2">
        <v>33333.519999999997</v>
      </c>
      <c r="M2" s="842" t="s">
        <v>214</v>
      </c>
      <c r="N2" s="51"/>
      <c r="O2" s="338"/>
      <c r="P2" s="2">
        <v>0</v>
      </c>
      <c r="Q2" s="842" t="s">
        <v>214</v>
      </c>
      <c r="T2" s="2">
        <v>0</v>
      </c>
      <c r="U2" s="98"/>
      <c r="X2" s="87">
        <v>0</v>
      </c>
      <c r="Y2" s="98"/>
      <c r="AB2" s="87">
        <v>0</v>
      </c>
      <c r="AC2" s="98"/>
    </row>
    <row r="3" spans="1:29" ht="17.25" x14ac:dyDescent="0.4">
      <c r="D3" s="99">
        <v>37453.199999999997</v>
      </c>
      <c r="E3" s="843" t="s">
        <v>174</v>
      </c>
      <c r="F3" s="936"/>
      <c r="G3" s="1664"/>
      <c r="H3" s="99">
        <f>-136925.52+102391</f>
        <v>-34534.51999999999</v>
      </c>
      <c r="I3" s="843" t="s">
        <v>933</v>
      </c>
      <c r="K3" s="338"/>
      <c r="L3" s="99">
        <f>-154131.52+118720</f>
        <v>-35411.51999999999</v>
      </c>
      <c r="M3" s="843" t="s">
        <v>933</v>
      </c>
      <c r="N3" s="51"/>
      <c r="O3" s="338"/>
      <c r="P3" s="99">
        <v>0</v>
      </c>
      <c r="Q3" s="843" t="s">
        <v>933</v>
      </c>
      <c r="T3" s="87">
        <v>0</v>
      </c>
      <c r="U3" s="51"/>
      <c r="X3" s="86">
        <f>SUM(X1:X2)</f>
        <v>120798</v>
      </c>
      <c r="Y3" s="51"/>
      <c r="AB3" s="86">
        <f>SUM(AB1:AB2)</f>
        <v>120798</v>
      </c>
      <c r="AC3" s="51"/>
    </row>
    <row r="4" spans="1:29" x14ac:dyDescent="0.25">
      <c r="D4" s="281">
        <f>+SUM(D1:D3)</f>
        <v>142850.68</v>
      </c>
      <c r="F4" s="51"/>
      <c r="G4" s="330"/>
      <c r="H4" s="281">
        <f>+SUM(H1:H3)</f>
        <v>102391.00000000003</v>
      </c>
      <c r="I4" s="844" t="s">
        <v>956</v>
      </c>
      <c r="K4" s="338"/>
      <c r="L4" s="281">
        <f>+SUM(L1:L3)</f>
        <v>118720</v>
      </c>
      <c r="M4" s="844" t="s">
        <v>956</v>
      </c>
      <c r="N4" s="51"/>
      <c r="O4" s="338"/>
      <c r="P4" s="281">
        <f>+SUM(P1:P3)</f>
        <v>120798</v>
      </c>
      <c r="Q4" s="844" t="s">
        <v>956</v>
      </c>
      <c r="T4" s="86">
        <f>SUM(T1:T3)</f>
        <v>120798</v>
      </c>
      <c r="U4" s="51"/>
      <c r="X4" s="86"/>
      <c r="Y4" s="51"/>
      <c r="AB4" s="86"/>
      <c r="AC4" s="51"/>
    </row>
    <row r="5" spans="1:29" ht="15.75" x14ac:dyDescent="0.25">
      <c r="B5" s="2174" t="s">
        <v>56</v>
      </c>
      <c r="P5" s="122"/>
      <c r="T5" s="73"/>
      <c r="X5" s="73"/>
      <c r="AB5" s="73"/>
    </row>
    <row r="6" spans="1:29" s="89" customFormat="1" ht="15.75" x14ac:dyDescent="0.25">
      <c r="A6" s="88"/>
      <c r="B6" s="2175"/>
      <c r="C6" s="877"/>
      <c r="D6" s="243" t="s">
        <v>55</v>
      </c>
      <c r="E6" s="845"/>
      <c r="G6" s="327"/>
      <c r="H6" s="282" t="str">
        <f>LEFT(D6,4)+1&amp;"-"&amp;RIGHT(D6,4)+1</f>
        <v>2017-2018</v>
      </c>
      <c r="I6" s="854"/>
      <c r="J6" s="93"/>
      <c r="K6" s="334"/>
      <c r="L6" s="123" t="str">
        <f>LEFT(H6,4)+1&amp;"-"&amp;RIGHT(H6,4)+1</f>
        <v>2018-2019</v>
      </c>
      <c r="M6" s="888"/>
      <c r="N6" s="96"/>
      <c r="O6" s="337"/>
      <c r="P6" s="123" t="str">
        <f>LEFT(L6,4)+1&amp;"-"&amp;RIGHT(L6,4)+1</f>
        <v>2019-2020</v>
      </c>
      <c r="Q6" s="888"/>
      <c r="R6" s="2237"/>
      <c r="S6" s="2242"/>
      <c r="T6" s="95" t="str">
        <f>LEFT(P6,4)+1&amp;"-"&amp;RIGHT(P6,4)+1</f>
        <v>2020-2021</v>
      </c>
      <c r="U6" s="95"/>
      <c r="V6" s="110"/>
      <c r="W6" s="2245"/>
      <c r="X6" s="95" t="str">
        <f>LEFT(T6,4)+1&amp;"-"&amp;RIGHT(T6,4)+1</f>
        <v>2021-2022</v>
      </c>
      <c r="Y6" s="95"/>
      <c r="Z6" s="96"/>
      <c r="AA6" s="337"/>
      <c r="AB6" s="95" t="str">
        <f>LEFT(X6,4)+1&amp;"-"&amp;RIGHT(X6,4)+1</f>
        <v>2022-2023</v>
      </c>
      <c r="AC6" s="95"/>
    </row>
    <row r="7" spans="1:29" s="457" customFormat="1" x14ac:dyDescent="0.25">
      <c r="B7" s="2337" t="s">
        <v>54</v>
      </c>
      <c r="C7" s="1656"/>
      <c r="D7" s="340">
        <v>0</v>
      </c>
      <c r="E7" s="1656"/>
      <c r="G7" s="2338"/>
      <c r="H7" s="340">
        <f>D89</f>
        <v>0</v>
      </c>
      <c r="I7" s="1656"/>
      <c r="J7" s="599"/>
      <c r="K7" s="1668"/>
      <c r="L7" s="340">
        <f>H89</f>
        <v>0</v>
      </c>
      <c r="M7" s="1656"/>
      <c r="O7" s="1668"/>
      <c r="P7" s="340">
        <f>L89</f>
        <v>0</v>
      </c>
      <c r="Q7" s="1656"/>
      <c r="R7" s="592"/>
      <c r="S7" s="2341"/>
      <c r="T7" s="340">
        <f>P89</f>
        <v>0</v>
      </c>
      <c r="V7" s="952"/>
      <c r="W7" s="2343"/>
      <c r="X7" s="340">
        <f>T89</f>
        <v>0</v>
      </c>
      <c r="AA7" s="1668"/>
      <c r="AB7" s="340">
        <f>X89</f>
        <v>-2271</v>
      </c>
    </row>
    <row r="8" spans="1:29" s="457" customFormat="1" x14ac:dyDescent="0.25">
      <c r="B8" s="2345"/>
      <c r="C8" s="1656"/>
      <c r="D8" s="340"/>
      <c r="E8" s="1656"/>
      <c r="G8" s="2338"/>
      <c r="H8" s="340"/>
      <c r="I8" s="1656"/>
      <c r="J8" s="592"/>
      <c r="K8" s="1668"/>
      <c r="L8" s="340"/>
      <c r="M8" s="1656"/>
      <c r="O8" s="1668"/>
      <c r="P8" s="340"/>
      <c r="Q8" s="1656"/>
      <c r="R8" s="592"/>
      <c r="S8" s="2341"/>
      <c r="V8" s="952"/>
      <c r="W8" s="2343"/>
      <c r="AA8" s="1668"/>
    </row>
    <row r="9" spans="1:29" s="457" customFormat="1" x14ac:dyDescent="0.25">
      <c r="B9" s="2345" t="s">
        <v>52</v>
      </c>
      <c r="C9" s="1656" t="s">
        <v>53</v>
      </c>
      <c r="D9" s="340">
        <f>+D1+D2</f>
        <v>105397.47999999998</v>
      </c>
      <c r="E9" s="1656"/>
      <c r="G9" s="456">
        <f>IF(D9=0,"0.00%",(H9-D9)/D9)</f>
        <v>-1.713020083592114E-2</v>
      </c>
      <c r="H9" s="833">
        <v>103592</v>
      </c>
      <c r="I9" s="1656" t="s">
        <v>173</v>
      </c>
      <c r="J9" s="342"/>
      <c r="K9" s="456">
        <f>IF(H9=0,"0.00%",(L9-H9)/H9)</f>
        <v>-0.17574716194300719</v>
      </c>
      <c r="L9" s="833">
        <v>85386</v>
      </c>
      <c r="M9" s="1656"/>
      <c r="O9" s="456">
        <f>IF(L9=0,"0.00%",(P9-L9)/L9)</f>
        <v>0.41472840980957065</v>
      </c>
      <c r="P9" s="833">
        <v>120798</v>
      </c>
      <c r="Q9" s="1656" t="s">
        <v>934</v>
      </c>
      <c r="R9" s="592"/>
      <c r="S9" s="2238">
        <f>IF(P9=0,"0.00%",(T9-P9)/P9)</f>
        <v>0</v>
      </c>
      <c r="T9" s="833">
        <f>P9</f>
        <v>120798</v>
      </c>
      <c r="U9" s="457" t="s">
        <v>173</v>
      </c>
      <c r="V9" s="952"/>
      <c r="W9" s="2241">
        <f>IF(T9=0,"0.00%",(X9-T9)/T9)</f>
        <v>0</v>
      </c>
      <c r="X9" s="833">
        <f>T9</f>
        <v>120798</v>
      </c>
      <c r="Y9" s="457" t="s">
        <v>173</v>
      </c>
      <c r="AA9" s="456">
        <f>IF(X9=0,"0.00%",(AB9-X9)/X9)</f>
        <v>0</v>
      </c>
      <c r="AB9" s="833">
        <f>X9</f>
        <v>120798</v>
      </c>
      <c r="AC9" s="457" t="s">
        <v>173</v>
      </c>
    </row>
    <row r="10" spans="1:29" s="457" customFormat="1" x14ac:dyDescent="0.25">
      <c r="B10" s="2345"/>
      <c r="C10" s="1656" t="s">
        <v>51</v>
      </c>
      <c r="D10" s="340">
        <v>37453.199999999997</v>
      </c>
      <c r="E10" s="1656"/>
      <c r="G10" s="456">
        <f t="shared" ref="G10:G15" si="0">IF(D10=0,"0.00%",(H10-D10)/D10)</f>
        <v>-1</v>
      </c>
      <c r="H10" s="833">
        <v>0</v>
      </c>
      <c r="I10" s="1656"/>
      <c r="J10" s="342"/>
      <c r="K10" s="456" t="str">
        <f>IF(H10=0,"0.00%",(L10-H10)/H10)</f>
        <v>0.00%</v>
      </c>
      <c r="L10" s="833">
        <v>33334</v>
      </c>
      <c r="M10" s="1656"/>
      <c r="O10" s="456">
        <f>IF(L10=0,"0.00%",(P10-L10)/L10)</f>
        <v>-1</v>
      </c>
      <c r="P10" s="833"/>
      <c r="Q10" s="1656" t="s">
        <v>935</v>
      </c>
      <c r="R10" s="592"/>
      <c r="S10" s="2238" t="str">
        <f>IF(P10=0,"0.00%",(T10-P10)/P10)</f>
        <v>0.00%</v>
      </c>
      <c r="T10" s="833">
        <v>0</v>
      </c>
      <c r="V10" s="952"/>
      <c r="W10" s="2241" t="str">
        <f>IF(T10=0,"0.00%",(X10-T10)/T10)</f>
        <v>0.00%</v>
      </c>
      <c r="X10" s="833">
        <f>-T3</f>
        <v>0</v>
      </c>
      <c r="AA10" s="456" t="str">
        <f>IF(X10=0,"0.00%",(AB10-X10)/X10)</f>
        <v>0.00%</v>
      </c>
      <c r="AB10" s="833">
        <f>-X2</f>
        <v>0</v>
      </c>
    </row>
    <row r="11" spans="1:29" s="457" customFormat="1" x14ac:dyDescent="0.25">
      <c r="B11" s="2337" t="s">
        <v>137</v>
      </c>
      <c r="C11" s="1656"/>
      <c r="D11" s="458">
        <f>SUM(D9:D10)</f>
        <v>142850.68</v>
      </c>
      <c r="E11" s="1656"/>
      <c r="G11" s="456">
        <f t="shared" si="0"/>
        <v>-0.27482319300125135</v>
      </c>
      <c r="H11" s="458">
        <f>SUM(H9:H10)</f>
        <v>103592</v>
      </c>
      <c r="I11" s="2316">
        <f>+H11-D11</f>
        <v>-39258.679999999993</v>
      </c>
      <c r="J11" s="601"/>
      <c r="K11" s="456">
        <f>IF(H11=0,"0.00%",(L11-H11)/H11)</f>
        <v>0.14603444281411693</v>
      </c>
      <c r="L11" s="458">
        <f>SUM(L9:L10)</f>
        <v>118720</v>
      </c>
      <c r="M11" s="2316">
        <f>+L11-H11</f>
        <v>15128</v>
      </c>
      <c r="O11" s="456">
        <f>IF(L11=0,"0.00%",(P11-L11)/L11)</f>
        <v>1.7503369272237196E-2</v>
      </c>
      <c r="P11" s="458">
        <f>SUM(P9:P10)</f>
        <v>120798</v>
      </c>
      <c r="Q11" s="2316">
        <f>+P11-L11</f>
        <v>2078</v>
      </c>
      <c r="R11" s="592"/>
      <c r="S11" s="2238">
        <f>IF(P11=0,"0.00%",(T11-P11)/P11)</f>
        <v>0</v>
      </c>
      <c r="T11" s="2353">
        <f>SUM(T9:T10)</f>
        <v>120798</v>
      </c>
      <c r="V11" s="952"/>
      <c r="W11" s="2241">
        <f>IF(T11=0,"0.00%",(X11-T11)/T11)</f>
        <v>0</v>
      </c>
      <c r="X11" s="2353">
        <f>SUM(X9:X10)</f>
        <v>120798</v>
      </c>
      <c r="AA11" s="456">
        <f>IF(X11=0,"0.00%",(AB11-X11)/X11)</f>
        <v>0</v>
      </c>
      <c r="AB11" s="2353">
        <f>SUM(AB9:AB10)</f>
        <v>120798</v>
      </c>
    </row>
    <row r="12" spans="1:29" s="457" customFormat="1" x14ac:dyDescent="0.25">
      <c r="B12" s="2345"/>
      <c r="C12" s="1656"/>
      <c r="D12" s="340"/>
      <c r="E12" s="1656"/>
      <c r="G12" s="2338"/>
      <c r="H12" s="833"/>
      <c r="I12" s="1656"/>
      <c r="J12" s="602"/>
      <c r="K12" s="2338"/>
      <c r="L12" s="833"/>
      <c r="M12" s="1656"/>
      <c r="O12" s="2338"/>
      <c r="P12" s="833"/>
      <c r="Q12" s="1656"/>
      <c r="R12" s="592"/>
      <c r="S12" s="2355"/>
      <c r="T12" s="2356"/>
      <c r="V12" s="952"/>
      <c r="W12" s="2357"/>
      <c r="X12" s="2356"/>
      <c r="AA12" s="2338"/>
      <c r="AB12" s="2356"/>
    </row>
    <row r="13" spans="1:29" s="457" customFormat="1" x14ac:dyDescent="0.25">
      <c r="B13" s="2345"/>
      <c r="C13" s="2384" t="s">
        <v>64</v>
      </c>
      <c r="D13" s="2359">
        <f>ROUND(D11-(D11/(1+E13)),2)</f>
        <v>2800.99</v>
      </c>
      <c r="E13" s="2361">
        <v>0.02</v>
      </c>
      <c r="G13" s="456">
        <f t="shared" si="0"/>
        <v>-0.22955812052167263</v>
      </c>
      <c r="H13" s="2359">
        <v>2158</v>
      </c>
      <c r="I13" s="2455">
        <f>+E13</f>
        <v>0.02</v>
      </c>
      <c r="J13" s="603"/>
      <c r="K13" s="456">
        <f>IF(H13=0,"0.00%",(L13-H13)/H13)</f>
        <v>7.8776645041705284E-2</v>
      </c>
      <c r="L13" s="2359">
        <v>2328</v>
      </c>
      <c r="M13" s="2455">
        <f>+I13</f>
        <v>0.02</v>
      </c>
      <c r="O13" s="456">
        <f>IF(L13=0,"0.00%",(P13-L13)/L13)</f>
        <v>1.7611683848797251E-2</v>
      </c>
      <c r="P13" s="2359">
        <f>ROUND(P11-(P11/(1+Q13)),0)</f>
        <v>2369</v>
      </c>
      <c r="Q13" s="2455">
        <f>+M13</f>
        <v>0.02</v>
      </c>
      <c r="R13" s="592"/>
      <c r="S13" s="2238">
        <f>IF(P13=0,"0.00%",(T13-P13)/P13)</f>
        <v>0</v>
      </c>
      <c r="T13" s="2362">
        <f>ROUND(T11-(T11/(1+E13)),0)</f>
        <v>2369</v>
      </c>
      <c r="V13" s="952"/>
      <c r="W13" s="2241">
        <f>IF(T13=0,"0.00%",(X13-T13)/T13)</f>
        <v>0</v>
      </c>
      <c r="X13" s="2362">
        <f>ROUND(X11-(X11/(1+E13)),0)</f>
        <v>2369</v>
      </c>
      <c r="AA13" s="456">
        <f>IF(X13=0,"0.00%",(AB13-X13)/X13)</f>
        <v>-16.193330519206416</v>
      </c>
      <c r="AB13" s="2362">
        <f>ROUND(AB11-(AB11/(1+G13)),0)</f>
        <v>-35993</v>
      </c>
    </row>
    <row r="14" spans="1:29" s="457" customFormat="1" x14ac:dyDescent="0.25">
      <c r="B14" s="2345"/>
      <c r="C14" s="1656"/>
      <c r="D14" s="340"/>
      <c r="E14" s="1656"/>
      <c r="G14" s="2338"/>
      <c r="H14" s="833"/>
      <c r="I14" s="1656"/>
      <c r="J14" s="602"/>
      <c r="K14" s="2338"/>
      <c r="L14" s="833"/>
      <c r="M14" s="1656"/>
      <c r="O14" s="2338"/>
      <c r="P14" s="833"/>
      <c r="Q14" s="1656"/>
      <c r="R14" s="592"/>
      <c r="S14" s="2355"/>
      <c r="T14" s="2356"/>
      <c r="V14" s="952"/>
      <c r="W14" s="2357"/>
      <c r="X14" s="2356"/>
      <c r="AA14" s="2338"/>
      <c r="AB14" s="2356"/>
    </row>
    <row r="15" spans="1:29" s="457" customFormat="1" x14ac:dyDescent="0.25">
      <c r="B15" s="2337" t="s">
        <v>50</v>
      </c>
      <c r="C15" s="1656"/>
      <c r="D15" s="1866">
        <f>D11-D13</f>
        <v>140049.69</v>
      </c>
      <c r="E15" s="1656"/>
      <c r="G15" s="456">
        <f t="shared" si="0"/>
        <v>-0.27572849322265547</v>
      </c>
      <c r="H15" s="2359">
        <f>H11-H13</f>
        <v>101434</v>
      </c>
      <c r="I15" s="2316">
        <f>+H15-D15</f>
        <v>-38615.69</v>
      </c>
      <c r="J15" s="601"/>
      <c r="K15" s="456">
        <f>IF(H15=0,"0.00%",(L15-H15)/H15)</f>
        <v>0.14746534692509414</v>
      </c>
      <c r="L15" s="2359">
        <f>L11-L13</f>
        <v>116392</v>
      </c>
      <c r="M15" s="2316">
        <f>+L15-H15</f>
        <v>14958</v>
      </c>
      <c r="O15" s="456">
        <f>IF(L15=0,"0.00%",(P15-L15)/L15)</f>
        <v>1.7501202831809747E-2</v>
      </c>
      <c r="P15" s="2359">
        <f>P11-P13</f>
        <v>118429</v>
      </c>
      <c r="Q15" s="2316">
        <f>+P15-L15</f>
        <v>2037</v>
      </c>
      <c r="R15" s="592"/>
      <c r="S15" s="2238">
        <f>IF(P15=0,"0.00%",(T15-P15)/P15)</f>
        <v>0</v>
      </c>
      <c r="T15" s="2366">
        <f>T11-T13</f>
        <v>118429</v>
      </c>
      <c r="V15" s="952"/>
      <c r="W15" s="2241">
        <f>IF(T15=0,"0.00%",(X15-T15)/T15)</f>
        <v>0</v>
      </c>
      <c r="X15" s="2366">
        <f>X11-X13</f>
        <v>118429</v>
      </c>
      <c r="AA15" s="456">
        <f>IF(X15=0,"0.00%",(AB15-X15)/X15)</f>
        <v>0.32392403887561322</v>
      </c>
      <c r="AB15" s="2366">
        <f>AB11-AB13</f>
        <v>156791</v>
      </c>
    </row>
    <row r="16" spans="1:29" s="457" customFormat="1" x14ac:dyDescent="0.25">
      <c r="B16" s="2345"/>
      <c r="C16" s="1656"/>
      <c r="D16" s="340"/>
      <c r="E16" s="1656"/>
      <c r="G16" s="2338"/>
      <c r="H16" s="833"/>
      <c r="I16" s="1656"/>
      <c r="J16" s="601"/>
      <c r="K16" s="1668"/>
      <c r="L16" s="833"/>
      <c r="M16" s="1656"/>
      <c r="O16" s="1668"/>
      <c r="P16" s="833"/>
      <c r="Q16" s="1656"/>
      <c r="R16" s="592"/>
      <c r="S16" s="2341"/>
      <c r="T16" s="2367"/>
      <c r="V16" s="952"/>
      <c r="W16" s="2343"/>
      <c r="X16" s="2367"/>
      <c r="AA16" s="1668"/>
      <c r="AB16" s="2367"/>
    </row>
    <row r="17" spans="1:29" s="457" customFormat="1" x14ac:dyDescent="0.25">
      <c r="B17" s="2345"/>
      <c r="C17" s="2432"/>
      <c r="D17" s="340"/>
      <c r="E17" s="1656"/>
      <c r="G17" s="2338"/>
      <c r="H17" s="833"/>
      <c r="I17" s="1656"/>
      <c r="J17" s="602"/>
      <c r="K17" s="1668"/>
      <c r="L17" s="833"/>
      <c r="M17" s="1656"/>
      <c r="O17" s="1668"/>
      <c r="P17" s="833"/>
      <c r="Q17" s="1656"/>
      <c r="R17" s="592"/>
      <c r="S17" s="2341"/>
      <c r="T17" s="2356"/>
      <c r="V17" s="952"/>
      <c r="W17" s="2343"/>
      <c r="X17" s="2356"/>
      <c r="AA17" s="1668"/>
      <c r="AB17" s="2356"/>
    </row>
    <row r="18" spans="1:29" s="457" customFormat="1" x14ac:dyDescent="0.25">
      <c r="A18" s="2433"/>
      <c r="B18" s="2345"/>
      <c r="C18" s="1656"/>
      <c r="D18" s="459" t="s">
        <v>807</v>
      </c>
      <c r="E18" s="1867"/>
      <c r="F18" s="2433"/>
      <c r="G18" s="2338"/>
      <c r="H18" s="459" t="s">
        <v>176</v>
      </c>
      <c r="I18" s="1867"/>
      <c r="J18" s="604"/>
      <c r="K18" s="1668"/>
      <c r="L18" s="2370"/>
      <c r="M18" s="1867"/>
      <c r="O18" s="1668"/>
      <c r="P18" s="340"/>
      <c r="Q18" s="1867"/>
      <c r="R18" s="592"/>
      <c r="S18" s="2341"/>
      <c r="U18" s="2433"/>
      <c r="V18" s="952"/>
      <c r="W18" s="2343"/>
      <c r="Y18" s="2433"/>
      <c r="AA18" s="1668"/>
      <c r="AC18" s="2433"/>
    </row>
    <row r="19" spans="1:29" s="457" customFormat="1" ht="17.25" x14ac:dyDescent="0.4">
      <c r="A19" s="2436"/>
      <c r="B19" s="2345"/>
      <c r="C19" s="1656"/>
      <c r="D19" s="2435" t="s">
        <v>808</v>
      </c>
      <c r="E19" s="2434"/>
      <c r="F19" s="2436"/>
      <c r="G19" s="2338"/>
      <c r="H19" s="2435" t="s">
        <v>48</v>
      </c>
      <c r="I19" s="2373"/>
      <c r="J19" s="459"/>
      <c r="K19" s="1668"/>
      <c r="L19" s="2372" t="s">
        <v>48</v>
      </c>
      <c r="M19" s="2373"/>
      <c r="O19" s="1668"/>
      <c r="P19" s="2372" t="s">
        <v>48</v>
      </c>
      <c r="Q19" s="2373">
        <v>0.02</v>
      </c>
      <c r="R19" s="592"/>
      <c r="S19" s="2341"/>
      <c r="T19" s="2372" t="s">
        <v>48</v>
      </c>
      <c r="U19" s="2374">
        <v>0.02</v>
      </c>
      <c r="V19" s="952"/>
      <c r="W19" s="2343"/>
      <c r="X19" s="2372" t="s">
        <v>48</v>
      </c>
      <c r="Y19" s="2374">
        <v>0.02</v>
      </c>
      <c r="AA19" s="1668"/>
      <c r="AB19" s="2372" t="s">
        <v>48</v>
      </c>
      <c r="AC19" s="2374">
        <v>0.02</v>
      </c>
    </row>
    <row r="20" spans="1:29" s="2378" customFormat="1" x14ac:dyDescent="0.25">
      <c r="A20" s="461"/>
      <c r="B20" s="2337" t="s">
        <v>46</v>
      </c>
      <c r="C20" s="2384"/>
      <c r="D20" s="1866"/>
      <c r="E20" s="2375"/>
      <c r="F20" s="1866"/>
      <c r="G20" s="2376"/>
      <c r="H20" s="1866"/>
      <c r="I20" s="868"/>
      <c r="J20" s="460"/>
      <c r="K20" s="606"/>
      <c r="L20" s="1866"/>
      <c r="M20" s="2379"/>
      <c r="O20" s="606"/>
      <c r="P20" s="1866"/>
      <c r="Q20" s="2379"/>
      <c r="R20" s="461"/>
      <c r="S20" s="1669"/>
      <c r="T20" s="1866"/>
      <c r="U20" s="2383"/>
      <c r="V20" s="2381"/>
      <c r="W20" s="2382"/>
      <c r="X20" s="1866"/>
      <c r="Y20" s="2383"/>
      <c r="AA20" s="606"/>
      <c r="AB20" s="1866"/>
      <c r="AC20" s="2383"/>
    </row>
    <row r="21" spans="1:29" s="457" customFormat="1" x14ac:dyDescent="0.25">
      <c r="A21" s="342"/>
      <c r="B21" s="2385" t="s">
        <v>37</v>
      </c>
      <c r="C21" s="1656" t="s">
        <v>36</v>
      </c>
      <c r="D21" s="340">
        <v>110605.9</v>
      </c>
      <c r="E21" s="2375" t="s">
        <v>728</v>
      </c>
      <c r="F21" s="340"/>
      <c r="G21" s="456">
        <f t="shared" ref="G21:G30" si="1">IF(D21=0,"0.00%",(H21-D21)/D21)</f>
        <v>-0.29006499653273465</v>
      </c>
      <c r="H21" s="340">
        <v>78523</v>
      </c>
      <c r="I21" s="899"/>
      <c r="J21" s="455"/>
      <c r="K21" s="456">
        <f t="shared" ref="K21:K28" si="2">IF(H21=0,"0.00%",(L21-H21)/H21)</f>
        <v>5.6454796683774178E-2</v>
      </c>
      <c r="L21" s="340">
        <v>82956</v>
      </c>
      <c r="M21" s="897"/>
      <c r="O21" s="456">
        <f t="shared" ref="O21:O28" si="3">IF(L21=0,"0.00%",(P21-L21)/L21)</f>
        <v>1.9998553450021699E-2</v>
      </c>
      <c r="P21" s="340">
        <f>ROUND(L21*(1+Q19),0)</f>
        <v>84615</v>
      </c>
      <c r="Q21" s="897" t="str">
        <f>TEXT(Q19,"0.0%")&amp;" = Est. S &amp; C"</f>
        <v>2.0% = Est. S &amp; C</v>
      </c>
      <c r="R21" s="592"/>
      <c r="S21" s="2238">
        <f t="shared" ref="S21:S28" si="4">IF(P21=0,"0.00%",(T21-P21)/P21)</f>
        <v>1.9996454529338771E-2</v>
      </c>
      <c r="T21" s="340">
        <f>ROUND(P21*(1+U19),0)</f>
        <v>86307</v>
      </c>
      <c r="U21" s="455" t="str">
        <f>TEXT(U19,"0.0%")&amp;" = Est. S &amp; C"</f>
        <v>2.0% = Est. S &amp; C</v>
      </c>
      <c r="V21" s="952"/>
      <c r="W21" s="2241">
        <f t="shared" ref="W21:W28" si="5">IF(T21=0,"0.00%",(X21-T21)/T21)</f>
        <v>1.9998377883601561E-2</v>
      </c>
      <c r="X21" s="340">
        <f>ROUND(T21*(1+Y19),0)</f>
        <v>88033</v>
      </c>
      <c r="Y21" s="455" t="str">
        <f>TEXT(Y19,"0.0%")&amp;" = Est. S &amp; C"</f>
        <v>2.0% = Est. S &amp; C</v>
      </c>
      <c r="AA21" s="456">
        <f t="shared" ref="AA21:AA28" si="6">IF(X21=0,"0.00%",(AB21-X21)/X21)</f>
        <v>2.000386218804312E-2</v>
      </c>
      <c r="AB21" s="340">
        <f>ROUND(X21*(1+AC19),0)</f>
        <v>89794</v>
      </c>
      <c r="AC21" s="455" t="str">
        <f>TEXT(AC19,"0.0%")&amp;" = Est. S &amp; C"</f>
        <v>2.0% = Est. S &amp; C</v>
      </c>
    </row>
    <row r="22" spans="1:29" s="457" customFormat="1" hidden="1" x14ac:dyDescent="0.25">
      <c r="A22" s="342"/>
      <c r="B22" s="2385"/>
      <c r="C22" s="1656"/>
      <c r="D22" s="340"/>
      <c r="E22" s="2375"/>
      <c r="F22" s="340"/>
      <c r="G22" s="456"/>
      <c r="H22" s="340"/>
      <c r="I22" s="897"/>
      <c r="J22" s="455"/>
      <c r="K22" s="456"/>
      <c r="L22" s="340"/>
      <c r="M22" s="897"/>
      <c r="O22" s="456"/>
      <c r="P22" s="340"/>
      <c r="Q22" s="897"/>
      <c r="R22" s="592"/>
      <c r="S22" s="2238"/>
      <c r="T22" s="340"/>
      <c r="U22" s="455"/>
      <c r="V22" s="952"/>
      <c r="W22" s="2241"/>
      <c r="X22" s="340"/>
      <c r="Y22" s="455"/>
      <c r="AA22" s="456"/>
      <c r="AB22" s="340"/>
      <c r="AC22" s="455"/>
    </row>
    <row r="23" spans="1:29" s="457" customFormat="1" x14ac:dyDescent="0.25">
      <c r="A23" s="455"/>
      <c r="B23" s="2385">
        <v>1181</v>
      </c>
      <c r="C23" s="1656" t="s">
        <v>42</v>
      </c>
      <c r="D23" s="340">
        <v>0</v>
      </c>
      <c r="E23" s="2375" t="s">
        <v>729</v>
      </c>
      <c r="F23" s="340"/>
      <c r="G23" s="456" t="str">
        <f t="shared" si="1"/>
        <v>0.00%</v>
      </c>
      <c r="H23" s="340">
        <v>0</v>
      </c>
      <c r="I23" s="897"/>
      <c r="J23" s="455"/>
      <c r="K23" s="456" t="str">
        <f t="shared" si="2"/>
        <v>0.00%</v>
      </c>
      <c r="L23" s="340">
        <v>140</v>
      </c>
      <c r="M23" s="897"/>
      <c r="O23" s="456">
        <f t="shared" si="3"/>
        <v>0</v>
      </c>
      <c r="P23" s="340">
        <f>L23</f>
        <v>140</v>
      </c>
      <c r="Q23" s="897"/>
      <c r="R23" s="592"/>
      <c r="S23" s="2238">
        <f t="shared" si="4"/>
        <v>0</v>
      </c>
      <c r="T23" s="340">
        <f>P23</f>
        <v>140</v>
      </c>
      <c r="U23" s="455"/>
      <c r="V23" s="952"/>
      <c r="W23" s="2241">
        <f t="shared" si="5"/>
        <v>2.1428571428571429E-2</v>
      </c>
      <c r="X23" s="340">
        <f>ROUND(T23*(1+Y19),0)</f>
        <v>143</v>
      </c>
      <c r="Y23" s="455" t="str">
        <f>TEXT(Y19,"0.0%")&amp;" = Est. S &amp; C"</f>
        <v>2.0% = Est. S &amp; C</v>
      </c>
      <c r="AA23" s="456">
        <f t="shared" si="6"/>
        <v>2.097902097902098E-2</v>
      </c>
      <c r="AB23" s="340">
        <f>ROUND(X23*(1+AC19),0)</f>
        <v>146</v>
      </c>
      <c r="AC23" s="455" t="str">
        <f>TEXT(AC19,"0.0%")&amp;" = Est. S &amp; C"</f>
        <v>2.0% = Est. S &amp; C</v>
      </c>
    </row>
    <row r="24" spans="1:29" s="457" customFormat="1" hidden="1" x14ac:dyDescent="0.25">
      <c r="A24" s="455"/>
      <c r="B24" s="2385"/>
      <c r="C24" s="1656"/>
      <c r="D24" s="340">
        <v>0</v>
      </c>
      <c r="E24" s="2375"/>
      <c r="F24" s="340"/>
      <c r="G24" s="456" t="str">
        <f t="shared" si="1"/>
        <v>0.00%</v>
      </c>
      <c r="H24" s="340">
        <v>0</v>
      </c>
      <c r="I24" s="897" t="str">
        <f>TEXT($I$19,"0.0%")&amp;" = Est. S &amp; C"</f>
        <v>0.0% = Est. S &amp; C</v>
      </c>
      <c r="J24" s="455"/>
      <c r="K24" s="456" t="str">
        <f t="shared" si="2"/>
        <v>0.00%</v>
      </c>
      <c r="L24" s="340">
        <f>ROUND(H24*(1+M19),0)</f>
        <v>0</v>
      </c>
      <c r="M24" s="897" t="str">
        <f>TEXT(M19,"0.0%")&amp;" = Est. S &amp; C"</f>
        <v>0.0% = Est. S &amp; C</v>
      </c>
      <c r="O24" s="456" t="str">
        <f t="shared" si="3"/>
        <v>0.00%</v>
      </c>
      <c r="P24" s="340">
        <f>ROUND(L24*(1+Q19),0)</f>
        <v>0</v>
      </c>
      <c r="Q24" s="2465" t="str">
        <f>TEXT(Q19,"0.0%")&amp;" = Est. S &amp; C"</f>
        <v>2.0% = Est. S &amp; C</v>
      </c>
      <c r="R24" s="592"/>
      <c r="S24" s="2238" t="str">
        <f t="shared" si="4"/>
        <v>0.00%</v>
      </c>
      <c r="T24" s="340">
        <f>ROUND(P24*(1+U19),0)</f>
        <v>0</v>
      </c>
      <c r="U24" s="455" t="str">
        <f>TEXT(U19,"0.0%")&amp;" = Est. S &amp; C"</f>
        <v>2.0% = Est. S &amp; C</v>
      </c>
      <c r="V24" s="952"/>
      <c r="W24" s="2241" t="str">
        <f t="shared" si="5"/>
        <v>0.00%</v>
      </c>
      <c r="X24" s="340">
        <f>ROUND(T24*(1+Y19),0)</f>
        <v>0</v>
      </c>
      <c r="Y24" s="455" t="str">
        <f>TEXT(Y19,"0.0%")&amp;" = Est. S &amp; C"</f>
        <v>2.0% = Est. S &amp; C</v>
      </c>
      <c r="AA24" s="456" t="str">
        <f t="shared" si="6"/>
        <v>0.00%</v>
      </c>
      <c r="AB24" s="340">
        <f>ROUND(X24*(1+AC19),0)</f>
        <v>0</v>
      </c>
      <c r="AC24" s="455" t="str">
        <f>TEXT(AC19,"0.0%")&amp;" = Est. S &amp; C"</f>
        <v>2.0% = Est. S &amp; C</v>
      </c>
    </row>
    <row r="25" spans="1:29" s="457" customFormat="1" hidden="1" x14ac:dyDescent="0.25">
      <c r="A25" s="455"/>
      <c r="B25" s="2385"/>
      <c r="C25" s="1656"/>
      <c r="D25" s="340">
        <v>0</v>
      </c>
      <c r="E25" s="2375"/>
      <c r="F25" s="340"/>
      <c r="G25" s="456" t="str">
        <f t="shared" si="1"/>
        <v>0.00%</v>
      </c>
      <c r="H25" s="340">
        <f>ROUND(D25*(1+$I$19),0)</f>
        <v>0</v>
      </c>
      <c r="I25" s="897" t="str">
        <f>TEXT($I$19,"0.0%")&amp;" = Est. S &amp; C"</f>
        <v>0.0% = Est. S &amp; C</v>
      </c>
      <c r="J25" s="455"/>
      <c r="K25" s="456" t="str">
        <f t="shared" si="2"/>
        <v>0.00%</v>
      </c>
      <c r="L25" s="340">
        <f>ROUND(H25*(1+M19),0)</f>
        <v>0</v>
      </c>
      <c r="M25" s="897" t="str">
        <f>TEXT(M19,"0.0%")&amp;" = Est. S &amp; C"</f>
        <v>0.0% = Est. S &amp; C</v>
      </c>
      <c r="O25" s="456" t="str">
        <f t="shared" si="3"/>
        <v>0.00%</v>
      </c>
      <c r="P25" s="340">
        <f>ROUND(L25*(1+Q19),0)</f>
        <v>0</v>
      </c>
      <c r="Q25" s="2465" t="str">
        <f>TEXT(Q19,"0.0%")&amp;" = Est. S &amp; C"</f>
        <v>2.0% = Est. S &amp; C</v>
      </c>
      <c r="R25" s="592"/>
      <c r="S25" s="2238" t="str">
        <f t="shared" si="4"/>
        <v>0.00%</v>
      </c>
      <c r="T25" s="340">
        <f>ROUND(P25*(1+U19),0)</f>
        <v>0</v>
      </c>
      <c r="U25" s="455" t="str">
        <f>TEXT(U19,"0.0%")&amp;" = Est. S &amp; C"</f>
        <v>2.0% = Est. S &amp; C</v>
      </c>
      <c r="V25" s="952"/>
      <c r="W25" s="2241" t="str">
        <f t="shared" si="5"/>
        <v>0.00%</v>
      </c>
      <c r="X25" s="340">
        <f>ROUND(T25*(1+Y19),0)</f>
        <v>0</v>
      </c>
      <c r="Y25" s="455" t="str">
        <f>TEXT(Y19,"0.0%")&amp;" = Est. S &amp; C"</f>
        <v>2.0% = Est. S &amp; C</v>
      </c>
      <c r="AA25" s="456" t="str">
        <f t="shared" si="6"/>
        <v>0.00%</v>
      </c>
      <c r="AB25" s="340">
        <f>ROUND(X25*(1+AC19),0)</f>
        <v>0</v>
      </c>
      <c r="AC25" s="455" t="str">
        <f>TEXT(AC19,"0.0%")&amp;" = Est. S &amp; C"</f>
        <v>2.0% = Est. S &amp; C</v>
      </c>
    </row>
    <row r="26" spans="1:29" s="457" customFormat="1" hidden="1" x14ac:dyDescent="0.25">
      <c r="A26" s="455"/>
      <c r="B26" s="2385"/>
      <c r="C26" s="1656"/>
      <c r="D26" s="340">
        <v>0</v>
      </c>
      <c r="E26" s="2375"/>
      <c r="F26" s="340"/>
      <c r="G26" s="456" t="str">
        <f t="shared" si="1"/>
        <v>0.00%</v>
      </c>
      <c r="H26" s="340">
        <f>ROUND(D26*(1+$I$19),0)</f>
        <v>0</v>
      </c>
      <c r="I26" s="897" t="str">
        <f>TEXT($I$19,"0.0%")&amp;" = Est. S &amp; C"</f>
        <v>0.0% = Est. S &amp; C</v>
      </c>
      <c r="J26" s="455"/>
      <c r="K26" s="456" t="str">
        <f t="shared" si="2"/>
        <v>0.00%</v>
      </c>
      <c r="L26" s="340">
        <f>ROUND(H26*(1+M19),0)</f>
        <v>0</v>
      </c>
      <c r="M26" s="2341" t="str">
        <f>TEXT(M19,"0.0%")&amp;" = Est. S &amp; C"</f>
        <v>0.0% = Est. S &amp; C</v>
      </c>
      <c r="O26" s="456" t="str">
        <f t="shared" si="3"/>
        <v>0.00%</v>
      </c>
      <c r="P26" s="340">
        <f>ROUND(L26*(1+Q19),0)</f>
        <v>0</v>
      </c>
      <c r="Q26" s="2465" t="str">
        <f>TEXT(Q19,"0.0%")&amp;" = Est. S &amp; C"</f>
        <v>2.0% = Est. S &amp; C</v>
      </c>
      <c r="R26" s="592"/>
      <c r="S26" s="2238" t="str">
        <f t="shared" si="4"/>
        <v>0.00%</v>
      </c>
      <c r="T26" s="340">
        <f>ROUND(P26*(1+U19),0)</f>
        <v>0</v>
      </c>
      <c r="U26" s="455" t="str">
        <f>TEXT(U19,"0.0%")&amp;" = Est. S &amp; C"</f>
        <v>2.0% = Est. S &amp; C</v>
      </c>
      <c r="V26" s="952"/>
      <c r="W26" s="2241" t="str">
        <f t="shared" si="5"/>
        <v>0.00%</v>
      </c>
      <c r="X26" s="340">
        <f>ROUND(T26*(1+Y19),0)</f>
        <v>0</v>
      </c>
      <c r="Y26" s="455" t="str">
        <f>TEXT(Y19,"0.0%")&amp;" = Est. S &amp; C"</f>
        <v>2.0% = Est. S &amp; C</v>
      </c>
      <c r="AA26" s="456" t="str">
        <f t="shared" si="6"/>
        <v>0.00%</v>
      </c>
      <c r="AB26" s="340">
        <f>ROUND(X26*(1+AC19),0)</f>
        <v>0</v>
      </c>
      <c r="AC26" s="455" t="str">
        <f>TEXT(AC19,"0.0%")&amp;" = Est. S &amp; C"</f>
        <v>2.0% = Est. S &amp; C</v>
      </c>
    </row>
    <row r="27" spans="1:29" s="457" customFormat="1" hidden="1" x14ac:dyDescent="0.25">
      <c r="A27" s="455"/>
      <c r="B27" s="2385"/>
      <c r="C27" s="1656"/>
      <c r="D27" s="340">
        <v>0</v>
      </c>
      <c r="E27" s="2375"/>
      <c r="F27" s="340"/>
      <c r="G27" s="456" t="str">
        <f t="shared" si="1"/>
        <v>0.00%</v>
      </c>
      <c r="H27" s="340">
        <f>ROUND(D27*(1+$I$19),0)</f>
        <v>0</v>
      </c>
      <c r="I27" s="897" t="str">
        <f>TEXT($I$19,"0.0%")&amp;" = Est. S &amp; C"</f>
        <v>0.0% = Est. S &amp; C</v>
      </c>
      <c r="J27" s="455"/>
      <c r="K27" s="456" t="str">
        <f t="shared" si="2"/>
        <v>0.00%</v>
      </c>
      <c r="L27" s="340">
        <f>ROUND(H27*(1+M19),0)</f>
        <v>0</v>
      </c>
      <c r="M27" s="897" t="str">
        <f>TEXT(M19,"0.0%")&amp;" = Est. S &amp; C"</f>
        <v>0.0% = Est. S &amp; C</v>
      </c>
      <c r="O27" s="456" t="str">
        <f t="shared" si="3"/>
        <v>0.00%</v>
      </c>
      <c r="P27" s="340">
        <f>ROUND(L27*(1+Q19),0)</f>
        <v>0</v>
      </c>
      <c r="Q27" s="2465" t="str">
        <f>TEXT(Q19,"0.0%")&amp;" = Est. S &amp; C"</f>
        <v>2.0% = Est. S &amp; C</v>
      </c>
      <c r="R27" s="592"/>
      <c r="S27" s="2238" t="str">
        <f t="shared" si="4"/>
        <v>0.00%</v>
      </c>
      <c r="T27" s="340">
        <f>ROUND(P27*(1+U19),0)</f>
        <v>0</v>
      </c>
      <c r="U27" s="455" t="str">
        <f>TEXT(U19,"0.0%")&amp;" = Est. S &amp; C"</f>
        <v>2.0% = Est. S &amp; C</v>
      </c>
      <c r="V27" s="952"/>
      <c r="W27" s="2241" t="str">
        <f t="shared" si="5"/>
        <v>0.00%</v>
      </c>
      <c r="X27" s="340">
        <f>ROUND(T27*(1+Y19),0)</f>
        <v>0</v>
      </c>
      <c r="Y27" s="455" t="str">
        <f>TEXT(Y19,"0.0%")&amp;" = Est. S &amp; C"</f>
        <v>2.0% = Est. S &amp; C</v>
      </c>
      <c r="AA27" s="456" t="str">
        <f t="shared" si="6"/>
        <v>0.00%</v>
      </c>
      <c r="AB27" s="340">
        <f>ROUND(X27*(1+AC19),0)</f>
        <v>0</v>
      </c>
      <c r="AC27" s="455" t="str">
        <f>TEXT(AC19,"0.0%")&amp;" = Est. S &amp; C"</f>
        <v>2.0% = Est. S &amp; C</v>
      </c>
    </row>
    <row r="28" spans="1:29" s="457" customFormat="1" hidden="1" x14ac:dyDescent="0.25">
      <c r="A28" s="455"/>
      <c r="B28" s="2385"/>
      <c r="C28" s="1656"/>
      <c r="D28" s="340">
        <v>0</v>
      </c>
      <c r="E28" s="2375"/>
      <c r="F28" s="340"/>
      <c r="G28" s="456" t="str">
        <f t="shared" si="1"/>
        <v>0.00%</v>
      </c>
      <c r="H28" s="340">
        <f>ROUND(D28*(1+$I$19),0)</f>
        <v>0</v>
      </c>
      <c r="I28" s="897" t="str">
        <f>TEXT($I$19,"0.0%")&amp;" = Est. S &amp; C"</f>
        <v>0.0% = Est. S &amp; C</v>
      </c>
      <c r="J28" s="455"/>
      <c r="K28" s="456" t="str">
        <f t="shared" si="2"/>
        <v>0.00%</v>
      </c>
      <c r="L28" s="340">
        <f>ROUND(H28*(1+M19),0)</f>
        <v>0</v>
      </c>
      <c r="M28" s="897" t="str">
        <f>TEXT(M19,"0.0%")&amp;" = Est. S &amp; C"</f>
        <v>0.0% = Est. S &amp; C</v>
      </c>
      <c r="O28" s="456" t="str">
        <f t="shared" si="3"/>
        <v>0.00%</v>
      </c>
      <c r="P28" s="340">
        <f>ROUND(L28*(1+Q19),0)</f>
        <v>0</v>
      </c>
      <c r="Q28" s="2465" t="str">
        <f>TEXT(Q19,"0.0%")&amp;" = Est. S &amp; C"</f>
        <v>2.0% = Est. S &amp; C</v>
      </c>
      <c r="R28" s="592"/>
      <c r="S28" s="2238" t="str">
        <f t="shared" si="4"/>
        <v>0.00%</v>
      </c>
      <c r="T28" s="340">
        <f>ROUND(P28*(1+U19),0)</f>
        <v>0</v>
      </c>
      <c r="U28" s="455" t="str">
        <f>TEXT(U19,"0.0%")&amp;" = Est. S &amp; C"</f>
        <v>2.0% = Est. S &amp; C</v>
      </c>
      <c r="V28" s="952"/>
      <c r="W28" s="2241" t="str">
        <f t="shared" si="5"/>
        <v>0.00%</v>
      </c>
      <c r="X28" s="340">
        <f>ROUND(T28*(1+Y19),0)</f>
        <v>0</v>
      </c>
      <c r="Y28" s="455" t="str">
        <f>TEXT(Y19,"0.0%")&amp;" = Est. S &amp; C"</f>
        <v>2.0% = Est. S &amp; C</v>
      </c>
      <c r="AA28" s="456" t="str">
        <f t="shared" si="6"/>
        <v>0.00%</v>
      </c>
      <c r="AB28" s="340">
        <f>ROUND(X28*(1+AC19),0)</f>
        <v>0</v>
      </c>
      <c r="AC28" s="455" t="str">
        <f>TEXT(AC19,"0.0%")&amp;" = Est. S &amp; C"</f>
        <v>2.0% = Est. S &amp; C</v>
      </c>
    </row>
    <row r="29" spans="1:29" s="457" customFormat="1" ht="6" hidden="1" customHeight="1" x14ac:dyDescent="0.25">
      <c r="A29" s="455"/>
      <c r="B29" s="2385"/>
      <c r="C29" s="1656"/>
      <c r="D29" s="340"/>
      <c r="E29" s="2375"/>
      <c r="F29" s="340"/>
      <c r="G29" s="456"/>
      <c r="H29" s="340"/>
      <c r="I29" s="897"/>
      <c r="J29" s="455"/>
      <c r="K29" s="1668"/>
      <c r="L29" s="340"/>
      <c r="M29" s="901"/>
      <c r="O29" s="1668"/>
      <c r="P29" s="340"/>
      <c r="Q29" s="2466"/>
      <c r="R29" s="592"/>
      <c r="S29" s="2341"/>
      <c r="T29" s="340"/>
      <c r="U29" s="2344"/>
      <c r="V29" s="952"/>
      <c r="W29" s="2343"/>
      <c r="X29" s="340"/>
      <c r="Y29" s="2344"/>
      <c r="AA29" s="1668"/>
      <c r="AB29" s="340"/>
      <c r="AC29" s="2344"/>
    </row>
    <row r="30" spans="1:29" s="457" customFormat="1" x14ac:dyDescent="0.25">
      <c r="A30" s="459"/>
      <c r="B30" s="2385"/>
      <c r="C30" s="1656"/>
      <c r="D30" s="458">
        <f>SUM(D21:D29)</f>
        <v>110605.9</v>
      </c>
      <c r="E30" s="2375" t="s">
        <v>730</v>
      </c>
      <c r="F30" s="340"/>
      <c r="G30" s="456">
        <f t="shared" si="1"/>
        <v>-0.29006499653273465</v>
      </c>
      <c r="H30" s="458">
        <f>SUM(H21:H29)</f>
        <v>78523</v>
      </c>
      <c r="I30" s="2316">
        <f>+H30-D30</f>
        <v>-32082.899999999994</v>
      </c>
      <c r="J30" s="459"/>
      <c r="K30" s="456">
        <f>IF(H30=0,"0.00%",(L30-H30)/H30)</f>
        <v>5.8237713790863822E-2</v>
      </c>
      <c r="L30" s="458">
        <f>SUM(L21:L29)</f>
        <v>83096</v>
      </c>
      <c r="M30" s="2316">
        <f>+L30-H30</f>
        <v>4573</v>
      </c>
      <c r="O30" s="456">
        <f>IF(L30=0,"0.00%",(P30-L30)/L30)</f>
        <v>1.9964859921055164E-2</v>
      </c>
      <c r="P30" s="458">
        <f>SUM(P21:P29)</f>
        <v>84755</v>
      </c>
      <c r="Q30" s="2318">
        <f>+P30-L30</f>
        <v>1659</v>
      </c>
      <c r="R30" s="592"/>
      <c r="S30" s="2238">
        <f>IF(P30=0,"0.00%",(T30-P30)/P30)</f>
        <v>1.9963423986785439E-2</v>
      </c>
      <c r="T30" s="458">
        <f>SUM(T21:T29)</f>
        <v>86447</v>
      </c>
      <c r="U30" s="2344"/>
      <c r="V30" s="952"/>
      <c r="W30" s="2241">
        <f>IF(T30=0,"0.00%",(X30-T30)/T30)</f>
        <v>2.0000694066884914E-2</v>
      </c>
      <c r="X30" s="458">
        <f>SUM(X21:X29)</f>
        <v>88176</v>
      </c>
      <c r="Y30" s="2344"/>
      <c r="AA30" s="456">
        <f>IF(X30=0,"0.00%",(AB30-X30)/X30)</f>
        <v>2.0005443658138267E-2</v>
      </c>
      <c r="AB30" s="458">
        <f>SUM(AB21:AB29)</f>
        <v>89940</v>
      </c>
      <c r="AC30" s="2344"/>
    </row>
    <row r="31" spans="1:29" s="457" customFormat="1" x14ac:dyDescent="0.25">
      <c r="A31" s="455"/>
      <c r="B31" s="2345"/>
      <c r="C31" s="1656"/>
      <c r="D31" s="340"/>
      <c r="E31" s="2386"/>
      <c r="F31" s="340"/>
      <c r="G31" s="2338"/>
      <c r="H31" s="340"/>
      <c r="I31" s="899"/>
      <c r="J31" s="455"/>
      <c r="K31" s="1668"/>
      <c r="L31" s="340"/>
      <c r="M31" s="2388"/>
      <c r="O31" s="1668"/>
      <c r="P31" s="340"/>
      <c r="Q31" s="2467"/>
      <c r="R31" s="592"/>
      <c r="S31" s="2341"/>
      <c r="T31" s="340"/>
      <c r="U31" s="2344"/>
      <c r="V31" s="952"/>
      <c r="W31" s="2343"/>
      <c r="X31" s="340"/>
      <c r="Y31" s="2344"/>
      <c r="AA31" s="1668"/>
      <c r="AB31" s="340"/>
      <c r="AC31" s="2344"/>
    </row>
    <row r="32" spans="1:29" s="461" customFormat="1" x14ac:dyDescent="0.25">
      <c r="B32" s="2440" t="s">
        <v>35</v>
      </c>
      <c r="C32" s="900"/>
      <c r="D32" s="460"/>
      <c r="E32" s="868"/>
      <c r="F32" s="460"/>
      <c r="G32" s="2389"/>
      <c r="H32" s="460"/>
      <c r="I32" s="868"/>
      <c r="J32" s="460"/>
      <c r="K32" s="1669"/>
      <c r="L32" s="460"/>
      <c r="M32" s="902"/>
      <c r="O32" s="1669"/>
      <c r="P32" s="460"/>
      <c r="Q32" s="902"/>
      <c r="S32" s="1669"/>
      <c r="T32" s="460"/>
      <c r="U32" s="2392"/>
      <c r="V32" s="2381"/>
      <c r="W32" s="2382"/>
      <c r="X32" s="460"/>
      <c r="Y32" s="2392"/>
      <c r="AA32" s="1669"/>
      <c r="AB32" s="460"/>
      <c r="AC32" s="2392"/>
    </row>
    <row r="33" spans="1:29" s="457" customFormat="1" hidden="1" x14ac:dyDescent="0.25">
      <c r="A33" s="455"/>
      <c r="B33" s="2385"/>
      <c r="C33" s="1656"/>
      <c r="D33" s="340">
        <v>0</v>
      </c>
      <c r="E33" s="2386"/>
      <c r="F33" s="340"/>
      <c r="G33" s="456" t="str">
        <f t="shared" ref="G33:G39" si="7">IF(D33=0,"0.00%",(H33-D33)/D33)</f>
        <v>0.00%</v>
      </c>
      <c r="H33" s="340">
        <f t="shared" ref="H33:H39" si="8">ROUND(D33*(1+$I$19),0)</f>
        <v>0</v>
      </c>
      <c r="I33" s="897" t="str">
        <f t="shared" ref="I33:I39" si="9">TEXT($I$19,"0.0%")&amp;" = Est. S &amp; C"</f>
        <v>0.0% = Est. S &amp; C</v>
      </c>
      <c r="J33" s="455"/>
      <c r="K33" s="456" t="str">
        <f t="shared" ref="K33:K39" si="10">IF(H33=0,"0.00%",(L33-H33)/H33)</f>
        <v>0.00%</v>
      </c>
      <c r="L33" s="340">
        <f>ROUND(H33*(1+M19),0)</f>
        <v>0</v>
      </c>
      <c r="M33" s="897" t="str">
        <f>TEXT(M19,"0.0%")&amp;" = Est. S &amp; C"</f>
        <v>0.0% = Est. S &amp; C</v>
      </c>
      <c r="O33" s="456" t="str">
        <f t="shared" ref="O33:O39" si="11">IF(L33=0,"0.00%",(P33-L33)/L33)</f>
        <v>0.00%</v>
      </c>
      <c r="P33" s="340">
        <f>ROUND(L33*(1+Q19),0)</f>
        <v>0</v>
      </c>
      <c r="Q33" s="897" t="str">
        <f>TEXT(Q19,"0.0%")&amp;" = Est. S &amp; C"</f>
        <v>2.0% = Est. S &amp; C</v>
      </c>
      <c r="R33" s="592"/>
      <c r="S33" s="2238" t="str">
        <f t="shared" ref="S33:S39" si="12">IF(P33=0,"0.00%",(T33-P33)/P33)</f>
        <v>0.00%</v>
      </c>
      <c r="T33" s="340">
        <f>ROUND(P33*(1+U19),0)</f>
        <v>0</v>
      </c>
      <c r="U33" s="455" t="str">
        <f>TEXT(U19,"0.0%")&amp;" = Est. S &amp; C"</f>
        <v>2.0% = Est. S &amp; C</v>
      </c>
      <c r="V33" s="952"/>
      <c r="W33" s="2241" t="str">
        <f t="shared" ref="W33:W39" si="13">IF(T33=0,"0.00%",(X33-T33)/T33)</f>
        <v>0.00%</v>
      </c>
      <c r="X33" s="340">
        <f>ROUND(T33*(1+Y19),0)</f>
        <v>0</v>
      </c>
      <c r="Y33" s="455" t="str">
        <f>TEXT(Y19,"0.0%")&amp;" = Est. S &amp; C"</f>
        <v>2.0% = Est. S &amp; C</v>
      </c>
      <c r="AA33" s="456" t="str">
        <f t="shared" ref="AA33:AA39" si="14">IF(X33=0,"0.00%",(AB33-X33)/X33)</f>
        <v>0.00%</v>
      </c>
      <c r="AB33" s="340">
        <f>ROUND(X33*(1+AC19),0)</f>
        <v>0</v>
      </c>
      <c r="AC33" s="455" t="str">
        <f>TEXT(AC19,"0.0%")&amp;" = Est. S &amp; C"</f>
        <v>2.0% = Est. S &amp; C</v>
      </c>
    </row>
    <row r="34" spans="1:29" s="457" customFormat="1" hidden="1" x14ac:dyDescent="0.25">
      <c r="A34" s="455"/>
      <c r="B34" s="2385"/>
      <c r="C34" s="1656"/>
      <c r="D34" s="340">
        <v>0</v>
      </c>
      <c r="E34" s="2386"/>
      <c r="F34" s="340"/>
      <c r="G34" s="456" t="str">
        <f t="shared" si="7"/>
        <v>0.00%</v>
      </c>
      <c r="H34" s="340">
        <f t="shared" si="8"/>
        <v>0</v>
      </c>
      <c r="I34" s="897" t="str">
        <f t="shared" si="9"/>
        <v>0.0% = Est. S &amp; C</v>
      </c>
      <c r="J34" s="455"/>
      <c r="K34" s="456" t="str">
        <f t="shared" si="10"/>
        <v>0.00%</v>
      </c>
      <c r="L34" s="340">
        <f>ROUND(H34*(1+M19),0)</f>
        <v>0</v>
      </c>
      <c r="M34" s="897" t="str">
        <f>TEXT(M19,"0.0%")&amp;" = Est. S &amp; C"</f>
        <v>0.0% = Est. S &amp; C</v>
      </c>
      <c r="O34" s="456" t="str">
        <f t="shared" si="11"/>
        <v>0.00%</v>
      </c>
      <c r="P34" s="340">
        <f>ROUND(L34*(1+Q19),0)</f>
        <v>0</v>
      </c>
      <c r="Q34" s="897" t="str">
        <f>TEXT(Q19,"0.0%")&amp;" = Est. S &amp; C"</f>
        <v>2.0% = Est. S &amp; C</v>
      </c>
      <c r="R34" s="592"/>
      <c r="S34" s="2238" t="str">
        <f t="shared" si="12"/>
        <v>0.00%</v>
      </c>
      <c r="T34" s="340">
        <f>ROUND(P34*(1+U19),0)</f>
        <v>0</v>
      </c>
      <c r="U34" s="455" t="str">
        <f>TEXT(U19,"0.0%")&amp;" = Est. S &amp; C"</f>
        <v>2.0% = Est. S &amp; C</v>
      </c>
      <c r="V34" s="952"/>
      <c r="W34" s="2241" t="str">
        <f t="shared" si="13"/>
        <v>0.00%</v>
      </c>
      <c r="X34" s="340">
        <f>ROUND(T34*(1+Y19),0)</f>
        <v>0</v>
      </c>
      <c r="Y34" s="455" t="str">
        <f>TEXT(Y19,"0.0%")&amp;" = Est. S &amp; C"</f>
        <v>2.0% = Est. S &amp; C</v>
      </c>
      <c r="AA34" s="456" t="str">
        <f t="shared" si="14"/>
        <v>0.00%</v>
      </c>
      <c r="AB34" s="340">
        <f>ROUND(X34*(1+AC19),0)</f>
        <v>0</v>
      </c>
      <c r="AC34" s="455" t="str">
        <f>TEXT(AC19,"0.0%")&amp;" = Est. S &amp; C"</f>
        <v>2.0% = Est. S &amp; C</v>
      </c>
    </row>
    <row r="35" spans="1:29" s="457" customFormat="1" hidden="1" x14ac:dyDescent="0.25">
      <c r="A35" s="455"/>
      <c r="B35" s="2385"/>
      <c r="C35" s="1656"/>
      <c r="D35" s="340">
        <v>0</v>
      </c>
      <c r="E35" s="2386"/>
      <c r="F35" s="340"/>
      <c r="G35" s="456" t="str">
        <f t="shared" si="7"/>
        <v>0.00%</v>
      </c>
      <c r="H35" s="340">
        <f t="shared" si="8"/>
        <v>0</v>
      </c>
      <c r="I35" s="897" t="str">
        <f t="shared" si="9"/>
        <v>0.0% = Est. S &amp; C</v>
      </c>
      <c r="J35" s="455"/>
      <c r="K35" s="456" t="str">
        <f t="shared" si="10"/>
        <v>0.00%</v>
      </c>
      <c r="L35" s="340">
        <f>ROUND(H35*(1+M19),0)</f>
        <v>0</v>
      </c>
      <c r="M35" s="897" t="str">
        <f>TEXT(M19,"0.0%")&amp;" = Est. S &amp; C"</f>
        <v>0.0% = Est. S &amp; C</v>
      </c>
      <c r="O35" s="456" t="str">
        <f t="shared" si="11"/>
        <v>0.00%</v>
      </c>
      <c r="P35" s="340">
        <f>ROUND(L35*(1+Q19),0)</f>
        <v>0</v>
      </c>
      <c r="Q35" s="897" t="str">
        <f>TEXT(Q19,"0.0%")&amp;" = Est. S &amp; C"</f>
        <v>2.0% = Est. S &amp; C</v>
      </c>
      <c r="R35" s="592"/>
      <c r="S35" s="2238" t="str">
        <f t="shared" si="12"/>
        <v>0.00%</v>
      </c>
      <c r="T35" s="340">
        <f>ROUND(P35*(1+U19),0)</f>
        <v>0</v>
      </c>
      <c r="U35" s="455" t="str">
        <f>TEXT(U19,"0.0%")&amp;" = Est. S &amp; C"</f>
        <v>2.0% = Est. S &amp; C</v>
      </c>
      <c r="V35" s="952"/>
      <c r="W35" s="2241" t="str">
        <f t="shared" si="13"/>
        <v>0.00%</v>
      </c>
      <c r="X35" s="340">
        <f>ROUND(T35*(1+Y19),0)</f>
        <v>0</v>
      </c>
      <c r="Y35" s="455" t="str">
        <f>TEXT(Y19,"0.0%")&amp;" = Est. S &amp; C"</f>
        <v>2.0% = Est. S &amp; C</v>
      </c>
      <c r="AA35" s="456" t="str">
        <f t="shared" si="14"/>
        <v>0.00%</v>
      </c>
      <c r="AB35" s="340">
        <f>ROUND(X35*(1+AC19),0)</f>
        <v>0</v>
      </c>
      <c r="AC35" s="455" t="str">
        <f>TEXT(AC19,"0.0%")&amp;" = Est. S &amp; C"</f>
        <v>2.0% = Est. S &amp; C</v>
      </c>
    </row>
    <row r="36" spans="1:29" s="457" customFormat="1" hidden="1" x14ac:dyDescent="0.25">
      <c r="A36" s="455"/>
      <c r="B36" s="2385"/>
      <c r="C36" s="1656"/>
      <c r="D36" s="340">
        <v>0</v>
      </c>
      <c r="E36" s="2386"/>
      <c r="F36" s="340"/>
      <c r="G36" s="456" t="str">
        <f t="shared" si="7"/>
        <v>0.00%</v>
      </c>
      <c r="H36" s="340">
        <f t="shared" si="8"/>
        <v>0</v>
      </c>
      <c r="I36" s="897" t="str">
        <f t="shared" si="9"/>
        <v>0.0% = Est. S &amp; C</v>
      </c>
      <c r="J36" s="455"/>
      <c r="K36" s="456" t="str">
        <f t="shared" si="10"/>
        <v>0.00%</v>
      </c>
      <c r="L36" s="340">
        <f>ROUND(H36*(1+M19),0)</f>
        <v>0</v>
      </c>
      <c r="M36" s="897" t="str">
        <f>TEXT(M19,"0.0%")&amp;" = Est. S &amp; C"</f>
        <v>0.0% = Est. S &amp; C</v>
      </c>
      <c r="O36" s="456" t="str">
        <f t="shared" si="11"/>
        <v>0.00%</v>
      </c>
      <c r="P36" s="340">
        <f>ROUND(L36*(1+Q19),0)</f>
        <v>0</v>
      </c>
      <c r="Q36" s="897" t="str">
        <f>TEXT(Q19,"0.0%")&amp;" = Est. S &amp; C"</f>
        <v>2.0% = Est. S &amp; C</v>
      </c>
      <c r="R36" s="592"/>
      <c r="S36" s="2238" t="str">
        <f t="shared" si="12"/>
        <v>0.00%</v>
      </c>
      <c r="T36" s="340">
        <f>ROUND(P36*(1+U19),0)</f>
        <v>0</v>
      </c>
      <c r="U36" s="455" t="str">
        <f>TEXT(U19,"0.0%")&amp;" = Est. S &amp; C"</f>
        <v>2.0% = Est. S &amp; C</v>
      </c>
      <c r="V36" s="952"/>
      <c r="W36" s="2241" t="str">
        <f t="shared" si="13"/>
        <v>0.00%</v>
      </c>
      <c r="X36" s="340">
        <f>ROUND(T36*(1+Y19),0)</f>
        <v>0</v>
      </c>
      <c r="Y36" s="455" t="str">
        <f>TEXT(Y19,"0.0%")&amp;" = Est. S &amp; C"</f>
        <v>2.0% = Est. S &amp; C</v>
      </c>
      <c r="AA36" s="456" t="str">
        <f t="shared" si="14"/>
        <v>0.00%</v>
      </c>
      <c r="AB36" s="340">
        <f>ROUND(X36*(1+AC19),0)</f>
        <v>0</v>
      </c>
      <c r="AC36" s="455" t="str">
        <f>TEXT(AC19,"0.0%")&amp;" = Est. S &amp; C"</f>
        <v>2.0% = Est. S &amp; C</v>
      </c>
    </row>
    <row r="37" spans="1:29" s="457" customFormat="1" hidden="1" x14ac:dyDescent="0.25">
      <c r="A37" s="455"/>
      <c r="B37" s="2385"/>
      <c r="C37" s="1656"/>
      <c r="D37" s="340">
        <v>0</v>
      </c>
      <c r="E37" s="2386"/>
      <c r="F37" s="340"/>
      <c r="G37" s="456" t="str">
        <f t="shared" si="7"/>
        <v>0.00%</v>
      </c>
      <c r="H37" s="340">
        <f t="shared" si="8"/>
        <v>0</v>
      </c>
      <c r="I37" s="897" t="str">
        <f t="shared" si="9"/>
        <v>0.0% = Est. S &amp; C</v>
      </c>
      <c r="J37" s="455"/>
      <c r="K37" s="456" t="str">
        <f t="shared" si="10"/>
        <v>0.00%</v>
      </c>
      <c r="L37" s="340">
        <f>ROUND(H37*(1+M19),0)</f>
        <v>0</v>
      </c>
      <c r="M37" s="897" t="str">
        <f>TEXT(M19,"0.0%")&amp;" = Est. S &amp; C"</f>
        <v>0.0% = Est. S &amp; C</v>
      </c>
      <c r="O37" s="456" t="str">
        <f t="shared" si="11"/>
        <v>0.00%</v>
      </c>
      <c r="P37" s="340">
        <f>ROUND(L37*(1+Q19),0)</f>
        <v>0</v>
      </c>
      <c r="Q37" s="897" t="str">
        <f>TEXT(Q19,"0.0%")&amp;" = Est. S &amp; C"</f>
        <v>2.0% = Est. S &amp; C</v>
      </c>
      <c r="R37" s="592"/>
      <c r="S37" s="2238" t="str">
        <f t="shared" si="12"/>
        <v>0.00%</v>
      </c>
      <c r="T37" s="340">
        <f>ROUND(P37*(1+U19),0)</f>
        <v>0</v>
      </c>
      <c r="U37" s="455" t="str">
        <f>TEXT(U19,"0.0%")&amp;" = Est. S &amp; C"</f>
        <v>2.0% = Est. S &amp; C</v>
      </c>
      <c r="V37" s="952"/>
      <c r="W37" s="2241" t="str">
        <f t="shared" si="13"/>
        <v>0.00%</v>
      </c>
      <c r="X37" s="340">
        <f>ROUND(T37*(1+Y19),0)</f>
        <v>0</v>
      </c>
      <c r="Y37" s="455" t="str">
        <f>TEXT(Y19,"0.0%")&amp;" = Est. S &amp; C"</f>
        <v>2.0% = Est. S &amp; C</v>
      </c>
      <c r="AA37" s="456" t="str">
        <f t="shared" si="14"/>
        <v>0.00%</v>
      </c>
      <c r="AB37" s="340">
        <f>ROUND(X37*(1+AC19),0)</f>
        <v>0</v>
      </c>
      <c r="AC37" s="455" t="str">
        <f>TEXT(AC19,"0.0%")&amp;" = Est. S &amp; C"</f>
        <v>2.0% = Est. S &amp; C</v>
      </c>
    </row>
    <row r="38" spans="1:29" s="457" customFormat="1" hidden="1" x14ac:dyDescent="0.25">
      <c r="A38" s="455"/>
      <c r="B38" s="2385"/>
      <c r="C38" s="1656"/>
      <c r="D38" s="340">
        <v>0</v>
      </c>
      <c r="E38" s="2386"/>
      <c r="F38" s="340"/>
      <c r="G38" s="456" t="str">
        <f t="shared" si="7"/>
        <v>0.00%</v>
      </c>
      <c r="H38" s="340">
        <f t="shared" si="8"/>
        <v>0</v>
      </c>
      <c r="I38" s="897" t="str">
        <f t="shared" si="9"/>
        <v>0.0% = Est. S &amp; C</v>
      </c>
      <c r="J38" s="455"/>
      <c r="K38" s="456" t="str">
        <f t="shared" si="10"/>
        <v>0.00%</v>
      </c>
      <c r="L38" s="340">
        <f>ROUND(H38*(1+M19),0)</f>
        <v>0</v>
      </c>
      <c r="M38" s="897" t="str">
        <f>TEXT(M19,"0.0%")&amp;" = Est. S &amp; C"</f>
        <v>0.0% = Est. S &amp; C</v>
      </c>
      <c r="O38" s="456" t="str">
        <f t="shared" si="11"/>
        <v>0.00%</v>
      </c>
      <c r="P38" s="340">
        <f>ROUND(L38*(1+Q19),0)</f>
        <v>0</v>
      </c>
      <c r="Q38" s="897" t="str">
        <f>TEXT(Q19,"0.0%")&amp;" = Est. S &amp; C"</f>
        <v>2.0% = Est. S &amp; C</v>
      </c>
      <c r="R38" s="592"/>
      <c r="S38" s="2238" t="str">
        <f t="shared" si="12"/>
        <v>0.00%</v>
      </c>
      <c r="T38" s="340">
        <f>ROUND(P38*(1+U19),0)</f>
        <v>0</v>
      </c>
      <c r="U38" s="455" t="str">
        <f>TEXT(U19,"0.0%")&amp;" = Est. S &amp; C"</f>
        <v>2.0% = Est. S &amp; C</v>
      </c>
      <c r="V38" s="952"/>
      <c r="W38" s="2241" t="str">
        <f t="shared" si="13"/>
        <v>0.00%</v>
      </c>
      <c r="X38" s="340">
        <f>ROUND(T38*(1+Y19),0)</f>
        <v>0</v>
      </c>
      <c r="Y38" s="455" t="str">
        <f>TEXT(Y19,"0.0%")&amp;" = Est. S &amp; C"</f>
        <v>2.0% = Est. S &amp; C</v>
      </c>
      <c r="AA38" s="456" t="str">
        <f t="shared" si="14"/>
        <v>0.00%</v>
      </c>
      <c r="AB38" s="340">
        <f>ROUND(X38*(1+AC19),0)</f>
        <v>0</v>
      </c>
      <c r="AC38" s="455" t="str">
        <f>TEXT(AC19,"0.0%")&amp;" = Est. S &amp; C"</f>
        <v>2.0% = Est. S &amp; C</v>
      </c>
    </row>
    <row r="39" spans="1:29" s="457" customFormat="1" hidden="1" x14ac:dyDescent="0.25">
      <c r="A39" s="455"/>
      <c r="B39" s="2385"/>
      <c r="C39" s="1656"/>
      <c r="D39" s="340">
        <v>0</v>
      </c>
      <c r="E39" s="2386"/>
      <c r="F39" s="340"/>
      <c r="G39" s="456" t="str">
        <f t="shared" si="7"/>
        <v>0.00%</v>
      </c>
      <c r="H39" s="340">
        <f t="shared" si="8"/>
        <v>0</v>
      </c>
      <c r="I39" s="897" t="str">
        <f t="shared" si="9"/>
        <v>0.0% = Est. S &amp; C</v>
      </c>
      <c r="J39" s="455"/>
      <c r="K39" s="456" t="str">
        <f t="shared" si="10"/>
        <v>0.00%</v>
      </c>
      <c r="L39" s="340">
        <f>ROUND(H39*(1+M19),0)</f>
        <v>0</v>
      </c>
      <c r="M39" s="897" t="str">
        <f>TEXT(M19,"0.0%")&amp;" = Est. S &amp; C"</f>
        <v>0.0% = Est. S &amp; C</v>
      </c>
      <c r="O39" s="456" t="str">
        <f t="shared" si="11"/>
        <v>0.00%</v>
      </c>
      <c r="P39" s="340">
        <f>ROUND(L39*(1+Q19),0)</f>
        <v>0</v>
      </c>
      <c r="Q39" s="897" t="str">
        <f>TEXT(Q19,"0.0%")&amp;" = Est. S &amp; C"</f>
        <v>2.0% = Est. S &amp; C</v>
      </c>
      <c r="R39" s="592"/>
      <c r="S39" s="2238" t="str">
        <f t="shared" si="12"/>
        <v>0.00%</v>
      </c>
      <c r="T39" s="340">
        <f>ROUND(P39*(1+U19),0)</f>
        <v>0</v>
      </c>
      <c r="U39" s="455" t="str">
        <f>TEXT(U19,"0.0%")&amp;" = Est. S &amp; C"</f>
        <v>2.0% = Est. S &amp; C</v>
      </c>
      <c r="V39" s="952"/>
      <c r="W39" s="2241" t="str">
        <f t="shared" si="13"/>
        <v>0.00%</v>
      </c>
      <c r="X39" s="340">
        <f>ROUND(T39*(1+Y19),0)</f>
        <v>0</v>
      </c>
      <c r="Y39" s="455" t="str">
        <f>TEXT(Y19,"0.0%")&amp;" = Est. S &amp; C"</f>
        <v>2.0% = Est. S &amp; C</v>
      </c>
      <c r="AA39" s="456" t="str">
        <f t="shared" si="14"/>
        <v>0.00%</v>
      </c>
      <c r="AB39" s="340">
        <f>ROUND(X39*(1+AC19),0)</f>
        <v>0</v>
      </c>
      <c r="AC39" s="455" t="str">
        <f>TEXT(AC19,"0.0%")&amp;" = Est. S &amp; C"</f>
        <v>2.0% = Est. S &amp; C</v>
      </c>
    </row>
    <row r="40" spans="1:29" s="457" customFormat="1" ht="6" hidden="1" customHeight="1" x14ac:dyDescent="0.25">
      <c r="A40" s="455"/>
      <c r="B40" s="2385"/>
      <c r="C40" s="1656"/>
      <c r="D40" s="340"/>
      <c r="E40" s="2386"/>
      <c r="F40" s="340"/>
      <c r="G40" s="2338"/>
      <c r="H40" s="340"/>
      <c r="I40" s="897"/>
      <c r="J40" s="455"/>
      <c r="K40" s="1668"/>
      <c r="L40" s="340"/>
      <c r="M40" s="901"/>
      <c r="O40" s="1668"/>
      <c r="P40" s="340"/>
      <c r="Q40" s="901"/>
      <c r="R40" s="592"/>
      <c r="S40" s="2341"/>
      <c r="T40" s="340"/>
      <c r="U40" s="2344"/>
      <c r="V40" s="952"/>
      <c r="W40" s="2343"/>
      <c r="X40" s="340"/>
      <c r="Y40" s="2344"/>
      <c r="AA40" s="1668"/>
      <c r="AB40" s="340"/>
      <c r="AC40" s="2344"/>
    </row>
    <row r="41" spans="1:29" s="457" customFormat="1" x14ac:dyDescent="0.25">
      <c r="A41" s="459"/>
      <c r="B41" s="2385"/>
      <c r="C41" s="1656"/>
      <c r="D41" s="458">
        <f>SUM(D33:D40)</f>
        <v>0</v>
      </c>
      <c r="E41" s="2386"/>
      <c r="F41" s="340"/>
      <c r="G41" s="456" t="str">
        <f>IF(D41=0,"0.00%",(H41-D41)/D41)</f>
        <v>0.00%</v>
      </c>
      <c r="H41" s="458">
        <f>SUM(H33:H40)</f>
        <v>0</v>
      </c>
      <c r="I41" s="898"/>
      <c r="J41" s="459"/>
      <c r="K41" s="456" t="str">
        <f>IF(H41=0,"0.00%",(L41-H41)/H41)</f>
        <v>0.00%</v>
      </c>
      <c r="L41" s="458">
        <f>SUM(L33:L40)</f>
        <v>0</v>
      </c>
      <c r="M41" s="901"/>
      <c r="O41" s="456" t="str">
        <f>IF(L41=0,"0.00%",(P41-L41)/L41)</f>
        <v>0.00%</v>
      </c>
      <c r="P41" s="458">
        <f>SUM(P33:P40)</f>
        <v>0</v>
      </c>
      <c r="Q41" s="901"/>
      <c r="R41" s="592"/>
      <c r="S41" s="2238" t="str">
        <f>IF(P41=0,"0.00%",(T41-P41)/P41)</f>
        <v>0.00%</v>
      </c>
      <c r="T41" s="458">
        <f>SUM(T33:T40)</f>
        <v>0</v>
      </c>
      <c r="U41" s="2344"/>
      <c r="V41" s="952"/>
      <c r="W41" s="2241" t="str">
        <f>IF(T41=0,"0.00%",(X41-T41)/T41)</f>
        <v>0.00%</v>
      </c>
      <c r="X41" s="458">
        <f>SUM(X33:X40)</f>
        <v>0</v>
      </c>
      <c r="Y41" s="2344"/>
      <c r="AA41" s="456" t="str">
        <f>IF(X41=0,"0.00%",(AB41-X41)/X41)</f>
        <v>0.00%</v>
      </c>
      <c r="AB41" s="458">
        <f>SUM(AB33:AB40)</f>
        <v>0</v>
      </c>
      <c r="AC41" s="2344"/>
    </row>
    <row r="42" spans="1:29" s="457" customFormat="1" x14ac:dyDescent="0.25">
      <c r="A42" s="455"/>
      <c r="B42" s="2345" t="s">
        <v>28</v>
      </c>
      <c r="C42" s="1656"/>
      <c r="D42" s="340"/>
      <c r="E42" s="2386"/>
      <c r="F42" s="340"/>
      <c r="G42" s="2338"/>
      <c r="H42" s="340"/>
      <c r="I42" s="897"/>
      <c r="J42" s="455"/>
      <c r="K42" s="1668"/>
      <c r="L42" s="340"/>
      <c r="M42" s="901"/>
      <c r="O42" s="1668"/>
      <c r="P42" s="340"/>
      <c r="Q42" s="901"/>
      <c r="R42" s="592"/>
      <c r="S42" s="2341"/>
      <c r="T42" s="340"/>
      <c r="U42" s="2344"/>
      <c r="V42" s="952"/>
      <c r="W42" s="2343"/>
      <c r="X42" s="340"/>
      <c r="Y42" s="2344"/>
      <c r="AA42" s="1668"/>
      <c r="AB42" s="340"/>
      <c r="AC42" s="2344"/>
    </row>
    <row r="43" spans="1:29" s="457" customFormat="1" x14ac:dyDescent="0.25">
      <c r="A43" s="460"/>
      <c r="B43" s="2337" t="s">
        <v>27</v>
      </c>
      <c r="C43" s="1656"/>
      <c r="D43" s="340"/>
      <c r="E43" s="2386"/>
      <c r="F43" s="340"/>
      <c r="G43" s="2338"/>
      <c r="H43" s="340"/>
      <c r="I43" s="897"/>
      <c r="J43" s="455"/>
      <c r="K43" s="1668"/>
      <c r="L43" s="340"/>
      <c r="M43" s="901"/>
      <c r="O43" s="1668"/>
      <c r="P43" s="340"/>
      <c r="Q43" s="901"/>
      <c r="R43" s="592"/>
      <c r="S43" s="2341"/>
      <c r="T43" s="340"/>
      <c r="U43" s="2344"/>
      <c r="V43" s="952"/>
      <c r="W43" s="2343"/>
      <c r="X43" s="340"/>
      <c r="Y43" s="2344"/>
      <c r="AA43" s="1668"/>
      <c r="AB43" s="340"/>
      <c r="AC43" s="2344"/>
    </row>
    <row r="44" spans="1:29" s="457" customFormat="1" x14ac:dyDescent="0.25">
      <c r="A44" s="455"/>
      <c r="B44" s="2385" t="s">
        <v>83</v>
      </c>
      <c r="C44" s="1656" t="s">
        <v>76</v>
      </c>
      <c r="D44" s="340">
        <v>12831.73</v>
      </c>
      <c r="E44" s="899" t="str">
        <f>TEXT('MYP Assumptions'!$D$57,"0.00%")&amp;", STRS rate"</f>
        <v>12.58%, STRS rate</v>
      </c>
      <c r="F44" s="340"/>
      <c r="G44" s="456">
        <f t="shared" ref="G44:G53" si="15">IF(D44=0,"0.00%",(H44-D44)/D44)</f>
        <v>-0.13168372464196174</v>
      </c>
      <c r="H44" s="340">
        <v>11142</v>
      </c>
      <c r="I44" s="899" t="str">
        <f>TEXT('MYP Assumptions'!E57,"0.00%")&amp;", projected STRS rate"</f>
        <v>14.43%, projected STRS rate</v>
      </c>
      <c r="J44" s="455"/>
      <c r="K44" s="456">
        <f t="shared" ref="K44:K53" si="16">IF(H44=0,"0.00%",(L44-H44)/H44)</f>
        <v>0.21414467779572788</v>
      </c>
      <c r="L44" s="340">
        <v>13528</v>
      </c>
      <c r="M44" s="899" t="str">
        <f>TEXT('MYP Assumptions'!F57,"0.00%")&amp;", projected STRS rate"</f>
        <v>16.28%, projected STRS rate</v>
      </c>
      <c r="O44" s="456">
        <f t="shared" ref="O44:O53" si="17">IF(L44=0,"0.00%",(P44-L44)/L44)</f>
        <v>0.13594027202838557</v>
      </c>
      <c r="P44" s="340">
        <f>ROUND(P30*LEFT(Q44,6),0)+1</f>
        <v>15367</v>
      </c>
      <c r="Q44" s="899" t="str">
        <f>TEXT('MYP Assumptions'!G57,"0.00%")&amp;", projected STRS rate"</f>
        <v>18.13%, projected STRS rate</v>
      </c>
      <c r="R44" s="592"/>
      <c r="S44" s="2238">
        <f t="shared" ref="S44:S53" si="18">IF(P44=0,"0.00%",(T44-P44)/P44)</f>
        <v>7.4445239799570503E-2</v>
      </c>
      <c r="T44" s="340">
        <f>ROUND(T30*LEFT(U44,6),0)</f>
        <v>16511</v>
      </c>
      <c r="U44" s="953" t="str">
        <f>TEXT('MYP Assumptions'!H57,"0.00%")&amp;", projected STRS rate"</f>
        <v>19.10%, projected STRS rate</v>
      </c>
      <c r="V44" s="952"/>
      <c r="W44" s="2241">
        <f t="shared" ref="W44:W53" si="19">IF(T44=0,"0.00%",(X44-T44)/T44)</f>
        <v>2.0047241233117314E-2</v>
      </c>
      <c r="X44" s="340">
        <f>ROUND(X30*LEFT(Y44,6),0)</f>
        <v>16842</v>
      </c>
      <c r="Y44" s="953" t="str">
        <f>TEXT('MYP Assumptions'!I57,"0.00%")&amp;", projected STRS rate"</f>
        <v>19.10%, projected STRS rate</v>
      </c>
      <c r="AA44" s="456" t="e">
        <f t="shared" ref="AA44:AA53" si="20">IF(X44=0,"0.00%",(AB44-X44)/X44)</f>
        <v>#VALUE!</v>
      </c>
      <c r="AB44" s="340" t="e">
        <f>ROUND(AB30*LEFT(AC44,6),0)</f>
        <v>#VALUE!</v>
      </c>
      <c r="AC44" s="953" t="str">
        <f>TEXT('MYP Assumptions'!J57,"0.00%")&amp;", projected STRS rate"</f>
        <v>0.00%, projected STRS rate</v>
      </c>
    </row>
    <row r="45" spans="1:29" s="457" customFormat="1" x14ac:dyDescent="0.25">
      <c r="A45" s="455"/>
      <c r="B45" s="2385" t="s">
        <v>84</v>
      </c>
      <c r="C45" s="1656" t="s">
        <v>77</v>
      </c>
      <c r="D45" s="340">
        <v>0</v>
      </c>
      <c r="E45" s="899" t="str">
        <f>TEXT('MYP Assumptions'!$D$58,"0.00%")&amp;", PERS rate"</f>
        <v>13.89%, PERS rate</v>
      </c>
      <c r="F45" s="340"/>
      <c r="G45" s="456" t="str">
        <f t="shared" si="15"/>
        <v>0.00%</v>
      </c>
      <c r="H45" s="340">
        <v>0</v>
      </c>
      <c r="I45" s="899" t="str">
        <f>TEXT('MYP Assumptions'!E58,"0.000%")&amp;", projected PERS rate"</f>
        <v>15.531%, projected PERS rate</v>
      </c>
      <c r="J45" s="455"/>
      <c r="K45" s="456" t="str">
        <f t="shared" si="16"/>
        <v>0.00%</v>
      </c>
      <c r="L45" s="340">
        <v>0</v>
      </c>
      <c r="M45" s="899" t="str">
        <f>TEXT('MYP Assumptions'!F58,"0.00%")&amp;", projected PERS rate"</f>
        <v>18.06%, projected PERS rate</v>
      </c>
      <c r="O45" s="456" t="str">
        <f t="shared" si="17"/>
        <v>0.00%</v>
      </c>
      <c r="P45" s="340">
        <f>ROUND(P41*LEFT(Q45,6),0)</f>
        <v>0</v>
      </c>
      <c r="Q45" s="899" t="str">
        <f>TEXT('MYP Assumptions'!G58,"0.00%")&amp;", projected PERS rate"</f>
        <v>20.80%, projected PERS rate</v>
      </c>
      <c r="R45" s="592"/>
      <c r="S45" s="2238" t="str">
        <f t="shared" si="18"/>
        <v>0.00%</v>
      </c>
      <c r="T45" s="340">
        <f>ROUND(T41*LEFT(U45,6),0)</f>
        <v>0</v>
      </c>
      <c r="U45" s="953" t="str">
        <f>TEXT('MYP Assumptions'!H58,"0.00%")&amp;", projected PERS rate"</f>
        <v>23.50%, projected PERS rate</v>
      </c>
      <c r="V45" s="952"/>
      <c r="W45" s="2241" t="str">
        <f t="shared" si="19"/>
        <v>0.00%</v>
      </c>
      <c r="X45" s="340">
        <f>ROUND(X41*LEFT(Y45,6),0)</f>
        <v>0</v>
      </c>
      <c r="Y45" s="953" t="str">
        <f>TEXT('MYP Assumptions'!I58,"0.00%")&amp;", projected PERS rate"</f>
        <v>24.60%, projected PERS rate</v>
      </c>
      <c r="AA45" s="456" t="str">
        <f t="shared" si="20"/>
        <v>0.00%</v>
      </c>
      <c r="AB45" s="340" t="e">
        <f>ROUND(AB41*LEFT(AC45,6),0)</f>
        <v>#VALUE!</v>
      </c>
      <c r="AC45" s="953" t="str">
        <f>TEXT('MYP Assumptions'!J58,"0.00%")&amp;", projected PERS rate"</f>
        <v>0.00%, projected PERS rate</v>
      </c>
    </row>
    <row r="46" spans="1:29" s="457" customFormat="1" x14ac:dyDescent="0.25">
      <c r="A46" s="455"/>
      <c r="B46" s="2385" t="s">
        <v>85</v>
      </c>
      <c r="C46" s="1656" t="s">
        <v>78</v>
      </c>
      <c r="D46" s="340">
        <v>0</v>
      </c>
      <c r="E46" s="899" t="str">
        <f>TEXT('MYP Assumptions'!$D$60,"0.00%")&amp;", SS rate"</f>
        <v>6.20%, SS rate</v>
      </c>
      <c r="F46" s="340"/>
      <c r="G46" s="456" t="str">
        <f t="shared" si="15"/>
        <v>0.00%</v>
      </c>
      <c r="H46" s="340">
        <v>0</v>
      </c>
      <c r="I46" s="899" t="str">
        <f>TEXT('MYP Assumptions'!E60,"0.00%")&amp;", no rate change"</f>
        <v>6.20%, no rate change</v>
      </c>
      <c r="J46" s="455"/>
      <c r="K46" s="456" t="str">
        <f t="shared" si="16"/>
        <v>0.00%</v>
      </c>
      <c r="L46" s="340">
        <v>0</v>
      </c>
      <c r="M46" s="899" t="str">
        <f>TEXT('MYP Assumptions'!F60,"0.00%")&amp;", no rate change"</f>
        <v>6.20%, no rate change</v>
      </c>
      <c r="O46" s="456" t="str">
        <f t="shared" si="17"/>
        <v>0.00%</v>
      </c>
      <c r="P46" s="340">
        <f>ROUND(P41*LEFT(Q46,5),0)</f>
        <v>0</v>
      </c>
      <c r="Q46" s="899" t="str">
        <f>TEXT('MYP Assumptions'!G60,"0.00%")&amp;", no rate change"</f>
        <v>6.20%, no rate change</v>
      </c>
      <c r="R46" s="592"/>
      <c r="S46" s="2238" t="str">
        <f t="shared" si="18"/>
        <v>0.00%</v>
      </c>
      <c r="T46" s="340">
        <f>ROUND(T41*LEFT(U46,5),0)</f>
        <v>0</v>
      </c>
      <c r="U46" s="953" t="str">
        <f>TEXT('MYP Assumptions'!H60,"0.00%")&amp;", no rate change"</f>
        <v>6.20%, no rate change</v>
      </c>
      <c r="V46" s="952"/>
      <c r="W46" s="2241" t="str">
        <f t="shared" si="19"/>
        <v>0.00%</v>
      </c>
      <c r="X46" s="340">
        <f>ROUND(X41*LEFT(Y46,5),0)</f>
        <v>0</v>
      </c>
      <c r="Y46" s="953" t="str">
        <f>TEXT('MYP Assumptions'!I60,"0.00%")&amp;", no rate change"</f>
        <v>6.20%, no rate change</v>
      </c>
      <c r="AA46" s="456" t="str">
        <f t="shared" si="20"/>
        <v>0.00%</v>
      </c>
      <c r="AB46" s="340">
        <f>ROUND(AB41*LEFT(AC46,5),0)</f>
        <v>0</v>
      </c>
      <c r="AC46" s="953" t="str">
        <f>TEXT('MYP Assumptions'!J60,"0.00%")&amp;", no rate change"</f>
        <v>0.00%, no rate change</v>
      </c>
    </row>
    <row r="47" spans="1:29" s="457" customFormat="1" x14ac:dyDescent="0.25">
      <c r="A47" s="455"/>
      <c r="B47" s="2385" t="s">
        <v>86</v>
      </c>
      <c r="C47" s="1656" t="s">
        <v>79</v>
      </c>
      <c r="D47" s="340">
        <v>1470.85</v>
      </c>
      <c r="E47" s="899" t="str">
        <f>TEXT('MYP Assumptions'!$D$61,"0.00%")&amp;", Medicare rate"</f>
        <v>1.45%, Medicare rate</v>
      </c>
      <c r="F47" s="340"/>
      <c r="G47" s="456">
        <f t="shared" si="15"/>
        <v>-0.29904477003093444</v>
      </c>
      <c r="H47" s="340">
        <v>1031</v>
      </c>
      <c r="I47" s="899" t="str">
        <f>TEXT('MYP Assumptions'!E61,"0.00%")&amp;", no rate change"</f>
        <v>1.45%, no rate change</v>
      </c>
      <c r="J47" s="455"/>
      <c r="K47" s="456">
        <f t="shared" si="16"/>
        <v>0.16779825412221144</v>
      </c>
      <c r="L47" s="340">
        <v>1204</v>
      </c>
      <c r="M47" s="899" t="str">
        <f>TEXT('MYP Assumptions'!F61,"0.00%")&amp;", no rate change"</f>
        <v>1.45%, no rate change</v>
      </c>
      <c r="O47" s="456">
        <f t="shared" si="17"/>
        <v>2.0764119601328904E-2</v>
      </c>
      <c r="P47" s="340">
        <f>ROUND((P41+P30)*LEFT(Q47,5),0)</f>
        <v>1229</v>
      </c>
      <c r="Q47" s="899" t="str">
        <f>TEXT('MYP Assumptions'!G61,"0.00%")&amp;", no rate change"</f>
        <v>1.45%, no rate change</v>
      </c>
      <c r="R47" s="592"/>
      <c r="S47" s="2238">
        <f t="shared" si="18"/>
        <v>1.9528071602929211E-2</v>
      </c>
      <c r="T47" s="340">
        <f>ROUND((T41+T30)*LEFT(U47,5),0)</f>
        <v>1253</v>
      </c>
      <c r="U47" s="953" t="str">
        <f>TEXT('MYP Assumptions'!H61,"0.00%")&amp;", no rate change"</f>
        <v>1.45%, no rate change</v>
      </c>
      <c r="V47" s="952"/>
      <c r="W47" s="2241">
        <f t="shared" si="19"/>
        <v>2.0750199521149242E-2</v>
      </c>
      <c r="X47" s="340">
        <f>ROUND((X41+X30)*LEFT(Y47,5),0)</f>
        <v>1279</v>
      </c>
      <c r="Y47" s="953" t="str">
        <f>TEXT('MYP Assumptions'!I61,"0.00%")&amp;", no rate change"</f>
        <v>1.45%, no rate change</v>
      </c>
      <c r="AA47" s="456">
        <f t="shared" si="20"/>
        <v>-1</v>
      </c>
      <c r="AB47" s="340">
        <f>ROUND((AB41+AB30)*LEFT(AC47,5),0)</f>
        <v>0</v>
      </c>
      <c r="AC47" s="953" t="str">
        <f>TEXT('MYP Assumptions'!J61,"0.00%")&amp;", no rate change"</f>
        <v>0.00%, no rate change</v>
      </c>
    </row>
    <row r="48" spans="1:29" s="457" customFormat="1" x14ac:dyDescent="0.25">
      <c r="A48" s="455"/>
      <c r="B48" s="2385" t="s">
        <v>87</v>
      </c>
      <c r="C48" s="1656" t="s">
        <v>80</v>
      </c>
      <c r="D48" s="340">
        <v>12959.32</v>
      </c>
      <c r="E48" s="899"/>
      <c r="F48" s="340"/>
      <c r="G48" s="456">
        <f t="shared" si="15"/>
        <v>-0.27372732519916165</v>
      </c>
      <c r="H48" s="340">
        <v>9412</v>
      </c>
      <c r="I48" s="899"/>
      <c r="J48" s="455"/>
      <c r="K48" s="456">
        <f t="shared" si="16"/>
        <v>5.1742456438589032E-2</v>
      </c>
      <c r="L48" s="340">
        <v>9899</v>
      </c>
      <c r="M48" s="899" t="str">
        <f>TEXT('MYP Assumptions'!$I$68,"0.00%")&amp;", projected increase"</f>
        <v>5.00%, projected increase</v>
      </c>
      <c r="O48" s="456">
        <f t="shared" si="17"/>
        <v>5.0005051015254064E-2</v>
      </c>
      <c r="P48" s="340">
        <f>ROUND((L48)*(LEFT(Q48,5)+1),0)</f>
        <v>10394</v>
      </c>
      <c r="Q48" s="899" t="str">
        <f>TEXT('MYP Assumptions'!$I$68,"0.00%")&amp;", projected increase"</f>
        <v>5.00%, projected increase</v>
      </c>
      <c r="R48" s="592"/>
      <c r="S48" s="2238">
        <f t="shared" si="18"/>
        <v>5.0028862805464688E-2</v>
      </c>
      <c r="T48" s="340">
        <f>ROUND((P48)*(LEFT(U48,5)+1),0)</f>
        <v>10914</v>
      </c>
      <c r="U48" s="953" t="str">
        <f>TEXT('MYP Assumptions'!$I$68,"0.00%")&amp;", projected increase"</f>
        <v>5.00%, projected increase</v>
      </c>
      <c r="V48" s="952"/>
      <c r="W48" s="2241">
        <f t="shared" si="19"/>
        <v>5.0027487630566247E-2</v>
      </c>
      <c r="X48" s="340">
        <f>ROUND((T48)*(LEFT(Y48,5)+1),0)</f>
        <v>11460</v>
      </c>
      <c r="Y48" s="953" t="str">
        <f>TEXT('MYP Assumptions'!$I$68,"0.00%")&amp;", projected increase"</f>
        <v>5.00%, projected increase</v>
      </c>
      <c r="AA48" s="456">
        <f t="shared" si="20"/>
        <v>0.05</v>
      </c>
      <c r="AB48" s="340">
        <f>ROUND((X48)*(LEFT(AC48,5)+1),0)</f>
        <v>12033</v>
      </c>
      <c r="AC48" s="953" t="str">
        <f>TEXT('MYP Assumptions'!$I$68,"0.00%")&amp;", projected increase"</f>
        <v>5.00%, projected increase</v>
      </c>
    </row>
    <row r="49" spans="1:29" s="457" customFormat="1" x14ac:dyDescent="0.25">
      <c r="A49" s="455"/>
      <c r="B49" s="2385" t="s">
        <v>88</v>
      </c>
      <c r="C49" s="1656" t="s">
        <v>81</v>
      </c>
      <c r="D49" s="340">
        <v>50.76</v>
      </c>
      <c r="E49" s="899" t="str">
        <f>TEXT('MYP Assumptions'!$D$62,"0.00%")&amp;", SUI rate"</f>
        <v>0.05%, SUI rate</v>
      </c>
      <c r="F49" s="340"/>
      <c r="G49" s="456">
        <f t="shared" si="15"/>
        <v>-0.27107959022852635</v>
      </c>
      <c r="H49" s="340">
        <v>37</v>
      </c>
      <c r="I49" s="899" t="str">
        <f>TEXT('MYP Assumptions'!E62,"0.00%")&amp;", no rate change"</f>
        <v>0.05%, no rate change</v>
      </c>
      <c r="J49" s="455"/>
      <c r="K49" s="456">
        <f t="shared" si="16"/>
        <v>0.13513513513513514</v>
      </c>
      <c r="L49" s="340">
        <v>42</v>
      </c>
      <c r="M49" s="899" t="str">
        <f>TEXT('MYP Assumptions'!F62,"0.00%")&amp;", no rate change"</f>
        <v>0.05%, no rate change</v>
      </c>
      <c r="O49" s="456">
        <f t="shared" si="17"/>
        <v>0</v>
      </c>
      <c r="P49" s="340">
        <f>ROUND((P41+P30)*LEFT(Q49,5),0)</f>
        <v>42</v>
      </c>
      <c r="Q49" s="899" t="str">
        <f>TEXT('MYP Assumptions'!G62,"0.00%")&amp;", no rate change"</f>
        <v>0.05%, no rate change</v>
      </c>
      <c r="R49" s="592"/>
      <c r="S49" s="2238">
        <f t="shared" si="18"/>
        <v>2.3809523809523808E-2</v>
      </c>
      <c r="T49" s="340">
        <f>ROUND((T41+T30)*LEFT(U49,5),0)</f>
        <v>43</v>
      </c>
      <c r="U49" s="953" t="str">
        <f>TEXT('MYP Assumptions'!H62,"0.00%")&amp;", no rate change"</f>
        <v>0.05%, no rate change</v>
      </c>
      <c r="V49" s="952"/>
      <c r="W49" s="2241">
        <f t="shared" si="19"/>
        <v>2.3255813953488372E-2</v>
      </c>
      <c r="X49" s="340">
        <f>ROUND((X41+X30)*LEFT(Y49,5),0)</f>
        <v>44</v>
      </c>
      <c r="Y49" s="953" t="str">
        <f>TEXT('MYP Assumptions'!I62,"0.00%")&amp;", no rate change"</f>
        <v>0.05%, no rate change</v>
      </c>
      <c r="AA49" s="456">
        <f t="shared" si="20"/>
        <v>-1</v>
      </c>
      <c r="AB49" s="340">
        <f>ROUND((AB41+AB30)*LEFT(AC49,5),0)</f>
        <v>0</v>
      </c>
      <c r="AC49" s="953" t="str">
        <f>TEXT('MYP Assumptions'!J62,"0.00%")&amp;", no rate change"</f>
        <v>0.00%, no rate change</v>
      </c>
    </row>
    <row r="50" spans="1:29" s="457" customFormat="1" x14ac:dyDescent="0.25">
      <c r="A50" s="455"/>
      <c r="B50" s="2385" t="s">
        <v>89</v>
      </c>
      <c r="C50" s="1656" t="s">
        <v>82</v>
      </c>
      <c r="D50" s="340">
        <v>1115.97</v>
      </c>
      <c r="E50" s="899" t="str">
        <f>TEXT('MYP Assumptions'!$D$63,"0.00%")&amp;", W/C rate"</f>
        <v>1.10%, W/C rate</v>
      </c>
      <c r="F50" s="340"/>
      <c r="G50" s="456">
        <f t="shared" si="15"/>
        <v>-0.41217057806213431</v>
      </c>
      <c r="H50" s="340">
        <v>656</v>
      </c>
      <c r="I50" s="899" t="str">
        <f>TEXT('MYP Assumptions'!E63,"0.00%")&amp;", no rate change"</f>
        <v>0.80%, no rate change</v>
      </c>
      <c r="J50" s="455"/>
      <c r="K50" s="456">
        <f t="shared" si="16"/>
        <v>1.3719512195121951E-2</v>
      </c>
      <c r="L50" s="340">
        <v>665</v>
      </c>
      <c r="M50" s="899" t="str">
        <f>TEXT('MYP Assumptions'!F63,"0.00%")&amp;", no rate change"</f>
        <v>0.80%, no rate change</v>
      </c>
      <c r="O50" s="456">
        <f t="shared" si="17"/>
        <v>1.9548872180451128E-2</v>
      </c>
      <c r="P50" s="340">
        <f>ROUND((P41+P30)*LEFT(Q50,5),0)</f>
        <v>678</v>
      </c>
      <c r="Q50" s="899" t="str">
        <f>TEXT('MYP Assumptions'!G63,"0.00%")&amp;", no rate change"</f>
        <v>0.80%, no rate change</v>
      </c>
      <c r="R50" s="592"/>
      <c r="S50" s="2238">
        <f t="shared" si="18"/>
        <v>2.0648967551622419E-2</v>
      </c>
      <c r="T50" s="340">
        <f>ROUND((T41+T30)*LEFT(U50,5),0)</f>
        <v>692</v>
      </c>
      <c r="U50" s="953" t="str">
        <f>TEXT('MYP Assumptions'!H63,"0.00%")&amp;", no rate change"</f>
        <v>0.80%, no rate change</v>
      </c>
      <c r="V50" s="952"/>
      <c r="W50" s="2241">
        <f t="shared" si="19"/>
        <v>1.8786127167630059E-2</v>
      </c>
      <c r="X50" s="340">
        <f>ROUND((X41+X30)*LEFT(Y50,5),0)</f>
        <v>705</v>
      </c>
      <c r="Y50" s="953" t="str">
        <f>TEXT('MYP Assumptions'!I63,"0.00%")&amp;", no rate change"</f>
        <v>0.80%, no rate change</v>
      </c>
      <c r="AA50" s="456">
        <f t="shared" si="20"/>
        <v>-1</v>
      </c>
      <c r="AB50" s="340">
        <f>ROUND((AB41+AB30)*LEFT(AC50,5),0)</f>
        <v>0</v>
      </c>
      <c r="AC50" s="953" t="str">
        <f>TEXT('MYP Assumptions'!J63,"0.00%")&amp;", no rate change"</f>
        <v>0.00%, no rate change</v>
      </c>
    </row>
    <row r="51" spans="1:29" s="457" customFormat="1" x14ac:dyDescent="0.25">
      <c r="A51" s="455"/>
      <c r="B51" s="2441" t="s">
        <v>469</v>
      </c>
      <c r="C51" s="2386" t="s">
        <v>470</v>
      </c>
      <c r="D51" s="340">
        <v>0</v>
      </c>
      <c r="E51" s="2386"/>
      <c r="F51" s="340"/>
      <c r="G51" s="456" t="str">
        <f t="shared" ref="G51" si="21">IF(D51=0,"0.00%",(H51-D51)/D51)</f>
        <v>0.00%</v>
      </c>
      <c r="H51" s="340">
        <v>0</v>
      </c>
      <c r="I51" s="899"/>
      <c r="J51" s="455"/>
      <c r="K51" s="456" t="str">
        <f t="shared" ref="K51" si="22">IF(H51=0,"0.00%",(L51-H51)/H51)</f>
        <v>0.00%</v>
      </c>
      <c r="L51" s="340">
        <v>0</v>
      </c>
      <c r="M51" s="899"/>
      <c r="O51" s="456" t="str">
        <f t="shared" ref="O51" si="23">IF(L51=0,"0.00%",(P51-L51)/L51)</f>
        <v>0.00%</v>
      </c>
      <c r="P51" s="340">
        <f>L51</f>
        <v>0</v>
      </c>
      <c r="Q51" s="899"/>
      <c r="R51" s="592"/>
      <c r="S51" s="2238" t="str">
        <f t="shared" ref="S51" si="24">IF(P51=0,"0.00%",(T51-P51)/P51)</f>
        <v>0.00%</v>
      </c>
      <c r="T51" s="340">
        <f>P51</f>
        <v>0</v>
      </c>
      <c r="U51" s="953" t="s">
        <v>165</v>
      </c>
      <c r="V51" s="952"/>
      <c r="W51" s="2241" t="str">
        <f t="shared" ref="W51" si="25">IF(T51=0,"0.00%",(X51-T51)/T51)</f>
        <v>0.00%</v>
      </c>
      <c r="X51" s="340">
        <f>T51</f>
        <v>0</v>
      </c>
      <c r="Y51" s="953" t="s">
        <v>165</v>
      </c>
      <c r="AA51" s="456" t="str">
        <f t="shared" ref="AA51" si="26">IF(X51=0,"0.00%",(AB51-X51)/X51)</f>
        <v>0.00%</v>
      </c>
      <c r="AB51" s="340">
        <f>X51</f>
        <v>0</v>
      </c>
      <c r="AC51" s="953" t="s">
        <v>165</v>
      </c>
    </row>
    <row r="52" spans="1:29" s="457" customFormat="1" x14ac:dyDescent="0.25">
      <c r="A52" s="455"/>
      <c r="B52" s="2441" t="s">
        <v>91</v>
      </c>
      <c r="C52" s="2386" t="s">
        <v>93</v>
      </c>
      <c r="D52" s="340">
        <v>500.94</v>
      </c>
      <c r="E52" s="2386"/>
      <c r="F52" s="340"/>
      <c r="G52" s="456">
        <f t="shared" ref="G52" si="27">IF(D52=0,"0.00%",(H52-D52)/D52)</f>
        <v>-0.1356250249530882</v>
      </c>
      <c r="H52" s="340">
        <v>433</v>
      </c>
      <c r="I52" s="899" t="s">
        <v>165</v>
      </c>
      <c r="J52" s="455"/>
      <c r="K52" s="456">
        <f t="shared" ref="K52" si="28">IF(H52=0,"0.00%",(L52-H52)/H52)</f>
        <v>0</v>
      </c>
      <c r="L52" s="340">
        <v>433</v>
      </c>
      <c r="M52" s="899" t="s">
        <v>165</v>
      </c>
      <c r="O52" s="456">
        <f t="shared" ref="O52" si="29">IF(L52=0,"0.00%",(P52-L52)/L52)</f>
        <v>0</v>
      </c>
      <c r="P52" s="340">
        <f>L52</f>
        <v>433</v>
      </c>
      <c r="Q52" s="899" t="s">
        <v>165</v>
      </c>
      <c r="R52" s="592"/>
      <c r="S52" s="2238">
        <f t="shared" ref="S52" si="30">IF(P52=0,"0.00%",(T52-P52)/P52)</f>
        <v>0</v>
      </c>
      <c r="T52" s="340">
        <f>P52</f>
        <v>433</v>
      </c>
      <c r="U52" s="953" t="s">
        <v>165</v>
      </c>
      <c r="V52" s="952"/>
      <c r="W52" s="2241"/>
      <c r="X52" s="340"/>
      <c r="Y52" s="953"/>
      <c r="AA52" s="456"/>
      <c r="AB52" s="340"/>
      <c r="AC52" s="953"/>
    </row>
    <row r="53" spans="1:29" s="457" customFormat="1" x14ac:dyDescent="0.25">
      <c r="A53" s="459"/>
      <c r="B53" s="2385"/>
      <c r="C53" s="1656"/>
      <c r="D53" s="458">
        <f>SUM(D44:D52)</f>
        <v>28929.57</v>
      </c>
      <c r="E53" s="2386"/>
      <c r="F53" s="340"/>
      <c r="G53" s="456">
        <f t="shared" si="15"/>
        <v>-0.2149554936350592</v>
      </c>
      <c r="H53" s="458">
        <f>SUM(H44:H52)</f>
        <v>22711</v>
      </c>
      <c r="I53" s="2316">
        <f>+H53-D53</f>
        <v>-6218.57</v>
      </c>
      <c r="J53" s="459"/>
      <c r="K53" s="456">
        <f t="shared" si="16"/>
        <v>0.13473647131346045</v>
      </c>
      <c r="L53" s="458">
        <f>SUM(L44:L52)</f>
        <v>25771</v>
      </c>
      <c r="M53" s="2316">
        <f>+L53-H53</f>
        <v>3060</v>
      </c>
      <c r="O53" s="456">
        <f t="shared" si="17"/>
        <v>9.2041441930852508E-2</v>
      </c>
      <c r="P53" s="458">
        <f>SUM(P44:P52)</f>
        <v>28143</v>
      </c>
      <c r="Q53" s="2316">
        <f>+P53-L53</f>
        <v>2372</v>
      </c>
      <c r="R53" s="592"/>
      <c r="S53" s="2238">
        <f t="shared" si="18"/>
        <v>6.0512383185872154E-2</v>
      </c>
      <c r="T53" s="458">
        <f>SUM(T44:T52)</f>
        <v>29846</v>
      </c>
      <c r="U53" s="2344"/>
      <c r="V53" s="952"/>
      <c r="W53" s="2241">
        <f t="shared" si="19"/>
        <v>1.621657843597132E-2</v>
      </c>
      <c r="X53" s="458">
        <f>SUM(X44:X52)</f>
        <v>30330</v>
      </c>
      <c r="Y53" s="2344"/>
      <c r="AA53" s="456" t="e">
        <f t="shared" si="20"/>
        <v>#VALUE!</v>
      </c>
      <c r="AB53" s="458" t="e">
        <f>SUM(AB44:AB52)</f>
        <v>#VALUE!</v>
      </c>
      <c r="AC53" s="2344"/>
    </row>
    <row r="54" spans="1:29" s="457" customFormat="1" x14ac:dyDescent="0.25">
      <c r="A54" s="460"/>
      <c r="B54" s="2385"/>
      <c r="C54" s="1656"/>
      <c r="D54" s="340"/>
      <c r="E54" s="2386"/>
      <c r="F54" s="340"/>
      <c r="G54" s="2338"/>
      <c r="H54" s="340"/>
      <c r="I54" s="897"/>
      <c r="J54" s="455"/>
      <c r="K54" s="1668"/>
      <c r="L54" s="340"/>
      <c r="M54" s="901"/>
      <c r="O54" s="1668"/>
      <c r="P54" s="340"/>
      <c r="Q54" s="901"/>
      <c r="R54" s="592"/>
      <c r="S54" s="2341"/>
      <c r="T54" s="340"/>
      <c r="U54" s="2344"/>
      <c r="V54" s="952"/>
      <c r="W54" s="2343"/>
      <c r="X54" s="340"/>
      <c r="Y54" s="2344"/>
      <c r="AA54" s="1668"/>
      <c r="AB54" s="340"/>
      <c r="AC54" s="2344"/>
    </row>
    <row r="55" spans="1:29" s="457" customFormat="1" x14ac:dyDescent="0.25">
      <c r="A55" s="459"/>
      <c r="B55" s="2337" t="s">
        <v>26</v>
      </c>
      <c r="C55" s="1656"/>
      <c r="D55" s="458">
        <f>SUM(D53,D41,D30)</f>
        <v>139535.47</v>
      </c>
      <c r="E55" s="2386"/>
      <c r="F55" s="340"/>
      <c r="G55" s="456">
        <f>IF(D55=0,"0.00%",(H55-D55)/D55)</f>
        <v>-0.27449271500644246</v>
      </c>
      <c r="H55" s="458">
        <f>SUM(H53,H41,H30)</f>
        <v>101234</v>
      </c>
      <c r="I55" s="2316">
        <f>+H55-D55</f>
        <v>-38301.47</v>
      </c>
      <c r="J55" s="459"/>
      <c r="K55" s="456">
        <f>IF(H55=0,"0.00%",(L55-H55)/H55)</f>
        <v>7.5399569314657133E-2</v>
      </c>
      <c r="L55" s="458">
        <f>SUM(L53,L41,L30)</f>
        <v>108867</v>
      </c>
      <c r="M55" s="2316">
        <f>+L55-H55</f>
        <v>7633</v>
      </c>
      <c r="O55" s="456">
        <f>IF(L55=0,"0.00%",(P55-L55)/L55)</f>
        <v>3.7026830903763311E-2</v>
      </c>
      <c r="P55" s="458">
        <f>SUM(P53,P41,P30)</f>
        <v>112898</v>
      </c>
      <c r="Q55" s="2316">
        <f>+P55-L55</f>
        <v>4031</v>
      </c>
      <c r="R55" s="592"/>
      <c r="S55" s="2238">
        <f>IF(P55=0,"0.00%",(T55-P55)/P55)</f>
        <v>3.0071391875852539E-2</v>
      </c>
      <c r="T55" s="458">
        <f>SUM(T53,T41,T30)</f>
        <v>116293</v>
      </c>
      <c r="U55" s="2344"/>
      <c r="V55" s="952"/>
      <c r="W55" s="2241">
        <f>IF(T55=0,"0.00%",(X55-T55)/T55)</f>
        <v>1.9029520263472436E-2</v>
      </c>
      <c r="X55" s="458">
        <f>SUM(X53,X41,X30)</f>
        <v>118506</v>
      </c>
      <c r="Y55" s="2344"/>
      <c r="AA55" s="456" t="e">
        <f>IF(X55=0,"0.00%",(AB55-X55)/X55)</f>
        <v>#VALUE!</v>
      </c>
      <c r="AB55" s="458" t="e">
        <f>SUM(AB53,AB41,AB30)</f>
        <v>#VALUE!</v>
      </c>
      <c r="AC55" s="2344"/>
    </row>
    <row r="56" spans="1:29" s="457" customFormat="1" x14ac:dyDescent="0.25">
      <c r="A56" s="592"/>
      <c r="B56" s="2345"/>
      <c r="C56" s="1656"/>
      <c r="D56" s="340"/>
      <c r="E56" s="2386"/>
      <c r="F56" s="340"/>
      <c r="G56" s="2338"/>
      <c r="H56" s="340"/>
      <c r="I56" s="897"/>
      <c r="J56" s="455"/>
      <c r="K56" s="1668"/>
      <c r="L56" s="340"/>
      <c r="M56" s="901"/>
      <c r="O56" s="1668"/>
      <c r="P56" s="340"/>
      <c r="Q56" s="901"/>
      <c r="R56" s="592"/>
      <c r="S56" s="2341"/>
      <c r="T56" s="340"/>
      <c r="U56" s="2344"/>
      <c r="V56" s="952"/>
      <c r="W56" s="2343"/>
      <c r="X56" s="340"/>
      <c r="Y56" s="2344"/>
      <c r="AA56" s="1668"/>
      <c r="AB56" s="340"/>
      <c r="AC56" s="2344"/>
    </row>
    <row r="57" spans="1:29" s="457" customFormat="1" x14ac:dyDescent="0.25">
      <c r="A57" s="455"/>
      <c r="B57" s="2345"/>
      <c r="C57" s="1656"/>
      <c r="D57" s="340"/>
      <c r="E57" s="2386"/>
      <c r="F57" s="340"/>
      <c r="G57" s="2338"/>
      <c r="H57" s="340"/>
      <c r="I57" s="897"/>
      <c r="J57" s="455"/>
      <c r="K57" s="1668"/>
      <c r="L57" s="340"/>
      <c r="M57" s="901"/>
      <c r="O57" s="1668"/>
      <c r="P57" s="340"/>
      <c r="Q57" s="901"/>
      <c r="R57" s="592"/>
      <c r="S57" s="2341"/>
      <c r="T57" s="340"/>
      <c r="U57" s="2344"/>
      <c r="V57" s="952"/>
      <c r="W57" s="2343"/>
      <c r="X57" s="340"/>
      <c r="Y57" s="2344"/>
      <c r="AA57" s="1668"/>
      <c r="AB57" s="340"/>
      <c r="AC57" s="2344"/>
    </row>
    <row r="58" spans="1:29" s="457" customFormat="1" x14ac:dyDescent="0.25">
      <c r="A58" s="592"/>
      <c r="B58" s="2440" t="s">
        <v>25</v>
      </c>
      <c r="C58" s="900"/>
      <c r="D58" s="340"/>
      <c r="E58" s="2386"/>
      <c r="F58" s="340"/>
      <c r="G58" s="2338"/>
      <c r="H58" s="340"/>
      <c r="I58" s="897"/>
      <c r="J58" s="455"/>
      <c r="K58" s="1668"/>
      <c r="L58" s="340"/>
      <c r="M58" s="901"/>
      <c r="O58" s="1668"/>
      <c r="P58" s="340"/>
      <c r="Q58" s="901"/>
      <c r="R58" s="592"/>
      <c r="S58" s="2341"/>
      <c r="T58" s="340"/>
      <c r="U58" s="2344"/>
      <c r="V58" s="952"/>
      <c r="W58" s="2343"/>
      <c r="X58" s="340"/>
      <c r="Y58" s="2344"/>
      <c r="AA58" s="1668"/>
      <c r="AB58" s="340"/>
      <c r="AC58" s="2344"/>
    </row>
    <row r="59" spans="1:29" s="457" customFormat="1" hidden="1" x14ac:dyDescent="0.25">
      <c r="A59" s="455"/>
      <c r="B59" s="2385" t="s">
        <v>24</v>
      </c>
      <c r="C59" s="1656" t="s">
        <v>23</v>
      </c>
      <c r="D59" s="340">
        <v>0</v>
      </c>
      <c r="E59" s="2386"/>
      <c r="F59" s="340"/>
      <c r="G59" s="456" t="str">
        <f t="shared" ref="G59:G66" si="31">IF(D59=0,"0.00%",(H59-D59)/D59)</f>
        <v>0.00%</v>
      </c>
      <c r="H59" s="340">
        <f t="shared" ref="H59:H65" si="32">ROUND(D59*(LEFT(I59,5)+1),0)</f>
        <v>0</v>
      </c>
      <c r="I59" s="899" t="str">
        <f>TEXT('MYP Assumptions'!E78,"0.00%")&amp;", CPI"</f>
        <v>3.37%, CPI</v>
      </c>
      <c r="J59" s="455"/>
      <c r="K59" s="456" t="str">
        <f t="shared" ref="K59:K66" si="33">IF(H59=0,"0.00%",(L59-H59)/H59)</f>
        <v>0.00%</v>
      </c>
      <c r="L59" s="340">
        <f>ROUND(H59*(LEFT(M59,5)+1),0)</f>
        <v>0</v>
      </c>
      <c r="M59" s="899" t="str">
        <f>TEXT('MYP Assumptions'!F78,"0.00%")&amp;", CPI"</f>
        <v>3.58%, CPI</v>
      </c>
      <c r="O59" s="456" t="str">
        <f t="shared" ref="O59:O66" si="34">IF(L59=0,"0.00%",(P59-L59)/L59)</f>
        <v>0.00%</v>
      </c>
      <c r="P59" s="340">
        <f>ROUND(L59*(LEFT(Q59,5)+1),0)</f>
        <v>0</v>
      </c>
      <c r="Q59" s="899" t="str">
        <f>TEXT('MYP Assumptions'!G78,"0.00%")&amp;", CPI"</f>
        <v>3.36%, CPI</v>
      </c>
      <c r="R59" s="592"/>
      <c r="S59" s="2238" t="str">
        <f t="shared" ref="S59:S66" si="35">IF(P59=0,"0.00%",(T59-P59)/P59)</f>
        <v>0.00%</v>
      </c>
      <c r="T59" s="340">
        <f>ROUND(P59*(LEFT(U59,5)+1),0)</f>
        <v>0</v>
      </c>
      <c r="U59" s="953" t="str">
        <f>TEXT('MYP Assumptions'!H78,"0.00%")&amp;", CPI"</f>
        <v>3.23%, CPI</v>
      </c>
      <c r="V59" s="952"/>
      <c r="W59" s="2241" t="str">
        <f t="shared" ref="W59:W66" si="36">IF(T59=0,"0.00%",(X59-T59)/T59)</f>
        <v>0.00%</v>
      </c>
      <c r="X59" s="340">
        <f>ROUND(T59*(LEFT(Y59,5)+1),0)</f>
        <v>0</v>
      </c>
      <c r="Y59" s="953" t="str">
        <f>TEXT('MYP Assumptions'!I78,"0.00%")&amp;", CPI"</f>
        <v>2.73%, CPI</v>
      </c>
      <c r="AA59" s="456" t="str">
        <f t="shared" ref="AA59:AA66" si="37">IF(X59=0,"0.00%",(AB59-X59)/X59)</f>
        <v>0.00%</v>
      </c>
      <c r="AB59" s="340">
        <f>ROUND(X59*(LEFT(AC59,5)+1),0)</f>
        <v>0</v>
      </c>
      <c r="AC59" s="953" t="str">
        <f>TEXT('MYP Assumptions'!J78,"0.00%")&amp;", CPI"</f>
        <v>2.73%, CPI</v>
      </c>
    </row>
    <row r="60" spans="1:29" s="457" customFormat="1" hidden="1" x14ac:dyDescent="0.25">
      <c r="A60" s="455"/>
      <c r="B60" s="2385" t="s">
        <v>94</v>
      </c>
      <c r="C60" s="1656" t="s">
        <v>96</v>
      </c>
      <c r="D60" s="340">
        <v>0</v>
      </c>
      <c r="E60" s="2386"/>
      <c r="F60" s="340"/>
      <c r="G60" s="456" t="str">
        <f t="shared" si="31"/>
        <v>0.00%</v>
      </c>
      <c r="H60" s="340">
        <f t="shared" si="32"/>
        <v>0</v>
      </c>
      <c r="I60" s="899" t="str">
        <f>TEXT('MYP Assumptions'!E78,"0.00%")&amp;", CPI"</f>
        <v>3.37%, CPI</v>
      </c>
      <c r="J60" s="455"/>
      <c r="K60" s="456" t="str">
        <f t="shared" si="33"/>
        <v>0.00%</v>
      </c>
      <c r="L60" s="340">
        <f t="shared" ref="L60:L65" si="38">ROUND(H60*(LEFT(M60,5)+1),0)</f>
        <v>0</v>
      </c>
      <c r="M60" s="899" t="str">
        <f>TEXT('MYP Assumptions'!F78,"0.00%")&amp;", CPI"</f>
        <v>3.58%, CPI</v>
      </c>
      <c r="O60" s="456" t="str">
        <f t="shared" si="34"/>
        <v>0.00%</v>
      </c>
      <c r="P60" s="340">
        <f t="shared" ref="P60:P65" si="39">ROUND(L60*(LEFT(Q60,5)+1),0)</f>
        <v>0</v>
      </c>
      <c r="Q60" s="899" t="str">
        <f>TEXT('MYP Assumptions'!G78,"0.00%")&amp;", CPI"</f>
        <v>3.36%, CPI</v>
      </c>
      <c r="R60" s="592"/>
      <c r="S60" s="2238" t="str">
        <f t="shared" si="35"/>
        <v>0.00%</v>
      </c>
      <c r="T60" s="340">
        <f t="shared" ref="T60:T65" si="40">ROUND(P60*(LEFT(U60,5)+1),0)</f>
        <v>0</v>
      </c>
      <c r="U60" s="953" t="str">
        <f>TEXT('MYP Assumptions'!H78,"0.00%")&amp;", CPI"</f>
        <v>3.23%, CPI</v>
      </c>
      <c r="V60" s="952"/>
      <c r="W60" s="2241" t="str">
        <f t="shared" si="36"/>
        <v>0.00%</v>
      </c>
      <c r="X60" s="340">
        <f t="shared" ref="X60:X65" si="41">ROUND(T60*(LEFT(Y60,5)+1),0)</f>
        <v>0</v>
      </c>
      <c r="Y60" s="953" t="str">
        <f>TEXT('MYP Assumptions'!I78,"0.00%")&amp;", CPI"</f>
        <v>2.73%, CPI</v>
      </c>
      <c r="AA60" s="456" t="str">
        <f t="shared" si="37"/>
        <v>0.00%</v>
      </c>
      <c r="AB60" s="340">
        <f t="shared" ref="AB60:AB65" si="42">ROUND(X60*(LEFT(AC60,5)+1),0)</f>
        <v>0</v>
      </c>
      <c r="AC60" s="953" t="str">
        <f>TEXT('MYP Assumptions'!J78,"0.00%")&amp;", CPI"</f>
        <v>2.73%, CPI</v>
      </c>
    </row>
    <row r="61" spans="1:29" s="457" customFormat="1" hidden="1" x14ac:dyDescent="0.25">
      <c r="A61" s="455"/>
      <c r="B61" s="2385" t="s">
        <v>95</v>
      </c>
      <c r="C61" s="1656" t="s">
        <v>97</v>
      </c>
      <c r="D61" s="340">
        <v>0</v>
      </c>
      <c r="E61" s="2386"/>
      <c r="F61" s="340"/>
      <c r="G61" s="456" t="str">
        <f t="shared" si="31"/>
        <v>0.00%</v>
      </c>
      <c r="H61" s="340">
        <f t="shared" si="32"/>
        <v>0</v>
      </c>
      <c r="I61" s="899" t="str">
        <f>TEXT('MYP Assumptions'!E78,"0.00%")&amp;", CPI"</f>
        <v>3.37%, CPI</v>
      </c>
      <c r="J61" s="455"/>
      <c r="K61" s="456" t="str">
        <f t="shared" si="33"/>
        <v>0.00%</v>
      </c>
      <c r="L61" s="340">
        <f t="shared" si="38"/>
        <v>0</v>
      </c>
      <c r="M61" s="899" t="str">
        <f>TEXT('MYP Assumptions'!F78,"0.00%")&amp;", CPI"</f>
        <v>3.58%, CPI</v>
      </c>
      <c r="O61" s="456" t="str">
        <f t="shared" si="34"/>
        <v>0.00%</v>
      </c>
      <c r="P61" s="340">
        <f t="shared" si="39"/>
        <v>0</v>
      </c>
      <c r="Q61" s="899" t="str">
        <f>TEXT('MYP Assumptions'!G78,"0.00%")&amp;", CPI"</f>
        <v>3.36%, CPI</v>
      </c>
      <c r="R61" s="592"/>
      <c r="S61" s="2238" t="str">
        <f t="shared" si="35"/>
        <v>0.00%</v>
      </c>
      <c r="T61" s="340">
        <f t="shared" si="40"/>
        <v>0</v>
      </c>
      <c r="U61" s="953" t="str">
        <f>TEXT('MYP Assumptions'!H78,"0.00%")&amp;", CPI"</f>
        <v>3.23%, CPI</v>
      </c>
      <c r="V61" s="952"/>
      <c r="W61" s="2241" t="str">
        <f t="shared" si="36"/>
        <v>0.00%</v>
      </c>
      <c r="X61" s="340">
        <f t="shared" si="41"/>
        <v>0</v>
      </c>
      <c r="Y61" s="953" t="str">
        <f>TEXT('MYP Assumptions'!I78,"0.00%")&amp;", CPI"</f>
        <v>2.73%, CPI</v>
      </c>
      <c r="AA61" s="456" t="str">
        <f t="shared" si="37"/>
        <v>0.00%</v>
      </c>
      <c r="AB61" s="340">
        <f t="shared" si="42"/>
        <v>0</v>
      </c>
      <c r="AC61" s="953" t="str">
        <f>TEXT('MYP Assumptions'!J78,"0.00%")&amp;", CPI"</f>
        <v>2.73%, CPI</v>
      </c>
    </row>
    <row r="62" spans="1:29" s="457" customFormat="1" x14ac:dyDescent="0.25">
      <c r="A62" s="455"/>
      <c r="B62" s="2385" t="s">
        <v>22</v>
      </c>
      <c r="C62" s="1656" t="s">
        <v>21</v>
      </c>
      <c r="D62" s="340">
        <v>410.9</v>
      </c>
      <c r="E62" s="2386"/>
      <c r="F62" s="340"/>
      <c r="G62" s="456">
        <f t="shared" si="31"/>
        <v>-1</v>
      </c>
      <c r="H62" s="340">
        <v>0</v>
      </c>
      <c r="I62" s="899" t="s">
        <v>218</v>
      </c>
      <c r="J62" s="455"/>
      <c r="K62" s="456" t="str">
        <f t="shared" si="33"/>
        <v>0.00%</v>
      </c>
      <c r="L62" s="340">
        <f t="shared" si="38"/>
        <v>0</v>
      </c>
      <c r="M62" s="899" t="str">
        <f>TEXT('MYP Assumptions'!F78,"0.00%")&amp;", CPI"</f>
        <v>3.58%, CPI</v>
      </c>
      <c r="O62" s="456" t="str">
        <f t="shared" si="34"/>
        <v>0.00%</v>
      </c>
      <c r="P62" s="340">
        <f t="shared" si="39"/>
        <v>0</v>
      </c>
      <c r="Q62" s="899" t="str">
        <f>TEXT('MYP Assumptions'!G78,"0.00%")&amp;", CPI"</f>
        <v>3.36%, CPI</v>
      </c>
      <c r="R62" s="592"/>
      <c r="S62" s="2238" t="str">
        <f t="shared" si="35"/>
        <v>0.00%</v>
      </c>
      <c r="T62" s="340">
        <f t="shared" si="40"/>
        <v>0</v>
      </c>
      <c r="U62" s="953" t="str">
        <f>TEXT('MYP Assumptions'!H78,"0.00%")&amp;", CPI"</f>
        <v>3.23%, CPI</v>
      </c>
      <c r="V62" s="952"/>
      <c r="W62" s="2241" t="str">
        <f t="shared" si="36"/>
        <v>0.00%</v>
      </c>
      <c r="X62" s="340">
        <f t="shared" si="41"/>
        <v>0</v>
      </c>
      <c r="Y62" s="953" t="str">
        <f>TEXT('MYP Assumptions'!I78,"0.00%")&amp;", CPI"</f>
        <v>2.73%, CPI</v>
      </c>
      <c r="AA62" s="456" t="str">
        <f t="shared" si="37"/>
        <v>0.00%</v>
      </c>
      <c r="AB62" s="340">
        <f t="shared" si="42"/>
        <v>0</v>
      </c>
      <c r="AC62" s="953" t="str">
        <f>TEXT('MYP Assumptions'!J78,"0.00%")&amp;", CPI"</f>
        <v>2.73%, CPI</v>
      </c>
    </row>
    <row r="63" spans="1:29" s="457" customFormat="1" hidden="1" x14ac:dyDescent="0.25">
      <c r="A63" s="455"/>
      <c r="B63" s="2385" t="s">
        <v>20</v>
      </c>
      <c r="C63" s="1656" t="s">
        <v>19</v>
      </c>
      <c r="D63" s="340">
        <v>0</v>
      </c>
      <c r="E63" s="2386"/>
      <c r="F63" s="340"/>
      <c r="G63" s="456" t="str">
        <f t="shared" si="31"/>
        <v>0.00%</v>
      </c>
      <c r="H63" s="340">
        <f t="shared" si="32"/>
        <v>0</v>
      </c>
      <c r="I63" s="899" t="str">
        <f>TEXT('MYP Assumptions'!E78,"0.00%")&amp;", CPI"</f>
        <v>3.37%, CPI</v>
      </c>
      <c r="J63" s="455"/>
      <c r="K63" s="456" t="str">
        <f t="shared" si="33"/>
        <v>0.00%</v>
      </c>
      <c r="L63" s="340">
        <f t="shared" si="38"/>
        <v>0</v>
      </c>
      <c r="M63" s="899" t="str">
        <f>TEXT('MYP Assumptions'!F78,"0.00%")&amp;", CPI"</f>
        <v>3.58%, CPI</v>
      </c>
      <c r="O63" s="456" t="str">
        <f t="shared" si="34"/>
        <v>0.00%</v>
      </c>
      <c r="P63" s="340">
        <f t="shared" si="39"/>
        <v>0</v>
      </c>
      <c r="Q63" s="899" t="str">
        <f>TEXT('MYP Assumptions'!G78,"0.00%")&amp;", CPI"</f>
        <v>3.36%, CPI</v>
      </c>
      <c r="R63" s="592"/>
      <c r="S63" s="2238" t="str">
        <f t="shared" si="35"/>
        <v>0.00%</v>
      </c>
      <c r="T63" s="340">
        <f t="shared" si="40"/>
        <v>0</v>
      </c>
      <c r="U63" s="953" t="str">
        <f>TEXT('MYP Assumptions'!H78,"0.00%")&amp;", CPI"</f>
        <v>3.23%, CPI</v>
      </c>
      <c r="V63" s="952"/>
      <c r="W63" s="2241" t="str">
        <f t="shared" si="36"/>
        <v>0.00%</v>
      </c>
      <c r="X63" s="340">
        <f t="shared" si="41"/>
        <v>0</v>
      </c>
      <c r="Y63" s="953" t="str">
        <f>TEXT('MYP Assumptions'!I78,"0.00%")&amp;", CPI"</f>
        <v>2.73%, CPI</v>
      </c>
      <c r="AA63" s="456" t="str">
        <f t="shared" si="37"/>
        <v>0.00%</v>
      </c>
      <c r="AB63" s="340">
        <f t="shared" si="42"/>
        <v>0</v>
      </c>
      <c r="AC63" s="953" t="str">
        <f>TEXT('MYP Assumptions'!J78,"0.00%")&amp;", CPI"</f>
        <v>2.73%, CPI</v>
      </c>
    </row>
    <row r="64" spans="1:29" s="457" customFormat="1" hidden="1" x14ac:dyDescent="0.25">
      <c r="A64" s="455"/>
      <c r="B64" s="2385" t="s">
        <v>18</v>
      </c>
      <c r="C64" s="1656" t="s">
        <v>17</v>
      </c>
      <c r="D64" s="340">
        <v>0</v>
      </c>
      <c r="E64" s="2386"/>
      <c r="F64" s="340"/>
      <c r="G64" s="456" t="str">
        <f t="shared" si="31"/>
        <v>0.00%</v>
      </c>
      <c r="H64" s="340">
        <f t="shared" si="32"/>
        <v>0</v>
      </c>
      <c r="I64" s="899" t="str">
        <f>TEXT('MYP Assumptions'!E78,"0.00%")&amp;", CPI"</f>
        <v>3.37%, CPI</v>
      </c>
      <c r="J64" s="455"/>
      <c r="K64" s="456" t="str">
        <f t="shared" si="33"/>
        <v>0.00%</v>
      </c>
      <c r="L64" s="340">
        <f t="shared" si="38"/>
        <v>0</v>
      </c>
      <c r="M64" s="899" t="str">
        <f>TEXT('MYP Assumptions'!F78,"0.00%")&amp;", CPI"</f>
        <v>3.58%, CPI</v>
      </c>
      <c r="O64" s="456" t="str">
        <f t="shared" si="34"/>
        <v>0.00%</v>
      </c>
      <c r="P64" s="340">
        <f t="shared" si="39"/>
        <v>0</v>
      </c>
      <c r="Q64" s="899" t="str">
        <f>TEXT('MYP Assumptions'!G78,"0.00%")&amp;", CPI"</f>
        <v>3.36%, CPI</v>
      </c>
      <c r="R64" s="592"/>
      <c r="S64" s="2238" t="str">
        <f t="shared" si="35"/>
        <v>0.00%</v>
      </c>
      <c r="T64" s="340">
        <f t="shared" si="40"/>
        <v>0</v>
      </c>
      <c r="U64" s="953" t="str">
        <f>TEXT('MYP Assumptions'!H78,"0.00%")&amp;", CPI"</f>
        <v>3.23%, CPI</v>
      </c>
      <c r="V64" s="952"/>
      <c r="W64" s="2241" t="str">
        <f t="shared" si="36"/>
        <v>0.00%</v>
      </c>
      <c r="X64" s="340">
        <f t="shared" si="41"/>
        <v>0</v>
      </c>
      <c r="Y64" s="953" t="str">
        <f>TEXT('MYP Assumptions'!I78,"0.00%")&amp;", CPI"</f>
        <v>2.73%, CPI</v>
      </c>
      <c r="AA64" s="456" t="str">
        <f t="shared" si="37"/>
        <v>0.00%</v>
      </c>
      <c r="AB64" s="340">
        <f t="shared" si="42"/>
        <v>0</v>
      </c>
      <c r="AC64" s="953" t="str">
        <f>TEXT('MYP Assumptions'!J78,"0.00%")&amp;", CPI"</f>
        <v>2.73%, CPI</v>
      </c>
    </row>
    <row r="65" spans="1:29" s="457" customFormat="1" hidden="1" x14ac:dyDescent="0.25">
      <c r="A65" s="455"/>
      <c r="B65" s="2385">
        <v>4000</v>
      </c>
      <c r="C65" s="2348">
        <v>0</v>
      </c>
      <c r="D65" s="340">
        <v>0</v>
      </c>
      <c r="E65" s="2386"/>
      <c r="F65" s="340"/>
      <c r="G65" s="456" t="str">
        <f t="shared" si="31"/>
        <v>0.00%</v>
      </c>
      <c r="H65" s="340">
        <f t="shared" si="32"/>
        <v>0</v>
      </c>
      <c r="I65" s="899" t="str">
        <f>TEXT('MYP Assumptions'!E78,"0.00%")&amp;", CPI"</f>
        <v>3.37%, CPI</v>
      </c>
      <c r="J65" s="455"/>
      <c r="K65" s="456" t="str">
        <f t="shared" si="33"/>
        <v>0.00%</v>
      </c>
      <c r="L65" s="340">
        <f t="shared" si="38"/>
        <v>0</v>
      </c>
      <c r="M65" s="899" t="str">
        <f>TEXT('MYP Assumptions'!F78,"0.00%")&amp;", CPI"</f>
        <v>3.58%, CPI</v>
      </c>
      <c r="O65" s="456" t="str">
        <f t="shared" si="34"/>
        <v>0.00%</v>
      </c>
      <c r="P65" s="340">
        <f t="shared" si="39"/>
        <v>0</v>
      </c>
      <c r="Q65" s="899" t="str">
        <f>TEXT('MYP Assumptions'!G78,"0.00%")&amp;", CPI"</f>
        <v>3.36%, CPI</v>
      </c>
      <c r="R65" s="592"/>
      <c r="S65" s="2238" t="str">
        <f t="shared" si="35"/>
        <v>0.00%</v>
      </c>
      <c r="T65" s="340">
        <f t="shared" si="40"/>
        <v>0</v>
      </c>
      <c r="U65" s="953" t="str">
        <f>TEXT('MYP Assumptions'!H78,"0.00%")&amp;", CPI"</f>
        <v>3.23%, CPI</v>
      </c>
      <c r="V65" s="952"/>
      <c r="W65" s="2241" t="str">
        <f t="shared" si="36"/>
        <v>0.00%</v>
      </c>
      <c r="X65" s="340">
        <f t="shared" si="41"/>
        <v>0</v>
      </c>
      <c r="Y65" s="953" t="str">
        <f>TEXT('MYP Assumptions'!I78,"0.00%")&amp;", CPI"</f>
        <v>2.73%, CPI</v>
      </c>
      <c r="AA65" s="456" t="str">
        <f t="shared" si="37"/>
        <v>0.00%</v>
      </c>
      <c r="AB65" s="340">
        <f t="shared" si="42"/>
        <v>0</v>
      </c>
      <c r="AC65" s="953" t="str">
        <f>TEXT('MYP Assumptions'!J78,"0.00%")&amp;", CPI"</f>
        <v>2.73%, CPI</v>
      </c>
    </row>
    <row r="66" spans="1:29" s="457" customFormat="1" x14ac:dyDescent="0.25">
      <c r="A66" s="459"/>
      <c r="B66" s="2215"/>
      <c r="C66" s="1656"/>
      <c r="D66" s="458">
        <f>SUM(D59:D65)</f>
        <v>410.9</v>
      </c>
      <c r="E66" s="2386"/>
      <c r="F66" s="340"/>
      <c r="G66" s="456">
        <f t="shared" si="31"/>
        <v>-1</v>
      </c>
      <c r="H66" s="458">
        <f>SUM(H59:H65)</f>
        <v>0</v>
      </c>
      <c r="I66" s="2316">
        <f>+H66-D66</f>
        <v>-410.9</v>
      </c>
      <c r="J66" s="459"/>
      <c r="K66" s="456" t="str">
        <f t="shared" si="33"/>
        <v>0.00%</v>
      </c>
      <c r="L66" s="458">
        <f>SUM(L59:L65)</f>
        <v>0</v>
      </c>
      <c r="M66" s="2316">
        <f>+L66-H66</f>
        <v>0</v>
      </c>
      <c r="O66" s="456" t="str">
        <f t="shared" si="34"/>
        <v>0.00%</v>
      </c>
      <c r="P66" s="458">
        <f>SUM(P59:P65)</f>
        <v>0</v>
      </c>
      <c r="Q66" s="2316">
        <f>+P66-L66</f>
        <v>0</v>
      </c>
      <c r="R66" s="592"/>
      <c r="S66" s="2238" t="str">
        <f t="shared" si="35"/>
        <v>0.00%</v>
      </c>
      <c r="T66" s="458">
        <f>SUM(T59:T65)</f>
        <v>0</v>
      </c>
      <c r="U66" s="2344"/>
      <c r="V66" s="952"/>
      <c r="W66" s="2241" t="str">
        <f t="shared" si="36"/>
        <v>0.00%</v>
      </c>
      <c r="X66" s="458">
        <f>SUM(X59:X65)</f>
        <v>0</v>
      </c>
      <c r="Y66" s="2344"/>
      <c r="AA66" s="456" t="str">
        <f t="shared" si="37"/>
        <v>0.00%</v>
      </c>
      <c r="AB66" s="458">
        <f>SUM(AB59:AB65)</f>
        <v>0</v>
      </c>
      <c r="AC66" s="2344"/>
    </row>
    <row r="67" spans="1:29" s="457" customFormat="1" x14ac:dyDescent="0.25">
      <c r="A67" s="455"/>
      <c r="B67" s="2345"/>
      <c r="C67" s="1656"/>
      <c r="D67" s="340"/>
      <c r="E67" s="2386"/>
      <c r="F67" s="340"/>
      <c r="G67" s="2338"/>
      <c r="H67" s="340"/>
      <c r="I67" s="897"/>
      <c r="J67" s="455"/>
      <c r="K67" s="1668"/>
      <c r="L67" s="340"/>
      <c r="M67" s="901"/>
      <c r="O67" s="1668"/>
      <c r="P67" s="340"/>
      <c r="Q67" s="901"/>
      <c r="R67" s="592"/>
      <c r="S67" s="2341"/>
      <c r="T67" s="340"/>
      <c r="U67" s="2344"/>
      <c r="V67" s="952"/>
      <c r="W67" s="2343"/>
      <c r="X67" s="340"/>
      <c r="Y67" s="2344"/>
      <c r="AA67" s="1668"/>
      <c r="AB67" s="340"/>
      <c r="AC67" s="2344"/>
    </row>
    <row r="68" spans="1:29" s="461" customFormat="1" x14ac:dyDescent="0.25">
      <c r="B68" s="2337" t="s">
        <v>16</v>
      </c>
      <c r="C68" s="900"/>
      <c r="D68" s="460"/>
      <c r="E68" s="868"/>
      <c r="F68" s="460"/>
      <c r="G68" s="2389"/>
      <c r="H68" s="460"/>
      <c r="I68" s="900"/>
      <c r="K68" s="1669"/>
      <c r="L68" s="460"/>
      <c r="M68" s="902"/>
      <c r="O68" s="1669"/>
      <c r="P68" s="460"/>
      <c r="Q68" s="902"/>
      <c r="S68" s="1669"/>
      <c r="U68" s="2392"/>
      <c r="V68" s="2381"/>
      <c r="W68" s="2382"/>
      <c r="Y68" s="2392"/>
      <c r="AA68" s="1669"/>
      <c r="AC68" s="2392"/>
    </row>
    <row r="69" spans="1:29" s="457" customFormat="1" x14ac:dyDescent="0.25">
      <c r="A69" s="455"/>
      <c r="B69" s="2385">
        <v>5213</v>
      </c>
      <c r="C69" s="1656" t="s">
        <v>4</v>
      </c>
      <c r="D69" s="340">
        <v>103.32</v>
      </c>
      <c r="E69" s="2375"/>
      <c r="F69" s="340"/>
      <c r="G69" s="456">
        <f t="shared" ref="G69:G74" si="43">IF(D69=0,"0.00%",(H69-D69)/D69)</f>
        <v>-1</v>
      </c>
      <c r="H69" s="340"/>
      <c r="I69" s="899"/>
      <c r="J69" s="455"/>
      <c r="K69" s="456" t="str">
        <f t="shared" ref="K69:K82" si="44">IF(H69=0,"0.00%",(L69-H69)/H69)</f>
        <v>0.00%</v>
      </c>
      <c r="L69" s="340">
        <v>1125</v>
      </c>
      <c r="M69" s="899"/>
      <c r="O69" s="456">
        <f t="shared" ref="O69:O82" si="45">IF(L69=0,"0.00%",(P69-L69)/L69)</f>
        <v>-1</v>
      </c>
      <c r="P69" s="340">
        <v>0</v>
      </c>
      <c r="Q69" s="899"/>
      <c r="R69" s="592"/>
      <c r="S69" s="2238" t="str">
        <f t="shared" ref="S69:S82" si="46">IF(P69=0,"0.00%",(T69-P69)/P69)</f>
        <v>0.00%</v>
      </c>
      <c r="T69" s="340">
        <v>0</v>
      </c>
      <c r="U69" s="899"/>
      <c r="V69" s="952"/>
      <c r="W69" s="2241" t="str">
        <f t="shared" ref="W69:W82" si="47">IF(T69=0,"0.00%",(X69-T69)/T69)</f>
        <v>0.00%</v>
      </c>
      <c r="X69" s="340">
        <f>ROUND(T69*(LEFT(Y69,5)+1),0)</f>
        <v>0</v>
      </c>
      <c r="Y69" s="953" t="str">
        <f>TEXT('MYP Assumptions'!I78,"0.00%")&amp;", CPI"</f>
        <v>2.73%, CPI</v>
      </c>
      <c r="AA69" s="456" t="str">
        <f t="shared" ref="AA69:AA82" si="48">IF(X69=0,"0.00%",(AB69-X69)/X69)</f>
        <v>0.00%</v>
      </c>
      <c r="AB69" s="340">
        <f>ROUND(X69*(LEFT(AC69,5)+1),0)</f>
        <v>0</v>
      </c>
      <c r="AC69" s="953" t="str">
        <f>TEXT('MYP Assumptions'!J78,"0.00%")&amp;", CPI"</f>
        <v>2.73%, CPI</v>
      </c>
    </row>
    <row r="70" spans="1:29" s="457" customFormat="1" hidden="1" x14ac:dyDescent="0.25">
      <c r="A70" s="455"/>
      <c r="B70" s="2385" t="s">
        <v>13</v>
      </c>
      <c r="C70" s="1656" t="s">
        <v>12</v>
      </c>
      <c r="D70" s="340">
        <v>0</v>
      </c>
      <c r="E70" s="2375"/>
      <c r="F70" s="340"/>
      <c r="G70" s="456" t="str">
        <f t="shared" si="43"/>
        <v>0.00%</v>
      </c>
      <c r="H70" s="340"/>
      <c r="I70" s="899"/>
      <c r="J70" s="455"/>
      <c r="K70" s="456" t="str">
        <f t="shared" si="44"/>
        <v>0.00%</v>
      </c>
      <c r="L70" s="340">
        <v>0</v>
      </c>
      <c r="M70" s="899"/>
      <c r="O70" s="456" t="str">
        <f t="shared" si="45"/>
        <v>0.00%</v>
      </c>
      <c r="P70" s="340">
        <f t="shared" ref="P70:P78" si="49">+L70</f>
        <v>0</v>
      </c>
      <c r="Q70" s="899"/>
      <c r="R70" s="592"/>
      <c r="S70" s="2238" t="str">
        <f t="shared" si="46"/>
        <v>0.00%</v>
      </c>
      <c r="T70" s="340">
        <f t="shared" ref="T70:T74" si="50">+P70</f>
        <v>0</v>
      </c>
      <c r="U70" s="899"/>
      <c r="V70" s="952"/>
      <c r="W70" s="2241" t="str">
        <f t="shared" si="47"/>
        <v>0.00%</v>
      </c>
      <c r="X70" s="340">
        <f t="shared" ref="X70:X81" si="51">ROUND(T70*(LEFT(Y70,5)+1),0)</f>
        <v>0</v>
      </c>
      <c r="Y70" s="953" t="str">
        <f>TEXT('MYP Assumptions'!I78,"0.00%")&amp;", CPI"</f>
        <v>2.73%, CPI</v>
      </c>
      <c r="AA70" s="456" t="str">
        <f t="shared" si="48"/>
        <v>0.00%</v>
      </c>
      <c r="AB70" s="340">
        <f t="shared" ref="AB70:AB81" si="52">ROUND(X70*(LEFT(AC70,5)+1),0)</f>
        <v>0</v>
      </c>
      <c r="AC70" s="953" t="str">
        <f>TEXT('MYP Assumptions'!J78,"0.00%")&amp;", CPI"</f>
        <v>2.73%, CPI</v>
      </c>
    </row>
    <row r="71" spans="1:29" s="457" customFormat="1" hidden="1" x14ac:dyDescent="0.25">
      <c r="A71" s="455"/>
      <c r="B71" s="2385" t="s">
        <v>128</v>
      </c>
      <c r="C71" s="1656" t="s">
        <v>129</v>
      </c>
      <c r="D71" s="340">
        <v>0</v>
      </c>
      <c r="E71" s="2375" t="s">
        <v>729</v>
      </c>
      <c r="F71" s="340"/>
      <c r="G71" s="456" t="str">
        <f t="shared" si="43"/>
        <v>0.00%</v>
      </c>
      <c r="H71" s="340"/>
      <c r="I71" s="899"/>
      <c r="J71" s="455"/>
      <c r="K71" s="456" t="str">
        <f t="shared" si="44"/>
        <v>0.00%</v>
      </c>
      <c r="L71" s="340">
        <v>0</v>
      </c>
      <c r="M71" s="899"/>
      <c r="O71" s="456" t="str">
        <f t="shared" si="45"/>
        <v>0.00%</v>
      </c>
      <c r="P71" s="340">
        <f t="shared" si="49"/>
        <v>0</v>
      </c>
      <c r="Q71" s="899"/>
      <c r="R71" s="592"/>
      <c r="S71" s="2238" t="str">
        <f t="shared" si="46"/>
        <v>0.00%</v>
      </c>
      <c r="T71" s="340">
        <f t="shared" si="50"/>
        <v>0</v>
      </c>
      <c r="U71" s="899"/>
      <c r="V71" s="952"/>
      <c r="W71" s="2241" t="str">
        <f t="shared" si="47"/>
        <v>0.00%</v>
      </c>
      <c r="X71" s="340">
        <f t="shared" si="51"/>
        <v>0</v>
      </c>
      <c r="Y71" s="953" t="str">
        <f>TEXT('MYP Assumptions'!I78,"0.00%")&amp;", CPI"</f>
        <v>2.73%, CPI</v>
      </c>
      <c r="AA71" s="456" t="str">
        <f t="shared" si="48"/>
        <v>0.00%</v>
      </c>
      <c r="AB71" s="340">
        <f t="shared" si="52"/>
        <v>0</v>
      </c>
      <c r="AC71" s="953" t="str">
        <f>TEXT('MYP Assumptions'!J78,"0.00%")&amp;", CPI"</f>
        <v>2.73%, CPI</v>
      </c>
    </row>
    <row r="72" spans="1:29" s="457" customFormat="1" hidden="1" x14ac:dyDescent="0.25">
      <c r="A72" s="455"/>
      <c r="B72" s="2385" t="s">
        <v>11</v>
      </c>
      <c r="C72" s="1656" t="s">
        <v>10</v>
      </c>
      <c r="D72" s="340">
        <v>0</v>
      </c>
      <c r="E72" s="2375"/>
      <c r="F72" s="340"/>
      <c r="G72" s="456" t="str">
        <f t="shared" si="43"/>
        <v>0.00%</v>
      </c>
      <c r="H72" s="340"/>
      <c r="I72" s="899"/>
      <c r="J72" s="455"/>
      <c r="K72" s="456" t="str">
        <f t="shared" si="44"/>
        <v>0.00%</v>
      </c>
      <c r="L72" s="340">
        <v>0</v>
      </c>
      <c r="M72" s="899"/>
      <c r="O72" s="456" t="str">
        <f t="shared" si="45"/>
        <v>0.00%</v>
      </c>
      <c r="P72" s="340">
        <f t="shared" si="49"/>
        <v>0</v>
      </c>
      <c r="Q72" s="899"/>
      <c r="R72" s="592"/>
      <c r="S72" s="2238" t="str">
        <f t="shared" si="46"/>
        <v>0.00%</v>
      </c>
      <c r="T72" s="340">
        <f t="shared" si="50"/>
        <v>0</v>
      </c>
      <c r="U72" s="899"/>
      <c r="V72" s="952"/>
      <c r="W72" s="2241" t="str">
        <f t="shared" si="47"/>
        <v>0.00%</v>
      </c>
      <c r="X72" s="340">
        <f t="shared" si="51"/>
        <v>0</v>
      </c>
      <c r="Y72" s="953" t="str">
        <f>TEXT('MYP Assumptions'!I78,"0.00%")&amp;", CPI"</f>
        <v>2.73%, CPI</v>
      </c>
      <c r="AA72" s="456" t="str">
        <f t="shared" si="48"/>
        <v>0.00%</v>
      </c>
      <c r="AB72" s="340">
        <f t="shared" si="52"/>
        <v>0</v>
      </c>
      <c r="AC72" s="953" t="str">
        <f>TEXT('MYP Assumptions'!J78,"0.00%")&amp;", CPI"</f>
        <v>2.73%, CPI</v>
      </c>
    </row>
    <row r="73" spans="1:29" s="457" customFormat="1" hidden="1" x14ac:dyDescent="0.25">
      <c r="A73" s="455"/>
      <c r="B73" s="2385" t="s">
        <v>120</v>
      </c>
      <c r="C73" s="1656" t="s">
        <v>121</v>
      </c>
      <c r="D73" s="340">
        <v>0</v>
      </c>
      <c r="E73" s="2375"/>
      <c r="F73" s="340"/>
      <c r="G73" s="456" t="str">
        <f t="shared" si="43"/>
        <v>0.00%</v>
      </c>
      <c r="H73" s="340"/>
      <c r="I73" s="899"/>
      <c r="J73" s="455"/>
      <c r="K73" s="456" t="str">
        <f t="shared" si="44"/>
        <v>0.00%</v>
      </c>
      <c r="L73" s="340">
        <v>0</v>
      </c>
      <c r="M73" s="899"/>
      <c r="O73" s="456" t="str">
        <f t="shared" si="45"/>
        <v>0.00%</v>
      </c>
      <c r="P73" s="340">
        <f t="shared" si="49"/>
        <v>0</v>
      </c>
      <c r="Q73" s="899"/>
      <c r="R73" s="592"/>
      <c r="S73" s="2238" t="str">
        <f t="shared" si="46"/>
        <v>0.00%</v>
      </c>
      <c r="T73" s="340">
        <f t="shared" si="50"/>
        <v>0</v>
      </c>
      <c r="U73" s="899"/>
      <c r="V73" s="952"/>
      <c r="W73" s="2241" t="str">
        <f t="shared" si="47"/>
        <v>0.00%</v>
      </c>
      <c r="X73" s="340">
        <f t="shared" si="51"/>
        <v>0</v>
      </c>
      <c r="Y73" s="953" t="str">
        <f>TEXT('MYP Assumptions'!I78,"0.00%")&amp;", CPI"</f>
        <v>2.73%, CPI</v>
      </c>
      <c r="AA73" s="456" t="str">
        <f t="shared" si="48"/>
        <v>0.00%</v>
      </c>
      <c r="AB73" s="340">
        <f t="shared" si="52"/>
        <v>0</v>
      </c>
      <c r="AC73" s="953" t="str">
        <f>TEXT('MYP Assumptions'!J78,"0.00%")&amp;", CPI"</f>
        <v>2.73%, CPI</v>
      </c>
    </row>
    <row r="74" spans="1:29" s="457" customFormat="1" hidden="1" x14ac:dyDescent="0.25">
      <c r="A74" s="455"/>
      <c r="B74" s="2385" t="s">
        <v>126</v>
      </c>
      <c r="C74" s="1656" t="s">
        <v>127</v>
      </c>
      <c r="D74" s="340">
        <v>0</v>
      </c>
      <c r="E74" s="2375"/>
      <c r="F74" s="340"/>
      <c r="G74" s="456" t="str">
        <f t="shared" si="43"/>
        <v>0.00%</v>
      </c>
      <c r="H74" s="340"/>
      <c r="I74" s="899"/>
      <c r="J74" s="455"/>
      <c r="K74" s="456" t="str">
        <f t="shared" si="44"/>
        <v>0.00%</v>
      </c>
      <c r="L74" s="340">
        <v>0</v>
      </c>
      <c r="M74" s="899"/>
      <c r="O74" s="456" t="str">
        <f t="shared" si="45"/>
        <v>0.00%</v>
      </c>
      <c r="P74" s="340">
        <f t="shared" si="49"/>
        <v>0</v>
      </c>
      <c r="Q74" s="899"/>
      <c r="R74" s="592"/>
      <c r="S74" s="2238" t="str">
        <f t="shared" si="46"/>
        <v>0.00%</v>
      </c>
      <c r="T74" s="340">
        <f t="shared" si="50"/>
        <v>0</v>
      </c>
      <c r="U74" s="899"/>
      <c r="V74" s="952"/>
      <c r="W74" s="2241" t="str">
        <f t="shared" si="47"/>
        <v>0.00%</v>
      </c>
      <c r="X74" s="340">
        <f t="shared" si="51"/>
        <v>0</v>
      </c>
      <c r="Y74" s="953" t="str">
        <f>TEXT('MYP Assumptions'!I78,"0.00%")&amp;", CPI"</f>
        <v>2.73%, CPI</v>
      </c>
      <c r="AA74" s="456" t="str">
        <f t="shared" si="48"/>
        <v>0.00%</v>
      </c>
      <c r="AB74" s="340">
        <f t="shared" si="52"/>
        <v>0</v>
      </c>
      <c r="AC74" s="953" t="str">
        <f>TEXT('MYP Assumptions'!J78,"0.00%")&amp;", CPI"</f>
        <v>2.73%, CPI</v>
      </c>
    </row>
    <row r="75" spans="1:29" s="457" customFormat="1" x14ac:dyDescent="0.25">
      <c r="A75" s="455"/>
      <c r="B75" s="2385" t="s">
        <v>9</v>
      </c>
      <c r="C75" s="1656" t="s">
        <v>8</v>
      </c>
      <c r="D75" s="340">
        <v>0</v>
      </c>
      <c r="E75" s="2375"/>
      <c r="F75" s="340"/>
      <c r="G75" s="456" t="str">
        <f>IF(D75=0,"0.00%",(H75-D75)/D75)</f>
        <v>0.00%</v>
      </c>
      <c r="H75" s="340"/>
      <c r="I75" s="899"/>
      <c r="J75" s="455"/>
      <c r="K75" s="456" t="str">
        <f t="shared" si="44"/>
        <v>0.00%</v>
      </c>
      <c r="L75" s="340">
        <v>5900</v>
      </c>
      <c r="M75" s="899"/>
      <c r="O75" s="456">
        <f t="shared" si="45"/>
        <v>-6.2542372881355932E-2</v>
      </c>
      <c r="P75" s="340">
        <v>5531</v>
      </c>
      <c r="Q75" s="899"/>
      <c r="R75" s="592"/>
      <c r="S75" s="2238">
        <f t="shared" si="46"/>
        <v>-0.61381305369734229</v>
      </c>
      <c r="T75" s="340">
        <v>2136</v>
      </c>
      <c r="U75" s="899"/>
      <c r="V75" s="952"/>
      <c r="W75" s="2241">
        <f t="shared" si="47"/>
        <v>2.7153558052434457E-2</v>
      </c>
      <c r="X75" s="340">
        <f t="shared" si="51"/>
        <v>2194</v>
      </c>
      <c r="Y75" s="953" t="str">
        <f>TEXT('MYP Assumptions'!I78,"0.00%")&amp;", CPI"</f>
        <v>2.73%, CPI</v>
      </c>
      <c r="AA75" s="456">
        <f t="shared" si="48"/>
        <v>2.7347310847766638E-2</v>
      </c>
      <c r="AB75" s="340">
        <f t="shared" si="52"/>
        <v>2254</v>
      </c>
      <c r="AC75" s="953" t="str">
        <f>TEXT('MYP Assumptions'!J78,"0.00%")&amp;", CPI"</f>
        <v>2.73%, CPI</v>
      </c>
    </row>
    <row r="76" spans="1:29" s="457" customFormat="1" hidden="1" x14ac:dyDescent="0.25">
      <c r="A76" s="455"/>
      <c r="B76" s="2385" t="s">
        <v>122</v>
      </c>
      <c r="C76" s="1656" t="s">
        <v>123</v>
      </c>
      <c r="D76" s="340">
        <v>0</v>
      </c>
      <c r="E76" s="2375"/>
      <c r="F76" s="340"/>
      <c r="G76" s="456" t="str">
        <f t="shared" ref="G76:G82" si="53">IF(D76=0,"0.00%",(H76-D76)/D76)</f>
        <v>0.00%</v>
      </c>
      <c r="H76" s="340"/>
      <c r="I76" s="899"/>
      <c r="J76" s="455"/>
      <c r="K76" s="456" t="str">
        <f t="shared" si="44"/>
        <v>0.00%</v>
      </c>
      <c r="L76" s="340">
        <v>0</v>
      </c>
      <c r="M76" s="899"/>
      <c r="O76" s="456" t="str">
        <f t="shared" si="45"/>
        <v>0.00%</v>
      </c>
      <c r="P76" s="340">
        <f t="shared" si="49"/>
        <v>0</v>
      </c>
      <c r="Q76" s="899"/>
      <c r="R76" s="592"/>
      <c r="S76" s="2238" t="str">
        <f t="shared" si="46"/>
        <v>0.00%</v>
      </c>
      <c r="T76" s="340">
        <f t="shared" ref="T76" si="54">+P76</f>
        <v>0</v>
      </c>
      <c r="U76" s="899"/>
      <c r="V76" s="952"/>
      <c r="W76" s="2241" t="str">
        <f t="shared" si="47"/>
        <v>0.00%</v>
      </c>
      <c r="X76" s="340">
        <f t="shared" si="51"/>
        <v>0</v>
      </c>
      <c r="Y76" s="953" t="str">
        <f>TEXT('MYP Assumptions'!I78,"0.00%")&amp;", CPI"</f>
        <v>2.73%, CPI</v>
      </c>
      <c r="AA76" s="456" t="str">
        <f t="shared" si="48"/>
        <v>0.00%</v>
      </c>
      <c r="AB76" s="340">
        <f t="shared" si="52"/>
        <v>0</v>
      </c>
      <c r="AC76" s="953" t="str">
        <f>TEXT('MYP Assumptions'!J78,"0.00%")&amp;", CPI"</f>
        <v>2.73%, CPI</v>
      </c>
    </row>
    <row r="77" spans="1:29" s="457" customFormat="1" x14ac:dyDescent="0.25">
      <c r="A77" s="455"/>
      <c r="B77" s="2385" t="s">
        <v>7</v>
      </c>
      <c r="C77" s="1656" t="s">
        <v>6</v>
      </c>
      <c r="D77" s="340">
        <v>0</v>
      </c>
      <c r="E77" s="2375"/>
      <c r="F77" s="340"/>
      <c r="G77" s="456" t="str">
        <f t="shared" si="53"/>
        <v>0.00%</v>
      </c>
      <c r="H77" s="340"/>
      <c r="I77" s="899"/>
      <c r="J77" s="455"/>
      <c r="K77" s="456" t="str">
        <f t="shared" si="44"/>
        <v>0.00%</v>
      </c>
      <c r="L77" s="340">
        <v>500</v>
      </c>
      <c r="M77" s="899"/>
      <c r="O77" s="456">
        <f t="shared" si="45"/>
        <v>-1</v>
      </c>
      <c r="P77" s="340">
        <v>0</v>
      </c>
      <c r="Q77" s="899"/>
      <c r="R77" s="592"/>
      <c r="S77" s="2238" t="str">
        <f t="shared" si="46"/>
        <v>0.00%</v>
      </c>
      <c r="T77" s="340">
        <v>0</v>
      </c>
      <c r="U77" s="899"/>
      <c r="V77" s="952"/>
      <c r="W77" s="2241" t="str">
        <f t="shared" si="47"/>
        <v>0.00%</v>
      </c>
      <c r="X77" s="340">
        <f t="shared" si="51"/>
        <v>0</v>
      </c>
      <c r="Y77" s="953" t="str">
        <f>TEXT('MYP Assumptions'!I78,"0.00%")&amp;", CPI"</f>
        <v>2.73%, CPI</v>
      </c>
      <c r="AA77" s="456" t="str">
        <f t="shared" si="48"/>
        <v>0.00%</v>
      </c>
      <c r="AB77" s="340">
        <f t="shared" si="52"/>
        <v>0</v>
      </c>
      <c r="AC77" s="953" t="str">
        <f>TEXT('MYP Assumptions'!J78,"0.00%")&amp;", CPI"</f>
        <v>2.73%, CPI</v>
      </c>
    </row>
    <row r="78" spans="1:29" s="457" customFormat="1" x14ac:dyDescent="0.25">
      <c r="A78" s="455"/>
      <c r="B78" s="2385" t="s">
        <v>5</v>
      </c>
      <c r="C78" s="1656" t="s">
        <v>4</v>
      </c>
      <c r="D78" s="340">
        <v>0</v>
      </c>
      <c r="E78" s="2375" t="s">
        <v>730</v>
      </c>
      <c r="F78" s="340"/>
      <c r="G78" s="456" t="str">
        <f t="shared" si="53"/>
        <v>0.00%</v>
      </c>
      <c r="H78" s="340">
        <v>200</v>
      </c>
      <c r="I78" s="899" t="str">
        <f>TEXT('MYP Assumptions'!E78,"0.00%")&amp;", CPI"</f>
        <v>3.37%, CPI</v>
      </c>
      <c r="J78" s="455"/>
      <c r="K78" s="456">
        <f t="shared" si="44"/>
        <v>-1</v>
      </c>
      <c r="L78" s="340">
        <v>0</v>
      </c>
      <c r="M78" s="899"/>
      <c r="O78" s="456" t="str">
        <f t="shared" si="45"/>
        <v>0.00%</v>
      </c>
      <c r="P78" s="340">
        <f t="shared" si="49"/>
        <v>0</v>
      </c>
      <c r="Q78" s="899"/>
      <c r="R78" s="592"/>
      <c r="S78" s="2238" t="str">
        <f t="shared" si="46"/>
        <v>0.00%</v>
      </c>
      <c r="T78" s="340">
        <f t="shared" ref="T78" si="55">+P78</f>
        <v>0</v>
      </c>
      <c r="U78" s="899"/>
      <c r="V78" s="952"/>
      <c r="W78" s="2241" t="str">
        <f t="shared" si="47"/>
        <v>0.00%</v>
      </c>
      <c r="X78" s="340">
        <f t="shared" si="51"/>
        <v>0</v>
      </c>
      <c r="Y78" s="953" t="str">
        <f>TEXT('MYP Assumptions'!I78,"0.00%")&amp;", CPI"</f>
        <v>2.73%, CPI</v>
      </c>
      <c r="AA78" s="456" t="str">
        <f t="shared" si="48"/>
        <v>0.00%</v>
      </c>
      <c r="AB78" s="340">
        <f t="shared" si="52"/>
        <v>0</v>
      </c>
      <c r="AC78" s="953" t="str">
        <f>TEXT('MYP Assumptions'!J78,"0.00%")&amp;", CPI"</f>
        <v>2.73%, CPI</v>
      </c>
    </row>
    <row r="79" spans="1:29" s="457" customFormat="1" hidden="1" x14ac:dyDescent="0.25">
      <c r="A79" s="455"/>
      <c r="B79" s="2385" t="s">
        <v>3</v>
      </c>
      <c r="C79" s="1656" t="s">
        <v>2</v>
      </c>
      <c r="D79" s="340">
        <v>0</v>
      </c>
      <c r="E79" s="2375"/>
      <c r="F79" s="340"/>
      <c r="G79" s="456" t="str">
        <f t="shared" si="53"/>
        <v>0.00%</v>
      </c>
      <c r="H79" s="340"/>
      <c r="I79" s="899"/>
      <c r="J79" s="455"/>
      <c r="K79" s="456" t="str">
        <f t="shared" si="44"/>
        <v>0.00%</v>
      </c>
      <c r="L79" s="340">
        <v>0</v>
      </c>
      <c r="M79" s="899"/>
      <c r="O79" s="456" t="str">
        <f t="shared" si="45"/>
        <v>0.00%</v>
      </c>
      <c r="P79" s="340">
        <f t="shared" ref="P79:P81" si="56">ROUND(L79*(LEFT(Q79,5)+1),0)</f>
        <v>0</v>
      </c>
      <c r="Q79" s="899" t="str">
        <f>TEXT('MYP Assumptions'!G78,"0.00%")&amp;", CPI"</f>
        <v>3.36%, CPI</v>
      </c>
      <c r="R79" s="592"/>
      <c r="S79" s="2238" t="str">
        <f t="shared" si="46"/>
        <v>0.00%</v>
      </c>
      <c r="T79" s="340">
        <f t="shared" ref="T79:T81" si="57">ROUND(P79*(LEFT(U79,5)+1),0)</f>
        <v>0</v>
      </c>
      <c r="U79" s="953" t="str">
        <f>TEXT('MYP Assumptions'!H78,"0.00%")&amp;", CPI"</f>
        <v>3.23%, CPI</v>
      </c>
      <c r="V79" s="952"/>
      <c r="W79" s="2241" t="str">
        <f t="shared" si="47"/>
        <v>0.00%</v>
      </c>
      <c r="X79" s="340">
        <f t="shared" si="51"/>
        <v>0</v>
      </c>
      <c r="Y79" s="953" t="str">
        <f>TEXT('MYP Assumptions'!I78,"0.00%")&amp;", CPI"</f>
        <v>2.73%, CPI</v>
      </c>
      <c r="AA79" s="456" t="str">
        <f t="shared" si="48"/>
        <v>0.00%</v>
      </c>
      <c r="AB79" s="340">
        <f t="shared" si="52"/>
        <v>0</v>
      </c>
      <c r="AC79" s="953" t="str">
        <f>TEXT('MYP Assumptions'!J78,"0.00%")&amp;", CPI"</f>
        <v>2.73%, CPI</v>
      </c>
    </row>
    <row r="80" spans="1:29" s="457" customFormat="1" hidden="1" x14ac:dyDescent="0.25">
      <c r="A80" s="455"/>
      <c r="B80" s="2385" t="s">
        <v>124</v>
      </c>
      <c r="C80" s="1656" t="s">
        <v>125</v>
      </c>
      <c r="D80" s="340">
        <v>0</v>
      </c>
      <c r="E80" s="2375"/>
      <c r="F80" s="340"/>
      <c r="G80" s="456" t="str">
        <f t="shared" si="53"/>
        <v>0.00%</v>
      </c>
      <c r="H80" s="340"/>
      <c r="I80" s="899"/>
      <c r="J80" s="455"/>
      <c r="K80" s="456" t="str">
        <f t="shared" si="44"/>
        <v>0.00%</v>
      </c>
      <c r="L80" s="340">
        <v>0</v>
      </c>
      <c r="M80" s="899"/>
      <c r="O80" s="456" t="str">
        <f t="shared" si="45"/>
        <v>0.00%</v>
      </c>
      <c r="P80" s="340">
        <f t="shared" si="56"/>
        <v>0</v>
      </c>
      <c r="Q80" s="899" t="str">
        <f>TEXT('MYP Assumptions'!G78,"0.00%")&amp;", CPI"</f>
        <v>3.36%, CPI</v>
      </c>
      <c r="R80" s="592"/>
      <c r="S80" s="2238" t="str">
        <f t="shared" si="46"/>
        <v>0.00%</v>
      </c>
      <c r="T80" s="340">
        <f t="shared" si="57"/>
        <v>0</v>
      </c>
      <c r="U80" s="953" t="str">
        <f>TEXT('MYP Assumptions'!H78,"0.00%")&amp;", CPI"</f>
        <v>3.23%, CPI</v>
      </c>
      <c r="V80" s="952"/>
      <c r="W80" s="2241" t="str">
        <f t="shared" si="47"/>
        <v>0.00%</v>
      </c>
      <c r="X80" s="340">
        <f t="shared" si="51"/>
        <v>0</v>
      </c>
      <c r="Y80" s="953" t="str">
        <f>TEXT('MYP Assumptions'!I78,"0.00%")&amp;", CPI"</f>
        <v>2.73%, CPI</v>
      </c>
      <c r="AA80" s="456" t="str">
        <f t="shared" si="48"/>
        <v>0.00%</v>
      </c>
      <c r="AB80" s="340">
        <f t="shared" si="52"/>
        <v>0</v>
      </c>
      <c r="AC80" s="953" t="str">
        <f>TEXT('MYP Assumptions'!J78,"0.00%")&amp;", CPI"</f>
        <v>2.73%, CPI</v>
      </c>
    </row>
    <row r="81" spans="1:29" s="457" customFormat="1" hidden="1" x14ac:dyDescent="0.25">
      <c r="A81" s="455"/>
      <c r="B81" s="2385" t="s">
        <v>1</v>
      </c>
      <c r="C81" s="1656"/>
      <c r="D81" s="340">
        <f>'18-19 Budget RS 3010-ALL'!AF80</f>
        <v>0</v>
      </c>
      <c r="E81" s="2375"/>
      <c r="F81" s="340"/>
      <c r="G81" s="456" t="str">
        <f t="shared" si="53"/>
        <v>0.00%</v>
      </c>
      <c r="H81" s="340"/>
      <c r="I81" s="899"/>
      <c r="J81" s="455"/>
      <c r="K81" s="456" t="str">
        <f t="shared" si="44"/>
        <v>0.00%</v>
      </c>
      <c r="L81" s="340">
        <v>0</v>
      </c>
      <c r="M81" s="899"/>
      <c r="O81" s="456" t="str">
        <f t="shared" si="45"/>
        <v>0.00%</v>
      </c>
      <c r="P81" s="340">
        <f t="shared" si="56"/>
        <v>0</v>
      </c>
      <c r="Q81" s="899" t="str">
        <f>TEXT('MYP Assumptions'!G78,"0.00%")&amp;", CPI"</f>
        <v>3.36%, CPI</v>
      </c>
      <c r="R81" s="592"/>
      <c r="S81" s="2238" t="str">
        <f t="shared" si="46"/>
        <v>0.00%</v>
      </c>
      <c r="T81" s="340">
        <f t="shared" si="57"/>
        <v>0</v>
      </c>
      <c r="U81" s="953" t="str">
        <f>TEXT('MYP Assumptions'!H78,"0.00%")&amp;", CPI"</f>
        <v>3.23%, CPI</v>
      </c>
      <c r="V81" s="952"/>
      <c r="W81" s="2241" t="str">
        <f t="shared" si="47"/>
        <v>0.00%</v>
      </c>
      <c r="X81" s="340">
        <f t="shared" si="51"/>
        <v>0</v>
      </c>
      <c r="Y81" s="953" t="str">
        <f>TEXT('MYP Assumptions'!I78,"0.00%")&amp;", CPI"</f>
        <v>2.73%, CPI</v>
      </c>
      <c r="AA81" s="456" t="str">
        <f t="shared" si="48"/>
        <v>0.00%</v>
      </c>
      <c r="AB81" s="340">
        <f t="shared" si="52"/>
        <v>0</v>
      </c>
      <c r="AC81" s="953" t="str">
        <f>TEXT('MYP Assumptions'!J78,"0.00%")&amp;", CPI"</f>
        <v>2.73%, CPI</v>
      </c>
    </row>
    <row r="82" spans="1:29" s="457" customFormat="1" x14ac:dyDescent="0.25">
      <c r="A82" s="459"/>
      <c r="B82" s="2345"/>
      <c r="C82" s="1656"/>
      <c r="D82" s="458">
        <f>SUM(D69:D81)</f>
        <v>103.32</v>
      </c>
      <c r="E82" s="2375"/>
      <c r="F82" s="340"/>
      <c r="G82" s="456">
        <f t="shared" si="53"/>
        <v>0.93573364305071638</v>
      </c>
      <c r="H82" s="458">
        <f>SUM(H69:H81)</f>
        <v>200</v>
      </c>
      <c r="I82" s="2316">
        <f>+H82-D82</f>
        <v>96.68</v>
      </c>
      <c r="J82" s="459"/>
      <c r="K82" s="456">
        <f t="shared" si="44"/>
        <v>36.625</v>
      </c>
      <c r="L82" s="458">
        <f>SUM(L69:L81)</f>
        <v>7525</v>
      </c>
      <c r="M82" s="2316">
        <f>+L82-H82</f>
        <v>7325</v>
      </c>
      <c r="O82" s="456">
        <f t="shared" si="45"/>
        <v>-0.26498338870431892</v>
      </c>
      <c r="P82" s="458">
        <f>SUM(P69:P81)</f>
        <v>5531</v>
      </c>
      <c r="Q82" s="2316">
        <f>+P82-L82</f>
        <v>-1994</v>
      </c>
      <c r="R82" s="592"/>
      <c r="S82" s="2238">
        <f t="shared" si="46"/>
        <v>-0.61381305369734229</v>
      </c>
      <c r="T82" s="458">
        <f>SUM(T69:T81)</f>
        <v>2136</v>
      </c>
      <c r="U82" s="2344"/>
      <c r="V82" s="952"/>
      <c r="W82" s="2241">
        <f t="shared" si="47"/>
        <v>2.7153558052434457E-2</v>
      </c>
      <c r="X82" s="458">
        <f>SUM(X69:X81)</f>
        <v>2194</v>
      </c>
      <c r="Y82" s="2344"/>
      <c r="AA82" s="456">
        <f t="shared" si="48"/>
        <v>2.7347310847766638E-2</v>
      </c>
      <c r="AB82" s="458">
        <f>SUM(AB69:AB81)</f>
        <v>2254</v>
      </c>
      <c r="AC82" s="2344"/>
    </row>
    <row r="83" spans="1:29" s="457" customFormat="1" x14ac:dyDescent="0.25">
      <c r="A83" s="455"/>
      <c r="B83" s="2337"/>
      <c r="C83" s="1656"/>
      <c r="D83" s="340"/>
      <c r="E83" s="2375"/>
      <c r="F83" s="340"/>
      <c r="G83" s="456"/>
      <c r="H83" s="340"/>
      <c r="I83" s="897"/>
      <c r="J83" s="455"/>
      <c r="K83" s="1668"/>
      <c r="L83" s="340"/>
      <c r="M83" s="901"/>
      <c r="O83" s="1668"/>
      <c r="P83" s="340"/>
      <c r="Q83" s="901"/>
      <c r="R83" s="592"/>
      <c r="S83" s="2341"/>
      <c r="T83" s="340"/>
      <c r="U83" s="2344"/>
      <c r="V83" s="952"/>
      <c r="W83" s="2343"/>
      <c r="X83" s="340"/>
      <c r="Y83" s="2344"/>
      <c r="AA83" s="1668"/>
      <c r="AB83" s="340"/>
      <c r="AC83" s="2344"/>
    </row>
    <row r="84" spans="1:29" s="457" customFormat="1" x14ac:dyDescent="0.25">
      <c r="A84" s="455"/>
      <c r="B84" s="2345"/>
      <c r="C84" s="1656"/>
      <c r="D84" s="340"/>
      <c r="E84" s="2386"/>
      <c r="F84" s="340"/>
      <c r="G84" s="2338"/>
      <c r="H84" s="340"/>
      <c r="I84" s="897"/>
      <c r="J84" s="455"/>
      <c r="K84" s="1668"/>
      <c r="L84" s="340"/>
      <c r="M84" s="901"/>
      <c r="O84" s="1668"/>
      <c r="P84" s="340"/>
      <c r="Q84" s="901"/>
      <c r="R84" s="592"/>
      <c r="S84" s="2341"/>
      <c r="T84" s="340"/>
      <c r="U84" s="2344"/>
      <c r="V84" s="952"/>
      <c r="W84" s="2343"/>
      <c r="X84" s="340"/>
      <c r="Y84" s="2344"/>
      <c r="AA84" s="1668"/>
      <c r="AB84" s="340"/>
      <c r="AC84" s="2344"/>
    </row>
    <row r="85" spans="1:29" s="457" customFormat="1" x14ac:dyDescent="0.25">
      <c r="A85" s="459"/>
      <c r="B85" s="2337" t="s">
        <v>0</v>
      </c>
      <c r="C85" s="1656"/>
      <c r="D85" s="458">
        <f>SUM(D82,D66,D55,D13)</f>
        <v>142850.68</v>
      </c>
      <c r="E85" s="2386"/>
      <c r="F85" s="340"/>
      <c r="G85" s="456">
        <f>IF(D85=0,"0.00%",(H85-D85)/D85)</f>
        <v>-0.27482319300125135</v>
      </c>
      <c r="H85" s="458">
        <f>SUM(H82,H66,H55,H13)</f>
        <v>103592</v>
      </c>
      <c r="I85" s="898"/>
      <c r="J85" s="459"/>
      <c r="K85" s="456">
        <f>IF(H85=0,"0.00%",(L85-H85)/H85)</f>
        <v>0.14603444281411693</v>
      </c>
      <c r="L85" s="458">
        <f>SUM(L82,L66,L55,L13)</f>
        <v>118720</v>
      </c>
      <c r="M85" s="901"/>
      <c r="O85" s="456">
        <f>IF(L85=0,"0.00%",(P85-L85)/L85)</f>
        <v>1.7503369272237196E-2</v>
      </c>
      <c r="P85" s="458">
        <f>SUM(P82,P66,P55,P13)</f>
        <v>120798</v>
      </c>
      <c r="Q85" s="901"/>
      <c r="R85" s="592"/>
      <c r="S85" s="2238">
        <f>IF(P85=0,"0.00%",(T85-P85)/P85)</f>
        <v>0</v>
      </c>
      <c r="T85" s="458">
        <f>SUM(T82,T66,T55,T13)</f>
        <v>120798</v>
      </c>
      <c r="U85" s="2344"/>
      <c r="V85" s="952"/>
      <c r="W85" s="2241">
        <f>IF(T85=0,"0.00%",(X85-T85)/T85)</f>
        <v>1.8799980132121391E-2</v>
      </c>
      <c r="X85" s="458">
        <f>SUM(X82,X66,X55,X13)</f>
        <v>123069</v>
      </c>
      <c r="Y85" s="2344"/>
      <c r="AA85" s="456" t="e">
        <f>IF(X85=0,"0.00%",(AB85-X85)/X85)</f>
        <v>#VALUE!</v>
      </c>
      <c r="AB85" s="458" t="e">
        <f>SUM(AB82,AB66,AB55,AB13)</f>
        <v>#VALUE!</v>
      </c>
      <c r="AC85" s="2344"/>
    </row>
    <row r="86" spans="1:29" s="457" customFormat="1" x14ac:dyDescent="0.25">
      <c r="A86" s="455"/>
      <c r="B86" s="2345"/>
      <c r="C86" s="1656"/>
      <c r="D86" s="340"/>
      <c r="E86" s="2386"/>
      <c r="F86" s="340"/>
      <c r="G86" s="2338"/>
      <c r="H86" s="340"/>
      <c r="I86" s="897"/>
      <c r="J86" s="455"/>
      <c r="K86" s="1668"/>
      <c r="L86" s="340"/>
      <c r="M86" s="901"/>
      <c r="O86" s="1668"/>
      <c r="P86" s="340"/>
      <c r="Q86" s="901"/>
      <c r="R86" s="592"/>
      <c r="S86" s="2341"/>
      <c r="T86" s="340"/>
      <c r="U86" s="2344"/>
      <c r="V86" s="952"/>
      <c r="W86" s="2343"/>
      <c r="X86" s="340"/>
      <c r="Y86" s="2344"/>
      <c r="AA86" s="1668"/>
      <c r="AB86" s="340"/>
      <c r="AC86" s="2344"/>
    </row>
    <row r="87" spans="1:29" s="457" customFormat="1" x14ac:dyDescent="0.25">
      <c r="A87" s="455"/>
      <c r="B87" s="2337" t="s">
        <v>138</v>
      </c>
      <c r="C87" s="1656"/>
      <c r="D87" s="833">
        <f>D11-D85</f>
        <v>0</v>
      </c>
      <c r="E87" s="2386"/>
      <c r="G87" s="456" t="str">
        <f>IF(D87=0,"0.00%",(H87-D87)/D87)</f>
        <v>0.00%</v>
      </c>
      <c r="H87" s="833">
        <f>H11-H85</f>
        <v>0</v>
      </c>
      <c r="I87" s="897"/>
      <c r="J87" s="455"/>
      <c r="K87" s="456" t="str">
        <f>IF(H87=0,"0.00%",(L87-H87)/H87)</f>
        <v>0.00%</v>
      </c>
      <c r="L87" s="833">
        <f>L11-L85</f>
        <v>0</v>
      </c>
      <c r="M87" s="901"/>
      <c r="O87" s="456" t="str">
        <f>IF(L87=0,"0.00%",(P87-L87)/L87)</f>
        <v>0.00%</v>
      </c>
      <c r="P87" s="833">
        <f>P11-P85</f>
        <v>0</v>
      </c>
      <c r="Q87" s="901"/>
      <c r="R87" s="592"/>
      <c r="S87" s="2238" t="str">
        <f>IF(P87=0,"0.00%",(T87-P87)/P87)</f>
        <v>0.00%</v>
      </c>
      <c r="T87" s="833">
        <f>T11-T85</f>
        <v>0</v>
      </c>
      <c r="U87" s="2344"/>
      <c r="V87" s="952"/>
      <c r="W87" s="2241" t="str">
        <f>IF(T87=0,"0.00%",(X87-T87)/T87)</f>
        <v>0.00%</v>
      </c>
      <c r="X87" s="833">
        <f>X11-X85</f>
        <v>-2271</v>
      </c>
      <c r="Y87" s="2344"/>
      <c r="AA87" s="456" t="e">
        <f>IF(X87=0,"0.00%",(AB87-X87)/X87)</f>
        <v>#VALUE!</v>
      </c>
      <c r="AB87" s="833" t="e">
        <f>AB11-AB85</f>
        <v>#VALUE!</v>
      </c>
      <c r="AC87" s="2344"/>
    </row>
    <row r="88" spans="1:29" s="457" customFormat="1" x14ac:dyDescent="0.25">
      <c r="B88" s="2337"/>
      <c r="C88" s="2432"/>
      <c r="D88" s="833"/>
      <c r="E88" s="2386"/>
      <c r="G88" s="2338"/>
      <c r="H88" s="833"/>
      <c r="I88" s="897"/>
      <c r="J88" s="455"/>
      <c r="K88" s="1668"/>
      <c r="L88" s="833"/>
      <c r="M88" s="901"/>
      <c r="O88" s="1668"/>
      <c r="P88" s="833"/>
      <c r="Q88" s="901"/>
      <c r="R88" s="592"/>
      <c r="S88" s="2341"/>
      <c r="T88" s="2356"/>
      <c r="U88" s="2344"/>
      <c r="V88" s="952"/>
      <c r="W88" s="2343"/>
      <c r="X88" s="2356"/>
      <c r="Y88" s="2344"/>
      <c r="AA88" s="1668"/>
      <c r="AB88" s="2356"/>
      <c r="AC88" s="2344"/>
    </row>
    <row r="89" spans="1:29" s="457" customFormat="1" x14ac:dyDescent="0.25">
      <c r="B89" s="2337" t="s">
        <v>136</v>
      </c>
      <c r="C89" s="2443"/>
      <c r="D89" s="833">
        <f>D7+D87</f>
        <v>0</v>
      </c>
      <c r="E89" s="1656"/>
      <c r="G89" s="456" t="str">
        <f>IF(D89=0,"0.00%",(H89-D89)/D89)</f>
        <v>0.00%</v>
      </c>
      <c r="H89" s="833">
        <f>H7+H87</f>
        <v>0</v>
      </c>
      <c r="I89" s="897"/>
      <c r="J89" s="455"/>
      <c r="K89" s="456" t="str">
        <f>IF(H89=0,"0.00%",(L89-H89)/H89)</f>
        <v>0.00%</v>
      </c>
      <c r="L89" s="833">
        <f>L7+L87</f>
        <v>0</v>
      </c>
      <c r="M89" s="901"/>
      <c r="O89" s="456" t="str">
        <f>IF(L89=0,"0.00%",(P89-L89)/L89)</f>
        <v>0.00%</v>
      </c>
      <c r="P89" s="833">
        <f>P7+P87</f>
        <v>0</v>
      </c>
      <c r="Q89" s="901"/>
      <c r="R89" s="592"/>
      <c r="S89" s="2238" t="str">
        <f>IF(P89=0,"0.00%",(T89-P89)/P89)</f>
        <v>0.00%</v>
      </c>
      <c r="T89" s="2367">
        <f>T7+T87</f>
        <v>0</v>
      </c>
      <c r="U89" s="2344"/>
      <c r="V89" s="952"/>
      <c r="W89" s="2241" t="str">
        <f>IF(T89=0,"0.00%",(X89-T89)/T89)</f>
        <v>0.00%</v>
      </c>
      <c r="X89" s="2367">
        <f>X7+X87</f>
        <v>-2271</v>
      </c>
      <c r="Y89" s="2344"/>
      <c r="AA89" s="456" t="e">
        <f>IF(X89=0,"0.00%",(AB89-X89)/X89)</f>
        <v>#VALUE!</v>
      </c>
      <c r="AB89" s="2367" t="e">
        <f>AB7+AB87</f>
        <v>#VALUE!</v>
      </c>
      <c r="AC89" s="2344"/>
    </row>
    <row r="90" spans="1:29" s="457" customFormat="1" x14ac:dyDescent="0.25">
      <c r="B90" s="2345"/>
      <c r="C90" s="900"/>
      <c r="D90" s="340"/>
      <c r="E90" s="1656"/>
      <c r="G90" s="2355"/>
      <c r="H90" s="459"/>
      <c r="I90" s="898"/>
      <c r="J90" s="459"/>
      <c r="K90" s="1668"/>
      <c r="L90" s="459"/>
      <c r="M90" s="901"/>
      <c r="O90" s="1668"/>
      <c r="P90" s="459"/>
      <c r="Q90" s="901"/>
      <c r="R90" s="592"/>
      <c r="S90" s="2341"/>
      <c r="T90" s="459"/>
      <c r="U90" s="2344"/>
      <c r="V90" s="952"/>
      <c r="W90" s="2343"/>
      <c r="X90" s="459"/>
      <c r="Y90" s="2344"/>
      <c r="AA90" s="1668"/>
      <c r="AB90" s="459"/>
      <c r="AC90" s="2344"/>
    </row>
    <row r="91" spans="1:29" s="457" customFormat="1" x14ac:dyDescent="0.25">
      <c r="B91" s="2345"/>
      <c r="C91" s="2339"/>
      <c r="D91" s="340"/>
      <c r="E91" s="1656"/>
      <c r="G91" s="2355"/>
      <c r="H91" s="455"/>
      <c r="I91" s="897"/>
      <c r="J91" s="455"/>
      <c r="K91" s="1668"/>
      <c r="L91" s="340"/>
      <c r="M91" s="901"/>
      <c r="O91" s="1668"/>
      <c r="P91" s="340"/>
      <c r="Q91" s="901"/>
      <c r="R91" s="592"/>
      <c r="S91" s="2341"/>
      <c r="T91" s="340"/>
      <c r="U91" s="2344"/>
      <c r="V91" s="952"/>
      <c r="W91" s="2343"/>
      <c r="X91" s="340"/>
      <c r="Y91" s="2344"/>
      <c r="AA91" s="1668"/>
      <c r="AB91" s="340"/>
      <c r="AC91" s="2344"/>
    </row>
    <row r="92" spans="1:29" s="457" customFormat="1" x14ac:dyDescent="0.25">
      <c r="B92" s="2345"/>
      <c r="C92" s="2339"/>
      <c r="D92" s="340"/>
      <c r="E92" s="1656"/>
      <c r="G92" s="2355"/>
      <c r="H92" s="455"/>
      <c r="I92" s="897"/>
      <c r="J92" s="455"/>
      <c r="K92" s="1668"/>
      <c r="L92" s="340"/>
      <c r="M92" s="901"/>
      <c r="O92" s="1668"/>
      <c r="P92" s="340"/>
      <c r="Q92" s="901"/>
      <c r="R92" s="592"/>
      <c r="S92" s="2341"/>
      <c r="T92" s="340"/>
      <c r="U92" s="2344"/>
      <c r="V92" s="952"/>
      <c r="W92" s="2343"/>
      <c r="X92" s="340"/>
      <c r="Y92" s="2344"/>
      <c r="AA92" s="1668"/>
      <c r="AB92" s="340"/>
      <c r="AC92" s="2344"/>
    </row>
    <row r="93" spans="1:29" s="457" customFormat="1" x14ac:dyDescent="0.25">
      <c r="B93" s="2345"/>
      <c r="C93" s="2339"/>
      <c r="D93" s="340"/>
      <c r="E93" s="1656"/>
      <c r="G93" s="2355"/>
      <c r="H93" s="455"/>
      <c r="I93" s="897"/>
      <c r="J93" s="455"/>
      <c r="K93" s="1668"/>
      <c r="L93" s="340"/>
      <c r="M93" s="901"/>
      <c r="O93" s="1668"/>
      <c r="P93" s="340"/>
      <c r="Q93" s="901"/>
      <c r="R93" s="592"/>
      <c r="S93" s="2341"/>
      <c r="T93" s="340"/>
      <c r="U93" s="2344"/>
      <c r="V93" s="952"/>
      <c r="W93" s="2343"/>
      <c r="X93" s="340"/>
      <c r="Y93" s="2344"/>
      <c r="AA93" s="1668"/>
      <c r="AB93" s="340"/>
      <c r="AC93" s="2344"/>
    </row>
    <row r="94" spans="1:29" s="457" customFormat="1" x14ac:dyDescent="0.25">
      <c r="B94" s="2345"/>
      <c r="C94" s="2339"/>
      <c r="D94" s="340"/>
      <c r="E94" s="1656"/>
      <c r="G94" s="2355"/>
      <c r="H94" s="455"/>
      <c r="I94" s="897"/>
      <c r="J94" s="455"/>
      <c r="K94" s="1668"/>
      <c r="L94" s="340"/>
      <c r="M94" s="901"/>
      <c r="O94" s="1668"/>
      <c r="P94" s="340"/>
      <c r="Q94" s="901"/>
      <c r="R94" s="592"/>
      <c r="S94" s="2341"/>
      <c r="T94" s="340"/>
      <c r="U94" s="2344"/>
      <c r="V94" s="952"/>
      <c r="W94" s="2343"/>
      <c r="X94" s="340"/>
      <c r="Y94" s="2344"/>
      <c r="AA94" s="1668"/>
      <c r="AB94" s="340"/>
      <c r="AC94" s="2344"/>
    </row>
    <row r="95" spans="1:29" s="2402" customFormat="1" ht="11.25" x14ac:dyDescent="0.2">
      <c r="B95" s="2395"/>
      <c r="C95" s="2444" t="s">
        <v>221</v>
      </c>
      <c r="D95" s="2397">
        <f>+D82+D66+D53+D41+D30</f>
        <v>140049.69</v>
      </c>
      <c r="E95" s="2363"/>
      <c r="G95" s="2399" t="s">
        <v>221</v>
      </c>
      <c r="H95" s="2397">
        <f>+H82+H66+H53+H41+H30</f>
        <v>101434</v>
      </c>
      <c r="I95" s="2400"/>
      <c r="J95" s="607"/>
      <c r="K95" s="2399" t="s">
        <v>221</v>
      </c>
      <c r="L95" s="2397">
        <f>+L82+L66+L53+L41+L30</f>
        <v>116392</v>
      </c>
      <c r="M95" s="2404"/>
      <c r="O95" s="2399" t="s">
        <v>221</v>
      </c>
      <c r="P95" s="2397">
        <f>+P82+P66+P53+P41+P30</f>
        <v>118429</v>
      </c>
      <c r="Q95" s="2404"/>
      <c r="R95" s="608"/>
      <c r="S95" s="2405" t="s">
        <v>221</v>
      </c>
      <c r="T95" s="2397">
        <f>+T82+T66+T53+T41+T30</f>
        <v>118429</v>
      </c>
      <c r="U95" s="2409"/>
      <c r="V95" s="2407"/>
      <c r="W95" s="2408" t="s">
        <v>221</v>
      </c>
      <c r="X95" s="2397">
        <f>+X82+X66+X53+X41+X30</f>
        <v>120700</v>
      </c>
      <c r="Y95" s="2409"/>
      <c r="AA95" s="2399" t="s">
        <v>221</v>
      </c>
      <c r="AB95" s="2397" t="e">
        <f>+AB82+AB66+AB53+AB41+AB30</f>
        <v>#VALUE!</v>
      </c>
      <c r="AC95" s="2409"/>
    </row>
    <row r="96" spans="1:29" s="2402" customFormat="1" ht="11.25" x14ac:dyDescent="0.2">
      <c r="A96" s="2414"/>
      <c r="B96" s="2395"/>
      <c r="C96" s="2445" t="s">
        <v>222</v>
      </c>
      <c r="D96" s="2412">
        <f>+D13</f>
        <v>2800.99</v>
      </c>
      <c r="E96" s="2419"/>
      <c r="F96" s="2410"/>
      <c r="G96" s="2415" t="s">
        <v>222</v>
      </c>
      <c r="H96" s="2412">
        <f>+H13</f>
        <v>2158</v>
      </c>
      <c r="I96" s="2398"/>
      <c r="J96" s="608"/>
      <c r="K96" s="2415" t="s">
        <v>222</v>
      </c>
      <c r="L96" s="2412">
        <f>+L13</f>
        <v>2328</v>
      </c>
      <c r="M96" s="2404"/>
      <c r="O96" s="2415" t="s">
        <v>222</v>
      </c>
      <c r="P96" s="2412">
        <f>+P13</f>
        <v>2369</v>
      </c>
      <c r="Q96" s="2363"/>
      <c r="R96" s="608"/>
      <c r="S96" s="2416" t="s">
        <v>222</v>
      </c>
      <c r="T96" s="2412">
        <f>+T13</f>
        <v>2369</v>
      </c>
      <c r="V96" s="2407"/>
      <c r="W96" s="2417" t="s">
        <v>222</v>
      </c>
      <c r="X96" s="2412">
        <f>+X13</f>
        <v>2369</v>
      </c>
      <c r="AA96" s="2415" t="s">
        <v>222</v>
      </c>
      <c r="AB96" s="2412">
        <f>+AB13</f>
        <v>-35993</v>
      </c>
    </row>
    <row r="97" spans="1:28" s="2402" customFormat="1" ht="11.25" x14ac:dyDescent="0.2">
      <c r="A97" s="2414"/>
      <c r="B97" s="2395"/>
      <c r="C97" s="2445"/>
      <c r="D97" s="2418">
        <f>+D95+D96</f>
        <v>142850.68</v>
      </c>
      <c r="E97" s="2419"/>
      <c r="F97" s="2410"/>
      <c r="G97" s="2415"/>
      <c r="H97" s="2418">
        <f>+H95+H96</f>
        <v>103592</v>
      </c>
      <c r="I97" s="2398"/>
      <c r="J97" s="608"/>
      <c r="K97" s="2415"/>
      <c r="L97" s="2418">
        <f>+L95+L96</f>
        <v>118720</v>
      </c>
      <c r="M97" s="2363"/>
      <c r="O97" s="2415"/>
      <c r="P97" s="2418">
        <f>+P95+P96</f>
        <v>120798</v>
      </c>
      <c r="Q97" s="2363"/>
      <c r="R97" s="608"/>
      <c r="S97" s="2416"/>
      <c r="T97" s="2418">
        <f>+T95+T96</f>
        <v>120798</v>
      </c>
      <c r="V97" s="2407"/>
      <c r="W97" s="2417"/>
      <c r="X97" s="2418">
        <f>+X95+X96</f>
        <v>123069</v>
      </c>
      <c r="AA97" s="2415"/>
      <c r="AB97" s="2418" t="e">
        <f>+AB95+AB96</f>
        <v>#VALUE!</v>
      </c>
    </row>
    <row r="98" spans="1:28" s="457" customFormat="1" ht="15" customHeight="1" x14ac:dyDescent="0.25">
      <c r="A98" s="455"/>
      <c r="B98" s="2422"/>
      <c r="C98" s="2446"/>
      <c r="D98" s="459">
        <f>+D85-D97</f>
        <v>0</v>
      </c>
      <c r="E98" s="2386"/>
      <c r="F98" s="340"/>
      <c r="G98" s="2447"/>
      <c r="H98" s="459">
        <f>+H85-H97</f>
        <v>0</v>
      </c>
      <c r="I98" s="2339"/>
      <c r="J98" s="592"/>
      <c r="K98" s="2447"/>
      <c r="L98" s="459">
        <f>+L85-L97</f>
        <v>0</v>
      </c>
      <c r="M98" s="1656"/>
      <c r="O98" s="2447"/>
      <c r="P98" s="459">
        <f>+P85-P97</f>
        <v>0</v>
      </c>
      <c r="Q98" s="1656"/>
      <c r="R98" s="592"/>
      <c r="S98" s="2447"/>
      <c r="T98" s="459">
        <f>+T85-T97</f>
        <v>0</v>
      </c>
      <c r="V98" s="952"/>
      <c r="W98" s="2448"/>
      <c r="X98" s="459">
        <f>+X85-X97</f>
        <v>0</v>
      </c>
      <c r="AA98" s="2447"/>
      <c r="AB98" s="459" t="e">
        <f>+AB85-AB97</f>
        <v>#VALUE!</v>
      </c>
    </row>
    <row r="99" spans="1:28" s="457" customFormat="1" x14ac:dyDescent="0.25">
      <c r="A99" s="455"/>
      <c r="B99" s="2422"/>
      <c r="C99" s="2446"/>
      <c r="D99" s="455"/>
      <c r="E99" s="2386"/>
      <c r="F99" s="340"/>
      <c r="G99" s="2338"/>
      <c r="H99" s="2424"/>
      <c r="I99" s="2339"/>
      <c r="J99" s="592"/>
      <c r="K99" s="1668"/>
      <c r="L99" s="2370"/>
      <c r="M99" s="1656"/>
      <c r="O99" s="1668"/>
      <c r="P99" s="340"/>
      <c r="Q99" s="1656"/>
      <c r="R99" s="592"/>
      <c r="S99" s="2341"/>
      <c r="V99" s="952"/>
      <c r="W99" s="2343"/>
      <c r="AA99" s="1668"/>
    </row>
    <row r="100" spans="1:28" s="457" customFormat="1" x14ac:dyDescent="0.25">
      <c r="A100" s="455"/>
      <c r="B100" s="2394"/>
      <c r="C100" s="2339"/>
      <c r="D100" s="342"/>
      <c r="E100" s="2386"/>
      <c r="F100" s="340"/>
      <c r="G100" s="2338"/>
      <c r="H100" s="2424"/>
      <c r="I100" s="2339"/>
      <c r="J100" s="592"/>
      <c r="K100" s="1668"/>
      <c r="L100" s="2370"/>
      <c r="M100" s="1656"/>
      <c r="O100" s="1668"/>
      <c r="P100" s="340"/>
      <c r="Q100" s="1656"/>
      <c r="R100" s="592"/>
      <c r="S100" s="2341"/>
      <c r="V100" s="952"/>
      <c r="W100" s="2343"/>
      <c r="AA100" s="1668"/>
    </row>
    <row r="101" spans="1:28" s="457" customFormat="1" x14ac:dyDescent="0.25">
      <c r="B101" s="2394"/>
      <c r="C101" s="2339"/>
      <c r="D101" s="455"/>
      <c r="E101" s="1656"/>
      <c r="G101" s="2338"/>
      <c r="H101" s="2424"/>
      <c r="I101" s="2339"/>
      <c r="J101" s="592"/>
      <c r="K101" s="1668"/>
      <c r="L101" s="2370"/>
      <c r="M101" s="1656"/>
      <c r="O101" s="1668"/>
      <c r="P101" s="340"/>
      <c r="Q101" s="1656"/>
      <c r="R101" s="592"/>
      <c r="S101" s="2341"/>
      <c r="V101" s="952"/>
      <c r="W101" s="2343"/>
      <c r="AA101" s="1668"/>
    </row>
    <row r="102" spans="1:28" s="457" customFormat="1" x14ac:dyDescent="0.25">
      <c r="B102" s="2394"/>
      <c r="C102" s="2339"/>
      <c r="D102" s="455"/>
      <c r="E102" s="1656"/>
      <c r="G102" s="2338"/>
      <c r="H102" s="2424"/>
      <c r="I102" s="2339"/>
      <c r="J102" s="592"/>
      <c r="K102" s="1668"/>
      <c r="L102" s="2370"/>
      <c r="M102" s="1656"/>
      <c r="O102" s="1668"/>
      <c r="P102" s="340"/>
      <c r="Q102" s="1656"/>
      <c r="R102" s="592"/>
      <c r="S102" s="2341"/>
      <c r="V102" s="952"/>
      <c r="W102" s="2343"/>
      <c r="AA102" s="1668"/>
    </row>
    <row r="103" spans="1:28" s="457" customFormat="1" ht="15" customHeight="1" x14ac:dyDescent="0.25">
      <c r="B103" s="2394"/>
      <c r="C103" s="2339"/>
      <c r="D103" s="455"/>
      <c r="E103" s="1656"/>
      <c r="G103" s="2338"/>
      <c r="H103" s="2424"/>
      <c r="I103" s="2339"/>
      <c r="J103" s="592"/>
      <c r="K103" s="1668"/>
      <c r="L103" s="2370"/>
      <c r="M103" s="1656"/>
      <c r="O103" s="1668"/>
      <c r="P103" s="340"/>
      <c r="Q103" s="1656"/>
      <c r="R103" s="592"/>
      <c r="S103" s="2341"/>
      <c r="V103" s="952"/>
      <c r="W103" s="2343"/>
      <c r="AA103" s="1668"/>
    </row>
    <row r="104" spans="1:28" s="457" customFormat="1" x14ac:dyDescent="0.25">
      <c r="B104" s="2394"/>
      <c r="C104" s="2339"/>
      <c r="D104" s="455"/>
      <c r="E104" s="1656"/>
      <c r="G104" s="2338"/>
      <c r="H104" s="2424"/>
      <c r="I104" s="2339"/>
      <c r="J104" s="592"/>
      <c r="K104" s="1668"/>
      <c r="L104" s="2370"/>
      <c r="M104" s="1656"/>
      <c r="O104" s="1668"/>
      <c r="P104" s="340"/>
      <c r="Q104" s="1656"/>
      <c r="R104" s="592"/>
      <c r="S104" s="2341"/>
      <c r="V104" s="952"/>
      <c r="W104" s="2343"/>
      <c r="AA104" s="1668"/>
    </row>
    <row r="105" spans="1:28" s="457" customFormat="1" x14ac:dyDescent="0.25">
      <c r="B105" s="2394"/>
      <c r="C105" s="2339"/>
      <c r="D105" s="455"/>
      <c r="E105" s="1656"/>
      <c r="G105" s="2338"/>
      <c r="H105" s="2424"/>
      <c r="I105" s="2339"/>
      <c r="J105" s="592"/>
      <c r="K105" s="1668"/>
      <c r="L105" s="2370"/>
      <c r="M105" s="1656"/>
      <c r="O105" s="1668"/>
      <c r="P105" s="340"/>
      <c r="Q105" s="1656"/>
      <c r="R105" s="592"/>
      <c r="S105" s="2341"/>
      <c r="V105" s="952"/>
      <c r="W105" s="2343"/>
      <c r="AA105" s="1668"/>
    </row>
    <row r="106" spans="1:28" s="457" customFormat="1" ht="15" customHeight="1" x14ac:dyDescent="0.25">
      <c r="B106" s="2565"/>
      <c r="C106" s="2565"/>
      <c r="D106" s="455"/>
      <c r="E106" s="1656"/>
      <c r="G106" s="2338"/>
      <c r="H106" s="2424"/>
      <c r="I106" s="2339"/>
      <c r="J106" s="592"/>
      <c r="K106" s="1668"/>
      <c r="L106" s="2370"/>
      <c r="M106" s="1656"/>
      <c r="O106" s="1668"/>
      <c r="P106" s="340"/>
      <c r="Q106" s="1656"/>
      <c r="R106" s="592"/>
      <c r="S106" s="2341"/>
      <c r="V106" s="952"/>
      <c r="W106" s="2343"/>
      <c r="AA106" s="1668"/>
    </row>
    <row r="107" spans="1:28" s="457" customFormat="1" x14ac:dyDescent="0.25">
      <c r="B107" s="2565"/>
      <c r="C107" s="2565"/>
      <c r="D107" s="455"/>
      <c r="E107" s="1656"/>
      <c r="G107" s="2338"/>
      <c r="H107" s="2424"/>
      <c r="I107" s="2339"/>
      <c r="J107" s="592"/>
      <c r="K107" s="1668"/>
      <c r="L107" s="2370"/>
      <c r="M107" s="1656"/>
      <c r="O107" s="1668"/>
      <c r="P107" s="340"/>
      <c r="Q107" s="1656"/>
      <c r="R107" s="592"/>
      <c r="S107" s="2341"/>
      <c r="V107" s="952"/>
      <c r="W107" s="2343"/>
      <c r="AA107" s="1668"/>
    </row>
    <row r="108" spans="1:28" s="457" customFormat="1" x14ac:dyDescent="0.25">
      <c r="B108" s="2394"/>
      <c r="C108" s="2339"/>
      <c r="D108" s="460"/>
      <c r="E108" s="1656"/>
      <c r="G108" s="2338"/>
      <c r="H108" s="2424"/>
      <c r="I108" s="2339"/>
      <c r="J108" s="592"/>
      <c r="K108" s="1668"/>
      <c r="L108" s="2370"/>
      <c r="M108" s="1656"/>
      <c r="O108" s="1668"/>
      <c r="P108" s="340"/>
      <c r="Q108" s="1656"/>
      <c r="R108" s="592"/>
      <c r="S108" s="2341"/>
      <c r="V108" s="952"/>
      <c r="W108" s="2343"/>
      <c r="AA108" s="1668"/>
    </row>
    <row r="109" spans="1:28" s="457" customFormat="1" x14ac:dyDescent="0.25">
      <c r="B109" s="2394"/>
      <c r="C109" s="2339"/>
      <c r="D109" s="455"/>
      <c r="E109" s="1656"/>
      <c r="G109" s="2338"/>
      <c r="H109" s="2424"/>
      <c r="I109" s="2339"/>
      <c r="J109" s="592"/>
      <c r="K109" s="1668"/>
      <c r="L109" s="2370"/>
      <c r="M109" s="1656"/>
      <c r="O109" s="1668"/>
      <c r="P109" s="340"/>
      <c r="Q109" s="1656"/>
      <c r="R109" s="592"/>
      <c r="S109" s="2341"/>
      <c r="V109" s="952"/>
      <c r="W109" s="2343"/>
      <c r="AA109" s="1668"/>
    </row>
    <row r="110" spans="1:28" s="457" customFormat="1" x14ac:dyDescent="0.25">
      <c r="B110" s="2394"/>
      <c r="C110" s="2339"/>
      <c r="D110" s="455"/>
      <c r="E110" s="1656"/>
      <c r="G110" s="2338"/>
      <c r="H110" s="2424"/>
      <c r="I110" s="2339"/>
      <c r="J110" s="592"/>
      <c r="K110" s="1668"/>
      <c r="L110" s="2370"/>
      <c r="M110" s="1656"/>
      <c r="O110" s="1668"/>
      <c r="P110" s="340"/>
      <c r="Q110" s="1656"/>
      <c r="R110" s="592"/>
      <c r="S110" s="2341"/>
      <c r="V110" s="952"/>
      <c r="W110" s="2343"/>
      <c r="AA110" s="1668"/>
    </row>
    <row r="111" spans="1:28" s="457" customFormat="1" ht="28.5" customHeight="1" x14ac:dyDescent="0.25">
      <c r="B111" s="2394"/>
      <c r="C111" s="2339"/>
      <c r="D111" s="342"/>
      <c r="E111" s="1656"/>
      <c r="G111" s="2338"/>
      <c r="H111" s="2424"/>
      <c r="I111" s="2339"/>
      <c r="J111" s="592"/>
      <c r="K111" s="1668"/>
      <c r="L111" s="2370"/>
      <c r="M111" s="1656"/>
      <c r="O111" s="1668"/>
      <c r="P111" s="340"/>
      <c r="Q111" s="1656"/>
      <c r="R111" s="592"/>
      <c r="S111" s="2341"/>
      <c r="V111" s="952"/>
      <c r="W111" s="2343"/>
      <c r="AA111" s="1668"/>
    </row>
    <row r="112" spans="1:28" s="457" customFormat="1" x14ac:dyDescent="0.25">
      <c r="B112" s="2394"/>
      <c r="C112" s="2339"/>
      <c r="D112" s="455"/>
      <c r="E112" s="1656"/>
      <c r="G112" s="2338"/>
      <c r="H112" s="2424"/>
      <c r="I112" s="2339"/>
      <c r="J112" s="592"/>
      <c r="K112" s="1668"/>
      <c r="L112" s="2370"/>
      <c r="M112" s="1656"/>
      <c r="O112" s="1668"/>
      <c r="P112" s="340"/>
      <c r="Q112" s="1656"/>
      <c r="R112" s="592"/>
      <c r="S112" s="2341"/>
      <c r="V112" s="952"/>
      <c r="W112" s="2343"/>
      <c r="AA112" s="1668"/>
    </row>
    <row r="113" spans="2:27" s="457" customFormat="1" x14ac:dyDescent="0.25">
      <c r="B113" s="2394"/>
      <c r="C113" s="2339"/>
      <c r="D113" s="455"/>
      <c r="E113" s="1656"/>
      <c r="G113" s="2338"/>
      <c r="H113" s="2424"/>
      <c r="I113" s="2339"/>
      <c r="J113" s="592"/>
      <c r="K113" s="1668"/>
      <c r="L113" s="2370"/>
      <c r="M113" s="1656"/>
      <c r="O113" s="1668"/>
      <c r="P113" s="340"/>
      <c r="Q113" s="1656"/>
      <c r="R113" s="592"/>
      <c r="S113" s="2341"/>
      <c r="V113" s="952"/>
      <c r="W113" s="2343"/>
      <c r="AA113" s="1668"/>
    </row>
    <row r="114" spans="2:27" s="457" customFormat="1" x14ac:dyDescent="0.25">
      <c r="B114" s="2394"/>
      <c r="C114" s="2339"/>
      <c r="D114" s="455"/>
      <c r="E114" s="1656"/>
      <c r="G114" s="2338"/>
      <c r="H114" s="2424"/>
      <c r="I114" s="2339"/>
      <c r="J114" s="592"/>
      <c r="K114" s="1668"/>
      <c r="L114" s="2370"/>
      <c r="M114" s="1656"/>
      <c r="O114" s="1668"/>
      <c r="P114" s="340"/>
      <c r="Q114" s="1656"/>
      <c r="R114" s="592"/>
      <c r="S114" s="2341"/>
      <c r="V114" s="952"/>
      <c r="W114" s="2343"/>
      <c r="AA114" s="1668"/>
    </row>
    <row r="115" spans="2:27" s="457" customFormat="1" x14ac:dyDescent="0.25">
      <c r="B115" s="2394"/>
      <c r="C115" s="2339"/>
      <c r="D115" s="455"/>
      <c r="E115" s="1656"/>
      <c r="G115" s="2338"/>
      <c r="H115" s="2424"/>
      <c r="I115" s="2339"/>
      <c r="J115" s="592"/>
      <c r="K115" s="1668"/>
      <c r="L115" s="2370"/>
      <c r="M115" s="1656"/>
      <c r="O115" s="1668"/>
      <c r="P115" s="340"/>
      <c r="Q115" s="1656"/>
      <c r="R115" s="592"/>
      <c r="S115" s="2341"/>
      <c r="V115" s="952"/>
      <c r="W115" s="2343"/>
      <c r="AA115" s="1668"/>
    </row>
    <row r="116" spans="2:27" s="457" customFormat="1" x14ac:dyDescent="0.25">
      <c r="B116" s="2394"/>
      <c r="C116" s="2339"/>
      <c r="D116" s="455"/>
      <c r="E116" s="1656"/>
      <c r="G116" s="2338"/>
      <c r="H116" s="2424"/>
      <c r="I116" s="2339"/>
      <c r="J116" s="592"/>
      <c r="K116" s="1668"/>
      <c r="L116" s="2370"/>
      <c r="M116" s="1656"/>
      <c r="O116" s="1668"/>
      <c r="P116" s="340"/>
      <c r="Q116" s="1656"/>
      <c r="R116" s="592"/>
      <c r="S116" s="2341"/>
      <c r="V116" s="952"/>
      <c r="W116" s="2343"/>
      <c r="AA116" s="1668"/>
    </row>
    <row r="117" spans="2:27" s="457" customFormat="1" x14ac:dyDescent="0.25">
      <c r="B117" s="2394"/>
      <c r="C117" s="2339"/>
      <c r="D117" s="455"/>
      <c r="E117" s="1656"/>
      <c r="G117" s="2338"/>
      <c r="H117" s="2424"/>
      <c r="I117" s="2339"/>
      <c r="J117" s="592"/>
      <c r="K117" s="1668"/>
      <c r="L117" s="2370"/>
      <c r="M117" s="1656"/>
      <c r="O117" s="1668"/>
      <c r="P117" s="340"/>
      <c r="Q117" s="1656"/>
      <c r="R117" s="592"/>
      <c r="S117" s="2341"/>
      <c r="V117" s="952"/>
      <c r="W117" s="2343"/>
      <c r="AA117" s="1668"/>
    </row>
    <row r="118" spans="2:27" s="457" customFormat="1" x14ac:dyDescent="0.25">
      <c r="B118" s="2394"/>
      <c r="C118" s="2339"/>
      <c r="D118" s="455"/>
      <c r="E118" s="1656"/>
      <c r="G118" s="2338"/>
      <c r="H118" s="2424"/>
      <c r="I118" s="2339"/>
      <c r="J118" s="592"/>
      <c r="K118" s="1668"/>
      <c r="L118" s="2370"/>
      <c r="M118" s="1656"/>
      <c r="O118" s="1668"/>
      <c r="P118" s="340"/>
      <c r="Q118" s="1656"/>
      <c r="R118" s="592"/>
      <c r="S118" s="2341"/>
      <c r="V118" s="952"/>
      <c r="W118" s="2343"/>
      <c r="AA118" s="1668"/>
    </row>
    <row r="119" spans="2:27" s="457" customFormat="1" x14ac:dyDescent="0.25">
      <c r="B119" s="2394"/>
      <c r="C119" s="2339"/>
      <c r="D119" s="455"/>
      <c r="E119" s="1656"/>
      <c r="G119" s="2338"/>
      <c r="H119" s="2424"/>
      <c r="I119" s="2339"/>
      <c r="J119" s="592"/>
      <c r="K119" s="1668"/>
      <c r="L119" s="2370"/>
      <c r="M119" s="1656"/>
      <c r="O119" s="1668"/>
      <c r="P119" s="340"/>
      <c r="Q119" s="1656"/>
      <c r="R119" s="592"/>
      <c r="S119" s="2341"/>
      <c r="V119" s="952"/>
      <c r="W119" s="2343"/>
      <c r="AA119" s="1668"/>
    </row>
    <row r="120" spans="2:27" s="457" customFormat="1" x14ac:dyDescent="0.25">
      <c r="B120" s="2394"/>
      <c r="C120" s="2339"/>
      <c r="D120" s="455"/>
      <c r="E120" s="1656"/>
      <c r="G120" s="2338"/>
      <c r="H120" s="2424"/>
      <c r="I120" s="2339"/>
      <c r="J120" s="592"/>
      <c r="K120" s="1668"/>
      <c r="L120" s="2370"/>
      <c r="M120" s="1656"/>
      <c r="O120" s="1668"/>
      <c r="P120" s="340"/>
      <c r="Q120" s="1656"/>
      <c r="R120" s="592"/>
      <c r="S120" s="2341"/>
      <c r="V120" s="952"/>
      <c r="W120" s="2343"/>
      <c r="AA120" s="1668"/>
    </row>
    <row r="121" spans="2:27" s="457" customFormat="1" x14ac:dyDescent="0.25">
      <c r="B121" s="2394"/>
      <c r="C121" s="2339"/>
      <c r="D121" s="455"/>
      <c r="E121" s="1656"/>
      <c r="G121" s="2338"/>
      <c r="H121" s="2424"/>
      <c r="I121" s="2339"/>
      <c r="J121" s="592"/>
      <c r="K121" s="1668"/>
      <c r="L121" s="2370"/>
      <c r="M121" s="1656"/>
      <c r="O121" s="1668"/>
      <c r="P121" s="340"/>
      <c r="Q121" s="1656"/>
      <c r="R121" s="592"/>
      <c r="S121" s="2341"/>
      <c r="V121" s="952"/>
      <c r="W121" s="2343"/>
      <c r="AA121" s="1668"/>
    </row>
    <row r="122" spans="2:27" s="457" customFormat="1" x14ac:dyDescent="0.25">
      <c r="B122" s="2394"/>
      <c r="C122" s="2339"/>
      <c r="D122" s="455"/>
      <c r="E122" s="1656"/>
      <c r="G122" s="2338"/>
      <c r="H122" s="2424"/>
      <c r="I122" s="2339"/>
      <c r="J122" s="592"/>
      <c r="K122" s="1668"/>
      <c r="L122" s="2370"/>
      <c r="M122" s="1656"/>
      <c r="O122" s="1668"/>
      <c r="P122" s="340"/>
      <c r="Q122" s="1656"/>
      <c r="R122" s="592"/>
      <c r="S122" s="2341"/>
      <c r="V122" s="952"/>
      <c r="W122" s="2343"/>
      <c r="AA122" s="1668"/>
    </row>
    <row r="123" spans="2:27" s="457" customFormat="1" x14ac:dyDescent="0.25">
      <c r="B123" s="2394"/>
      <c r="C123" s="2339"/>
      <c r="D123" s="455"/>
      <c r="E123" s="1656"/>
      <c r="G123" s="2338"/>
      <c r="H123" s="2424"/>
      <c r="I123" s="2339"/>
      <c r="J123" s="592"/>
      <c r="K123" s="1668"/>
      <c r="L123" s="2370"/>
      <c r="M123" s="1656"/>
      <c r="O123" s="1668"/>
      <c r="P123" s="340"/>
      <c r="Q123" s="1656"/>
      <c r="R123" s="592"/>
      <c r="S123" s="2341"/>
      <c r="V123" s="952"/>
      <c r="W123" s="2343"/>
      <c r="AA123" s="1668"/>
    </row>
    <row r="124" spans="2:27" s="457" customFormat="1" x14ac:dyDescent="0.25">
      <c r="B124" s="2394"/>
      <c r="C124" s="2339"/>
      <c r="D124" s="455"/>
      <c r="E124" s="1656"/>
      <c r="G124" s="2338"/>
      <c r="H124" s="2424"/>
      <c r="I124" s="2339"/>
      <c r="J124" s="592"/>
      <c r="K124" s="1668"/>
      <c r="L124" s="2370"/>
      <c r="M124" s="1656"/>
      <c r="O124" s="1668"/>
      <c r="P124" s="340"/>
      <c r="Q124" s="1656"/>
      <c r="R124" s="592"/>
      <c r="S124" s="2341"/>
      <c r="V124" s="952"/>
      <c r="W124" s="2343"/>
      <c r="AA124" s="1668"/>
    </row>
    <row r="125" spans="2:27" s="457" customFormat="1" x14ac:dyDescent="0.25">
      <c r="B125" s="2394"/>
      <c r="C125" s="2339"/>
      <c r="D125" s="455"/>
      <c r="E125" s="1656"/>
      <c r="G125" s="2338"/>
      <c r="H125" s="2424"/>
      <c r="I125" s="2339"/>
      <c r="J125" s="592"/>
      <c r="K125" s="1668"/>
      <c r="L125" s="2370"/>
      <c r="M125" s="1656"/>
      <c r="O125" s="1668"/>
      <c r="P125" s="340"/>
      <c r="Q125" s="1656"/>
      <c r="R125" s="592"/>
      <c r="S125" s="2341"/>
      <c r="V125" s="952"/>
      <c r="W125" s="2343"/>
      <c r="AA125" s="1668"/>
    </row>
    <row r="126" spans="2:27" s="457" customFormat="1" x14ac:dyDescent="0.25">
      <c r="B126" s="2394"/>
      <c r="C126" s="2339"/>
      <c r="D126" s="455"/>
      <c r="E126" s="1656"/>
      <c r="G126" s="2338"/>
      <c r="H126" s="2424"/>
      <c r="I126" s="2339"/>
      <c r="J126" s="592"/>
      <c r="K126" s="1668"/>
      <c r="L126" s="2370"/>
      <c r="M126" s="1656"/>
      <c r="O126" s="1668"/>
      <c r="P126" s="340"/>
      <c r="Q126" s="1656"/>
      <c r="R126" s="592"/>
      <c r="S126" s="2341"/>
      <c r="V126" s="952"/>
      <c r="W126" s="2343"/>
      <c r="AA126" s="1668"/>
    </row>
    <row r="127" spans="2:27" s="457" customFormat="1" x14ac:dyDescent="0.25">
      <c r="B127" s="2345"/>
      <c r="C127" s="1656"/>
      <c r="D127" s="340"/>
      <c r="E127" s="1656"/>
      <c r="G127" s="2338"/>
      <c r="H127" s="2424"/>
      <c r="I127" s="2339"/>
      <c r="J127" s="592"/>
      <c r="K127" s="1668"/>
      <c r="L127" s="2370"/>
      <c r="M127" s="1656"/>
      <c r="O127" s="1668"/>
      <c r="P127" s="340"/>
      <c r="Q127" s="1656"/>
      <c r="R127" s="592"/>
      <c r="S127" s="2341"/>
      <c r="V127" s="952"/>
      <c r="W127" s="2343"/>
      <c r="AA127" s="1668"/>
    </row>
    <row r="128" spans="2:27" s="457" customFormat="1" x14ac:dyDescent="0.25">
      <c r="B128" s="2345"/>
      <c r="C128" s="1656"/>
      <c r="D128" s="340"/>
      <c r="E128" s="1656"/>
      <c r="G128" s="2338"/>
      <c r="H128" s="2424"/>
      <c r="I128" s="2339"/>
      <c r="J128" s="592"/>
      <c r="K128" s="1668"/>
      <c r="L128" s="2370"/>
      <c r="M128" s="1656"/>
      <c r="O128" s="1668"/>
      <c r="P128" s="340"/>
      <c r="Q128" s="1656"/>
      <c r="R128" s="592"/>
      <c r="S128" s="2341"/>
      <c r="V128" s="952"/>
      <c r="W128" s="2343"/>
      <c r="AA128" s="1668"/>
    </row>
    <row r="129" spans="2:27" s="457" customFormat="1" x14ac:dyDescent="0.25">
      <c r="B129" s="2345"/>
      <c r="C129" s="1656"/>
      <c r="D129" s="340"/>
      <c r="E129" s="1656"/>
      <c r="G129" s="2338"/>
      <c r="H129" s="2424"/>
      <c r="I129" s="2339"/>
      <c r="J129" s="592"/>
      <c r="K129" s="1668"/>
      <c r="L129" s="2370"/>
      <c r="M129" s="1656"/>
      <c r="O129" s="1668"/>
      <c r="P129" s="340"/>
      <c r="Q129" s="1656"/>
      <c r="R129" s="592"/>
      <c r="S129" s="2341"/>
      <c r="V129" s="952"/>
      <c r="W129" s="2343"/>
      <c r="AA129" s="1668"/>
    </row>
    <row r="130" spans="2:27" s="457" customFormat="1" x14ac:dyDescent="0.25">
      <c r="B130" s="2345"/>
      <c r="C130" s="1656"/>
      <c r="D130" s="340"/>
      <c r="E130" s="1656"/>
      <c r="G130" s="2338"/>
      <c r="H130" s="2424"/>
      <c r="I130" s="2339"/>
      <c r="J130" s="592"/>
      <c r="K130" s="1668"/>
      <c r="L130" s="2370"/>
      <c r="M130" s="1656"/>
      <c r="O130" s="1668"/>
      <c r="P130" s="340"/>
      <c r="Q130" s="1656"/>
      <c r="R130" s="592"/>
      <c r="S130" s="2341"/>
      <c r="V130" s="952"/>
      <c r="W130" s="2343"/>
      <c r="AA130" s="1668"/>
    </row>
    <row r="131" spans="2:27" s="457" customFormat="1" x14ac:dyDescent="0.25">
      <c r="B131" s="2345"/>
      <c r="C131" s="1656"/>
      <c r="D131" s="340"/>
      <c r="E131" s="1656"/>
      <c r="G131" s="2338"/>
      <c r="H131" s="2424"/>
      <c r="I131" s="2339"/>
      <c r="J131" s="592"/>
      <c r="K131" s="1668"/>
      <c r="L131" s="2370"/>
      <c r="M131" s="1656"/>
      <c r="O131" s="1668"/>
      <c r="P131" s="340"/>
      <c r="Q131" s="1656"/>
      <c r="R131" s="592"/>
      <c r="S131" s="2341"/>
      <c r="V131" s="952"/>
      <c r="W131" s="2343"/>
      <c r="AA131" s="1668"/>
    </row>
  </sheetData>
  <sheetProtection password="E247" sheet="1" objects="1" scenarios="1"/>
  <mergeCells count="1">
    <mergeCell ref="B106:C107"/>
  </mergeCells>
  <pageMargins left="0.25" right="0.25" top="0.5" bottom="0.5" header="0.25" footer="0.25"/>
  <pageSetup paperSize="5" scale="93" orientation="portrait" r:id="rId1"/>
  <headerFooter>
    <oddHeader>&amp;L&amp;F</oddHeader>
    <oddFooter>&amp;R&amp;A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C131"/>
  <sheetViews>
    <sheetView zoomScaleNormal="100" workbookViewId="0">
      <pane xSplit="3" ySplit="6" topLeftCell="H7" activePane="bottomRight" state="frozen"/>
      <selection activeCell="H7" sqref="H7"/>
      <selection pane="topRight" activeCell="H7" sqref="H7"/>
      <selection pane="bottomLeft" activeCell="H7" sqref="H7"/>
      <selection pane="bottomRight" activeCell="H7" sqref="H7"/>
    </sheetView>
  </sheetViews>
  <sheetFormatPr defaultRowHeight="15" x14ac:dyDescent="0.25"/>
  <cols>
    <col min="1" max="1" width="1.7109375" style="2213" customWidth="1"/>
    <col min="2" max="2" width="8.5703125" style="2172" customWidth="1"/>
    <col min="3" max="3" width="18.28515625" style="2176" customWidth="1"/>
    <col min="4" max="4" width="16" style="2" hidden="1" customWidth="1"/>
    <col min="5" max="5" width="17.7109375" style="844" hidden="1" customWidth="1"/>
    <col min="6" max="6" width="6" style="39" hidden="1" customWidth="1"/>
    <col min="7" max="7" width="9.42578125" style="52" hidden="1" customWidth="1"/>
    <col min="8" max="8" width="13.85546875" style="121" bestFit="1" customWidth="1"/>
    <col min="9" max="9" width="26" style="853" hidden="1" customWidth="1"/>
    <col min="10" max="10" width="5.7109375" style="59" hidden="1" customWidth="1"/>
    <col min="11" max="11" width="9.42578125" style="333" hidden="1" customWidth="1"/>
    <col min="12" max="12" width="14" style="122" bestFit="1" customWidth="1"/>
    <col min="13" max="13" width="26" style="844" hidden="1" customWidth="1"/>
    <col min="14" max="14" width="5.7109375" style="39" hidden="1" customWidth="1"/>
    <col min="15" max="15" width="9.42578125" style="333" hidden="1" customWidth="1"/>
    <col min="16" max="16" width="14" style="2" bestFit="1" customWidth="1"/>
    <col min="17" max="17" width="24.85546875" style="844" hidden="1" customWidth="1"/>
    <col min="18" max="18" width="5.28515625" style="51" hidden="1" customWidth="1"/>
    <col min="19" max="19" width="9.42578125" style="338" hidden="1" customWidth="1"/>
    <col min="20" max="20" width="14" style="39" customWidth="1"/>
    <col min="21" max="21" width="24.85546875" style="39" hidden="1" customWidth="1"/>
    <col min="22" max="22" width="5.7109375" style="109" customWidth="1"/>
    <col min="23" max="23" width="9.42578125" style="2244" hidden="1" customWidth="1"/>
    <col min="24" max="24" width="14" style="39" hidden="1" customWidth="1"/>
    <col min="25" max="25" width="24.85546875" style="39" hidden="1" customWidth="1"/>
    <col min="26" max="26" width="5.7109375" style="39" hidden="1" customWidth="1"/>
    <col min="27" max="27" width="9.42578125" style="333" hidden="1" customWidth="1"/>
    <col min="28" max="28" width="14" style="39" hidden="1" customWidth="1"/>
    <col min="29" max="29" width="24.85546875" style="39" hidden="1" customWidth="1"/>
    <col min="30" max="16384" width="9.140625" style="39"/>
  </cols>
  <sheetData>
    <row r="1" spans="1:29" x14ac:dyDescent="0.25">
      <c r="B1" s="2172" t="s">
        <v>61</v>
      </c>
      <c r="C1" s="2177" t="s">
        <v>223</v>
      </c>
      <c r="D1" s="948"/>
      <c r="E1" s="943"/>
      <c r="F1" s="944"/>
      <c r="G1" s="1670"/>
      <c r="H1" s="949"/>
      <c r="I1" s="943"/>
      <c r="K1" s="1665"/>
      <c r="L1" s="945"/>
      <c r="M1" s="943"/>
      <c r="N1" s="59"/>
      <c r="O1" s="1665"/>
      <c r="P1" s="945"/>
      <c r="Q1" s="943"/>
      <c r="T1" s="86">
        <v>0</v>
      </c>
      <c r="U1" s="98"/>
      <c r="X1" s="86">
        <v>0</v>
      </c>
      <c r="Y1" s="98"/>
      <c r="AB1" s="86">
        <v>0</v>
      </c>
      <c r="AC1" s="98"/>
    </row>
    <row r="2" spans="1:29" ht="17.25" x14ac:dyDescent="0.4">
      <c r="B2" s="2173" t="s">
        <v>59</v>
      </c>
      <c r="C2" s="2177">
        <v>5640</v>
      </c>
      <c r="D2" s="949"/>
      <c r="E2" s="943"/>
      <c r="F2" s="944"/>
      <c r="G2" s="1671"/>
      <c r="H2" s="949"/>
      <c r="I2" s="943"/>
      <c r="K2" s="1665"/>
      <c r="L2" s="946"/>
      <c r="M2" s="943"/>
      <c r="N2" s="59"/>
      <c r="O2" s="1665"/>
      <c r="P2" s="946"/>
      <c r="Q2" s="943"/>
      <c r="T2" s="87">
        <v>0</v>
      </c>
      <c r="U2" s="98"/>
      <c r="X2" s="87">
        <v>0</v>
      </c>
      <c r="Y2" s="98"/>
      <c r="AB2" s="87">
        <v>0</v>
      </c>
      <c r="AC2" s="98"/>
    </row>
    <row r="3" spans="1:29" x14ac:dyDescent="0.25">
      <c r="D3" s="950"/>
      <c r="E3" s="947"/>
      <c r="F3" s="951"/>
      <c r="G3" s="1672"/>
      <c r="H3" s="950"/>
      <c r="I3" s="947"/>
      <c r="K3" s="1665"/>
      <c r="L3" s="945"/>
      <c r="M3" s="932"/>
      <c r="N3" s="59"/>
      <c r="O3" s="1665"/>
      <c r="P3" s="945"/>
      <c r="Q3" s="932"/>
      <c r="T3" s="86">
        <f>SUM(T1:T2)</f>
        <v>0</v>
      </c>
      <c r="U3" s="51"/>
      <c r="X3" s="86">
        <f>SUM(X1:X2)</f>
        <v>0</v>
      </c>
      <c r="Y3" s="51"/>
      <c r="AB3" s="86">
        <f>SUM(AB1:AB2)</f>
        <v>0</v>
      </c>
      <c r="AC3" s="51"/>
    </row>
    <row r="4" spans="1:29" x14ac:dyDescent="0.25">
      <c r="D4" s="66"/>
      <c r="E4" s="932"/>
      <c r="F4" s="59"/>
      <c r="G4" s="1673"/>
      <c r="H4" s="945"/>
      <c r="I4" s="932"/>
      <c r="K4" s="1665"/>
      <c r="L4" s="945"/>
      <c r="M4" s="932"/>
      <c r="N4" s="59"/>
      <c r="O4" s="1665"/>
      <c r="P4" s="945"/>
      <c r="Q4" s="932"/>
      <c r="T4" s="86"/>
      <c r="U4" s="51"/>
      <c r="X4" s="86"/>
      <c r="Y4" s="51"/>
      <c r="AB4" s="86"/>
      <c r="AC4" s="51"/>
    </row>
    <row r="5" spans="1:29" ht="15.75" x14ac:dyDescent="0.25">
      <c r="B5" s="2174" t="s">
        <v>56</v>
      </c>
      <c r="P5" s="122">
        <f>-P92</f>
        <v>0</v>
      </c>
      <c r="T5" s="122">
        <f>-T92</f>
        <v>0</v>
      </c>
      <c r="X5" s="73"/>
      <c r="AB5" s="73"/>
    </row>
    <row r="6" spans="1:29" s="89" customFormat="1" ht="15.75" x14ac:dyDescent="0.25">
      <c r="A6" s="2214"/>
      <c r="B6" s="2175"/>
      <c r="C6" s="2175"/>
      <c r="D6" s="243" t="s">
        <v>55</v>
      </c>
      <c r="E6" s="845"/>
      <c r="G6" s="327"/>
      <c r="H6" s="282" t="str">
        <f>LEFT(D6,4)+1&amp;"-"&amp;RIGHT(D6,4)+1</f>
        <v>2017-2018</v>
      </c>
      <c r="I6" s="854"/>
      <c r="J6" s="93"/>
      <c r="K6" s="334"/>
      <c r="L6" s="123" t="str">
        <f>LEFT(H6,4)+1&amp;"-"&amp;RIGHT(H6,4)+1</f>
        <v>2018-2019</v>
      </c>
      <c r="M6" s="888"/>
      <c r="N6" s="96"/>
      <c r="O6" s="337"/>
      <c r="P6" s="123" t="str">
        <f>LEFT(L6,4)+1&amp;"-"&amp;RIGHT(L6,4)+1</f>
        <v>2019-2020</v>
      </c>
      <c r="Q6" s="888"/>
      <c r="R6" s="2237"/>
      <c r="S6" s="2242"/>
      <c r="T6" s="95" t="str">
        <f>LEFT(P6,4)+1&amp;"-"&amp;RIGHT(P6,4)+1</f>
        <v>2020-2021</v>
      </c>
      <c r="U6" s="95"/>
      <c r="V6" s="110"/>
      <c r="W6" s="2245"/>
      <c r="X6" s="95" t="str">
        <f>LEFT(T6,4)+1&amp;"-"&amp;RIGHT(T6,4)+1</f>
        <v>2021-2022</v>
      </c>
      <c r="Y6" s="95"/>
      <c r="Z6" s="96"/>
      <c r="AA6" s="337"/>
      <c r="AB6" s="95" t="str">
        <f>LEFT(X6,4)+1&amp;"-"&amp;RIGHT(X6,4)+1</f>
        <v>2022-2023</v>
      </c>
      <c r="AC6" s="95"/>
    </row>
    <row r="7" spans="1:29" s="457" customFormat="1" x14ac:dyDescent="0.25">
      <c r="A7" s="2215"/>
      <c r="B7" s="2337" t="s">
        <v>54</v>
      </c>
      <c r="C7" s="2215"/>
      <c r="D7" s="340">
        <v>0</v>
      </c>
      <c r="E7" s="1656"/>
      <c r="G7" s="2338"/>
      <c r="H7" s="340">
        <f>D92</f>
        <v>0</v>
      </c>
      <c r="I7" s="1656"/>
      <c r="J7" s="599"/>
      <c r="K7" s="1668"/>
      <c r="L7" s="340">
        <f>H92</f>
        <v>0</v>
      </c>
      <c r="M7" s="1656"/>
      <c r="O7" s="1668"/>
      <c r="P7" s="340">
        <f>L92</f>
        <v>0</v>
      </c>
      <c r="Q7" s="1656"/>
      <c r="R7" s="592"/>
      <c r="S7" s="2341"/>
      <c r="T7" s="340">
        <f>P92</f>
        <v>0</v>
      </c>
      <c r="V7" s="952"/>
      <c r="W7" s="2343"/>
      <c r="X7" s="340">
        <f>T92</f>
        <v>0</v>
      </c>
      <c r="AA7" s="1668"/>
      <c r="AB7" s="340">
        <f>X92</f>
        <v>-287346</v>
      </c>
    </row>
    <row r="8" spans="1:29" s="457" customFormat="1" x14ac:dyDescent="0.25">
      <c r="A8" s="2215"/>
      <c r="B8" s="2345"/>
      <c r="C8" s="2215"/>
      <c r="D8" s="340"/>
      <c r="E8" s="1656"/>
      <c r="G8" s="2338"/>
      <c r="H8" s="340"/>
      <c r="I8" s="1656"/>
      <c r="J8" s="592"/>
      <c r="K8" s="1668"/>
      <c r="L8" s="340"/>
      <c r="M8" s="1656"/>
      <c r="O8" s="1668"/>
      <c r="P8" s="340"/>
      <c r="Q8" s="1656"/>
      <c r="R8" s="592"/>
      <c r="S8" s="2341"/>
      <c r="V8" s="952"/>
      <c r="W8" s="2343"/>
      <c r="AA8" s="1668"/>
    </row>
    <row r="9" spans="1:29" s="457" customFormat="1" x14ac:dyDescent="0.25">
      <c r="A9" s="2215"/>
      <c r="B9" s="2345" t="s">
        <v>52</v>
      </c>
      <c r="C9" s="2215" t="s">
        <v>53</v>
      </c>
      <c r="D9" s="340">
        <v>175676.28</v>
      </c>
      <c r="E9" s="1656"/>
      <c r="G9" s="456">
        <f>IF(D9=0,"0.00%",(H9-D9)/D9)</f>
        <v>0.66213674378806286</v>
      </c>
      <c r="H9" s="833">
        <v>291998</v>
      </c>
      <c r="I9" s="1656" t="s">
        <v>173</v>
      </c>
      <c r="J9" s="342"/>
      <c r="K9" s="456">
        <f>IF(H9=0,"0.00%",(L9-H9)/H9)</f>
        <v>-2.4356331207747998E-2</v>
      </c>
      <c r="L9" s="833">
        <v>284886</v>
      </c>
      <c r="M9" s="1656"/>
      <c r="O9" s="456">
        <f>IF(L9=0,"0.00%",(P9-L9)/L9)</f>
        <v>-7.7188770244940082E-3</v>
      </c>
      <c r="P9" s="833">
        <v>282687</v>
      </c>
      <c r="Q9" s="1656" t="s">
        <v>940</v>
      </c>
      <c r="R9" s="592"/>
      <c r="S9" s="2238">
        <f>IF(P9=0,"0.00%",(T9-P9)/P9)</f>
        <v>1.0053522093339984E-2</v>
      </c>
      <c r="T9" s="833">
        <v>285529</v>
      </c>
      <c r="V9" s="952"/>
      <c r="W9" s="2241">
        <f>IF(T9=0,"0.00%",(X9-T9)/T9)</f>
        <v>-1</v>
      </c>
      <c r="X9" s="833">
        <f>X3</f>
        <v>0</v>
      </c>
      <c r="AA9" s="456" t="str">
        <f>IF(X9=0,"0.00%",(AB9-X9)/X9)</f>
        <v>0.00%</v>
      </c>
      <c r="AB9" s="833">
        <f>AB3</f>
        <v>0</v>
      </c>
    </row>
    <row r="10" spans="1:29" s="457" customFormat="1" x14ac:dyDescent="0.25">
      <c r="A10" s="2215"/>
      <c r="B10" s="2345"/>
      <c r="C10" s="2215" t="s">
        <v>51</v>
      </c>
      <c r="D10" s="340">
        <v>0</v>
      </c>
      <c r="E10" s="1656"/>
      <c r="G10" s="456" t="str">
        <f t="shared" ref="G10:G15" si="0">IF(D10=0,"0.00%",(H10-D10)/D10)</f>
        <v>0.00%</v>
      </c>
      <c r="H10" s="833">
        <v>0</v>
      </c>
      <c r="I10" s="1656"/>
      <c r="J10" s="342"/>
      <c r="K10" s="456" t="str">
        <f>IF(H10=0,"0.00%",(L10-H10)/H10)</f>
        <v>0.00%</v>
      </c>
      <c r="L10" s="833">
        <f>-H2</f>
        <v>0</v>
      </c>
      <c r="M10" s="1656"/>
      <c r="O10" s="456" t="str">
        <f>IF(L10=0,"0.00%",(P10-L10)/L10)</f>
        <v>0.00%</v>
      </c>
      <c r="P10" s="833">
        <f>-L2</f>
        <v>0</v>
      </c>
      <c r="Q10" s="1656"/>
      <c r="R10" s="592"/>
      <c r="S10" s="2238" t="str">
        <f>IF(P10=0,"0.00%",(T10-P10)/P10)</f>
        <v>0.00%</v>
      </c>
      <c r="T10" s="833">
        <f>-P2</f>
        <v>0</v>
      </c>
      <c r="V10" s="952"/>
      <c r="W10" s="2241" t="str">
        <f>IF(T10=0,"0.00%",(X10-T10)/T10)</f>
        <v>0.00%</v>
      </c>
      <c r="X10" s="833">
        <f>-T2</f>
        <v>0</v>
      </c>
      <c r="AA10" s="456" t="str">
        <f>IF(X10=0,"0.00%",(AB10-X10)/X10)</f>
        <v>0.00%</v>
      </c>
      <c r="AB10" s="833">
        <f>-X2</f>
        <v>0</v>
      </c>
    </row>
    <row r="11" spans="1:29" s="457" customFormat="1" x14ac:dyDescent="0.25">
      <c r="A11" s="2215"/>
      <c r="B11" s="2337" t="s">
        <v>137</v>
      </c>
      <c r="C11" s="2215"/>
      <c r="D11" s="458">
        <f>SUM(D9:D10)</f>
        <v>175676.28</v>
      </c>
      <c r="E11" s="1656"/>
      <c r="G11" s="456">
        <f t="shared" si="0"/>
        <v>0.66213674378806286</v>
      </c>
      <c r="H11" s="458">
        <f>SUM(H9:H10)</f>
        <v>291998</v>
      </c>
      <c r="I11" s="2316">
        <f>+H11-D11</f>
        <v>116321.72</v>
      </c>
      <c r="J11" s="601"/>
      <c r="K11" s="456">
        <f>IF(H11=0,"0.00%",(L11-H11)/H11)</f>
        <v>-2.4356331207747998E-2</v>
      </c>
      <c r="L11" s="458">
        <f>SUM(L9:L10)</f>
        <v>284886</v>
      </c>
      <c r="M11" s="2316">
        <f>+L11-H11</f>
        <v>-7112</v>
      </c>
      <c r="O11" s="456">
        <f>IF(L11=0,"0.00%",(P11-L11)/L11)</f>
        <v>-7.7188770244940082E-3</v>
      </c>
      <c r="P11" s="458">
        <f>SUM(P9:P10)</f>
        <v>282687</v>
      </c>
      <c r="Q11" s="2316">
        <f>+P11-L11</f>
        <v>-2199</v>
      </c>
      <c r="R11" s="592"/>
      <c r="S11" s="2238">
        <f>IF(P11=0,"0.00%",(T11-P11)/P11)</f>
        <v>1.0053522093339984E-2</v>
      </c>
      <c r="T11" s="2353">
        <f>SUM(T9:T10)</f>
        <v>285529</v>
      </c>
      <c r="V11" s="952"/>
      <c r="W11" s="2241">
        <f>IF(T11=0,"0.00%",(X11-T11)/T11)</f>
        <v>-1</v>
      </c>
      <c r="X11" s="2353">
        <f>SUM(X9:X10)</f>
        <v>0</v>
      </c>
      <c r="AA11" s="456" t="str">
        <f>IF(X11=0,"0.00%",(AB11-X11)/X11)</f>
        <v>0.00%</v>
      </c>
      <c r="AB11" s="2353">
        <f>SUM(AB9:AB10)</f>
        <v>0</v>
      </c>
    </row>
    <row r="12" spans="1:29" s="457" customFormat="1" x14ac:dyDescent="0.25">
      <c r="A12" s="2215"/>
      <c r="B12" s="2345"/>
      <c r="C12" s="2215"/>
      <c r="D12" s="340"/>
      <c r="E12" s="1656"/>
      <c r="G12" s="2338"/>
      <c r="H12" s="833"/>
      <c r="I12" s="1656"/>
      <c r="J12" s="602"/>
      <c r="K12" s="2338"/>
      <c r="L12" s="833"/>
      <c r="M12" s="1656"/>
      <c r="O12" s="2338"/>
      <c r="P12" s="833"/>
      <c r="Q12" s="1656"/>
      <c r="R12" s="592"/>
      <c r="S12" s="2355"/>
      <c r="T12" s="2356"/>
      <c r="V12" s="952"/>
      <c r="W12" s="2357"/>
      <c r="X12" s="2356"/>
      <c r="AA12" s="2338"/>
      <c r="AB12" s="2356"/>
    </row>
    <row r="13" spans="1:29" s="457" customFormat="1" x14ac:dyDescent="0.25">
      <c r="A13" s="2215"/>
      <c r="B13" s="2449"/>
      <c r="C13" s="2358" t="s">
        <v>64</v>
      </c>
      <c r="D13" s="2359">
        <f>ROUND(D11-(D11/(1+B13)),0)</f>
        <v>0</v>
      </c>
      <c r="E13" s="1656"/>
      <c r="G13" s="456" t="str">
        <f t="shared" si="0"/>
        <v>0.00%</v>
      </c>
      <c r="H13" s="2359">
        <f>ROUND(H11-(H11/(1+B13)),0)</f>
        <v>0</v>
      </c>
      <c r="I13" s="1656"/>
      <c r="J13" s="603"/>
      <c r="K13" s="456" t="str">
        <f>IF(H13=0,"0.00%",(L13-H13)/H13)</f>
        <v>0.00%</v>
      </c>
      <c r="L13" s="2359">
        <f>ROUND(L11-(L11/(1+B13)),0)</f>
        <v>0</v>
      </c>
      <c r="M13" s="1656"/>
      <c r="O13" s="456" t="str">
        <f>IF(L13=0,"0.00%",(P13-L13)/L13)</f>
        <v>0.00%</v>
      </c>
      <c r="P13" s="2359">
        <f>ROUND(P11-(P11/(1+B13)),0)</f>
        <v>0</v>
      </c>
      <c r="Q13" s="1656"/>
      <c r="R13" s="592"/>
      <c r="S13" s="2238" t="str">
        <f>IF(P13=0,"0.00%",(T13-P13)/P13)</f>
        <v>0.00%</v>
      </c>
      <c r="T13" s="2362">
        <f>ROUND(T11-(T11/(1+B13)),0)</f>
        <v>0</v>
      </c>
      <c r="V13" s="952"/>
      <c r="W13" s="2241" t="str">
        <f>IF(T13=0,"0.00%",(X13-T13)/T13)</f>
        <v>0.00%</v>
      </c>
      <c r="X13" s="2362">
        <f>ROUND(X11-(X11/(1+B13)),0)</f>
        <v>0</v>
      </c>
      <c r="AA13" s="456" t="str">
        <f>IF(X13=0,"0.00%",(AB13-X13)/X13)</f>
        <v>0.00%</v>
      </c>
      <c r="AB13" s="2362">
        <f>ROUND(AB11-(AB11/(1+G13)),0)</f>
        <v>0</v>
      </c>
    </row>
    <row r="14" spans="1:29" s="457" customFormat="1" x14ac:dyDescent="0.25">
      <c r="A14" s="2215"/>
      <c r="B14" s="2345"/>
      <c r="C14" s="2215"/>
      <c r="D14" s="340"/>
      <c r="E14" s="1656"/>
      <c r="G14" s="2338"/>
      <c r="H14" s="833"/>
      <c r="I14" s="1656"/>
      <c r="J14" s="602"/>
      <c r="K14" s="2338"/>
      <c r="L14" s="833"/>
      <c r="M14" s="1656"/>
      <c r="O14" s="2338"/>
      <c r="P14" s="833"/>
      <c r="Q14" s="1656"/>
      <c r="R14" s="592"/>
      <c r="S14" s="2355"/>
      <c r="T14" s="2356"/>
      <c r="V14" s="952"/>
      <c r="W14" s="2357"/>
      <c r="X14" s="2356"/>
      <c r="AA14" s="2338"/>
      <c r="AB14" s="2356"/>
    </row>
    <row r="15" spans="1:29" s="457" customFormat="1" x14ac:dyDescent="0.25">
      <c r="A15" s="2215"/>
      <c r="B15" s="2337" t="s">
        <v>50</v>
      </c>
      <c r="C15" s="2215"/>
      <c r="D15" s="1866">
        <f>D11-D13</f>
        <v>175676.28</v>
      </c>
      <c r="E15" s="1656"/>
      <c r="G15" s="456">
        <f t="shared" si="0"/>
        <v>0.66213674378806286</v>
      </c>
      <c r="H15" s="2359">
        <f>H11-H13</f>
        <v>291998</v>
      </c>
      <c r="I15" s="2316">
        <f>+H15-D15</f>
        <v>116321.72</v>
      </c>
      <c r="J15" s="601"/>
      <c r="K15" s="456">
        <f>IF(H15=0,"0.00%",(L15-H15)/H15)</f>
        <v>-2.4356331207747998E-2</v>
      </c>
      <c r="L15" s="2359">
        <f>L11-L13</f>
        <v>284886</v>
      </c>
      <c r="M15" s="2316">
        <f>+L15-H15</f>
        <v>-7112</v>
      </c>
      <c r="O15" s="456">
        <f>IF(L15=0,"0.00%",(P15-L15)/L15)</f>
        <v>-7.7188770244940082E-3</v>
      </c>
      <c r="P15" s="2359">
        <f>P11-P13</f>
        <v>282687</v>
      </c>
      <c r="Q15" s="2316">
        <f>+P15-L15</f>
        <v>-2199</v>
      </c>
      <c r="R15" s="592"/>
      <c r="S15" s="2238">
        <f>IF(P15=0,"0.00%",(T15-P15)/P15)</f>
        <v>1.0053522093339984E-2</v>
      </c>
      <c r="T15" s="2366">
        <f>T11-T13</f>
        <v>285529</v>
      </c>
      <c r="V15" s="952"/>
      <c r="W15" s="2241">
        <f>IF(T15=0,"0.00%",(X15-T15)/T15)</f>
        <v>-1</v>
      </c>
      <c r="X15" s="2366">
        <f>X11-X13</f>
        <v>0</v>
      </c>
      <c r="AA15" s="456" t="str">
        <f>IF(X15=0,"0.00%",(AB15-X15)/X15)</f>
        <v>0.00%</v>
      </c>
      <c r="AB15" s="2366">
        <f>AB11-AB13</f>
        <v>0</v>
      </c>
    </row>
    <row r="16" spans="1:29" s="457" customFormat="1" x14ac:dyDescent="0.25">
      <c r="A16" s="2215"/>
      <c r="B16" s="2345"/>
      <c r="C16" s="2215"/>
      <c r="D16" s="340"/>
      <c r="E16" s="1656"/>
      <c r="G16" s="2338"/>
      <c r="H16" s="833"/>
      <c r="I16" s="1656"/>
      <c r="J16" s="601"/>
      <c r="K16" s="1668"/>
      <c r="L16" s="833"/>
      <c r="M16" s="1656"/>
      <c r="O16" s="1668"/>
      <c r="P16" s="833"/>
      <c r="Q16" s="1656"/>
      <c r="R16" s="592"/>
      <c r="S16" s="2341"/>
      <c r="T16" s="2367"/>
      <c r="V16" s="952"/>
      <c r="W16" s="2343"/>
      <c r="X16" s="2367"/>
      <c r="AA16" s="1668"/>
      <c r="AB16" s="2367"/>
    </row>
    <row r="17" spans="1:29" s="457" customFormat="1" x14ac:dyDescent="0.25">
      <c r="A17" s="2215"/>
      <c r="B17" s="2345"/>
      <c r="C17" s="2345"/>
      <c r="D17" s="340"/>
      <c r="E17" s="1656"/>
      <c r="G17" s="2338"/>
      <c r="H17" s="833"/>
      <c r="I17" s="1656"/>
      <c r="J17" s="602"/>
      <c r="K17" s="1668"/>
      <c r="L17" s="833"/>
      <c r="M17" s="1656"/>
      <c r="O17" s="1668"/>
      <c r="P17" s="833"/>
      <c r="Q17" s="1656"/>
      <c r="R17" s="592"/>
      <c r="S17" s="2341"/>
      <c r="T17" s="2356"/>
      <c r="V17" s="952"/>
      <c r="W17" s="2343"/>
      <c r="X17" s="2356"/>
      <c r="AA17" s="1668"/>
      <c r="AB17" s="2356"/>
    </row>
    <row r="18" spans="1:29" s="457" customFormat="1" x14ac:dyDescent="0.25">
      <c r="A18" s="2223"/>
      <c r="B18" s="2345"/>
      <c r="C18" s="2215"/>
      <c r="D18" s="459" t="s">
        <v>807</v>
      </c>
      <c r="E18" s="1867"/>
      <c r="F18" s="2433"/>
      <c r="G18" s="2338"/>
      <c r="H18" s="459" t="s">
        <v>176</v>
      </c>
      <c r="I18" s="1867"/>
      <c r="J18" s="604"/>
      <c r="K18" s="1668"/>
      <c r="L18" s="2370"/>
      <c r="M18" s="1867"/>
      <c r="O18" s="1668"/>
      <c r="P18" s="340"/>
      <c r="Q18" s="1867"/>
      <c r="R18" s="592"/>
      <c r="S18" s="2341"/>
      <c r="U18" s="2433"/>
      <c r="V18" s="952"/>
      <c r="W18" s="2343"/>
      <c r="Y18" s="2433"/>
      <c r="AA18" s="1668"/>
      <c r="AC18" s="2433"/>
    </row>
    <row r="19" spans="1:29" s="457" customFormat="1" ht="17.25" x14ac:dyDescent="0.4">
      <c r="A19" s="2224"/>
      <c r="B19" s="2345"/>
      <c r="C19" s="2215"/>
      <c r="D19" s="2435" t="s">
        <v>808</v>
      </c>
      <c r="E19" s="2434"/>
      <c r="F19" s="2436"/>
      <c r="G19" s="2338"/>
      <c r="H19" s="2435" t="s">
        <v>48</v>
      </c>
      <c r="I19" s="2371"/>
      <c r="J19" s="459"/>
      <c r="K19" s="1668"/>
      <c r="L19" s="2372" t="s">
        <v>48</v>
      </c>
      <c r="M19" s="2373">
        <v>0.02</v>
      </c>
      <c r="O19" s="1668"/>
      <c r="P19" s="2372" t="s">
        <v>48</v>
      </c>
      <c r="Q19" s="2373">
        <v>0.02</v>
      </c>
      <c r="R19" s="592"/>
      <c r="S19" s="2341"/>
      <c r="T19" s="2372" t="s">
        <v>48</v>
      </c>
      <c r="U19" s="2374">
        <v>0.02</v>
      </c>
      <c r="V19" s="952"/>
      <c r="W19" s="2343"/>
      <c r="X19" s="2372" t="s">
        <v>48</v>
      </c>
      <c r="Y19" s="2374">
        <v>0.02</v>
      </c>
      <c r="AA19" s="1668"/>
      <c r="AB19" s="2372" t="s">
        <v>48</v>
      </c>
      <c r="AC19" s="2374">
        <v>0.02</v>
      </c>
    </row>
    <row r="20" spans="1:29" s="2378" customFormat="1" x14ac:dyDescent="0.25">
      <c r="A20" s="2225"/>
      <c r="B20" s="2337" t="s">
        <v>46</v>
      </c>
      <c r="C20" s="2358"/>
      <c r="D20" s="1866"/>
      <c r="E20" s="2375"/>
      <c r="F20" s="1866"/>
      <c r="G20" s="2376"/>
      <c r="H20" s="1866"/>
      <c r="I20" s="868"/>
      <c r="J20" s="460"/>
      <c r="K20" s="606"/>
      <c r="L20" s="1866"/>
      <c r="M20" s="2379"/>
      <c r="O20" s="606"/>
      <c r="P20" s="1866"/>
      <c r="Q20" s="2379"/>
      <c r="R20" s="461"/>
      <c r="S20" s="1669"/>
      <c r="T20" s="1866"/>
      <c r="U20" s="2383"/>
      <c r="V20" s="2381"/>
      <c r="W20" s="2382"/>
      <c r="X20" s="1866"/>
      <c r="Y20" s="2383"/>
      <c r="AA20" s="606"/>
      <c r="AB20" s="1866"/>
      <c r="AC20" s="2383"/>
    </row>
    <row r="21" spans="1:29" s="457" customFormat="1" x14ac:dyDescent="0.25">
      <c r="A21" s="2226"/>
      <c r="B21" s="2385">
        <v>1206</v>
      </c>
      <c r="C21" s="2215" t="s">
        <v>224</v>
      </c>
      <c r="D21" s="340">
        <v>29188.86</v>
      </c>
      <c r="E21" s="2386"/>
      <c r="F21" s="340"/>
      <c r="G21" s="456">
        <f t="shared" ref="G21:G30" si="1">IF(D21=0,"0.00%",(H21-D21)/D21)</f>
        <v>1.5661454404180205E-2</v>
      </c>
      <c r="H21" s="340">
        <v>29646</v>
      </c>
      <c r="I21" s="899"/>
      <c r="J21" s="455"/>
      <c r="K21" s="456">
        <f t="shared" ref="K21:K27" si="2">IF(H21=0,"0.00%",(L21-H21)/H21)</f>
        <v>0.11667678607569318</v>
      </c>
      <c r="L21" s="340">
        <v>33105</v>
      </c>
      <c r="M21" s="897"/>
      <c r="O21" s="456">
        <f t="shared" ref="O21:O27" si="3">IF(L21=0,"0.00%",(P21-L21)/L21)</f>
        <v>1.9996979308261591E-2</v>
      </c>
      <c r="P21" s="340">
        <f>ROUND(L21*(1+Q19),0)</f>
        <v>33767</v>
      </c>
      <c r="Q21" s="897" t="str">
        <f>TEXT(Q19,"0.0%")&amp;" = Est. S &amp; C"</f>
        <v>2.0% = Est. S &amp; C</v>
      </c>
      <c r="R21" s="592"/>
      <c r="S21" s="2238">
        <f t="shared" ref="S21:S27" si="4">IF(P21=0,"0.00%",(T21-P21)/P21)</f>
        <v>1.9989930997719667E-2</v>
      </c>
      <c r="T21" s="340">
        <f>ROUND(P21*(1+U19),0)</f>
        <v>34442</v>
      </c>
      <c r="U21" s="455" t="str">
        <f>TEXT(U19,"0.0%")&amp;" = Est. S &amp; C"</f>
        <v>2.0% = Est. S &amp; C</v>
      </c>
      <c r="V21" s="952"/>
      <c r="W21" s="2241">
        <f t="shared" ref="W21:W27" si="5">IF(T21=0,"0.00%",(X21-T21)/T21)</f>
        <v>2.0004645490970328E-2</v>
      </c>
      <c r="X21" s="340">
        <f>ROUND(T21*(1+Y19),0)</f>
        <v>35131</v>
      </c>
      <c r="Y21" s="455" t="str">
        <f>TEXT(Y19,"0.0%")&amp;" = Est. S &amp; C"</f>
        <v>2.0% = Est. S &amp; C</v>
      </c>
      <c r="AA21" s="456">
        <f t="shared" ref="AA21:AA27" si="6">IF(X21=0,"0.00%",(AB21-X21)/X21)</f>
        <v>2.0010816657652784E-2</v>
      </c>
      <c r="AB21" s="340">
        <f>ROUND(X21*(1+AC19),0)</f>
        <v>35834</v>
      </c>
      <c r="AC21" s="455" t="str">
        <f>TEXT(AC19,"0.0%")&amp;" = Est. S &amp; C"</f>
        <v>2.0% = Est. S &amp; C</v>
      </c>
    </row>
    <row r="22" spans="1:29" s="457" customFormat="1" x14ac:dyDescent="0.25">
      <c r="A22" s="2227"/>
      <c r="B22" s="2385">
        <v>1281</v>
      </c>
      <c r="C22" s="2215" t="s">
        <v>225</v>
      </c>
      <c r="D22" s="340">
        <v>3745</v>
      </c>
      <c r="E22" s="2386"/>
      <c r="F22" s="340"/>
      <c r="G22" s="456">
        <f t="shared" si="1"/>
        <v>1.4686248331108143E-2</v>
      </c>
      <c r="H22" s="340">
        <v>3800</v>
      </c>
      <c r="I22" s="897"/>
      <c r="J22" s="455"/>
      <c r="K22" s="456">
        <f t="shared" si="2"/>
        <v>-1</v>
      </c>
      <c r="L22" s="340">
        <v>0</v>
      </c>
      <c r="M22" s="897"/>
      <c r="O22" s="456" t="str">
        <f t="shared" si="3"/>
        <v>0.00%</v>
      </c>
      <c r="P22" s="340">
        <f>+L22</f>
        <v>0</v>
      </c>
      <c r="Q22" s="2227"/>
      <c r="R22" s="592"/>
      <c r="S22" s="2238" t="str">
        <f t="shared" si="4"/>
        <v>0.00%</v>
      </c>
      <c r="T22" s="340">
        <f>ROUND(P22*(1+U19),0)</f>
        <v>0</v>
      </c>
      <c r="U22" s="455"/>
      <c r="V22" s="952"/>
      <c r="W22" s="2241" t="str">
        <f t="shared" si="5"/>
        <v>0.00%</v>
      </c>
      <c r="X22" s="340">
        <f>ROUND(T22*(1+Y19),0)</f>
        <v>0</v>
      </c>
      <c r="Y22" s="455" t="str">
        <f>TEXT(Y19,"0.0%")&amp;" = Est. S &amp; C"</f>
        <v>2.0% = Est. S &amp; C</v>
      </c>
      <c r="AA22" s="456" t="str">
        <f t="shared" si="6"/>
        <v>0.00%</v>
      </c>
      <c r="AB22" s="340">
        <f>ROUND(X22*(1+AC19),0)</f>
        <v>0</v>
      </c>
      <c r="AC22" s="455" t="str">
        <f>TEXT(AC19,"0.0%")&amp;" = Est. S &amp; C"</f>
        <v>2.0% = Est. S &amp; C</v>
      </c>
    </row>
    <row r="23" spans="1:29" s="457" customFormat="1" x14ac:dyDescent="0.25">
      <c r="A23" s="2227"/>
      <c r="B23" s="2385"/>
      <c r="C23" s="2215" t="s">
        <v>1067</v>
      </c>
      <c r="D23" s="340">
        <v>0</v>
      </c>
      <c r="E23" s="2386"/>
      <c r="F23" s="340"/>
      <c r="G23" s="456" t="str">
        <f t="shared" si="1"/>
        <v>0.00%</v>
      </c>
      <c r="H23" s="340">
        <f t="shared" ref="H23:H27" si="7">ROUND(D23*(1+$I$19),0)</f>
        <v>0</v>
      </c>
      <c r="I23" s="897" t="str">
        <f t="shared" ref="I23:I28" si="8">TEXT($I$19,"0.0%")&amp;" = Est. S &amp; C"</f>
        <v>0.0% = Est. S &amp; C</v>
      </c>
      <c r="J23" s="455"/>
      <c r="K23" s="456" t="str">
        <f t="shared" si="2"/>
        <v>0.00%</v>
      </c>
      <c r="L23" s="340">
        <v>56148</v>
      </c>
      <c r="M23" s="897" t="s">
        <v>1069</v>
      </c>
      <c r="O23" s="456">
        <f t="shared" si="3"/>
        <v>2.0000712402935099E-2</v>
      </c>
      <c r="P23" s="340">
        <f>ROUND(L23*(1+Q19),0)</f>
        <v>57271</v>
      </c>
      <c r="Q23" s="897" t="str">
        <f>TEXT(Q19,"0.0%")&amp;" = Est. S &amp; C"</f>
        <v>2.0% = Est. S &amp; C</v>
      </c>
      <c r="R23" s="592"/>
      <c r="S23" s="2238">
        <f t="shared" si="4"/>
        <v>1.9992666445495976E-2</v>
      </c>
      <c r="T23" s="340">
        <f>ROUND(P23*(1+U19),0)</f>
        <v>58416</v>
      </c>
      <c r="U23" s="455" t="str">
        <f>TEXT(U19,"0.0%")&amp;" = Est. S &amp; C"</f>
        <v>2.0% = Est. S &amp; C</v>
      </c>
      <c r="V23" s="952"/>
      <c r="W23" s="2241">
        <f t="shared" si="5"/>
        <v>1.9994522048753766E-2</v>
      </c>
      <c r="X23" s="340">
        <f>ROUND(T23*(1+Y19),0)</f>
        <v>59584</v>
      </c>
      <c r="Y23" s="455" t="str">
        <f>TEXT(Y19,"0.0%")&amp;" = Est. S &amp; C"</f>
        <v>2.0% = Est. S &amp; C</v>
      </c>
      <c r="AA23" s="456">
        <f t="shared" si="6"/>
        <v>2.0005370569280343E-2</v>
      </c>
      <c r="AB23" s="340">
        <f>ROUND(X23*(1+AC19),0)</f>
        <v>60776</v>
      </c>
      <c r="AC23" s="455" t="str">
        <f>TEXT(AC19,"0.0%")&amp;" = Est. S &amp; C"</f>
        <v>2.0% = Est. S &amp; C</v>
      </c>
    </row>
    <row r="24" spans="1:29" s="457" customFormat="1" x14ac:dyDescent="0.25">
      <c r="A24" s="2227"/>
      <c r="B24" s="2385"/>
      <c r="C24" s="2215"/>
      <c r="D24" s="340">
        <v>0</v>
      </c>
      <c r="E24" s="2386"/>
      <c r="F24" s="340"/>
      <c r="G24" s="456" t="str">
        <f t="shared" si="1"/>
        <v>0.00%</v>
      </c>
      <c r="H24" s="340">
        <f t="shared" si="7"/>
        <v>0</v>
      </c>
      <c r="I24" s="897" t="str">
        <f t="shared" si="8"/>
        <v>0.0% = Est. S &amp; C</v>
      </c>
      <c r="J24" s="455"/>
      <c r="K24" s="456" t="str">
        <f t="shared" si="2"/>
        <v>0.00%</v>
      </c>
      <c r="L24" s="340">
        <f>ROUND(H24*(1+M19),0)</f>
        <v>0</v>
      </c>
      <c r="M24" s="897"/>
      <c r="O24" s="456" t="str">
        <f t="shared" si="3"/>
        <v>0.00%</v>
      </c>
      <c r="P24" s="340">
        <f>ROUND(L24*(1+Q19),0)</f>
        <v>0</v>
      </c>
      <c r="Q24" s="897" t="str">
        <f>TEXT(Q19,"0.0%")&amp;" = Est. S &amp; C"</f>
        <v>2.0% = Est. S &amp; C</v>
      </c>
      <c r="R24" s="592"/>
      <c r="S24" s="2238" t="str">
        <f t="shared" si="4"/>
        <v>0.00%</v>
      </c>
      <c r="T24" s="340">
        <f>ROUND(P24*(1+U19),0)</f>
        <v>0</v>
      </c>
      <c r="U24" s="455" t="str">
        <f>TEXT(U19,"0.0%")&amp;" = Est. S &amp; C"</f>
        <v>2.0% = Est. S &amp; C</v>
      </c>
      <c r="V24" s="952"/>
      <c r="W24" s="2241" t="str">
        <f t="shared" si="5"/>
        <v>0.00%</v>
      </c>
      <c r="X24" s="340">
        <f>ROUND(T24*(1+Y19),0)</f>
        <v>0</v>
      </c>
      <c r="Y24" s="455" t="str">
        <f>TEXT(Y19,"0.0%")&amp;" = Est. S &amp; C"</f>
        <v>2.0% = Est. S &amp; C</v>
      </c>
      <c r="AA24" s="456" t="str">
        <f t="shared" si="6"/>
        <v>0.00%</v>
      </c>
      <c r="AB24" s="340">
        <f>ROUND(X24*(1+AC19),0)</f>
        <v>0</v>
      </c>
      <c r="AC24" s="455" t="str">
        <f>TEXT(AC19,"0.0%")&amp;" = Est. S &amp; C"</f>
        <v>2.0% = Est. S &amp; C</v>
      </c>
    </row>
    <row r="25" spans="1:29" s="457" customFormat="1" hidden="1" x14ac:dyDescent="0.25">
      <c r="A25" s="2227"/>
      <c r="B25" s="2385"/>
      <c r="C25" s="2215"/>
      <c r="D25" s="340">
        <v>0</v>
      </c>
      <c r="E25" s="2386"/>
      <c r="F25" s="340"/>
      <c r="G25" s="456" t="str">
        <f t="shared" si="1"/>
        <v>0.00%</v>
      </c>
      <c r="H25" s="340">
        <f t="shared" si="7"/>
        <v>0</v>
      </c>
      <c r="I25" s="897" t="str">
        <f t="shared" si="8"/>
        <v>0.0% = Est. S &amp; C</v>
      </c>
      <c r="J25" s="455"/>
      <c r="K25" s="456" t="str">
        <f t="shared" si="2"/>
        <v>0.00%</v>
      </c>
      <c r="L25" s="340">
        <f>ROUND(H25*(1+M19),0)</f>
        <v>0</v>
      </c>
      <c r="M25" s="897" t="str">
        <f>TEXT(M19,"0.0%")&amp;" = Est. S &amp; C"</f>
        <v>2.0% = Est. S &amp; C</v>
      </c>
      <c r="O25" s="456" t="str">
        <f t="shared" si="3"/>
        <v>0.00%</v>
      </c>
      <c r="P25" s="340">
        <f>ROUND(L25*(1+Q19),0)</f>
        <v>0</v>
      </c>
      <c r="Q25" s="897" t="str">
        <f>TEXT(Q19,"0.0%")&amp;" = Est. S &amp; C"</f>
        <v>2.0% = Est. S &amp; C</v>
      </c>
      <c r="R25" s="592"/>
      <c r="S25" s="2238" t="str">
        <f t="shared" si="4"/>
        <v>0.00%</v>
      </c>
      <c r="T25" s="340">
        <f>ROUND(P25*(1+U19),0)</f>
        <v>0</v>
      </c>
      <c r="U25" s="455" t="str">
        <f>TEXT(U19,"0.0%")&amp;" = Est. S &amp; C"</f>
        <v>2.0% = Est. S &amp; C</v>
      </c>
      <c r="V25" s="952"/>
      <c r="W25" s="2241" t="str">
        <f t="shared" si="5"/>
        <v>0.00%</v>
      </c>
      <c r="X25" s="340">
        <f>ROUND(T25*(1+Y19),0)</f>
        <v>0</v>
      </c>
      <c r="Y25" s="455" t="str">
        <f>TEXT(Y19,"0.0%")&amp;" = Est. S &amp; C"</f>
        <v>2.0% = Est. S &amp; C</v>
      </c>
      <c r="AA25" s="456" t="str">
        <f t="shared" si="6"/>
        <v>0.00%</v>
      </c>
      <c r="AB25" s="340">
        <f>ROUND(X25*(1+AC19),0)</f>
        <v>0</v>
      </c>
      <c r="AC25" s="455" t="str">
        <f>TEXT(AC19,"0.0%")&amp;" = Est. S &amp; C"</f>
        <v>2.0% = Est. S &amp; C</v>
      </c>
    </row>
    <row r="26" spans="1:29" s="457" customFormat="1" hidden="1" x14ac:dyDescent="0.25">
      <c r="A26" s="2227"/>
      <c r="B26" s="2385"/>
      <c r="C26" s="2215"/>
      <c r="D26" s="340">
        <v>0</v>
      </c>
      <c r="E26" s="2386"/>
      <c r="F26" s="340"/>
      <c r="G26" s="456" t="str">
        <f t="shared" si="1"/>
        <v>0.00%</v>
      </c>
      <c r="H26" s="340">
        <f t="shared" si="7"/>
        <v>0</v>
      </c>
      <c r="I26" s="897" t="str">
        <f t="shared" si="8"/>
        <v>0.0% = Est. S &amp; C</v>
      </c>
      <c r="J26" s="455"/>
      <c r="K26" s="456" t="str">
        <f t="shared" si="2"/>
        <v>0.00%</v>
      </c>
      <c r="L26" s="340">
        <f>ROUND(H26*(1+M19),0)</f>
        <v>0</v>
      </c>
      <c r="M26" s="2341" t="str">
        <f>TEXT(M19,"0.0%")&amp;" = Est. S &amp; C"</f>
        <v>2.0% = Est. S &amp; C</v>
      </c>
      <c r="O26" s="456" t="str">
        <f t="shared" si="3"/>
        <v>0.00%</v>
      </c>
      <c r="P26" s="340">
        <f>ROUND(L26*(1+Q19),0)</f>
        <v>0</v>
      </c>
      <c r="Q26" s="897" t="str">
        <f>TEXT(Q19,"0.0%")&amp;" = Est. S &amp; C"</f>
        <v>2.0% = Est. S &amp; C</v>
      </c>
      <c r="R26" s="592"/>
      <c r="S26" s="2238" t="str">
        <f t="shared" si="4"/>
        <v>0.00%</v>
      </c>
      <c r="T26" s="340">
        <f>ROUND(P26*(1+U19),0)</f>
        <v>0</v>
      </c>
      <c r="U26" s="455" t="str">
        <f>TEXT(U19,"0.0%")&amp;" = Est. S &amp; C"</f>
        <v>2.0% = Est. S &amp; C</v>
      </c>
      <c r="V26" s="952"/>
      <c r="W26" s="2241" t="str">
        <f t="shared" si="5"/>
        <v>0.00%</v>
      </c>
      <c r="X26" s="340">
        <f>ROUND(T26*(1+Y19),0)</f>
        <v>0</v>
      </c>
      <c r="Y26" s="455" t="str">
        <f>TEXT(Y19,"0.0%")&amp;" = Est. S &amp; C"</f>
        <v>2.0% = Est. S &amp; C</v>
      </c>
      <c r="AA26" s="456" t="str">
        <f t="shared" si="6"/>
        <v>0.00%</v>
      </c>
      <c r="AB26" s="340">
        <f>ROUND(X26*(1+AC19),0)</f>
        <v>0</v>
      </c>
      <c r="AC26" s="455" t="str">
        <f>TEXT(AC19,"0.0%")&amp;" = Est. S &amp; C"</f>
        <v>2.0% = Est. S &amp; C</v>
      </c>
    </row>
    <row r="27" spans="1:29" s="457" customFormat="1" hidden="1" x14ac:dyDescent="0.25">
      <c r="A27" s="2227"/>
      <c r="B27" s="2385"/>
      <c r="C27" s="2215"/>
      <c r="D27" s="340">
        <v>0</v>
      </c>
      <c r="E27" s="2386"/>
      <c r="F27" s="340"/>
      <c r="G27" s="456" t="str">
        <f t="shared" si="1"/>
        <v>0.00%</v>
      </c>
      <c r="H27" s="340">
        <f t="shared" si="7"/>
        <v>0</v>
      </c>
      <c r="I27" s="897" t="str">
        <f t="shared" si="8"/>
        <v>0.0% = Est. S &amp; C</v>
      </c>
      <c r="J27" s="455"/>
      <c r="K27" s="456" t="str">
        <f t="shared" si="2"/>
        <v>0.00%</v>
      </c>
      <c r="L27" s="340">
        <f>ROUND(H27*(1+M19),0)</f>
        <v>0</v>
      </c>
      <c r="M27" s="897" t="str">
        <f>TEXT(M19,"0.0%")&amp;" = Est. S &amp; C"</f>
        <v>2.0% = Est. S &amp; C</v>
      </c>
      <c r="O27" s="456" t="str">
        <f t="shared" si="3"/>
        <v>0.00%</v>
      </c>
      <c r="P27" s="340">
        <f>ROUND(L27*(1+Q19),0)</f>
        <v>0</v>
      </c>
      <c r="Q27" s="897" t="str">
        <f>TEXT(Q19,"0.0%")&amp;" = Est. S &amp; C"</f>
        <v>2.0% = Est. S &amp; C</v>
      </c>
      <c r="R27" s="592"/>
      <c r="S27" s="2238" t="str">
        <f t="shared" si="4"/>
        <v>0.00%</v>
      </c>
      <c r="T27" s="340">
        <f>ROUND(P27*(1+U19),0)</f>
        <v>0</v>
      </c>
      <c r="U27" s="455" t="str">
        <f>TEXT(U19,"0.0%")&amp;" = Est. S &amp; C"</f>
        <v>2.0% = Est. S &amp; C</v>
      </c>
      <c r="V27" s="952"/>
      <c r="W27" s="2241" t="str">
        <f t="shared" si="5"/>
        <v>0.00%</v>
      </c>
      <c r="X27" s="340">
        <f>ROUND(T27*(1+Y19),0)</f>
        <v>0</v>
      </c>
      <c r="Y27" s="455" t="str">
        <f>TEXT(Y19,"0.0%")&amp;" = Est. S &amp; C"</f>
        <v>2.0% = Est. S &amp; C</v>
      </c>
      <c r="AA27" s="456" t="str">
        <f t="shared" si="6"/>
        <v>0.00%</v>
      </c>
      <c r="AB27" s="340">
        <f>ROUND(X27*(1+AC19),0)</f>
        <v>0</v>
      </c>
      <c r="AC27" s="455" t="str">
        <f>TEXT(AC19,"0.0%")&amp;" = Est. S &amp; C"</f>
        <v>2.0% = Est. S &amp; C</v>
      </c>
    </row>
    <row r="28" spans="1:29" s="457" customFormat="1" hidden="1" x14ac:dyDescent="0.25">
      <c r="A28" s="2227"/>
      <c r="B28" s="2385"/>
      <c r="C28" s="2215"/>
      <c r="D28" s="340">
        <v>0</v>
      </c>
      <c r="E28" s="2386"/>
      <c r="F28" s="340"/>
      <c r="G28" s="456" t="str">
        <f>IF(D28=0,"0.00%",(H28-D28)/D28)</f>
        <v>0.00%</v>
      </c>
      <c r="H28" s="340">
        <f>ROUND(D28*(1+$I$19),0)</f>
        <v>0</v>
      </c>
      <c r="I28" s="897" t="str">
        <f t="shared" si="8"/>
        <v>0.0% = Est. S &amp; C</v>
      </c>
      <c r="J28" s="455"/>
      <c r="K28" s="456" t="str">
        <f>IF(H28=0,"0.00%",(L28-H28)/H28)</f>
        <v>0.00%</v>
      </c>
      <c r="L28" s="340">
        <f>ROUND(H28*(1+M20),0)</f>
        <v>0</v>
      </c>
      <c r="M28" s="897" t="str">
        <f>TEXT(M20,"0.0%")&amp;" = Est. S &amp; C"</f>
        <v>0.0% = Est. S &amp; C</v>
      </c>
      <c r="O28" s="456" t="str">
        <f>IF(L28=0,"0.00%",(P28-L28)/L28)</f>
        <v>0.00%</v>
      </c>
      <c r="P28" s="340">
        <f>ROUND(L28*(1+Q20),0)</f>
        <v>0</v>
      </c>
      <c r="Q28" s="897" t="str">
        <f>TEXT(Q20,"0.0%")&amp;" = Est. S &amp; C"</f>
        <v>0.0% = Est. S &amp; C</v>
      </c>
      <c r="R28" s="592"/>
      <c r="S28" s="2238" t="str">
        <f>IF(P28=0,"0.00%",(T28-P28)/P28)</f>
        <v>0.00%</v>
      </c>
      <c r="T28" s="340">
        <f>ROUND(P28*(1+U20),0)</f>
        <v>0</v>
      </c>
      <c r="U28" s="455" t="str">
        <f>TEXT(U20,"0.0%")&amp;" = Est. S &amp; C"</f>
        <v>0.0% = Est. S &amp; C</v>
      </c>
      <c r="V28" s="952"/>
      <c r="W28" s="2241" t="str">
        <f>IF(T28=0,"0.00%",(X28-T28)/T28)</f>
        <v>0.00%</v>
      </c>
      <c r="X28" s="340">
        <f>ROUND(T28*(1+Y20),0)</f>
        <v>0</v>
      </c>
      <c r="Y28" s="455" t="str">
        <f>TEXT(Y20,"0.0%")&amp;" = Est. S &amp; C"</f>
        <v>0.0% = Est. S &amp; C</v>
      </c>
      <c r="AA28" s="456" t="str">
        <f>IF(X28=0,"0.00%",(AB28-X28)/X28)</f>
        <v>0.00%</v>
      </c>
      <c r="AB28" s="340">
        <f>ROUND(X28*(1+AC20),0)</f>
        <v>0</v>
      </c>
      <c r="AC28" s="455" t="str">
        <f>TEXT(AC20,"0.0%")&amp;" = Est. S &amp; C"</f>
        <v>0.0% = Est. S &amp; C</v>
      </c>
    </row>
    <row r="29" spans="1:29" s="457" customFormat="1" ht="6" customHeight="1" x14ac:dyDescent="0.25">
      <c r="A29" s="2227"/>
      <c r="B29" s="2385"/>
      <c r="C29" s="2215"/>
      <c r="D29" s="340"/>
      <c r="E29" s="2386"/>
      <c r="F29" s="340"/>
      <c r="G29" s="456"/>
      <c r="H29" s="340"/>
      <c r="I29" s="897"/>
      <c r="J29" s="455"/>
      <c r="K29" s="1668"/>
      <c r="L29" s="340"/>
      <c r="M29" s="901"/>
      <c r="O29" s="1668"/>
      <c r="P29" s="340"/>
      <c r="Q29" s="901"/>
      <c r="R29" s="592"/>
      <c r="S29" s="2341"/>
      <c r="T29" s="340"/>
      <c r="U29" s="2344"/>
      <c r="V29" s="952"/>
      <c r="W29" s="2343"/>
      <c r="X29" s="340"/>
      <c r="Y29" s="2344"/>
      <c r="AA29" s="1668"/>
      <c r="AB29" s="340"/>
      <c r="AC29" s="2344"/>
    </row>
    <row r="30" spans="1:29" s="457" customFormat="1" x14ac:dyDescent="0.25">
      <c r="A30" s="2228"/>
      <c r="B30" s="2385"/>
      <c r="C30" s="2215"/>
      <c r="D30" s="458">
        <f>SUM(D21:D29)</f>
        <v>32933.86</v>
      </c>
      <c r="E30" s="2386"/>
      <c r="F30" s="340"/>
      <c r="G30" s="456">
        <f t="shared" si="1"/>
        <v>1.5550561033538109E-2</v>
      </c>
      <c r="H30" s="458">
        <f>SUM(H21:H29)</f>
        <v>33446</v>
      </c>
      <c r="I30" s="2316">
        <f>+H30-D30</f>
        <v>512.13999999999942</v>
      </c>
      <c r="J30" s="459"/>
      <c r="K30" s="456">
        <f>IF(H30=0,"0.00%",(L30-H30)/H30)</f>
        <v>1.6685702326137655</v>
      </c>
      <c r="L30" s="458">
        <f>SUM(L21:L29)</f>
        <v>89253</v>
      </c>
      <c r="M30" s="2316">
        <f>+L30-H30</f>
        <v>55807</v>
      </c>
      <c r="O30" s="456">
        <f>IF(L30=0,"0.00%",(P30-L30)/L30)</f>
        <v>1.9999327753688952E-2</v>
      </c>
      <c r="P30" s="458">
        <f>SUM(P21:P29)</f>
        <v>91038</v>
      </c>
      <c r="Q30" s="2316">
        <f>+P30-L30</f>
        <v>1785</v>
      </c>
      <c r="R30" s="592"/>
      <c r="S30" s="2238">
        <f>IF(P30=0,"0.00%",(T30-P30)/P30)</f>
        <v>1.9991651837694149E-2</v>
      </c>
      <c r="T30" s="458">
        <f>SUM(T21:T29)</f>
        <v>92858</v>
      </c>
      <c r="U30" s="2344"/>
      <c r="V30" s="952"/>
      <c r="W30" s="2241">
        <f>IF(T30=0,"0.00%",(X30-T30)/T30)</f>
        <v>1.9998276938982103E-2</v>
      </c>
      <c r="X30" s="458">
        <f>SUM(X21:X29)</f>
        <v>94715</v>
      </c>
      <c r="Y30" s="2344"/>
      <c r="AA30" s="456">
        <f>IF(X30=0,"0.00%",(AB30-X30)/X30)</f>
        <v>2.0007390592831124E-2</v>
      </c>
      <c r="AB30" s="458">
        <f>SUM(AB21:AB29)</f>
        <v>96610</v>
      </c>
      <c r="AC30" s="2344"/>
    </row>
    <row r="31" spans="1:29" s="457" customFormat="1" x14ac:dyDescent="0.25">
      <c r="A31" s="2227"/>
      <c r="B31" s="2345"/>
      <c r="C31" s="2215"/>
      <c r="D31" s="340"/>
      <c r="E31" s="2386"/>
      <c r="F31" s="340"/>
      <c r="G31" s="2338"/>
      <c r="H31" s="340"/>
      <c r="I31" s="899"/>
      <c r="J31" s="455"/>
      <c r="K31" s="1668"/>
      <c r="L31" s="340"/>
      <c r="M31" s="2388"/>
      <c r="O31" s="1668"/>
      <c r="P31" s="340"/>
      <c r="Q31" s="2388"/>
      <c r="R31" s="592"/>
      <c r="S31" s="2341"/>
      <c r="T31" s="340"/>
      <c r="U31" s="2344"/>
      <c r="V31" s="952"/>
      <c r="W31" s="2343"/>
      <c r="X31" s="340"/>
      <c r="Y31" s="2344"/>
      <c r="AA31" s="1668"/>
      <c r="AB31" s="340"/>
      <c r="AC31" s="2344"/>
    </row>
    <row r="32" spans="1:29" s="461" customFormat="1" x14ac:dyDescent="0.25">
      <c r="A32" s="2225"/>
      <c r="B32" s="2440" t="s">
        <v>35</v>
      </c>
      <c r="C32" s="2225"/>
      <c r="D32" s="460"/>
      <c r="E32" s="868"/>
      <c r="F32" s="460"/>
      <c r="G32" s="2389"/>
      <c r="H32" s="460"/>
      <c r="I32" s="868"/>
      <c r="J32" s="460"/>
      <c r="K32" s="1669"/>
      <c r="L32" s="460"/>
      <c r="M32" s="902"/>
      <c r="O32" s="1669"/>
      <c r="P32" s="460"/>
      <c r="Q32" s="902"/>
      <c r="S32" s="1669"/>
      <c r="T32" s="460"/>
      <c r="U32" s="2392"/>
      <c r="V32" s="2381"/>
      <c r="W32" s="2382"/>
      <c r="X32" s="460"/>
      <c r="Y32" s="2392"/>
      <c r="AA32" s="1669"/>
      <c r="AB32" s="460"/>
      <c r="AC32" s="2392"/>
    </row>
    <row r="33" spans="1:29" s="457" customFormat="1" hidden="1" x14ac:dyDescent="0.25">
      <c r="A33" s="2227"/>
      <c r="B33" s="2385" t="s">
        <v>69</v>
      </c>
      <c r="C33" s="2215" t="s">
        <v>70</v>
      </c>
      <c r="D33" s="340">
        <v>0</v>
      </c>
      <c r="E33" s="2386"/>
      <c r="F33" s="340"/>
      <c r="G33" s="456" t="str">
        <f t="shared" ref="G33:G39" si="9">IF(D33=0,"0.00%",(H33-D33)/D33)</f>
        <v>0.00%</v>
      </c>
      <c r="H33" s="340">
        <f t="shared" ref="H33:H39" si="10">ROUND(D33*(1+$I$19),0)</f>
        <v>0</v>
      </c>
      <c r="I33" s="897" t="str">
        <f t="shared" ref="I33:I39" si="11">TEXT($I$19,"0.0%")&amp;" = Est. S &amp; C"</f>
        <v>0.0% = Est. S &amp; C</v>
      </c>
      <c r="J33" s="455"/>
      <c r="K33" s="456" t="str">
        <f t="shared" ref="K33:K39" si="12">IF(H33=0,"0.00%",(L33-H33)/H33)</f>
        <v>0.00%</v>
      </c>
      <c r="L33" s="340">
        <f>ROUND(H33*(1+M19),0)</f>
        <v>0</v>
      </c>
      <c r="M33" s="897" t="str">
        <f>TEXT(M19,"0.0%")&amp;" = Est. S &amp; C"</f>
        <v>2.0% = Est. S &amp; C</v>
      </c>
      <c r="O33" s="456" t="str">
        <f t="shared" ref="O33:O39" si="13">IF(L33=0,"0.00%",(P33-L33)/L33)</f>
        <v>0.00%</v>
      </c>
      <c r="P33" s="340">
        <f>ROUND(L33*(1+Q19),0)</f>
        <v>0</v>
      </c>
      <c r="Q33" s="897" t="str">
        <f>TEXT(Q19,"0.0%")&amp;" = Est. S &amp; C"</f>
        <v>2.0% = Est. S &amp; C</v>
      </c>
      <c r="R33" s="592"/>
      <c r="S33" s="2238" t="str">
        <f t="shared" ref="S33:S39" si="14">IF(P33=0,"0.00%",(T33-P33)/P33)</f>
        <v>0.00%</v>
      </c>
      <c r="T33" s="340">
        <f>ROUND(P33*(1+U19),0)</f>
        <v>0</v>
      </c>
      <c r="U33" s="455" t="str">
        <f>TEXT(U19,"0.0%")&amp;" = Est. S &amp; C"</f>
        <v>2.0% = Est. S &amp; C</v>
      </c>
      <c r="V33" s="952"/>
      <c r="W33" s="2241" t="str">
        <f t="shared" ref="W33:W39" si="15">IF(T33=0,"0.00%",(X33-T33)/T33)</f>
        <v>0.00%</v>
      </c>
      <c r="X33" s="340">
        <f>ROUND(T33*(1+Y19),0)</f>
        <v>0</v>
      </c>
      <c r="Y33" s="455" t="str">
        <f>TEXT(Y19,"0.0%")&amp;" = Est. S &amp; C"</f>
        <v>2.0% = Est. S &amp; C</v>
      </c>
      <c r="AA33" s="456" t="str">
        <f t="shared" ref="AA33:AA39" si="16">IF(X33=0,"0.00%",(AB33-X33)/X33)</f>
        <v>0.00%</v>
      </c>
      <c r="AB33" s="340">
        <f>ROUND(X33*(1+AC19),0)</f>
        <v>0</v>
      </c>
      <c r="AC33" s="455" t="str">
        <f>TEXT(AC19,"0.0%")&amp;" = Est. S &amp; C"</f>
        <v>2.0% = Est. S &amp; C</v>
      </c>
    </row>
    <row r="34" spans="1:29" s="457" customFormat="1" hidden="1" x14ac:dyDescent="0.25">
      <c r="A34" s="2227"/>
      <c r="B34" s="2385" t="s">
        <v>34</v>
      </c>
      <c r="C34" s="2215" t="s">
        <v>33</v>
      </c>
      <c r="D34" s="340">
        <v>0</v>
      </c>
      <c r="E34" s="2386"/>
      <c r="F34" s="340"/>
      <c r="G34" s="456" t="str">
        <f t="shared" si="9"/>
        <v>0.00%</v>
      </c>
      <c r="H34" s="340">
        <f t="shared" si="10"/>
        <v>0</v>
      </c>
      <c r="I34" s="897" t="str">
        <f t="shared" si="11"/>
        <v>0.0% = Est. S &amp; C</v>
      </c>
      <c r="J34" s="455"/>
      <c r="K34" s="456" t="str">
        <f t="shared" si="12"/>
        <v>0.00%</v>
      </c>
      <c r="L34" s="340">
        <f>ROUND(H34*(1+M19),0)</f>
        <v>0</v>
      </c>
      <c r="M34" s="897" t="str">
        <f>TEXT(M19,"0.0%")&amp;" = Est. S &amp; C"</f>
        <v>2.0% = Est. S &amp; C</v>
      </c>
      <c r="O34" s="456" t="str">
        <f t="shared" si="13"/>
        <v>0.00%</v>
      </c>
      <c r="P34" s="340">
        <f>ROUND(L34*(1+Q19),0)</f>
        <v>0</v>
      </c>
      <c r="Q34" s="897" t="str">
        <f>TEXT(Q19,"0.0%")&amp;" = Est. S &amp; C"</f>
        <v>2.0% = Est. S &amp; C</v>
      </c>
      <c r="R34" s="592"/>
      <c r="S34" s="2238" t="str">
        <f t="shared" si="14"/>
        <v>0.00%</v>
      </c>
      <c r="T34" s="340">
        <f>ROUND(P34*(1+U19),0)</f>
        <v>0</v>
      </c>
      <c r="U34" s="455" t="str">
        <f>TEXT(U19,"0.0%")&amp;" = Est. S &amp; C"</f>
        <v>2.0% = Est. S &amp; C</v>
      </c>
      <c r="V34" s="952"/>
      <c r="W34" s="2241" t="str">
        <f t="shared" si="15"/>
        <v>0.00%</v>
      </c>
      <c r="X34" s="340">
        <f>ROUND(T34*(1+Y19),0)</f>
        <v>0</v>
      </c>
      <c r="Y34" s="455" t="str">
        <f>TEXT(Y19,"0.0%")&amp;" = Est. S &amp; C"</f>
        <v>2.0% = Est. S &amp; C</v>
      </c>
      <c r="AA34" s="456" t="str">
        <f t="shared" si="16"/>
        <v>0.00%</v>
      </c>
      <c r="AB34" s="340">
        <f>ROUND(X34*(1+AC19),0)</f>
        <v>0</v>
      </c>
      <c r="AC34" s="455" t="str">
        <f>TEXT(AC19,"0.0%")&amp;" = Est. S &amp; C"</f>
        <v>2.0% = Est. S &amp; C</v>
      </c>
    </row>
    <row r="35" spans="1:29" s="457" customFormat="1" hidden="1" x14ac:dyDescent="0.25">
      <c r="A35" s="2227"/>
      <c r="B35" s="2385" t="s">
        <v>32</v>
      </c>
      <c r="C35" s="2215" t="s">
        <v>31</v>
      </c>
      <c r="D35" s="340">
        <v>0</v>
      </c>
      <c r="E35" s="2386"/>
      <c r="F35" s="340"/>
      <c r="G35" s="456" t="str">
        <f t="shared" si="9"/>
        <v>0.00%</v>
      </c>
      <c r="H35" s="340">
        <f t="shared" si="10"/>
        <v>0</v>
      </c>
      <c r="I35" s="897" t="str">
        <f t="shared" si="11"/>
        <v>0.0% = Est. S &amp; C</v>
      </c>
      <c r="J35" s="455"/>
      <c r="K35" s="456" t="str">
        <f t="shared" si="12"/>
        <v>0.00%</v>
      </c>
      <c r="L35" s="340">
        <f>ROUND(H35*(1+M19),0)</f>
        <v>0</v>
      </c>
      <c r="M35" s="897" t="str">
        <f>TEXT(M19,"0.0%")&amp;" = Est. S &amp; C"</f>
        <v>2.0% = Est. S &amp; C</v>
      </c>
      <c r="O35" s="456" t="str">
        <f t="shared" si="13"/>
        <v>0.00%</v>
      </c>
      <c r="P35" s="340">
        <f>ROUND(L35*(1+Q19),0)</f>
        <v>0</v>
      </c>
      <c r="Q35" s="897" t="str">
        <f>TEXT(Q19,"0.0%")&amp;" = Est. S &amp; C"</f>
        <v>2.0% = Est. S &amp; C</v>
      </c>
      <c r="R35" s="592"/>
      <c r="S35" s="2238" t="str">
        <f t="shared" si="14"/>
        <v>0.00%</v>
      </c>
      <c r="T35" s="340">
        <f>ROUND(P35*(1+U19),0)</f>
        <v>0</v>
      </c>
      <c r="U35" s="455" t="str">
        <f>TEXT(U19,"0.0%")&amp;" = Est. S &amp; C"</f>
        <v>2.0% = Est. S &amp; C</v>
      </c>
      <c r="V35" s="952"/>
      <c r="W35" s="2241" t="str">
        <f t="shared" si="15"/>
        <v>0.00%</v>
      </c>
      <c r="X35" s="340">
        <f>ROUND(T35*(1+Y19),0)</f>
        <v>0</v>
      </c>
      <c r="Y35" s="455" t="str">
        <f>TEXT(Y19,"0.0%")&amp;" = Est. S &amp; C"</f>
        <v>2.0% = Est. S &amp; C</v>
      </c>
      <c r="AA35" s="456" t="str">
        <f t="shared" si="16"/>
        <v>0.00%</v>
      </c>
      <c r="AB35" s="340">
        <f>ROUND(X35*(1+AC19),0)</f>
        <v>0</v>
      </c>
      <c r="AC35" s="455" t="str">
        <f>TEXT(AC19,"0.0%")&amp;" = Est. S &amp; C"</f>
        <v>2.0% = Est. S &amp; C</v>
      </c>
    </row>
    <row r="36" spans="1:29" s="457" customFormat="1" hidden="1" x14ac:dyDescent="0.25">
      <c r="A36" s="2227"/>
      <c r="B36" s="2385" t="s">
        <v>30</v>
      </c>
      <c r="C36" s="2215" t="s">
        <v>29</v>
      </c>
      <c r="D36" s="340">
        <v>0</v>
      </c>
      <c r="E36" s="2386"/>
      <c r="F36" s="340"/>
      <c r="G36" s="456" t="str">
        <f t="shared" si="9"/>
        <v>0.00%</v>
      </c>
      <c r="H36" s="340">
        <f t="shared" si="10"/>
        <v>0</v>
      </c>
      <c r="I36" s="897" t="str">
        <f t="shared" si="11"/>
        <v>0.0% = Est. S &amp; C</v>
      </c>
      <c r="J36" s="455"/>
      <c r="K36" s="456" t="str">
        <f t="shared" si="12"/>
        <v>0.00%</v>
      </c>
      <c r="L36" s="340">
        <f>ROUND(H36*(1+M19),0)</f>
        <v>0</v>
      </c>
      <c r="M36" s="897" t="str">
        <f>TEXT(M19,"0.0%")&amp;" = Est. S &amp; C"</f>
        <v>2.0% = Est. S &amp; C</v>
      </c>
      <c r="O36" s="456" t="str">
        <f t="shared" si="13"/>
        <v>0.00%</v>
      </c>
      <c r="P36" s="340">
        <f>ROUND(L36*(1+Q19),0)</f>
        <v>0</v>
      </c>
      <c r="Q36" s="897" t="str">
        <f>TEXT(Q19,"0.0%")&amp;" = Est. S &amp; C"</f>
        <v>2.0% = Est. S &amp; C</v>
      </c>
      <c r="R36" s="592"/>
      <c r="S36" s="2238" t="str">
        <f t="shared" si="14"/>
        <v>0.00%</v>
      </c>
      <c r="T36" s="340">
        <f>ROUND(P36*(1+U19),0)</f>
        <v>0</v>
      </c>
      <c r="U36" s="455" t="str">
        <f>TEXT(U19,"0.0%")&amp;" = Est. S &amp; C"</f>
        <v>2.0% = Est. S &amp; C</v>
      </c>
      <c r="V36" s="952"/>
      <c r="W36" s="2241" t="str">
        <f t="shared" si="15"/>
        <v>0.00%</v>
      </c>
      <c r="X36" s="340">
        <f>ROUND(T36*(1+Y19),0)</f>
        <v>0</v>
      </c>
      <c r="Y36" s="455" t="str">
        <f>TEXT(Y19,"0.0%")&amp;" = Est. S &amp; C"</f>
        <v>2.0% = Est. S &amp; C</v>
      </c>
      <c r="AA36" s="456" t="str">
        <f t="shared" si="16"/>
        <v>0.00%</v>
      </c>
      <c r="AB36" s="340">
        <f>ROUND(X36*(1+AC19),0)</f>
        <v>0</v>
      </c>
      <c r="AC36" s="455" t="str">
        <f>TEXT(AC19,"0.0%")&amp;" = Est. S &amp; C"</f>
        <v>2.0% = Est. S &amp; C</v>
      </c>
    </row>
    <row r="37" spans="1:29" s="457" customFormat="1" hidden="1" x14ac:dyDescent="0.25">
      <c r="A37" s="2227"/>
      <c r="B37" s="2385" t="s">
        <v>72</v>
      </c>
      <c r="C37" s="2215" t="s">
        <v>71</v>
      </c>
      <c r="D37" s="340">
        <v>0</v>
      </c>
      <c r="E37" s="2386"/>
      <c r="F37" s="340"/>
      <c r="G37" s="456" t="str">
        <f t="shared" si="9"/>
        <v>0.00%</v>
      </c>
      <c r="H37" s="340">
        <f t="shared" si="10"/>
        <v>0</v>
      </c>
      <c r="I37" s="897" t="str">
        <f t="shared" si="11"/>
        <v>0.0% = Est. S &amp; C</v>
      </c>
      <c r="J37" s="455"/>
      <c r="K37" s="456" t="str">
        <f t="shared" si="12"/>
        <v>0.00%</v>
      </c>
      <c r="L37" s="340">
        <f>ROUND(H37*(1+M19),0)</f>
        <v>0</v>
      </c>
      <c r="M37" s="897" t="str">
        <f>TEXT(M19,"0.0%")&amp;" = Est. S &amp; C"</f>
        <v>2.0% = Est. S &amp; C</v>
      </c>
      <c r="O37" s="456" t="str">
        <f t="shared" si="13"/>
        <v>0.00%</v>
      </c>
      <c r="P37" s="340">
        <f>ROUND(L37*(1+Q19),0)</f>
        <v>0</v>
      </c>
      <c r="Q37" s="897" t="str">
        <f>TEXT(Q19,"0.0%")&amp;" = Est. S &amp; C"</f>
        <v>2.0% = Est. S &amp; C</v>
      </c>
      <c r="R37" s="592"/>
      <c r="S37" s="2238" t="str">
        <f t="shared" si="14"/>
        <v>0.00%</v>
      </c>
      <c r="T37" s="340">
        <f>ROUND(P37*(1+U19),0)</f>
        <v>0</v>
      </c>
      <c r="U37" s="455" t="str">
        <f>TEXT(U19,"0.0%")&amp;" = Est. S &amp; C"</f>
        <v>2.0% = Est. S &amp; C</v>
      </c>
      <c r="V37" s="952"/>
      <c r="W37" s="2241" t="str">
        <f t="shared" si="15"/>
        <v>0.00%</v>
      </c>
      <c r="X37" s="340">
        <f>ROUND(T37*(1+Y19),0)</f>
        <v>0</v>
      </c>
      <c r="Y37" s="455" t="str">
        <f>TEXT(Y19,"0.0%")&amp;" = Est. S &amp; C"</f>
        <v>2.0% = Est. S &amp; C</v>
      </c>
      <c r="AA37" s="456" t="str">
        <f t="shared" si="16"/>
        <v>0.00%</v>
      </c>
      <c r="AB37" s="340">
        <f>ROUND(X37*(1+AC19),0)</f>
        <v>0</v>
      </c>
      <c r="AC37" s="455" t="str">
        <f>TEXT(AC19,"0.0%")&amp;" = Est. S &amp; C"</f>
        <v>2.0% = Est. S &amp; C</v>
      </c>
    </row>
    <row r="38" spans="1:29" s="457" customFormat="1" hidden="1" x14ac:dyDescent="0.25">
      <c r="A38" s="2227"/>
      <c r="B38" s="2385" t="s">
        <v>114</v>
      </c>
      <c r="C38" s="2215" t="s">
        <v>117</v>
      </c>
      <c r="D38" s="340">
        <v>0</v>
      </c>
      <c r="E38" s="2386"/>
      <c r="F38" s="340"/>
      <c r="G38" s="456" t="str">
        <f t="shared" si="9"/>
        <v>0.00%</v>
      </c>
      <c r="H38" s="340">
        <f t="shared" si="10"/>
        <v>0</v>
      </c>
      <c r="I38" s="897" t="str">
        <f t="shared" si="11"/>
        <v>0.0% = Est. S &amp; C</v>
      </c>
      <c r="J38" s="455"/>
      <c r="K38" s="456" t="str">
        <f t="shared" si="12"/>
        <v>0.00%</v>
      </c>
      <c r="L38" s="340">
        <f>ROUND(H38*(1+M19),0)</f>
        <v>0</v>
      </c>
      <c r="M38" s="897" t="str">
        <f>TEXT(M19,"0.0%")&amp;" = Est. S &amp; C"</f>
        <v>2.0% = Est. S &amp; C</v>
      </c>
      <c r="O38" s="456" t="str">
        <f t="shared" si="13"/>
        <v>0.00%</v>
      </c>
      <c r="P38" s="340">
        <f>ROUND(L38*(1+Q19),0)</f>
        <v>0</v>
      </c>
      <c r="Q38" s="897" t="str">
        <f>TEXT(Q19,"0.0%")&amp;" = Est. S &amp; C"</f>
        <v>2.0% = Est. S &amp; C</v>
      </c>
      <c r="R38" s="592"/>
      <c r="S38" s="2238" t="str">
        <f t="shared" si="14"/>
        <v>0.00%</v>
      </c>
      <c r="T38" s="340">
        <f>ROUND(P38*(1+U19),0)</f>
        <v>0</v>
      </c>
      <c r="U38" s="455" t="str">
        <f>TEXT(U19,"0.0%")&amp;" = Est. S &amp; C"</f>
        <v>2.0% = Est. S &amp; C</v>
      </c>
      <c r="V38" s="952"/>
      <c r="W38" s="2241" t="str">
        <f t="shared" si="15"/>
        <v>0.00%</v>
      </c>
      <c r="X38" s="340">
        <f>ROUND(T38*(1+Y19),0)</f>
        <v>0</v>
      </c>
      <c r="Y38" s="455" t="str">
        <f>TEXT(Y19,"0.0%")&amp;" = Est. S &amp; C"</f>
        <v>2.0% = Est. S &amp; C</v>
      </c>
      <c r="AA38" s="456" t="str">
        <f t="shared" si="16"/>
        <v>0.00%</v>
      </c>
      <c r="AB38" s="340">
        <f>ROUND(X38*(1+AC19),0)</f>
        <v>0</v>
      </c>
      <c r="AC38" s="455" t="str">
        <f>TEXT(AC19,"0.0%")&amp;" = Est. S &amp; C"</f>
        <v>2.0% = Est. S &amp; C</v>
      </c>
    </row>
    <row r="39" spans="1:29" s="457" customFormat="1" hidden="1" x14ac:dyDescent="0.25">
      <c r="A39" s="2227"/>
      <c r="B39" s="2385" t="s">
        <v>73</v>
      </c>
      <c r="C39" s="2215" t="s">
        <v>74</v>
      </c>
      <c r="D39" s="340">
        <v>0</v>
      </c>
      <c r="E39" s="2386"/>
      <c r="F39" s="340"/>
      <c r="G39" s="456" t="str">
        <f t="shared" si="9"/>
        <v>0.00%</v>
      </c>
      <c r="H39" s="340">
        <f t="shared" si="10"/>
        <v>0</v>
      </c>
      <c r="I39" s="897" t="str">
        <f t="shared" si="11"/>
        <v>0.0% = Est. S &amp; C</v>
      </c>
      <c r="J39" s="455"/>
      <c r="K39" s="456" t="str">
        <f t="shared" si="12"/>
        <v>0.00%</v>
      </c>
      <c r="L39" s="340">
        <f>ROUND(H39*(1+M19),0)</f>
        <v>0</v>
      </c>
      <c r="M39" s="897" t="str">
        <f>TEXT(M19,"0.0%")&amp;" = Est. S &amp; C"</f>
        <v>2.0% = Est. S &amp; C</v>
      </c>
      <c r="O39" s="456" t="str">
        <f t="shared" si="13"/>
        <v>0.00%</v>
      </c>
      <c r="P39" s="340">
        <f>ROUND(L39*(1+Q19),0)</f>
        <v>0</v>
      </c>
      <c r="Q39" s="897" t="str">
        <f>TEXT(Q19,"0.0%")&amp;" = Est. S &amp; C"</f>
        <v>2.0% = Est. S &amp; C</v>
      </c>
      <c r="R39" s="592"/>
      <c r="S39" s="2238" t="str">
        <f t="shared" si="14"/>
        <v>0.00%</v>
      </c>
      <c r="T39" s="340">
        <f>ROUND(P39*(1+U19),0)</f>
        <v>0</v>
      </c>
      <c r="U39" s="455" t="str">
        <f>TEXT(U19,"0.0%")&amp;" = Est. S &amp; C"</f>
        <v>2.0% = Est. S &amp; C</v>
      </c>
      <c r="V39" s="952"/>
      <c r="W39" s="2241" t="str">
        <f t="shared" si="15"/>
        <v>0.00%</v>
      </c>
      <c r="X39" s="340">
        <f>ROUND(T39*(1+Y19),0)</f>
        <v>0</v>
      </c>
      <c r="Y39" s="455" t="str">
        <f>TEXT(Y19,"0.0%")&amp;" = Est. S &amp; C"</f>
        <v>2.0% = Est. S &amp; C</v>
      </c>
      <c r="AA39" s="456" t="str">
        <f t="shared" si="16"/>
        <v>0.00%</v>
      </c>
      <c r="AB39" s="340">
        <f>ROUND(X39*(1+AC19),0)</f>
        <v>0</v>
      </c>
      <c r="AC39" s="455" t="str">
        <f>TEXT(AC19,"0.0%")&amp;" = Est. S &amp; C"</f>
        <v>2.0% = Est. S &amp; C</v>
      </c>
    </row>
    <row r="40" spans="1:29" s="457" customFormat="1" ht="6" hidden="1" customHeight="1" x14ac:dyDescent="0.25">
      <c r="A40" s="2227"/>
      <c r="B40" s="2385"/>
      <c r="C40" s="2215"/>
      <c r="D40" s="340"/>
      <c r="E40" s="2386"/>
      <c r="F40" s="340"/>
      <c r="G40" s="2338"/>
      <c r="H40" s="340"/>
      <c r="I40" s="897"/>
      <c r="J40" s="455"/>
      <c r="K40" s="1668"/>
      <c r="L40" s="340"/>
      <c r="M40" s="901"/>
      <c r="O40" s="1668"/>
      <c r="P40" s="340"/>
      <c r="Q40" s="901"/>
      <c r="R40" s="592"/>
      <c r="S40" s="2341"/>
      <c r="T40" s="340"/>
      <c r="U40" s="2344"/>
      <c r="V40" s="952"/>
      <c r="W40" s="2343"/>
      <c r="X40" s="340"/>
      <c r="Y40" s="2344"/>
      <c r="AA40" s="1668"/>
      <c r="AB40" s="340"/>
      <c r="AC40" s="2344"/>
    </row>
    <row r="41" spans="1:29" s="457" customFormat="1" x14ac:dyDescent="0.25">
      <c r="A41" s="2228"/>
      <c r="B41" s="2385"/>
      <c r="C41" s="2215"/>
      <c r="D41" s="458">
        <f>SUM(D33:D40)</f>
        <v>0</v>
      </c>
      <c r="E41" s="2386"/>
      <c r="F41" s="340"/>
      <c r="G41" s="456" t="str">
        <f>IF(D41=0,"0.00%",(H41-D41)/D41)</f>
        <v>0.00%</v>
      </c>
      <c r="H41" s="458">
        <f>SUM(H33:H40)</f>
        <v>0</v>
      </c>
      <c r="I41" s="898"/>
      <c r="J41" s="459"/>
      <c r="K41" s="456" t="str">
        <f>IF(H41=0,"0.00%",(L41-H41)/H41)</f>
        <v>0.00%</v>
      </c>
      <c r="L41" s="458">
        <f>SUM(L33:L40)</f>
        <v>0</v>
      </c>
      <c r="M41" s="901"/>
      <c r="O41" s="456" t="str">
        <f>IF(L41=0,"0.00%",(P41-L41)/L41)</f>
        <v>0.00%</v>
      </c>
      <c r="P41" s="458">
        <f>SUM(P33:P40)</f>
        <v>0</v>
      </c>
      <c r="Q41" s="901"/>
      <c r="R41" s="592"/>
      <c r="S41" s="2238" t="str">
        <f>IF(P41=0,"0.00%",(T41-P41)/P41)</f>
        <v>0.00%</v>
      </c>
      <c r="T41" s="458">
        <f>SUM(T33:T40)</f>
        <v>0</v>
      </c>
      <c r="U41" s="2344"/>
      <c r="V41" s="952"/>
      <c r="W41" s="2241" t="str">
        <f>IF(T41=0,"0.00%",(X41-T41)/T41)</f>
        <v>0.00%</v>
      </c>
      <c r="X41" s="458">
        <f>SUM(X33:X40)</f>
        <v>0</v>
      </c>
      <c r="Y41" s="2344"/>
      <c r="AA41" s="456" t="str">
        <f>IF(X41=0,"0.00%",(AB41-X41)/X41)</f>
        <v>0.00%</v>
      </c>
      <c r="AB41" s="458">
        <f>SUM(AB33:AB40)</f>
        <v>0</v>
      </c>
      <c r="AC41" s="2344"/>
    </row>
    <row r="42" spans="1:29" s="457" customFormat="1" x14ac:dyDescent="0.25">
      <c r="A42" s="2227"/>
      <c r="B42" s="2345" t="s">
        <v>28</v>
      </c>
      <c r="C42" s="2215"/>
      <c r="D42" s="340"/>
      <c r="E42" s="2386"/>
      <c r="F42" s="340"/>
      <c r="G42" s="2338"/>
      <c r="H42" s="340"/>
      <c r="I42" s="897"/>
      <c r="J42" s="455"/>
      <c r="K42" s="1668"/>
      <c r="L42" s="340"/>
      <c r="M42" s="901"/>
      <c r="O42" s="1668"/>
      <c r="P42" s="340"/>
      <c r="Q42" s="901"/>
      <c r="R42" s="592"/>
      <c r="S42" s="2341"/>
      <c r="T42" s="340"/>
      <c r="U42" s="2344"/>
      <c r="V42" s="952"/>
      <c r="W42" s="2343"/>
      <c r="X42" s="340"/>
      <c r="Y42" s="2344"/>
      <c r="AA42" s="1668"/>
      <c r="AB42" s="340"/>
      <c r="AC42" s="2344"/>
    </row>
    <row r="43" spans="1:29" s="457" customFormat="1" x14ac:dyDescent="0.25">
      <c r="A43" s="2229"/>
      <c r="B43" s="2337" t="s">
        <v>27</v>
      </c>
      <c r="C43" s="2215"/>
      <c r="D43" s="340"/>
      <c r="E43" s="2386"/>
      <c r="F43" s="340"/>
      <c r="G43" s="2338"/>
      <c r="H43" s="340"/>
      <c r="I43" s="897"/>
      <c r="J43" s="455"/>
      <c r="K43" s="1668"/>
      <c r="L43" s="340"/>
      <c r="M43" s="901"/>
      <c r="O43" s="1668"/>
      <c r="P43" s="340"/>
      <c r="Q43" s="901"/>
      <c r="R43" s="592"/>
      <c r="S43" s="2341"/>
      <c r="T43" s="340"/>
      <c r="U43" s="2344"/>
      <c r="V43" s="952"/>
      <c r="W43" s="2343"/>
      <c r="X43" s="340"/>
      <c r="Y43" s="2344"/>
      <c r="AA43" s="1668"/>
      <c r="AB43" s="340"/>
      <c r="AC43" s="2344"/>
    </row>
    <row r="44" spans="1:29" s="457" customFormat="1" x14ac:dyDescent="0.25">
      <c r="A44" s="2227"/>
      <c r="B44" s="2385" t="s">
        <v>83</v>
      </c>
      <c r="C44" s="2215" t="s">
        <v>76</v>
      </c>
      <c r="D44" s="340">
        <v>4219</v>
      </c>
      <c r="E44" s="899" t="str">
        <f>TEXT('MYP Assumptions'!$D$57,"0.00%")&amp;", STRS rate"</f>
        <v>12.58%, STRS rate</v>
      </c>
      <c r="F44" s="340"/>
      <c r="G44" s="456">
        <f t="shared" ref="G44:G53" si="17">IF(D44=0,"0.00%",(H44-D44)/D44)</f>
        <v>0.12941455321166154</v>
      </c>
      <c r="H44" s="340">
        <v>4765</v>
      </c>
      <c r="I44" s="899" t="str">
        <f>TEXT('MYP Assumptions'!E57,"0.00%")&amp;", projected STRS rate"</f>
        <v>14.43%, projected STRS rate</v>
      </c>
      <c r="J44" s="455"/>
      <c r="K44" s="456">
        <f t="shared" ref="K44:K53" si="18">IF(H44=0,"0.00%",(L44-H44)/H44)</f>
        <v>2.0493179433368311</v>
      </c>
      <c r="L44" s="340">
        <v>14530</v>
      </c>
      <c r="M44" s="899" t="str">
        <f>TEXT('MYP Assumptions'!F57,"0.00%")&amp;", projected STRS rate"</f>
        <v>16.28%, projected STRS rate</v>
      </c>
      <c r="O44" s="456">
        <f t="shared" ref="O44:O53" si="19">IF(L44=0,"0.00%",(P44-L44)/L44)</f>
        <v>0.13592567102546455</v>
      </c>
      <c r="P44" s="340">
        <f>ROUND(P30*LEFT(Q44,6),0)</f>
        <v>16505</v>
      </c>
      <c r="Q44" s="899" t="str">
        <f>TEXT('MYP Assumptions'!G57,"0.00%")&amp;", projected STRS rate"</f>
        <v>18.13%, projected STRS rate</v>
      </c>
      <c r="R44" s="592"/>
      <c r="S44" s="2238">
        <f t="shared" ref="S44:S53" si="20">IF(P44=0,"0.00%",(T44-P44)/P44)</f>
        <v>7.4583459557709786E-2</v>
      </c>
      <c r="T44" s="340">
        <f>ROUND(T30*LEFT(U44,6),0)</f>
        <v>17736</v>
      </c>
      <c r="U44" s="953" t="str">
        <f>TEXT('MYP Assumptions'!H57,"0.00%")&amp;", projected STRS rate"</f>
        <v>19.10%, projected STRS rate</v>
      </c>
      <c r="V44" s="952"/>
      <c r="W44" s="2241">
        <f t="shared" ref="W44:W53" si="21">IF(T44=0,"0.00%",(X44-T44)/T44)</f>
        <v>2.0015787099684258E-2</v>
      </c>
      <c r="X44" s="340">
        <f>ROUND(X30*LEFT(Y44,6),0)</f>
        <v>18091</v>
      </c>
      <c r="Y44" s="953" t="str">
        <f>TEXT('MYP Assumptions'!I57,"0.00%")&amp;", projected STRS rate"</f>
        <v>19.10%, projected STRS rate</v>
      </c>
      <c r="AA44" s="456" t="e">
        <f t="shared" ref="AA44:AA53" si="22">IF(X44=0,"0.00%",(AB44-X44)/X44)</f>
        <v>#VALUE!</v>
      </c>
      <c r="AB44" s="340" t="e">
        <f>ROUND(AB30*LEFT(AC44,6),0)</f>
        <v>#VALUE!</v>
      </c>
      <c r="AC44" s="953" t="str">
        <f>TEXT('MYP Assumptions'!J57,"0.00%")&amp;", projected STRS rate"</f>
        <v>0.00%, projected STRS rate</v>
      </c>
    </row>
    <row r="45" spans="1:29" s="457" customFormat="1" x14ac:dyDescent="0.25">
      <c r="A45" s="2227"/>
      <c r="B45" s="2385" t="s">
        <v>84</v>
      </c>
      <c r="C45" s="2215" t="s">
        <v>77</v>
      </c>
      <c r="D45" s="340">
        <v>0</v>
      </c>
      <c r="E45" s="899" t="str">
        <f>TEXT('MYP Assumptions'!$D$58,"0.00%")&amp;", PERS rate"</f>
        <v>13.89%, PERS rate</v>
      </c>
      <c r="F45" s="340"/>
      <c r="G45" s="456" t="str">
        <f t="shared" si="17"/>
        <v>0.00%</v>
      </c>
      <c r="H45" s="340">
        <v>0</v>
      </c>
      <c r="I45" s="899" t="str">
        <f>TEXT('MYP Assumptions'!E58,"0.00%")&amp;", projected PERS rate"</f>
        <v>15.53%, projected PERS rate</v>
      </c>
      <c r="J45" s="455"/>
      <c r="K45" s="456" t="str">
        <f t="shared" si="18"/>
        <v>0.00%</v>
      </c>
      <c r="L45" s="340">
        <f>ROUND(L41*LEFT(M45,6),0)</f>
        <v>0</v>
      </c>
      <c r="M45" s="899" t="str">
        <f>TEXT('MYP Assumptions'!F58,"0.00%")&amp;", projected PERS rate"</f>
        <v>18.06%, projected PERS rate</v>
      </c>
      <c r="O45" s="456" t="str">
        <f t="shared" si="19"/>
        <v>0.00%</v>
      </c>
      <c r="P45" s="340">
        <f>ROUND(P41*LEFT(Q45,6),0)</f>
        <v>0</v>
      </c>
      <c r="Q45" s="899" t="str">
        <f>TEXT('MYP Assumptions'!G58,"0.00%")&amp;", projected PERS rate"</f>
        <v>20.80%, projected PERS rate</v>
      </c>
      <c r="R45" s="592"/>
      <c r="S45" s="2238" t="str">
        <f t="shared" si="20"/>
        <v>0.00%</v>
      </c>
      <c r="T45" s="340">
        <f>ROUND(T41*LEFT(U45,6),0)</f>
        <v>0</v>
      </c>
      <c r="U45" s="953" t="str">
        <f>TEXT('MYP Assumptions'!H58,"0.00%")&amp;", projected PERS rate"</f>
        <v>23.50%, projected PERS rate</v>
      </c>
      <c r="V45" s="952"/>
      <c r="W45" s="2241" t="str">
        <f t="shared" si="21"/>
        <v>0.00%</v>
      </c>
      <c r="X45" s="340">
        <f>ROUND(X41*LEFT(Y45,6),0)</f>
        <v>0</v>
      </c>
      <c r="Y45" s="953" t="str">
        <f>TEXT('MYP Assumptions'!I58,"0.00%")&amp;", projected PERS rate"</f>
        <v>24.60%, projected PERS rate</v>
      </c>
      <c r="AA45" s="456" t="str">
        <f t="shared" si="22"/>
        <v>0.00%</v>
      </c>
      <c r="AB45" s="340" t="e">
        <f>ROUND(AB41*LEFT(AC45,6),0)</f>
        <v>#VALUE!</v>
      </c>
      <c r="AC45" s="953" t="str">
        <f>TEXT('MYP Assumptions'!J58,"0.00%")&amp;", projected PERS rate"</f>
        <v>0.00%, projected PERS rate</v>
      </c>
    </row>
    <row r="46" spans="1:29" s="457" customFormat="1" x14ac:dyDescent="0.25">
      <c r="A46" s="2227"/>
      <c r="B46" s="2385" t="s">
        <v>85</v>
      </c>
      <c r="C46" s="2215" t="s">
        <v>78</v>
      </c>
      <c r="D46" s="340">
        <v>0</v>
      </c>
      <c r="E46" s="899" t="str">
        <f>TEXT('MYP Assumptions'!$D$60,"0.00%")&amp;", SS rate"</f>
        <v>6.20%, SS rate</v>
      </c>
      <c r="F46" s="340"/>
      <c r="G46" s="456" t="str">
        <f t="shared" si="17"/>
        <v>0.00%</v>
      </c>
      <c r="H46" s="340">
        <v>0</v>
      </c>
      <c r="I46" s="899" t="str">
        <f>TEXT('MYP Assumptions'!E60,"0.00%")&amp;", no rate change"</f>
        <v>6.20%, no rate change</v>
      </c>
      <c r="J46" s="455"/>
      <c r="K46" s="456" t="str">
        <f t="shared" si="18"/>
        <v>0.00%</v>
      </c>
      <c r="L46" s="340">
        <f>ROUND(L41*LEFT(M46,5),0)</f>
        <v>0</v>
      </c>
      <c r="M46" s="899" t="str">
        <f>TEXT('MYP Assumptions'!F60,"0.00%")&amp;", no rate change"</f>
        <v>6.20%, no rate change</v>
      </c>
      <c r="O46" s="456" t="str">
        <f t="shared" si="19"/>
        <v>0.00%</v>
      </c>
      <c r="P46" s="340">
        <f>ROUND(P41*LEFT(Q46,5),0)</f>
        <v>0</v>
      </c>
      <c r="Q46" s="899" t="str">
        <f>TEXT('MYP Assumptions'!G60,"0.00%")&amp;", no rate change"</f>
        <v>6.20%, no rate change</v>
      </c>
      <c r="R46" s="592"/>
      <c r="S46" s="2238" t="str">
        <f t="shared" si="20"/>
        <v>0.00%</v>
      </c>
      <c r="T46" s="340">
        <f>ROUND(T41*LEFT(U46,5),0)</f>
        <v>0</v>
      </c>
      <c r="U46" s="953" t="str">
        <f>TEXT('MYP Assumptions'!H60,"0.00%")&amp;", no rate change"</f>
        <v>6.20%, no rate change</v>
      </c>
      <c r="V46" s="952"/>
      <c r="W46" s="2241" t="str">
        <f t="shared" si="21"/>
        <v>0.00%</v>
      </c>
      <c r="X46" s="340">
        <f>ROUND(X41*LEFT(Y46,5),0)</f>
        <v>0</v>
      </c>
      <c r="Y46" s="953" t="str">
        <f>TEXT('MYP Assumptions'!I60,"0.00%")&amp;", no rate change"</f>
        <v>6.20%, no rate change</v>
      </c>
      <c r="AA46" s="456" t="str">
        <f t="shared" si="22"/>
        <v>0.00%</v>
      </c>
      <c r="AB46" s="340">
        <f>ROUND(AB41*LEFT(AC46,5),0)</f>
        <v>0</v>
      </c>
      <c r="AC46" s="953" t="str">
        <f>TEXT('MYP Assumptions'!J60,"0.00%")&amp;", no rate change"</f>
        <v>0.00%, no rate change</v>
      </c>
    </row>
    <row r="47" spans="1:29" s="457" customFormat="1" x14ac:dyDescent="0.25">
      <c r="A47" s="2227"/>
      <c r="B47" s="2385" t="s">
        <v>86</v>
      </c>
      <c r="C47" s="2215" t="s">
        <v>79</v>
      </c>
      <c r="D47" s="340">
        <v>465.89</v>
      </c>
      <c r="E47" s="899" t="str">
        <f>TEXT('MYP Assumptions'!$D$61,"0.00%")&amp;", Medicare rate"</f>
        <v>1.45%, Medicare rate</v>
      </c>
      <c r="F47" s="340"/>
      <c r="G47" s="456">
        <f t="shared" si="17"/>
        <v>0.12902187211573551</v>
      </c>
      <c r="H47" s="340">
        <v>526</v>
      </c>
      <c r="I47" s="899" t="str">
        <f>TEXT('MYP Assumptions'!E61,"0.00%")&amp;", no rate change"</f>
        <v>1.45%, no rate change</v>
      </c>
      <c r="J47" s="455"/>
      <c r="K47" s="456">
        <f t="shared" si="18"/>
        <v>1.4600760456273765</v>
      </c>
      <c r="L47" s="340">
        <v>1294</v>
      </c>
      <c r="M47" s="899" t="str">
        <f>TEXT('MYP Assumptions'!F61,"0.00%")&amp;", no rate change"</f>
        <v>1.45%, no rate change</v>
      </c>
      <c r="O47" s="456">
        <f t="shared" si="19"/>
        <v>2.009273570324575E-2</v>
      </c>
      <c r="P47" s="340">
        <f>ROUND((P41+P30)*LEFT(Q47,5),0)</f>
        <v>1320</v>
      </c>
      <c r="Q47" s="899" t="str">
        <f>TEXT('MYP Assumptions'!G61,"0.00%")&amp;", no rate change"</f>
        <v>1.45%, no rate change</v>
      </c>
      <c r="R47" s="592"/>
      <c r="S47" s="2238">
        <f t="shared" si="20"/>
        <v>1.9696969696969695E-2</v>
      </c>
      <c r="T47" s="340">
        <f>ROUND((T41+T30)*LEFT(U47,5),0)</f>
        <v>1346</v>
      </c>
      <c r="U47" s="953" t="str">
        <f>TEXT('MYP Assumptions'!H61,"0.00%")&amp;", no rate change"</f>
        <v>1.45%, no rate change</v>
      </c>
      <c r="V47" s="952"/>
      <c r="W47" s="2241">
        <f t="shared" si="21"/>
        <v>2.0059435364041606E-2</v>
      </c>
      <c r="X47" s="340">
        <f>ROUND((X41+X30)*LEFT(Y47,5),0)</f>
        <v>1373</v>
      </c>
      <c r="Y47" s="953" t="str">
        <f>TEXT('MYP Assumptions'!I61,"0.00%")&amp;", no rate change"</f>
        <v>1.45%, no rate change</v>
      </c>
      <c r="AA47" s="456">
        <f t="shared" si="22"/>
        <v>-1</v>
      </c>
      <c r="AB47" s="340">
        <f>ROUND((AB41+AB30)*LEFT(AC47,5),0)</f>
        <v>0</v>
      </c>
      <c r="AC47" s="953" t="str">
        <f>TEXT('MYP Assumptions'!J61,"0.00%")&amp;", no rate change"</f>
        <v>0.00%, no rate change</v>
      </c>
    </row>
    <row r="48" spans="1:29" s="457" customFormat="1" x14ac:dyDescent="0.25">
      <c r="A48" s="2227"/>
      <c r="B48" s="2385" t="s">
        <v>87</v>
      </c>
      <c r="C48" s="2215" t="s">
        <v>80</v>
      </c>
      <c r="D48" s="340">
        <v>0</v>
      </c>
      <c r="E48" s="899"/>
      <c r="F48" s="340"/>
      <c r="G48" s="456" t="str">
        <f t="shared" si="17"/>
        <v>0.00%</v>
      </c>
      <c r="H48" s="340">
        <v>0</v>
      </c>
      <c r="I48" s="899" t="str">
        <f>TEXT('MYP Assumptions'!$I$68,"0.00%")&amp;", projected increase"</f>
        <v>5.00%, projected increase</v>
      </c>
      <c r="J48" s="455"/>
      <c r="K48" s="456" t="str">
        <f t="shared" si="18"/>
        <v>0.00%</v>
      </c>
      <c r="L48" s="340">
        <v>0</v>
      </c>
      <c r="M48" s="899" t="s">
        <v>1068</v>
      </c>
      <c r="O48" s="456" t="str">
        <f t="shared" si="19"/>
        <v>0.00%</v>
      </c>
      <c r="P48" s="340">
        <v>10000</v>
      </c>
      <c r="Q48" s="899" t="str">
        <f>TEXT('MYP Assumptions'!$I$68,"0.00%")&amp;", projected increase"</f>
        <v>5.00%, projected increase</v>
      </c>
      <c r="R48" s="592"/>
      <c r="S48" s="2238">
        <f t="shared" si="20"/>
        <v>0.05</v>
      </c>
      <c r="T48" s="340">
        <f>ROUND((P48)*(LEFT(U48,5)+1),0)</f>
        <v>10500</v>
      </c>
      <c r="U48" s="953" t="str">
        <f>TEXT('MYP Assumptions'!$I$68,"0.00%")&amp;", projected increase"</f>
        <v>5.00%, projected increase</v>
      </c>
      <c r="V48" s="952"/>
      <c r="W48" s="2241">
        <f t="shared" si="21"/>
        <v>0.05</v>
      </c>
      <c r="X48" s="340">
        <f>ROUND((T48)*(LEFT(Y48,5)+1),0)</f>
        <v>11025</v>
      </c>
      <c r="Y48" s="953" t="str">
        <f>TEXT('MYP Assumptions'!$I$68,"0.00%")&amp;", projected increase"</f>
        <v>5.00%, projected increase</v>
      </c>
      <c r="AA48" s="456">
        <f t="shared" si="22"/>
        <v>4.9977324263038546E-2</v>
      </c>
      <c r="AB48" s="340">
        <f>ROUND((X48)*(LEFT(AC48,5)+1),0)</f>
        <v>11576</v>
      </c>
      <c r="AC48" s="953" t="str">
        <f>TEXT('MYP Assumptions'!$I$68,"0.00%")&amp;", projected increase"</f>
        <v>5.00%, projected increase</v>
      </c>
    </row>
    <row r="49" spans="1:29" s="457" customFormat="1" x14ac:dyDescent="0.25">
      <c r="A49" s="2227"/>
      <c r="B49" s="2385" t="s">
        <v>88</v>
      </c>
      <c r="C49" s="2215" t="s">
        <v>81</v>
      </c>
      <c r="D49" s="340">
        <v>16.04</v>
      </c>
      <c r="E49" s="899" t="str">
        <f>TEXT('MYP Assumptions'!$D$62,"0.00%")&amp;", SUI rate"</f>
        <v>0.05%, SUI rate</v>
      </c>
      <c r="F49" s="340"/>
      <c r="G49" s="456">
        <f t="shared" si="17"/>
        <v>0.18453865336658359</v>
      </c>
      <c r="H49" s="340">
        <v>19</v>
      </c>
      <c r="I49" s="899" t="str">
        <f>TEXT('MYP Assumptions'!E62,"0.00%")&amp;", no rate change"</f>
        <v>0.05%, no rate change</v>
      </c>
      <c r="J49" s="455"/>
      <c r="K49" s="456">
        <f t="shared" si="18"/>
        <v>1.368421052631579</v>
      </c>
      <c r="L49" s="340">
        <v>45</v>
      </c>
      <c r="M49" s="899" t="str">
        <f>TEXT('MYP Assumptions'!F62,"0.00%")&amp;", no rate change"</f>
        <v>0.05%, no rate change</v>
      </c>
      <c r="O49" s="456">
        <f t="shared" si="19"/>
        <v>2.2222222222222223E-2</v>
      </c>
      <c r="P49" s="340">
        <f>ROUND((P41+P30)*LEFT(Q49,5),0)</f>
        <v>46</v>
      </c>
      <c r="Q49" s="899" t="str">
        <f>TEXT('MYP Assumptions'!G62,"0.00%")&amp;", no rate change"</f>
        <v>0.05%, no rate change</v>
      </c>
      <c r="R49" s="592"/>
      <c r="S49" s="2238">
        <f t="shared" si="20"/>
        <v>0</v>
      </c>
      <c r="T49" s="340">
        <f>ROUND((T41+T30)*LEFT(U49,5),0)</f>
        <v>46</v>
      </c>
      <c r="U49" s="953" t="str">
        <f>TEXT('MYP Assumptions'!H62,"0.00%")&amp;", no rate change"</f>
        <v>0.05%, no rate change</v>
      </c>
      <c r="V49" s="952"/>
      <c r="W49" s="2241">
        <f t="shared" si="21"/>
        <v>2.1739130434782608E-2</v>
      </c>
      <c r="X49" s="340">
        <f>ROUND((X41+X30)*LEFT(Y49,5),0)</f>
        <v>47</v>
      </c>
      <c r="Y49" s="953" t="str">
        <f>TEXT('MYP Assumptions'!I62,"0.00%")&amp;", no rate change"</f>
        <v>0.05%, no rate change</v>
      </c>
      <c r="AA49" s="456">
        <f t="shared" si="22"/>
        <v>-1</v>
      </c>
      <c r="AB49" s="340">
        <f>ROUND((AB41+AB30)*LEFT(AC49,5),0)</f>
        <v>0</v>
      </c>
      <c r="AC49" s="953" t="str">
        <f>TEXT('MYP Assumptions'!J62,"0.00%")&amp;", no rate change"</f>
        <v>0.00%, no rate change</v>
      </c>
    </row>
    <row r="50" spans="1:29" s="457" customFormat="1" x14ac:dyDescent="0.25">
      <c r="A50" s="2227"/>
      <c r="B50" s="2385" t="s">
        <v>89</v>
      </c>
      <c r="C50" s="2215" t="s">
        <v>82</v>
      </c>
      <c r="D50" s="340">
        <v>353.48</v>
      </c>
      <c r="E50" s="899" t="str">
        <f>TEXT('MYP Assumptions'!$D$63,"0.00%")&amp;", W/C rate"</f>
        <v>1.10%, W/C rate</v>
      </c>
      <c r="F50" s="340"/>
      <c r="G50" s="456">
        <f t="shared" si="17"/>
        <v>0.12877673418580959</v>
      </c>
      <c r="H50" s="340">
        <v>399</v>
      </c>
      <c r="I50" s="899" t="str">
        <f>TEXT('MYP Assumptions'!E63,"0.00%")&amp;", no rate change"</f>
        <v>0.80%, no rate change</v>
      </c>
      <c r="J50" s="455"/>
      <c r="K50" s="456">
        <f t="shared" si="18"/>
        <v>0.78947368421052633</v>
      </c>
      <c r="L50" s="340">
        <v>714</v>
      </c>
      <c r="M50" s="899" t="str">
        <f>TEXT('MYP Assumptions'!F63,"0.00%")&amp;", no rate change"</f>
        <v>0.80%, no rate change</v>
      </c>
      <c r="O50" s="456">
        <f t="shared" si="19"/>
        <v>1.9607843137254902E-2</v>
      </c>
      <c r="P50" s="340">
        <f>ROUND((P41+P30)*LEFT(Q50,5),0)</f>
        <v>728</v>
      </c>
      <c r="Q50" s="899" t="str">
        <f>TEXT('MYP Assumptions'!G63,"0.00%")&amp;", no rate change"</f>
        <v>0.80%, no rate change</v>
      </c>
      <c r="R50" s="592"/>
      <c r="S50" s="2238">
        <f t="shared" si="20"/>
        <v>2.0604395604395604E-2</v>
      </c>
      <c r="T50" s="340">
        <f>ROUND((T41+T30)*LEFT(U50,5),0)</f>
        <v>743</v>
      </c>
      <c r="U50" s="953" t="str">
        <f>TEXT('MYP Assumptions'!H63,"0.00%")&amp;", no rate change"</f>
        <v>0.80%, no rate change</v>
      </c>
      <c r="V50" s="952"/>
      <c r="W50" s="2241">
        <f t="shared" si="21"/>
        <v>2.0188425302826378E-2</v>
      </c>
      <c r="X50" s="340">
        <f>ROUND((X41+X30)*LEFT(Y50,5),0)</f>
        <v>758</v>
      </c>
      <c r="Y50" s="953" t="str">
        <f>TEXT('MYP Assumptions'!I63,"0.00%")&amp;", no rate change"</f>
        <v>0.80%, no rate change</v>
      </c>
      <c r="AA50" s="456">
        <f t="shared" si="22"/>
        <v>-1</v>
      </c>
      <c r="AB50" s="340">
        <f>ROUND((AB41+AB30)*LEFT(AC50,5),0)</f>
        <v>0</v>
      </c>
      <c r="AC50" s="953" t="str">
        <f>TEXT('MYP Assumptions'!J63,"0.00%")&amp;", no rate change"</f>
        <v>0.00%, no rate change</v>
      </c>
    </row>
    <row r="51" spans="1:29" s="457" customFormat="1" x14ac:dyDescent="0.25">
      <c r="A51" s="2227"/>
      <c r="B51" s="2441" t="s">
        <v>469</v>
      </c>
      <c r="C51" s="2451" t="s">
        <v>470</v>
      </c>
      <c r="D51" s="340">
        <v>0</v>
      </c>
      <c r="E51" s="2386"/>
      <c r="F51" s="340"/>
      <c r="G51" s="456" t="str">
        <f t="shared" ref="G51" si="23">IF(D51=0,"0.00%",(H51-D51)/D51)</f>
        <v>0.00%</v>
      </c>
      <c r="H51" s="340">
        <v>0</v>
      </c>
      <c r="I51" s="899"/>
      <c r="J51" s="455"/>
      <c r="K51" s="456" t="str">
        <f t="shared" ref="K51" si="24">IF(H51=0,"0.00%",(L51-H51)/H51)</f>
        <v>0.00%</v>
      </c>
      <c r="L51" s="340">
        <v>0</v>
      </c>
      <c r="M51" s="899"/>
      <c r="O51" s="456" t="str">
        <f t="shared" ref="O51" si="25">IF(L51=0,"0.00%",(P51-L51)/L51)</f>
        <v>0.00%</v>
      </c>
      <c r="P51" s="340">
        <f>L51</f>
        <v>0</v>
      </c>
      <c r="Q51" s="899"/>
      <c r="R51" s="592"/>
      <c r="S51" s="2238" t="str">
        <f t="shared" ref="S51" si="26">IF(P51=0,"0.00%",(T51-P51)/P51)</f>
        <v>0.00%</v>
      </c>
      <c r="T51" s="340">
        <f>P51</f>
        <v>0</v>
      </c>
      <c r="U51" s="953" t="s">
        <v>165</v>
      </c>
      <c r="V51" s="952"/>
      <c r="W51" s="2241" t="str">
        <f t="shared" ref="W51" si="27">IF(T51=0,"0.00%",(X51-T51)/T51)</f>
        <v>0.00%</v>
      </c>
      <c r="X51" s="340">
        <f>T51</f>
        <v>0</v>
      </c>
      <c r="Y51" s="953" t="s">
        <v>165</v>
      </c>
      <c r="AA51" s="456" t="str">
        <f t="shared" ref="AA51" si="28">IF(X51=0,"0.00%",(AB51-X51)/X51)</f>
        <v>0.00%</v>
      </c>
      <c r="AB51" s="340">
        <f>X51</f>
        <v>0</v>
      </c>
      <c r="AC51" s="953" t="s">
        <v>165</v>
      </c>
    </row>
    <row r="52" spans="1:29" s="457" customFormat="1" x14ac:dyDescent="0.25">
      <c r="A52" s="2227"/>
      <c r="B52" s="2441" t="s">
        <v>91</v>
      </c>
      <c r="C52" s="2451" t="s">
        <v>93</v>
      </c>
      <c r="D52" s="340">
        <v>625</v>
      </c>
      <c r="E52" s="2386"/>
      <c r="F52" s="340"/>
      <c r="G52" s="456">
        <f t="shared" ref="G52" si="29">IF(D52=0,"0.00%",(H52-D52)/D52)</f>
        <v>0.2</v>
      </c>
      <c r="H52" s="340">
        <v>750</v>
      </c>
      <c r="I52" s="899"/>
      <c r="J52" s="455"/>
      <c r="K52" s="456">
        <f t="shared" ref="K52" si="30">IF(H52=0,"0.00%",(L52-H52)/H52)</f>
        <v>0</v>
      </c>
      <c r="L52" s="340">
        <v>750</v>
      </c>
      <c r="M52" s="899" t="s">
        <v>165</v>
      </c>
      <c r="O52" s="456">
        <f t="shared" ref="O52" si="31">IF(L52=0,"0.00%",(P52-L52)/L52)</f>
        <v>0</v>
      </c>
      <c r="P52" s="340">
        <f>L52</f>
        <v>750</v>
      </c>
      <c r="Q52" s="899" t="s">
        <v>165</v>
      </c>
      <c r="R52" s="592"/>
      <c r="S52" s="2238">
        <f t="shared" ref="S52" si="32">IF(P52=0,"0.00%",(T52-P52)/P52)</f>
        <v>0</v>
      </c>
      <c r="T52" s="340">
        <f>P52</f>
        <v>750</v>
      </c>
      <c r="U52" s="953" t="s">
        <v>165</v>
      </c>
      <c r="V52" s="952"/>
      <c r="W52" s="2241"/>
      <c r="X52" s="340"/>
      <c r="Y52" s="953"/>
      <c r="AA52" s="456"/>
      <c r="AB52" s="340"/>
      <c r="AC52" s="953"/>
    </row>
    <row r="53" spans="1:29" s="457" customFormat="1" x14ac:dyDescent="0.25">
      <c r="A53" s="2228"/>
      <c r="B53" s="2385"/>
      <c r="C53" s="2215"/>
      <c r="D53" s="458">
        <f>SUM(D44:D52)</f>
        <v>5679.41</v>
      </c>
      <c r="E53" s="2386"/>
      <c r="F53" s="340"/>
      <c r="G53" s="456">
        <f t="shared" si="17"/>
        <v>0.13726601882942069</v>
      </c>
      <c r="H53" s="458">
        <f>SUM(H44:H52)</f>
        <v>6459</v>
      </c>
      <c r="I53" s="2316">
        <f>+H53-D53</f>
        <v>779.59000000000015</v>
      </c>
      <c r="J53" s="459"/>
      <c r="K53" s="456">
        <f t="shared" si="18"/>
        <v>1.6835423440161015</v>
      </c>
      <c r="L53" s="458">
        <f>SUM(L44:L52)</f>
        <v>17333</v>
      </c>
      <c r="M53" s="2316">
        <f>+L53-H53</f>
        <v>10874</v>
      </c>
      <c r="O53" s="456">
        <f t="shared" si="19"/>
        <v>0.69324410084809318</v>
      </c>
      <c r="P53" s="458">
        <f>SUM(P44:P52)</f>
        <v>29349</v>
      </c>
      <c r="Q53" s="2316">
        <f>+P53-L53</f>
        <v>12016</v>
      </c>
      <c r="R53" s="592"/>
      <c r="S53" s="2238">
        <f t="shared" si="20"/>
        <v>6.0376844185491836E-2</v>
      </c>
      <c r="T53" s="458">
        <f>SUM(T44:T52)</f>
        <v>31121</v>
      </c>
      <c r="U53" s="2344"/>
      <c r="V53" s="952"/>
      <c r="W53" s="2241">
        <f t="shared" si="21"/>
        <v>5.558947334597217E-3</v>
      </c>
      <c r="X53" s="458">
        <f>SUM(X44:X52)</f>
        <v>31294</v>
      </c>
      <c r="Y53" s="2344"/>
      <c r="AA53" s="456" t="e">
        <f t="shared" si="22"/>
        <v>#VALUE!</v>
      </c>
      <c r="AB53" s="458" t="e">
        <f>SUM(AB44:AB52)</f>
        <v>#VALUE!</v>
      </c>
      <c r="AC53" s="2344"/>
    </row>
    <row r="54" spans="1:29" s="457" customFormat="1" x14ac:dyDescent="0.25">
      <c r="A54" s="2229"/>
      <c r="B54" s="2385"/>
      <c r="C54" s="2215"/>
      <c r="D54" s="340"/>
      <c r="E54" s="2386"/>
      <c r="F54" s="340"/>
      <c r="G54" s="2338"/>
      <c r="H54" s="340"/>
      <c r="I54" s="897"/>
      <c r="J54" s="455"/>
      <c r="K54" s="1668"/>
      <c r="L54" s="340"/>
      <c r="M54" s="901"/>
      <c r="O54" s="1668"/>
      <c r="P54" s="340"/>
      <c r="Q54" s="901"/>
      <c r="R54" s="592"/>
      <c r="S54" s="2341"/>
      <c r="T54" s="340"/>
      <c r="U54" s="2344"/>
      <c r="V54" s="952"/>
      <c r="W54" s="2343"/>
      <c r="X54" s="340"/>
      <c r="Y54" s="2344"/>
      <c r="AA54" s="1668"/>
      <c r="AB54" s="340"/>
      <c r="AC54" s="2344"/>
    </row>
    <row r="55" spans="1:29" s="457" customFormat="1" x14ac:dyDescent="0.25">
      <c r="A55" s="2228"/>
      <c r="B55" s="2337" t="s">
        <v>26</v>
      </c>
      <c r="C55" s="2215"/>
      <c r="D55" s="458">
        <f>SUM(D53,D41,D30)</f>
        <v>38613.270000000004</v>
      </c>
      <c r="E55" s="2386"/>
      <c r="F55" s="340"/>
      <c r="G55" s="456">
        <f>IF(D55=0,"0.00%",(H55-D55)/D55)</f>
        <v>3.3453007217466836E-2</v>
      </c>
      <c r="H55" s="458">
        <f>SUM(H53,H41,H30)</f>
        <v>39905</v>
      </c>
      <c r="I55" s="2316">
        <f>+H55-D55</f>
        <v>1291.7299999999959</v>
      </c>
      <c r="J55" s="459"/>
      <c r="K55" s="456">
        <f>IF(H55=0,"0.00%",(L55-H55)/H55)</f>
        <v>1.6709936098233305</v>
      </c>
      <c r="L55" s="458">
        <f>SUM(L53,L41,L30)</f>
        <v>106586</v>
      </c>
      <c r="M55" s="2316">
        <f>+L55-H55</f>
        <v>66681</v>
      </c>
      <c r="O55" s="456">
        <f>IF(L55=0,"0.00%",(P55-L55)/L55)</f>
        <v>0.12948229598633967</v>
      </c>
      <c r="P55" s="458">
        <f>SUM(P53,P41,P30)</f>
        <v>120387</v>
      </c>
      <c r="Q55" s="2316">
        <f>+P55-L55</f>
        <v>13801</v>
      </c>
      <c r="R55" s="592"/>
      <c r="S55" s="2238">
        <f>IF(P55=0,"0.00%",(T55-P55)/P55)</f>
        <v>2.983710865791157E-2</v>
      </c>
      <c r="T55" s="458">
        <f>SUM(T53,T41,T30)</f>
        <v>123979</v>
      </c>
      <c r="U55" s="2344"/>
      <c r="V55" s="952"/>
      <c r="W55" s="2241">
        <f>IF(T55=0,"0.00%",(X55-T55)/T55)</f>
        <v>1.6373740714153203E-2</v>
      </c>
      <c r="X55" s="458">
        <f>SUM(X53,X41,X30)</f>
        <v>126009</v>
      </c>
      <c r="Y55" s="2344"/>
      <c r="AA55" s="456" t="e">
        <f>IF(X55=0,"0.00%",(AB55-X55)/X55)</f>
        <v>#VALUE!</v>
      </c>
      <c r="AB55" s="458" t="e">
        <f>SUM(AB53,AB41,AB30)</f>
        <v>#VALUE!</v>
      </c>
      <c r="AC55" s="2344"/>
    </row>
    <row r="56" spans="1:29" s="457" customFormat="1" x14ac:dyDescent="0.25">
      <c r="A56" s="2230"/>
      <c r="B56" s="2345"/>
      <c r="C56" s="2215"/>
      <c r="D56" s="340"/>
      <c r="E56" s="2386"/>
      <c r="F56" s="340"/>
      <c r="G56" s="2338"/>
      <c r="H56" s="340"/>
      <c r="I56" s="897"/>
      <c r="J56" s="455"/>
      <c r="K56" s="1668"/>
      <c r="L56" s="340"/>
      <c r="M56" s="901"/>
      <c r="O56" s="1668"/>
      <c r="P56" s="340"/>
      <c r="Q56" s="901"/>
      <c r="R56" s="592"/>
      <c r="S56" s="2341"/>
      <c r="T56" s="340"/>
      <c r="U56" s="2344"/>
      <c r="V56" s="952"/>
      <c r="W56" s="2343"/>
      <c r="X56" s="340"/>
      <c r="Y56" s="2344"/>
      <c r="AA56" s="1668"/>
      <c r="AB56" s="340"/>
      <c r="AC56" s="2344"/>
    </row>
    <row r="57" spans="1:29" s="457" customFormat="1" x14ac:dyDescent="0.25">
      <c r="A57" s="2227"/>
      <c r="B57" s="2345"/>
      <c r="C57" s="2215"/>
      <c r="D57" s="340"/>
      <c r="E57" s="2386"/>
      <c r="F57" s="340"/>
      <c r="G57" s="2338"/>
      <c r="H57" s="340"/>
      <c r="I57" s="897"/>
      <c r="J57" s="455"/>
      <c r="K57" s="1668"/>
      <c r="L57" s="340"/>
      <c r="M57" s="901"/>
      <c r="O57" s="1668"/>
      <c r="P57" s="340"/>
      <c r="Q57" s="901"/>
      <c r="R57" s="592"/>
      <c r="S57" s="2341"/>
      <c r="T57" s="340"/>
      <c r="U57" s="2344"/>
      <c r="V57" s="952"/>
      <c r="W57" s="2343"/>
      <c r="X57" s="340"/>
      <c r="Y57" s="2344"/>
      <c r="AA57" s="1668"/>
      <c r="AB57" s="340"/>
      <c r="AC57" s="2344"/>
    </row>
    <row r="58" spans="1:29" s="457" customFormat="1" x14ac:dyDescent="0.25">
      <c r="A58" s="2230"/>
      <c r="B58" s="2440" t="s">
        <v>25</v>
      </c>
      <c r="C58" s="2225"/>
      <c r="D58" s="340"/>
      <c r="E58" s="2386"/>
      <c r="F58" s="340"/>
      <c r="G58" s="2338"/>
      <c r="H58" s="340"/>
      <c r="I58" s="897"/>
      <c r="J58" s="455"/>
      <c r="K58" s="1668"/>
      <c r="L58" s="340"/>
      <c r="M58" s="901"/>
      <c r="O58" s="1668"/>
      <c r="P58" s="340"/>
      <c r="Q58" s="901"/>
      <c r="R58" s="592"/>
      <c r="S58" s="2341"/>
      <c r="T58" s="340"/>
      <c r="U58" s="2344"/>
      <c r="V58" s="952"/>
      <c r="W58" s="2343"/>
      <c r="X58" s="340"/>
      <c r="Y58" s="2344"/>
      <c r="AA58" s="1668"/>
      <c r="AB58" s="340"/>
      <c r="AC58" s="2344"/>
    </row>
    <row r="59" spans="1:29" s="457" customFormat="1" x14ac:dyDescent="0.25">
      <c r="A59" s="2227"/>
      <c r="B59" s="2385">
        <v>4310</v>
      </c>
      <c r="C59" s="2215" t="s">
        <v>21</v>
      </c>
      <c r="D59" s="340">
        <v>32908.730000000003</v>
      </c>
      <c r="E59" s="2386"/>
      <c r="F59" s="340"/>
      <c r="G59" s="456">
        <f t="shared" ref="G59:G67" si="33">IF(D59=0,"0.00%",(H59-D59)/D59)</f>
        <v>-0.23919883872759606</v>
      </c>
      <c r="H59" s="340">
        <v>25037</v>
      </c>
      <c r="I59" s="899"/>
      <c r="J59" s="455"/>
      <c r="K59" s="456">
        <f t="shared" ref="K59:K67" si="34">IF(H59=0,"0.00%",(L59-H59)/H59)</f>
        <v>0.15828573710907856</v>
      </c>
      <c r="L59" s="340">
        <v>29000</v>
      </c>
      <c r="M59" s="899"/>
      <c r="O59" s="456">
        <f t="shared" ref="O59:O67" si="35">IF(L59=0,"0.00%",(P59-L59)/L59)</f>
        <v>0</v>
      </c>
      <c r="P59" s="340">
        <f>L59</f>
        <v>29000</v>
      </c>
      <c r="Q59" s="899"/>
      <c r="R59" s="592"/>
      <c r="S59" s="2238">
        <f t="shared" ref="S59:S67" si="36">IF(P59=0,"0.00%",(T59-P59)/P59)</f>
        <v>-2.5862068965517241E-2</v>
      </c>
      <c r="T59" s="340">
        <v>28250</v>
      </c>
      <c r="U59" s="899"/>
      <c r="V59" s="952"/>
      <c r="W59" s="2241">
        <f t="shared" ref="W59:W67" si="37">IF(T59=0,"0.00%",(X59-T59)/T59)</f>
        <v>2.7292035398230087E-2</v>
      </c>
      <c r="X59" s="340">
        <f>ROUND(T59*(LEFT(Y59,5)+1),0)</f>
        <v>29021</v>
      </c>
      <c r="Y59" s="953" t="str">
        <f>TEXT('MYP Assumptions'!I78,"0.00%")&amp;", CPI"</f>
        <v>2.73%, CPI</v>
      </c>
      <c r="AA59" s="456">
        <f t="shared" ref="AA59:AA67" si="38">IF(X59=0,"0.00%",(AB59-X59)/X59)</f>
        <v>2.7290582681506494E-2</v>
      </c>
      <c r="AB59" s="340">
        <f>ROUND(X59*(LEFT(AC59,5)+1),0)</f>
        <v>29813</v>
      </c>
      <c r="AC59" s="953" t="str">
        <f>TEXT('MYP Assumptions'!J78,"0.00%")&amp;", CPI"</f>
        <v>2.73%, CPI</v>
      </c>
    </row>
    <row r="60" spans="1:29" s="457" customFormat="1" x14ac:dyDescent="0.25">
      <c r="A60" s="2227"/>
      <c r="B60" s="2385">
        <v>4311</v>
      </c>
      <c r="C60" s="2215" t="s">
        <v>810</v>
      </c>
      <c r="D60" s="340">
        <v>43487.62</v>
      </c>
      <c r="E60" s="2386"/>
      <c r="F60" s="340"/>
      <c r="G60" s="456">
        <f t="shared" si="33"/>
        <v>0.25447196236538117</v>
      </c>
      <c r="H60" s="340">
        <v>54554</v>
      </c>
      <c r="I60" s="899"/>
      <c r="J60" s="455"/>
      <c r="K60" s="456">
        <f t="shared" si="34"/>
        <v>-0.51424276863291418</v>
      </c>
      <c r="L60" s="340">
        <v>26500</v>
      </c>
      <c r="M60" s="899"/>
      <c r="O60" s="456">
        <f t="shared" ref="O60:O64" si="39">IF(L60=0,"0.00%",(P60-L60)/L60)</f>
        <v>0</v>
      </c>
      <c r="P60" s="340">
        <f t="shared" ref="P60:P64" si="40">L60</f>
        <v>26500</v>
      </c>
      <c r="Q60" s="899"/>
      <c r="R60" s="592"/>
      <c r="S60" s="2238">
        <f t="shared" si="36"/>
        <v>0</v>
      </c>
      <c r="T60" s="340">
        <f t="shared" ref="T60:T64" si="41">P60</f>
        <v>26500</v>
      </c>
      <c r="U60" s="899"/>
      <c r="V60" s="952"/>
      <c r="W60" s="2241">
        <f t="shared" si="37"/>
        <v>2.728301886792453E-2</v>
      </c>
      <c r="X60" s="340">
        <f t="shared" ref="X60:X66" si="42">ROUND(T60*(LEFT(Y60,5)+1),0)</f>
        <v>27223</v>
      </c>
      <c r="Y60" s="953" t="str">
        <f>TEXT('MYP Assumptions'!I78,"0.00%")&amp;", CPI"</f>
        <v>2.73%, CPI</v>
      </c>
      <c r="AA60" s="456">
        <f t="shared" si="38"/>
        <v>2.72930977482276E-2</v>
      </c>
      <c r="AB60" s="340">
        <f t="shared" ref="AB60:AB66" si="43">ROUND(X60*(LEFT(AC60,5)+1),0)</f>
        <v>27966</v>
      </c>
      <c r="AC60" s="953" t="str">
        <f>TEXT('MYP Assumptions'!J78,"0.00%")&amp;", CPI"</f>
        <v>2.73%, CPI</v>
      </c>
    </row>
    <row r="61" spans="1:29" s="457" customFormat="1" x14ac:dyDescent="0.25">
      <c r="A61" s="2227"/>
      <c r="B61" s="2385">
        <v>4344</v>
      </c>
      <c r="C61" s="2215" t="s">
        <v>811</v>
      </c>
      <c r="D61" s="340">
        <v>12562.7</v>
      </c>
      <c r="E61" s="2386"/>
      <c r="F61" s="340"/>
      <c r="G61" s="456">
        <f t="shared" si="33"/>
        <v>4.2752194989930512</v>
      </c>
      <c r="H61" s="340">
        <v>66271</v>
      </c>
      <c r="I61" s="899"/>
      <c r="J61" s="455"/>
      <c r="K61" s="456">
        <f t="shared" si="34"/>
        <v>-0.56994763923888281</v>
      </c>
      <c r="L61" s="340">
        <v>28500</v>
      </c>
      <c r="M61" s="899"/>
      <c r="O61" s="456">
        <f t="shared" si="39"/>
        <v>0</v>
      </c>
      <c r="P61" s="340">
        <f t="shared" si="40"/>
        <v>28500</v>
      </c>
      <c r="Q61" s="899"/>
      <c r="R61" s="592"/>
      <c r="S61" s="2238">
        <f t="shared" si="36"/>
        <v>0</v>
      </c>
      <c r="T61" s="340">
        <f t="shared" si="41"/>
        <v>28500</v>
      </c>
      <c r="U61" s="899"/>
      <c r="V61" s="952"/>
      <c r="W61" s="2241">
        <f t="shared" si="37"/>
        <v>2.7298245614035089E-2</v>
      </c>
      <c r="X61" s="340">
        <f t="shared" si="42"/>
        <v>29278</v>
      </c>
      <c r="Y61" s="953" t="str">
        <f>TEXT('MYP Assumptions'!I78,"0.00%")&amp;", CPI"</f>
        <v>2.73%, CPI</v>
      </c>
      <c r="AA61" s="456">
        <f t="shared" si="38"/>
        <v>2.7290115445044061E-2</v>
      </c>
      <c r="AB61" s="340">
        <f t="shared" si="43"/>
        <v>30077</v>
      </c>
      <c r="AC61" s="953" t="str">
        <f>TEXT('MYP Assumptions'!J78,"0.00%")&amp;", CPI"</f>
        <v>2.73%, CPI</v>
      </c>
    </row>
    <row r="62" spans="1:29" s="457" customFormat="1" x14ac:dyDescent="0.25">
      <c r="A62" s="2227"/>
      <c r="B62" s="2385">
        <v>4353</v>
      </c>
      <c r="C62" s="2215" t="s">
        <v>19</v>
      </c>
      <c r="D62" s="340">
        <v>6752.96</v>
      </c>
      <c r="E62" s="2386"/>
      <c r="F62" s="340"/>
      <c r="G62" s="456">
        <f t="shared" si="33"/>
        <v>1.6009335165616265</v>
      </c>
      <c r="H62" s="340">
        <v>17564</v>
      </c>
      <c r="I62" s="899"/>
      <c r="J62" s="455"/>
      <c r="K62" s="456">
        <f t="shared" si="34"/>
        <v>-3.2111136415395126E-2</v>
      </c>
      <c r="L62" s="340">
        <v>17000</v>
      </c>
      <c r="M62" s="899"/>
      <c r="O62" s="456">
        <f t="shared" si="39"/>
        <v>0</v>
      </c>
      <c r="P62" s="340">
        <f t="shared" si="40"/>
        <v>17000</v>
      </c>
      <c r="Q62" s="899"/>
      <c r="R62" s="592"/>
      <c r="S62" s="2238">
        <f t="shared" si="36"/>
        <v>0</v>
      </c>
      <c r="T62" s="340">
        <f t="shared" si="41"/>
        <v>17000</v>
      </c>
      <c r="U62" s="899"/>
      <c r="V62" s="952"/>
      <c r="W62" s="2241">
        <f t="shared" si="37"/>
        <v>2.7294117647058823E-2</v>
      </c>
      <c r="X62" s="340">
        <f t="shared" si="42"/>
        <v>17464</v>
      </c>
      <c r="Y62" s="953" t="str">
        <f>TEXT('MYP Assumptions'!I78,"0.00%")&amp;", CPI"</f>
        <v>2.73%, CPI</v>
      </c>
      <c r="AA62" s="456">
        <f t="shared" si="38"/>
        <v>2.7313330279431974E-2</v>
      </c>
      <c r="AB62" s="340">
        <f t="shared" si="43"/>
        <v>17941</v>
      </c>
      <c r="AC62" s="953" t="str">
        <f>TEXT('MYP Assumptions'!J78,"0.00%")&amp;", CPI"</f>
        <v>2.73%, CPI</v>
      </c>
    </row>
    <row r="63" spans="1:29" s="457" customFormat="1" x14ac:dyDescent="0.25">
      <c r="A63" s="2227"/>
      <c r="B63" s="2385">
        <v>4354</v>
      </c>
      <c r="C63" s="2215" t="s">
        <v>315</v>
      </c>
      <c r="D63" s="340">
        <v>0</v>
      </c>
      <c r="E63" s="2386"/>
      <c r="F63" s="340"/>
      <c r="G63" s="456" t="str">
        <f t="shared" si="33"/>
        <v>0.00%</v>
      </c>
      <c r="H63" s="340">
        <v>4532</v>
      </c>
      <c r="I63" s="899"/>
      <c r="J63" s="455"/>
      <c r="K63" s="456">
        <f t="shared" si="34"/>
        <v>-7.0609002647837602E-3</v>
      </c>
      <c r="L63" s="340">
        <v>4500</v>
      </c>
      <c r="M63" s="899"/>
      <c r="O63" s="456">
        <f t="shared" si="39"/>
        <v>0</v>
      </c>
      <c r="P63" s="340">
        <f t="shared" si="40"/>
        <v>4500</v>
      </c>
      <c r="Q63" s="899"/>
      <c r="R63" s="592"/>
      <c r="S63" s="2238"/>
      <c r="T63" s="340">
        <f t="shared" si="41"/>
        <v>4500</v>
      </c>
      <c r="U63" s="899"/>
      <c r="V63" s="952"/>
      <c r="W63" s="2241"/>
      <c r="X63" s="340"/>
      <c r="Y63" s="953"/>
      <c r="AA63" s="456"/>
      <c r="AB63" s="340"/>
      <c r="AC63" s="953"/>
    </row>
    <row r="64" spans="1:29" s="457" customFormat="1" x14ac:dyDescent="0.25">
      <c r="A64" s="2227"/>
      <c r="B64" s="2385">
        <v>4400</v>
      </c>
      <c r="C64" s="2215" t="s">
        <v>812</v>
      </c>
      <c r="D64" s="340">
        <v>14853.14</v>
      </c>
      <c r="E64" s="2386"/>
      <c r="F64" s="340"/>
      <c r="G64" s="456">
        <f t="shared" si="33"/>
        <v>3.176836682344613E-2</v>
      </c>
      <c r="H64" s="340">
        <v>15325</v>
      </c>
      <c r="I64" s="899"/>
      <c r="J64" s="455"/>
      <c r="K64" s="456">
        <f t="shared" si="34"/>
        <v>-0.54323001631321366</v>
      </c>
      <c r="L64" s="340">
        <v>7000</v>
      </c>
      <c r="M64" s="899"/>
      <c r="O64" s="456">
        <f t="shared" si="39"/>
        <v>0</v>
      </c>
      <c r="P64" s="340">
        <f t="shared" si="40"/>
        <v>7000</v>
      </c>
      <c r="Q64" s="899"/>
      <c r="R64" s="592"/>
      <c r="S64" s="2238">
        <f t="shared" si="36"/>
        <v>0</v>
      </c>
      <c r="T64" s="340">
        <f t="shared" si="41"/>
        <v>7000</v>
      </c>
      <c r="U64" s="899"/>
      <c r="V64" s="952"/>
      <c r="W64" s="2241">
        <f t="shared" si="37"/>
        <v>2.7285714285714285E-2</v>
      </c>
      <c r="X64" s="340">
        <f t="shared" si="42"/>
        <v>7191</v>
      </c>
      <c r="Y64" s="953" t="str">
        <f>TEXT('MYP Assumptions'!I78,"0.00%")&amp;", CPI"</f>
        <v>2.73%, CPI</v>
      </c>
      <c r="AA64" s="456">
        <f t="shared" si="38"/>
        <v>2.7256292587957167E-2</v>
      </c>
      <c r="AB64" s="340">
        <f t="shared" si="43"/>
        <v>7387</v>
      </c>
      <c r="AC64" s="953" t="str">
        <f>TEXT('MYP Assumptions'!J78,"0.00%")&amp;", CPI"</f>
        <v>2.73%, CPI</v>
      </c>
    </row>
    <row r="65" spans="1:29" s="457" customFormat="1" hidden="1" x14ac:dyDescent="0.25">
      <c r="A65" s="2227"/>
      <c r="B65" s="2385">
        <v>4000</v>
      </c>
      <c r="C65" s="2215"/>
      <c r="D65" s="340">
        <v>0</v>
      </c>
      <c r="E65" s="2386"/>
      <c r="F65" s="340"/>
      <c r="G65" s="456" t="str">
        <f t="shared" si="33"/>
        <v>0.00%</v>
      </c>
      <c r="H65" s="340">
        <f t="shared" ref="H65:H66" si="44">ROUND(D65*(LEFT(I65,5)+1),0)</f>
        <v>0</v>
      </c>
      <c r="I65" s="899" t="str">
        <f>TEXT('MYP Assumptions'!E78,"0.00%")&amp;", CPI"</f>
        <v>3.37%, CPI</v>
      </c>
      <c r="J65" s="455"/>
      <c r="K65" s="456" t="str">
        <f t="shared" si="34"/>
        <v>0.00%</v>
      </c>
      <c r="L65" s="340">
        <f t="shared" ref="L65:L66" si="45">ROUND(H65*(LEFT(M65,5)+1),0)</f>
        <v>0</v>
      </c>
      <c r="M65" s="899" t="str">
        <f>TEXT('MYP Assumptions'!F78,"0.00%")&amp;", CPI"</f>
        <v>3.58%, CPI</v>
      </c>
      <c r="O65" s="456" t="str">
        <f t="shared" si="35"/>
        <v>0.00%</v>
      </c>
      <c r="P65" s="340">
        <f t="shared" ref="P65:P66" si="46">ROUND(L65*(LEFT(Q65,5)+1),0)</f>
        <v>0</v>
      </c>
      <c r="Q65" s="899" t="str">
        <f>TEXT('MYP Assumptions'!G78,"0.00%")&amp;", CPI"</f>
        <v>3.36%, CPI</v>
      </c>
      <c r="R65" s="592"/>
      <c r="S65" s="2238" t="str">
        <f t="shared" si="36"/>
        <v>0.00%</v>
      </c>
      <c r="T65" s="340">
        <f t="shared" ref="T65:T66" si="47">ROUND(P65*(LEFT(U65,5)+1),0)</f>
        <v>0</v>
      </c>
      <c r="U65" s="953" t="str">
        <f>TEXT('MYP Assumptions'!H78,"0.00%")&amp;", CPI"</f>
        <v>3.23%, CPI</v>
      </c>
      <c r="V65" s="952"/>
      <c r="W65" s="2241" t="str">
        <f t="shared" si="37"/>
        <v>0.00%</v>
      </c>
      <c r="X65" s="340">
        <f t="shared" si="42"/>
        <v>0</v>
      </c>
      <c r="Y65" s="953" t="str">
        <f>TEXT('MYP Assumptions'!I78,"0.00%")&amp;", CPI"</f>
        <v>2.73%, CPI</v>
      </c>
      <c r="AA65" s="456" t="str">
        <f t="shared" si="38"/>
        <v>0.00%</v>
      </c>
      <c r="AB65" s="340">
        <f t="shared" si="43"/>
        <v>0</v>
      </c>
      <c r="AC65" s="953" t="str">
        <f>TEXT('MYP Assumptions'!J78,"0.00%")&amp;", CPI"</f>
        <v>2.73%, CPI</v>
      </c>
    </row>
    <row r="66" spans="1:29" s="457" customFormat="1" hidden="1" x14ac:dyDescent="0.25">
      <c r="A66" s="2227"/>
      <c r="B66" s="2385">
        <v>4000</v>
      </c>
      <c r="C66" s="2349"/>
      <c r="D66" s="340">
        <v>0</v>
      </c>
      <c r="E66" s="2386"/>
      <c r="F66" s="340"/>
      <c r="G66" s="456" t="str">
        <f t="shared" si="33"/>
        <v>0.00%</v>
      </c>
      <c r="H66" s="340">
        <f t="shared" si="44"/>
        <v>0</v>
      </c>
      <c r="I66" s="899" t="str">
        <f>TEXT('MYP Assumptions'!E78,"0.00%")&amp;", CPI"</f>
        <v>3.37%, CPI</v>
      </c>
      <c r="J66" s="455"/>
      <c r="K66" s="456" t="str">
        <f t="shared" si="34"/>
        <v>0.00%</v>
      </c>
      <c r="L66" s="340">
        <f t="shared" si="45"/>
        <v>0</v>
      </c>
      <c r="M66" s="899" t="str">
        <f>TEXT('MYP Assumptions'!F78,"0.00%")&amp;", CPI"</f>
        <v>3.58%, CPI</v>
      </c>
      <c r="O66" s="456" t="str">
        <f t="shared" si="35"/>
        <v>0.00%</v>
      </c>
      <c r="P66" s="340">
        <f t="shared" si="46"/>
        <v>0</v>
      </c>
      <c r="Q66" s="899" t="str">
        <f>TEXT('MYP Assumptions'!G78,"0.00%")&amp;", CPI"</f>
        <v>3.36%, CPI</v>
      </c>
      <c r="R66" s="592"/>
      <c r="S66" s="2238" t="str">
        <f t="shared" si="36"/>
        <v>0.00%</v>
      </c>
      <c r="T66" s="340">
        <f t="shared" si="47"/>
        <v>0</v>
      </c>
      <c r="U66" s="953" t="str">
        <f>TEXT('MYP Assumptions'!H78,"0.00%")&amp;", CPI"</f>
        <v>3.23%, CPI</v>
      </c>
      <c r="V66" s="952"/>
      <c r="W66" s="2241" t="str">
        <f t="shared" si="37"/>
        <v>0.00%</v>
      </c>
      <c r="X66" s="340">
        <f t="shared" si="42"/>
        <v>0</v>
      </c>
      <c r="Y66" s="953" t="str">
        <f>TEXT('MYP Assumptions'!I78,"0.00%")&amp;", CPI"</f>
        <v>2.73%, CPI</v>
      </c>
      <c r="AA66" s="456" t="str">
        <f t="shared" si="38"/>
        <v>0.00%</v>
      </c>
      <c r="AB66" s="340">
        <f t="shared" si="43"/>
        <v>0</v>
      </c>
      <c r="AC66" s="953" t="str">
        <f>TEXT('MYP Assumptions'!J78,"0.00%")&amp;", CPI"</f>
        <v>2.73%, CPI</v>
      </c>
    </row>
    <row r="67" spans="1:29" s="457" customFormat="1" x14ac:dyDescent="0.25">
      <c r="A67" s="2228"/>
      <c r="B67" s="2215"/>
      <c r="C67" s="2215"/>
      <c r="D67" s="458">
        <f>SUM(D59:D66)</f>
        <v>110565.15000000001</v>
      </c>
      <c r="E67" s="2386"/>
      <c r="F67" s="340"/>
      <c r="G67" s="456">
        <f t="shared" si="33"/>
        <v>0.65769231986751686</v>
      </c>
      <c r="H67" s="458">
        <f>SUM(H59:H66)</f>
        <v>183283</v>
      </c>
      <c r="I67" s="2316">
        <f>+H67-D67</f>
        <v>72717.849999999991</v>
      </c>
      <c r="J67" s="459"/>
      <c r="K67" s="456">
        <f t="shared" si="34"/>
        <v>-0.3861951190235865</v>
      </c>
      <c r="L67" s="458">
        <f>SUM(L59:L66)</f>
        <v>112500</v>
      </c>
      <c r="M67" s="2316">
        <f>+L67-H67</f>
        <v>-70783</v>
      </c>
      <c r="O67" s="456">
        <f t="shared" si="35"/>
        <v>0</v>
      </c>
      <c r="P67" s="458">
        <f>SUM(P59:P66)</f>
        <v>112500</v>
      </c>
      <c r="Q67" s="2316">
        <f>+P67-L67</f>
        <v>0</v>
      </c>
      <c r="R67" s="592"/>
      <c r="S67" s="2238">
        <f t="shared" si="36"/>
        <v>-6.6666666666666671E-3</v>
      </c>
      <c r="T67" s="458">
        <f>SUM(T59:T66)</f>
        <v>111750</v>
      </c>
      <c r="U67" s="2344"/>
      <c r="V67" s="952"/>
      <c r="W67" s="2241">
        <f t="shared" si="37"/>
        <v>-1.407606263982103E-2</v>
      </c>
      <c r="X67" s="458">
        <f>SUM(X59:X66)</f>
        <v>110177</v>
      </c>
      <c r="Y67" s="2344"/>
      <c r="AA67" s="456">
        <f t="shared" si="38"/>
        <v>2.7292447607032321E-2</v>
      </c>
      <c r="AB67" s="458">
        <f>SUM(AB59:AB66)</f>
        <v>113184</v>
      </c>
      <c r="AC67" s="2344"/>
    </row>
    <row r="68" spans="1:29" s="457" customFormat="1" x14ac:dyDescent="0.25">
      <c r="A68" s="2227"/>
      <c r="B68" s="2345"/>
      <c r="C68" s="2215"/>
      <c r="D68" s="340"/>
      <c r="E68" s="2386"/>
      <c r="F68" s="340"/>
      <c r="G68" s="2338"/>
      <c r="H68" s="340"/>
      <c r="I68" s="897"/>
      <c r="J68" s="455"/>
      <c r="K68" s="1668"/>
      <c r="L68" s="340"/>
      <c r="M68" s="901"/>
      <c r="O68" s="1668"/>
      <c r="P68" s="340"/>
      <c r="Q68" s="901"/>
      <c r="R68" s="592"/>
      <c r="S68" s="2341"/>
      <c r="T68" s="340"/>
      <c r="U68" s="2344"/>
      <c r="V68" s="952"/>
      <c r="W68" s="2343"/>
      <c r="X68" s="340"/>
      <c r="Y68" s="2344"/>
      <c r="AA68" s="1668"/>
      <c r="AB68" s="340"/>
      <c r="AC68" s="2344"/>
    </row>
    <row r="69" spans="1:29" s="461" customFormat="1" x14ac:dyDescent="0.25">
      <c r="A69" s="2225"/>
      <c r="B69" s="2337" t="s">
        <v>16</v>
      </c>
      <c r="C69" s="2225"/>
      <c r="D69" s="460"/>
      <c r="E69" s="868"/>
      <c r="F69" s="460"/>
      <c r="G69" s="2389"/>
      <c r="H69" s="460"/>
      <c r="I69" s="900"/>
      <c r="K69" s="1669"/>
      <c r="L69" s="460"/>
      <c r="M69" s="902"/>
      <c r="O69" s="1669"/>
      <c r="P69" s="460"/>
      <c r="Q69" s="902"/>
      <c r="S69" s="1669"/>
      <c r="U69" s="2392"/>
      <c r="V69" s="2381"/>
      <c r="W69" s="2382"/>
      <c r="Y69" s="2392"/>
      <c r="AA69" s="1669"/>
      <c r="AC69" s="2392"/>
    </row>
    <row r="70" spans="1:29" s="457" customFormat="1" x14ac:dyDescent="0.25">
      <c r="A70" s="2227"/>
      <c r="B70" s="2385" t="s">
        <v>15</v>
      </c>
      <c r="C70" s="2215" t="s">
        <v>14</v>
      </c>
      <c r="D70" s="340">
        <v>16101.37</v>
      </c>
      <c r="E70" s="2386"/>
      <c r="F70" s="340"/>
      <c r="G70" s="456">
        <f t="shared" ref="G70:G75" si="48">IF(D70=0,"0.00%",(H70-D70)/D70)</f>
        <v>1.3983673438968234</v>
      </c>
      <c r="H70" s="340">
        <v>38617</v>
      </c>
      <c r="I70" s="899"/>
      <c r="J70" s="455"/>
      <c r="K70" s="456">
        <f t="shared" ref="K70:K83" si="49">IF(H70=0,"0.00%",(L70-H70)/H70)</f>
        <v>-6.7768081414920883E-2</v>
      </c>
      <c r="L70" s="340">
        <v>36000</v>
      </c>
      <c r="M70" s="899"/>
      <c r="O70" s="456">
        <f t="shared" ref="O70:O83" si="50">IF(L70=0,"0.00%",(P70-L70)/L70)</f>
        <v>0</v>
      </c>
      <c r="P70" s="340">
        <f>L70</f>
        <v>36000</v>
      </c>
      <c r="Q70" s="899"/>
      <c r="R70" s="592"/>
      <c r="S70" s="2238">
        <f t="shared" ref="S70:S83" si="51">IF(P70=0,"0.00%",(T70-P70)/P70)</f>
        <v>0</v>
      </c>
      <c r="T70" s="340">
        <f>P70</f>
        <v>36000</v>
      </c>
      <c r="U70" s="953"/>
      <c r="V70" s="952"/>
      <c r="W70" s="2241">
        <f t="shared" ref="W70:W83" si="52">IF(T70=0,"0.00%",(X70-T70)/T70)</f>
        <v>2.7305555555555555E-2</v>
      </c>
      <c r="X70" s="340">
        <f>ROUND(T70*(LEFT(Y70,5)+1),0)</f>
        <v>36983</v>
      </c>
      <c r="Y70" s="953" t="str">
        <f>TEXT('MYP Assumptions'!I78,"0.00%")&amp;", CPI"</f>
        <v>2.73%, CPI</v>
      </c>
      <c r="AA70" s="456">
        <f t="shared" ref="AA70:AA83" si="53">IF(X70=0,"0.00%",(AB70-X70)/X70)</f>
        <v>2.7309845063948301E-2</v>
      </c>
      <c r="AB70" s="340">
        <f>ROUND(X70*(LEFT(AC70,5)+1),0)</f>
        <v>37993</v>
      </c>
      <c r="AC70" s="953" t="str">
        <f>TEXT('MYP Assumptions'!J78,"0.00%")&amp;", CPI"</f>
        <v>2.73%, CPI</v>
      </c>
    </row>
    <row r="71" spans="1:29" s="457" customFormat="1" x14ac:dyDescent="0.25">
      <c r="A71" s="2227"/>
      <c r="B71" s="2385">
        <v>5604</v>
      </c>
      <c r="C71" s="2215" t="s">
        <v>429</v>
      </c>
      <c r="D71" s="340">
        <v>450</v>
      </c>
      <c r="E71" s="2386"/>
      <c r="F71" s="340"/>
      <c r="G71" s="456">
        <f t="shared" si="48"/>
        <v>-1</v>
      </c>
      <c r="H71" s="340">
        <v>0</v>
      </c>
      <c r="I71" s="899"/>
      <c r="J71" s="455"/>
      <c r="K71" s="456" t="str">
        <f t="shared" si="49"/>
        <v>0.00%</v>
      </c>
      <c r="L71" s="340">
        <v>0</v>
      </c>
      <c r="M71" s="899"/>
      <c r="O71" s="456" t="str">
        <f t="shared" ref="O71:O73" si="54">IF(L71=0,"0.00%",(P71-L71)/L71)</f>
        <v>0.00%</v>
      </c>
      <c r="P71" s="340">
        <f t="shared" ref="P71:P73" si="55">L71</f>
        <v>0</v>
      </c>
      <c r="Q71" s="899"/>
      <c r="R71" s="592"/>
      <c r="S71" s="2238" t="str">
        <f t="shared" si="51"/>
        <v>0.00%</v>
      </c>
      <c r="T71" s="340">
        <f t="shared" ref="T71:T73" si="56">P71</f>
        <v>0</v>
      </c>
      <c r="U71" s="953"/>
      <c r="V71" s="952"/>
      <c r="W71" s="2241" t="str">
        <f t="shared" si="52"/>
        <v>0.00%</v>
      </c>
      <c r="X71" s="340">
        <f t="shared" ref="X71:X82" si="57">ROUND(T71*(LEFT(Y71,5)+1),0)</f>
        <v>0</v>
      </c>
      <c r="Y71" s="953" t="str">
        <f>TEXT('MYP Assumptions'!I78,"0.00%")&amp;", CPI"</f>
        <v>2.73%, CPI</v>
      </c>
      <c r="AA71" s="456" t="str">
        <f t="shared" si="53"/>
        <v>0.00%</v>
      </c>
      <c r="AB71" s="340">
        <f t="shared" ref="AB71:AB82" si="58">ROUND(X71*(LEFT(AC71,5)+1),0)</f>
        <v>0</v>
      </c>
      <c r="AC71" s="953" t="str">
        <f>TEXT('MYP Assumptions'!J78,"0.00%")&amp;", CPI"</f>
        <v>2.73%, CPI</v>
      </c>
    </row>
    <row r="72" spans="1:29" s="457" customFormat="1" x14ac:dyDescent="0.25">
      <c r="A72" s="2227"/>
      <c r="B72" s="2385">
        <v>5813</v>
      </c>
      <c r="C72" s="2215" t="s">
        <v>6</v>
      </c>
      <c r="D72" s="340">
        <v>1668.95</v>
      </c>
      <c r="E72" s="2386"/>
      <c r="F72" s="340"/>
      <c r="G72" s="456">
        <f t="shared" si="48"/>
        <v>5.9947871416159836E-2</v>
      </c>
      <c r="H72" s="340">
        <v>1769</v>
      </c>
      <c r="I72" s="899"/>
      <c r="J72" s="455"/>
      <c r="K72" s="456">
        <f t="shared" si="49"/>
        <v>0.13058224985867722</v>
      </c>
      <c r="L72" s="340">
        <v>2000</v>
      </c>
      <c r="M72" s="899"/>
      <c r="O72" s="456">
        <f t="shared" si="54"/>
        <v>0</v>
      </c>
      <c r="P72" s="340">
        <f t="shared" si="55"/>
        <v>2000</v>
      </c>
      <c r="Q72" s="899"/>
      <c r="R72" s="592"/>
      <c r="S72" s="2238">
        <f t="shared" si="51"/>
        <v>0</v>
      </c>
      <c r="T72" s="340">
        <f t="shared" si="56"/>
        <v>2000</v>
      </c>
      <c r="U72" s="953"/>
      <c r="V72" s="952"/>
      <c r="W72" s="2241">
        <f t="shared" si="52"/>
        <v>2.75E-2</v>
      </c>
      <c r="X72" s="340">
        <f t="shared" si="57"/>
        <v>2055</v>
      </c>
      <c r="Y72" s="953" t="str">
        <f>TEXT('MYP Assumptions'!I78,"0.00%")&amp;", CPI"</f>
        <v>2.73%, CPI</v>
      </c>
      <c r="AA72" s="456">
        <f t="shared" si="53"/>
        <v>2.7250608272506083E-2</v>
      </c>
      <c r="AB72" s="340">
        <f t="shared" si="58"/>
        <v>2111</v>
      </c>
      <c r="AC72" s="953" t="str">
        <f>TEXT('MYP Assumptions'!J78,"0.00%")&amp;", CPI"</f>
        <v>2.73%, CPI</v>
      </c>
    </row>
    <row r="73" spans="1:29" s="457" customFormat="1" x14ac:dyDescent="0.25">
      <c r="A73" s="2227"/>
      <c r="B73" s="2385">
        <v>5814</v>
      </c>
      <c r="C73" s="2215" t="s">
        <v>4</v>
      </c>
      <c r="D73" s="340">
        <v>213.68</v>
      </c>
      <c r="E73" s="2386"/>
      <c r="F73" s="340"/>
      <c r="G73" s="456">
        <f t="shared" si="48"/>
        <v>55.982403594159486</v>
      </c>
      <c r="H73" s="340">
        <v>12176</v>
      </c>
      <c r="I73" s="899"/>
      <c r="J73" s="455"/>
      <c r="K73" s="456">
        <f t="shared" si="49"/>
        <v>-3.0880420499342968E-2</v>
      </c>
      <c r="L73" s="340">
        <v>11800</v>
      </c>
      <c r="M73" s="899"/>
      <c r="O73" s="456">
        <f t="shared" si="54"/>
        <v>0</v>
      </c>
      <c r="P73" s="340">
        <f t="shared" si="55"/>
        <v>11800</v>
      </c>
      <c r="Q73" s="899"/>
      <c r="R73" s="592"/>
      <c r="S73" s="2238">
        <f t="shared" si="51"/>
        <v>0</v>
      </c>
      <c r="T73" s="340">
        <f t="shared" si="56"/>
        <v>11800</v>
      </c>
      <c r="U73" s="953"/>
      <c r="V73" s="952"/>
      <c r="W73" s="2241">
        <f t="shared" si="52"/>
        <v>2.7288135593220339E-2</v>
      </c>
      <c r="X73" s="340">
        <f t="shared" si="57"/>
        <v>12122</v>
      </c>
      <c r="Y73" s="953" t="str">
        <f>TEXT('MYP Assumptions'!I78,"0.00%")&amp;", CPI"</f>
        <v>2.73%, CPI</v>
      </c>
      <c r="AA73" s="456">
        <f t="shared" si="53"/>
        <v>2.7305725127866689E-2</v>
      </c>
      <c r="AB73" s="340">
        <f t="shared" si="58"/>
        <v>12453</v>
      </c>
      <c r="AC73" s="953" t="str">
        <f>TEXT('MYP Assumptions'!J78,"0.00%")&amp;", CPI"</f>
        <v>2.73%, CPI</v>
      </c>
    </row>
    <row r="74" spans="1:29" s="457" customFormat="1" hidden="1" x14ac:dyDescent="0.25">
      <c r="A74" s="2227"/>
      <c r="B74" s="2385"/>
      <c r="C74" s="2215"/>
      <c r="D74" s="340">
        <v>0</v>
      </c>
      <c r="E74" s="2386"/>
      <c r="F74" s="340"/>
      <c r="G74" s="456" t="str">
        <f t="shared" si="48"/>
        <v>0.00%</v>
      </c>
      <c r="H74" s="340">
        <f t="shared" ref="H74:H77" si="59">ROUND(D74*(LEFT(I74,5)+1),0)</f>
        <v>0</v>
      </c>
      <c r="I74" s="899" t="str">
        <f>TEXT('MYP Assumptions'!E78,"0.00%")&amp;", CPI"</f>
        <v>3.37%, CPI</v>
      </c>
      <c r="J74" s="455"/>
      <c r="K74" s="456" t="str">
        <f t="shared" si="49"/>
        <v>0.00%</v>
      </c>
      <c r="L74" s="340">
        <f t="shared" ref="L74:L82" si="60">ROUND(H74*(LEFT(M74,5)+1),0)</f>
        <v>0</v>
      </c>
      <c r="M74" s="899" t="str">
        <f>TEXT('MYP Assumptions'!F78,"0.00%")&amp;", CPI"</f>
        <v>3.58%, CPI</v>
      </c>
      <c r="O74" s="456" t="str">
        <f t="shared" si="50"/>
        <v>0.00%</v>
      </c>
      <c r="P74" s="340">
        <f t="shared" ref="P74:P82" si="61">ROUND(L74*(LEFT(Q74,5)+1),0)</f>
        <v>0</v>
      </c>
      <c r="Q74" s="899" t="str">
        <f>TEXT('MYP Assumptions'!G78,"0.00%")&amp;", CPI"</f>
        <v>3.36%, CPI</v>
      </c>
      <c r="R74" s="592"/>
      <c r="S74" s="2238" t="str">
        <f t="shared" si="51"/>
        <v>0.00%</v>
      </c>
      <c r="T74" s="340">
        <f t="shared" ref="T74:T82" si="62">ROUND(P74*(LEFT(U74,5)+1),0)</f>
        <v>0</v>
      </c>
      <c r="U74" s="953" t="str">
        <f>TEXT('MYP Assumptions'!H78,"0.00%")&amp;", CPI"</f>
        <v>3.23%, CPI</v>
      </c>
      <c r="V74" s="952"/>
      <c r="W74" s="2241" t="str">
        <f t="shared" si="52"/>
        <v>0.00%</v>
      </c>
      <c r="X74" s="340">
        <f t="shared" si="57"/>
        <v>0</v>
      </c>
      <c r="Y74" s="953" t="str">
        <f>TEXT('MYP Assumptions'!I78,"0.00%")&amp;", CPI"</f>
        <v>2.73%, CPI</v>
      </c>
      <c r="AA74" s="456" t="str">
        <f t="shared" si="53"/>
        <v>0.00%</v>
      </c>
      <c r="AB74" s="340">
        <f t="shared" si="58"/>
        <v>0</v>
      </c>
      <c r="AC74" s="953" t="str">
        <f>TEXT('MYP Assumptions'!J78,"0.00%")&amp;", CPI"</f>
        <v>2.73%, CPI</v>
      </c>
    </row>
    <row r="75" spans="1:29" s="457" customFormat="1" hidden="1" x14ac:dyDescent="0.25">
      <c r="A75" s="2227"/>
      <c r="B75" s="2385"/>
      <c r="C75" s="2215"/>
      <c r="D75" s="340">
        <v>0</v>
      </c>
      <c r="E75" s="2386"/>
      <c r="F75" s="340"/>
      <c r="G75" s="456" t="str">
        <f t="shared" si="48"/>
        <v>0.00%</v>
      </c>
      <c r="H75" s="340">
        <f t="shared" si="59"/>
        <v>0</v>
      </c>
      <c r="I75" s="899" t="str">
        <f>TEXT('MYP Assumptions'!E78,"0.00%")&amp;", CPI"</f>
        <v>3.37%, CPI</v>
      </c>
      <c r="J75" s="455"/>
      <c r="K75" s="456" t="str">
        <f t="shared" si="49"/>
        <v>0.00%</v>
      </c>
      <c r="L75" s="340">
        <f t="shared" si="60"/>
        <v>0</v>
      </c>
      <c r="M75" s="899" t="str">
        <f>TEXT('MYP Assumptions'!F78,"0.00%")&amp;", CPI"</f>
        <v>3.58%, CPI</v>
      </c>
      <c r="O75" s="456" t="str">
        <f t="shared" si="50"/>
        <v>0.00%</v>
      </c>
      <c r="P75" s="340">
        <f t="shared" si="61"/>
        <v>0</v>
      </c>
      <c r="Q75" s="899" t="str">
        <f>TEXT('MYP Assumptions'!G78,"0.00%")&amp;", CPI"</f>
        <v>3.36%, CPI</v>
      </c>
      <c r="R75" s="592"/>
      <c r="S75" s="2238" t="str">
        <f t="shared" si="51"/>
        <v>0.00%</v>
      </c>
      <c r="T75" s="340">
        <f t="shared" si="62"/>
        <v>0</v>
      </c>
      <c r="U75" s="953" t="str">
        <f>TEXT('MYP Assumptions'!H78,"0.00%")&amp;", CPI"</f>
        <v>3.23%, CPI</v>
      </c>
      <c r="V75" s="952"/>
      <c r="W75" s="2241" t="str">
        <f t="shared" si="52"/>
        <v>0.00%</v>
      </c>
      <c r="X75" s="340">
        <f t="shared" si="57"/>
        <v>0</v>
      </c>
      <c r="Y75" s="953" t="str">
        <f>TEXT('MYP Assumptions'!I78,"0.00%")&amp;", CPI"</f>
        <v>2.73%, CPI</v>
      </c>
      <c r="AA75" s="456" t="str">
        <f t="shared" si="53"/>
        <v>0.00%</v>
      </c>
      <c r="AB75" s="340">
        <f t="shared" si="58"/>
        <v>0</v>
      </c>
      <c r="AC75" s="953" t="str">
        <f>TEXT('MYP Assumptions'!J78,"0.00%")&amp;", CPI"</f>
        <v>2.73%, CPI</v>
      </c>
    </row>
    <row r="76" spans="1:29" s="457" customFormat="1" hidden="1" x14ac:dyDescent="0.25">
      <c r="A76" s="2227"/>
      <c r="B76" s="2385"/>
      <c r="C76" s="2215"/>
      <c r="D76" s="340">
        <v>0</v>
      </c>
      <c r="E76" s="2386"/>
      <c r="F76" s="340"/>
      <c r="G76" s="456" t="str">
        <f>IF(D76=0,"0.00%",(H76-D76)/D76)</f>
        <v>0.00%</v>
      </c>
      <c r="H76" s="340">
        <f t="shared" si="59"/>
        <v>0</v>
      </c>
      <c r="I76" s="899" t="str">
        <f>TEXT('MYP Assumptions'!E78,"0.00%")&amp;", CPI"</f>
        <v>3.37%, CPI</v>
      </c>
      <c r="J76" s="455"/>
      <c r="K76" s="456" t="str">
        <f t="shared" si="49"/>
        <v>0.00%</v>
      </c>
      <c r="L76" s="340">
        <f t="shared" si="60"/>
        <v>0</v>
      </c>
      <c r="M76" s="899" t="str">
        <f>TEXT('MYP Assumptions'!F78,"0.00%")&amp;", CPI"</f>
        <v>3.58%, CPI</v>
      </c>
      <c r="O76" s="456" t="str">
        <f t="shared" si="50"/>
        <v>0.00%</v>
      </c>
      <c r="P76" s="340">
        <f t="shared" si="61"/>
        <v>0</v>
      </c>
      <c r="Q76" s="899" t="str">
        <f>TEXT('MYP Assumptions'!G78,"0.00%")&amp;", CPI"</f>
        <v>3.36%, CPI</v>
      </c>
      <c r="R76" s="592"/>
      <c r="S76" s="2238" t="str">
        <f t="shared" si="51"/>
        <v>0.00%</v>
      </c>
      <c r="T76" s="340">
        <f t="shared" si="62"/>
        <v>0</v>
      </c>
      <c r="U76" s="953" t="str">
        <f>TEXT('MYP Assumptions'!H78,"0.00%")&amp;", CPI"</f>
        <v>3.23%, CPI</v>
      </c>
      <c r="V76" s="952"/>
      <c r="W76" s="2241" t="str">
        <f t="shared" si="52"/>
        <v>0.00%</v>
      </c>
      <c r="X76" s="340">
        <f t="shared" si="57"/>
        <v>0</v>
      </c>
      <c r="Y76" s="953" t="str">
        <f>TEXT('MYP Assumptions'!I78,"0.00%")&amp;", CPI"</f>
        <v>2.73%, CPI</v>
      </c>
      <c r="AA76" s="456" t="str">
        <f t="shared" si="53"/>
        <v>0.00%</v>
      </c>
      <c r="AB76" s="340">
        <f t="shared" si="58"/>
        <v>0</v>
      </c>
      <c r="AC76" s="953" t="str">
        <f>TEXT('MYP Assumptions'!J78,"0.00%")&amp;", CPI"</f>
        <v>2.73%, CPI</v>
      </c>
    </row>
    <row r="77" spans="1:29" s="457" customFormat="1" hidden="1" x14ac:dyDescent="0.25">
      <c r="A77" s="2227"/>
      <c r="B77" s="2385"/>
      <c r="C77" s="2215"/>
      <c r="D77" s="340">
        <v>0</v>
      </c>
      <c r="E77" s="2386"/>
      <c r="F77" s="340"/>
      <c r="G77" s="456" t="str">
        <f t="shared" ref="G77:G83" si="63">IF(D77=0,"0.00%",(H77-D77)/D77)</f>
        <v>0.00%</v>
      </c>
      <c r="H77" s="340">
        <f t="shared" si="59"/>
        <v>0</v>
      </c>
      <c r="I77" s="899" t="str">
        <f>TEXT('MYP Assumptions'!E78,"0.00%")&amp;", CPI"</f>
        <v>3.37%, CPI</v>
      </c>
      <c r="J77" s="455"/>
      <c r="K77" s="456" t="str">
        <f t="shared" si="49"/>
        <v>0.00%</v>
      </c>
      <c r="L77" s="340">
        <f t="shared" si="60"/>
        <v>0</v>
      </c>
      <c r="M77" s="899" t="str">
        <f>TEXT('MYP Assumptions'!F78,"0.00%")&amp;", CPI"</f>
        <v>3.58%, CPI</v>
      </c>
      <c r="O77" s="456" t="str">
        <f t="shared" si="50"/>
        <v>0.00%</v>
      </c>
      <c r="P77" s="340">
        <f t="shared" si="61"/>
        <v>0</v>
      </c>
      <c r="Q77" s="899" t="str">
        <f>TEXT('MYP Assumptions'!G78,"0.00%")&amp;", CPI"</f>
        <v>3.36%, CPI</v>
      </c>
      <c r="R77" s="592"/>
      <c r="S77" s="2238" t="str">
        <f t="shared" si="51"/>
        <v>0.00%</v>
      </c>
      <c r="T77" s="340">
        <f t="shared" si="62"/>
        <v>0</v>
      </c>
      <c r="U77" s="953" t="str">
        <f>TEXT('MYP Assumptions'!H78,"0.00%")&amp;", CPI"</f>
        <v>3.23%, CPI</v>
      </c>
      <c r="V77" s="952"/>
      <c r="W77" s="2241" t="str">
        <f t="shared" si="52"/>
        <v>0.00%</v>
      </c>
      <c r="X77" s="340">
        <f t="shared" si="57"/>
        <v>0</v>
      </c>
      <c r="Y77" s="953" t="str">
        <f>TEXT('MYP Assumptions'!I78,"0.00%")&amp;", CPI"</f>
        <v>2.73%, CPI</v>
      </c>
      <c r="AA77" s="456" t="str">
        <f t="shared" si="53"/>
        <v>0.00%</v>
      </c>
      <c r="AB77" s="340">
        <f t="shared" si="58"/>
        <v>0</v>
      </c>
      <c r="AC77" s="953" t="str">
        <f>TEXT('MYP Assumptions'!J78,"0.00%")&amp;", CPI"</f>
        <v>2.73%, CPI</v>
      </c>
    </row>
    <row r="78" spans="1:29" s="457" customFormat="1" hidden="1" x14ac:dyDescent="0.25">
      <c r="A78" s="2227"/>
      <c r="B78" s="2385"/>
      <c r="C78" s="2215"/>
      <c r="D78" s="340">
        <v>0</v>
      </c>
      <c r="E78" s="2386"/>
      <c r="F78" s="340"/>
      <c r="G78" s="456" t="str">
        <f t="shared" si="63"/>
        <v>0.00%</v>
      </c>
      <c r="H78" s="340">
        <f>ROUND(D78*(LEFT(I78,5)+1),0)</f>
        <v>0</v>
      </c>
      <c r="I78" s="899" t="str">
        <f>TEXT('MYP Assumptions'!E78,"0.00%")&amp;", CPI"</f>
        <v>3.37%, CPI</v>
      </c>
      <c r="J78" s="455"/>
      <c r="K78" s="456" t="str">
        <f t="shared" si="49"/>
        <v>0.00%</v>
      </c>
      <c r="L78" s="340">
        <f t="shared" si="60"/>
        <v>0</v>
      </c>
      <c r="M78" s="899" t="str">
        <f>TEXT('MYP Assumptions'!F78,"0.00%")&amp;", CPI"</f>
        <v>3.58%, CPI</v>
      </c>
      <c r="O78" s="456" t="str">
        <f t="shared" si="50"/>
        <v>0.00%</v>
      </c>
      <c r="P78" s="340">
        <f t="shared" si="61"/>
        <v>0</v>
      </c>
      <c r="Q78" s="899" t="str">
        <f>TEXT('MYP Assumptions'!G78,"0.00%")&amp;", CPI"</f>
        <v>3.36%, CPI</v>
      </c>
      <c r="R78" s="592"/>
      <c r="S78" s="2238" t="str">
        <f t="shared" si="51"/>
        <v>0.00%</v>
      </c>
      <c r="T78" s="340">
        <f t="shared" si="62"/>
        <v>0</v>
      </c>
      <c r="U78" s="953" t="str">
        <f>TEXT('MYP Assumptions'!H78,"0.00%")&amp;", CPI"</f>
        <v>3.23%, CPI</v>
      </c>
      <c r="V78" s="952"/>
      <c r="W78" s="2241" t="str">
        <f t="shared" si="52"/>
        <v>0.00%</v>
      </c>
      <c r="X78" s="340">
        <f t="shared" si="57"/>
        <v>0</v>
      </c>
      <c r="Y78" s="953" t="str">
        <f>TEXT('MYP Assumptions'!I78,"0.00%")&amp;", CPI"</f>
        <v>2.73%, CPI</v>
      </c>
      <c r="AA78" s="456" t="str">
        <f t="shared" si="53"/>
        <v>0.00%</v>
      </c>
      <c r="AB78" s="340">
        <f t="shared" si="58"/>
        <v>0</v>
      </c>
      <c r="AC78" s="953" t="str">
        <f>TEXT('MYP Assumptions'!J78,"0.00%")&amp;", CPI"</f>
        <v>2.73%, CPI</v>
      </c>
    </row>
    <row r="79" spans="1:29" s="457" customFormat="1" hidden="1" x14ac:dyDescent="0.25">
      <c r="A79" s="2227"/>
      <c r="B79" s="2385"/>
      <c r="C79" s="2215"/>
      <c r="D79" s="340">
        <v>0</v>
      </c>
      <c r="E79" s="2386"/>
      <c r="F79" s="340"/>
      <c r="G79" s="456" t="str">
        <f t="shared" si="63"/>
        <v>0.00%</v>
      </c>
      <c r="H79" s="340">
        <f>ROUND(D79*(LEFT(I79,5)+1),0)</f>
        <v>0</v>
      </c>
      <c r="I79" s="899" t="str">
        <f>TEXT('MYP Assumptions'!E78,"0.00%")&amp;", CPI"</f>
        <v>3.37%, CPI</v>
      </c>
      <c r="J79" s="455"/>
      <c r="K79" s="456" t="str">
        <f t="shared" si="49"/>
        <v>0.00%</v>
      </c>
      <c r="L79" s="340">
        <f t="shared" si="60"/>
        <v>0</v>
      </c>
      <c r="M79" s="899" t="str">
        <f>TEXT('MYP Assumptions'!F78,"0.00%")&amp;", CPI"</f>
        <v>3.58%, CPI</v>
      </c>
      <c r="O79" s="456" t="str">
        <f t="shared" si="50"/>
        <v>0.00%</v>
      </c>
      <c r="P79" s="340">
        <f t="shared" si="61"/>
        <v>0</v>
      </c>
      <c r="Q79" s="899" t="str">
        <f>TEXT('MYP Assumptions'!G78,"0.00%")&amp;", CPI"</f>
        <v>3.36%, CPI</v>
      </c>
      <c r="R79" s="592"/>
      <c r="S79" s="2238" t="str">
        <f t="shared" si="51"/>
        <v>0.00%</v>
      </c>
      <c r="T79" s="340">
        <f t="shared" si="62"/>
        <v>0</v>
      </c>
      <c r="U79" s="953" t="str">
        <f>TEXT('MYP Assumptions'!H78,"0.00%")&amp;", CPI"</f>
        <v>3.23%, CPI</v>
      </c>
      <c r="V79" s="952"/>
      <c r="W79" s="2241" t="str">
        <f t="shared" si="52"/>
        <v>0.00%</v>
      </c>
      <c r="X79" s="340">
        <f t="shared" si="57"/>
        <v>0</v>
      </c>
      <c r="Y79" s="953" t="str">
        <f>TEXT('MYP Assumptions'!I78,"0.00%")&amp;", CPI"</f>
        <v>2.73%, CPI</v>
      </c>
      <c r="AA79" s="456" t="str">
        <f t="shared" si="53"/>
        <v>0.00%</v>
      </c>
      <c r="AB79" s="340">
        <f t="shared" si="58"/>
        <v>0</v>
      </c>
      <c r="AC79" s="953" t="str">
        <f>TEXT('MYP Assumptions'!J78,"0.00%")&amp;", CPI"</f>
        <v>2.73%, CPI</v>
      </c>
    </row>
    <row r="80" spans="1:29" s="457" customFormat="1" hidden="1" x14ac:dyDescent="0.25">
      <c r="A80" s="2227"/>
      <c r="B80" s="2385"/>
      <c r="C80" s="2215"/>
      <c r="D80" s="340">
        <v>0</v>
      </c>
      <c r="E80" s="2386"/>
      <c r="F80" s="340"/>
      <c r="G80" s="456" t="str">
        <f t="shared" si="63"/>
        <v>0.00%</v>
      </c>
      <c r="H80" s="340">
        <f>ROUND(D80*(LEFT(I80,5)+1),0)</f>
        <v>0</v>
      </c>
      <c r="I80" s="899" t="str">
        <f>TEXT('MYP Assumptions'!E78,"0.00%")&amp;", CPI"</f>
        <v>3.37%, CPI</v>
      </c>
      <c r="J80" s="455"/>
      <c r="K80" s="456" t="str">
        <f t="shared" si="49"/>
        <v>0.00%</v>
      </c>
      <c r="L80" s="340">
        <f t="shared" si="60"/>
        <v>0</v>
      </c>
      <c r="M80" s="899" t="str">
        <f>TEXT('MYP Assumptions'!F78,"0.00%")&amp;", CPI"</f>
        <v>3.58%, CPI</v>
      </c>
      <c r="O80" s="456" t="str">
        <f t="shared" si="50"/>
        <v>0.00%</v>
      </c>
      <c r="P80" s="340">
        <f t="shared" si="61"/>
        <v>0</v>
      </c>
      <c r="Q80" s="899" t="str">
        <f>TEXT('MYP Assumptions'!G78,"0.00%")&amp;", CPI"</f>
        <v>3.36%, CPI</v>
      </c>
      <c r="R80" s="592"/>
      <c r="S80" s="2238" t="str">
        <f t="shared" si="51"/>
        <v>0.00%</v>
      </c>
      <c r="T80" s="340">
        <f t="shared" si="62"/>
        <v>0</v>
      </c>
      <c r="U80" s="953" t="str">
        <f>TEXT('MYP Assumptions'!H78,"0.00%")&amp;", CPI"</f>
        <v>3.23%, CPI</v>
      </c>
      <c r="V80" s="952"/>
      <c r="W80" s="2241" t="str">
        <f t="shared" si="52"/>
        <v>0.00%</v>
      </c>
      <c r="X80" s="340">
        <f t="shared" si="57"/>
        <v>0</v>
      </c>
      <c r="Y80" s="953" t="str">
        <f>TEXT('MYP Assumptions'!I78,"0.00%")&amp;", CPI"</f>
        <v>2.73%, CPI</v>
      </c>
      <c r="AA80" s="456" t="str">
        <f t="shared" si="53"/>
        <v>0.00%</v>
      </c>
      <c r="AB80" s="340">
        <f t="shared" si="58"/>
        <v>0</v>
      </c>
      <c r="AC80" s="953" t="str">
        <f>TEXT('MYP Assumptions'!J78,"0.00%")&amp;", CPI"</f>
        <v>2.73%, CPI</v>
      </c>
    </row>
    <row r="81" spans="1:29" s="457" customFormat="1" hidden="1" x14ac:dyDescent="0.25">
      <c r="A81" s="2227"/>
      <c r="B81" s="2385"/>
      <c r="C81" s="2215"/>
      <c r="D81" s="340">
        <v>0</v>
      </c>
      <c r="E81" s="2386"/>
      <c r="F81" s="340"/>
      <c r="G81" s="456" t="str">
        <f t="shared" si="63"/>
        <v>0.00%</v>
      </c>
      <c r="H81" s="340">
        <f>ROUND(D81*(LEFT(I81,5)+1),0)</f>
        <v>0</v>
      </c>
      <c r="I81" s="899" t="str">
        <f>TEXT('MYP Assumptions'!E78,"0.00%")&amp;", CPI"</f>
        <v>3.37%, CPI</v>
      </c>
      <c r="J81" s="455"/>
      <c r="K81" s="456" t="str">
        <f t="shared" si="49"/>
        <v>0.00%</v>
      </c>
      <c r="L81" s="340">
        <f t="shared" si="60"/>
        <v>0</v>
      </c>
      <c r="M81" s="899" t="str">
        <f>TEXT('MYP Assumptions'!F78,"0.00%")&amp;", CPI"</f>
        <v>3.58%, CPI</v>
      </c>
      <c r="O81" s="456" t="str">
        <f t="shared" si="50"/>
        <v>0.00%</v>
      </c>
      <c r="P81" s="340">
        <f t="shared" si="61"/>
        <v>0</v>
      </c>
      <c r="Q81" s="899" t="str">
        <f>TEXT('MYP Assumptions'!G78,"0.00%")&amp;", CPI"</f>
        <v>3.36%, CPI</v>
      </c>
      <c r="R81" s="592"/>
      <c r="S81" s="2238" t="str">
        <f t="shared" si="51"/>
        <v>0.00%</v>
      </c>
      <c r="T81" s="340">
        <f t="shared" si="62"/>
        <v>0</v>
      </c>
      <c r="U81" s="953" t="str">
        <f>TEXT('MYP Assumptions'!H78,"0.00%")&amp;", CPI"</f>
        <v>3.23%, CPI</v>
      </c>
      <c r="V81" s="952"/>
      <c r="W81" s="2241" t="str">
        <f t="shared" si="52"/>
        <v>0.00%</v>
      </c>
      <c r="X81" s="340">
        <f t="shared" si="57"/>
        <v>0</v>
      </c>
      <c r="Y81" s="953" t="str">
        <f>TEXT('MYP Assumptions'!I78,"0.00%")&amp;", CPI"</f>
        <v>2.73%, CPI</v>
      </c>
      <c r="AA81" s="456" t="str">
        <f t="shared" si="53"/>
        <v>0.00%</v>
      </c>
      <c r="AB81" s="340">
        <f t="shared" si="58"/>
        <v>0</v>
      </c>
      <c r="AC81" s="953" t="str">
        <f>TEXT('MYP Assumptions'!J78,"0.00%")&amp;", CPI"</f>
        <v>2.73%, CPI</v>
      </c>
    </row>
    <row r="82" spans="1:29" s="457" customFormat="1" hidden="1" x14ac:dyDescent="0.25">
      <c r="A82" s="2227"/>
      <c r="B82" s="2385"/>
      <c r="C82" s="2215"/>
      <c r="D82" s="340">
        <f>'18-19 Budget RS 3010-ALL'!AF80</f>
        <v>0</v>
      </c>
      <c r="E82" s="2386"/>
      <c r="F82" s="340"/>
      <c r="G82" s="456" t="str">
        <f t="shared" si="63"/>
        <v>0.00%</v>
      </c>
      <c r="H82" s="340">
        <f>ROUND(D82*(LEFT(I82,5)+1),0)</f>
        <v>0</v>
      </c>
      <c r="I82" s="899" t="str">
        <f>TEXT('MYP Assumptions'!E78,"0.00%")&amp;", CPI"</f>
        <v>3.37%, CPI</v>
      </c>
      <c r="J82" s="455"/>
      <c r="K82" s="456" t="str">
        <f t="shared" si="49"/>
        <v>0.00%</v>
      </c>
      <c r="L82" s="340">
        <f t="shared" si="60"/>
        <v>0</v>
      </c>
      <c r="M82" s="899" t="str">
        <f>TEXT('MYP Assumptions'!F78,"0.00%")&amp;", CPI"</f>
        <v>3.58%, CPI</v>
      </c>
      <c r="O82" s="456" t="str">
        <f t="shared" si="50"/>
        <v>0.00%</v>
      </c>
      <c r="P82" s="340">
        <f t="shared" si="61"/>
        <v>0</v>
      </c>
      <c r="Q82" s="899" t="str">
        <f>TEXT('MYP Assumptions'!G78,"0.00%")&amp;", CPI"</f>
        <v>3.36%, CPI</v>
      </c>
      <c r="R82" s="592"/>
      <c r="S82" s="2238" t="str">
        <f t="shared" si="51"/>
        <v>0.00%</v>
      </c>
      <c r="T82" s="340">
        <f t="shared" si="62"/>
        <v>0</v>
      </c>
      <c r="U82" s="953" t="str">
        <f>TEXT('MYP Assumptions'!H78,"0.00%")&amp;", CPI"</f>
        <v>3.23%, CPI</v>
      </c>
      <c r="V82" s="952"/>
      <c r="W82" s="2241" t="str">
        <f t="shared" si="52"/>
        <v>0.00%</v>
      </c>
      <c r="X82" s="340">
        <f t="shared" si="57"/>
        <v>0</v>
      </c>
      <c r="Y82" s="953" t="str">
        <f>TEXT('MYP Assumptions'!I78,"0.00%")&amp;", CPI"</f>
        <v>2.73%, CPI</v>
      </c>
      <c r="AA82" s="456" t="str">
        <f t="shared" si="53"/>
        <v>0.00%</v>
      </c>
      <c r="AB82" s="340">
        <f t="shared" si="58"/>
        <v>0</v>
      </c>
      <c r="AC82" s="953" t="str">
        <f>TEXT('MYP Assumptions'!J78,"0.00%")&amp;", CPI"</f>
        <v>2.73%, CPI</v>
      </c>
    </row>
    <row r="83" spans="1:29" s="457" customFormat="1" x14ac:dyDescent="0.25">
      <c r="A83" s="2228"/>
      <c r="B83" s="2345"/>
      <c r="C83" s="2215"/>
      <c r="D83" s="458">
        <f>SUM(D70:D82)</f>
        <v>18434.000000000004</v>
      </c>
      <c r="E83" s="2386"/>
      <c r="F83" s="340"/>
      <c r="G83" s="456">
        <f t="shared" si="63"/>
        <v>1.8513616144081584</v>
      </c>
      <c r="H83" s="458">
        <f>SUM(H70:H82)</f>
        <v>52562</v>
      </c>
      <c r="I83" s="2316">
        <f>+H83-D83</f>
        <v>34128</v>
      </c>
      <c r="J83" s="459"/>
      <c r="K83" s="456">
        <f t="shared" si="49"/>
        <v>-5.2547467752368633E-2</v>
      </c>
      <c r="L83" s="458">
        <f>SUM(L70:L82)</f>
        <v>49800</v>
      </c>
      <c r="M83" s="2316">
        <f>+L83-H83</f>
        <v>-2762</v>
      </c>
      <c r="O83" s="456">
        <f t="shared" si="50"/>
        <v>0</v>
      </c>
      <c r="P83" s="458">
        <f>SUM(P70:P82)</f>
        <v>49800</v>
      </c>
      <c r="Q83" s="2316">
        <f>+P83-L83</f>
        <v>0</v>
      </c>
      <c r="R83" s="592"/>
      <c r="S83" s="2238">
        <f t="shared" si="51"/>
        <v>0</v>
      </c>
      <c r="T83" s="458">
        <f>SUM(T70:T82)</f>
        <v>49800</v>
      </c>
      <c r="U83" s="2344"/>
      <c r="V83" s="952"/>
      <c r="W83" s="2241">
        <f t="shared" si="52"/>
        <v>2.7309236947791166E-2</v>
      </c>
      <c r="X83" s="458">
        <f>SUM(X70:X82)</f>
        <v>51160</v>
      </c>
      <c r="Y83" s="2344"/>
      <c r="AA83" s="456">
        <f t="shared" si="53"/>
        <v>2.7306489444878811E-2</v>
      </c>
      <c r="AB83" s="458">
        <f>SUM(AB70:AB82)</f>
        <v>52557</v>
      </c>
      <c r="AC83" s="2344"/>
    </row>
    <row r="84" spans="1:29" s="457" customFormat="1" x14ac:dyDescent="0.25">
      <c r="A84" s="2227"/>
      <c r="B84" s="2337"/>
      <c r="C84" s="2215"/>
      <c r="D84" s="340"/>
      <c r="E84" s="2386"/>
      <c r="F84" s="340"/>
      <c r="G84" s="456"/>
      <c r="H84" s="340"/>
      <c r="I84" s="897"/>
      <c r="J84" s="455"/>
      <c r="K84" s="1668"/>
      <c r="L84" s="340"/>
      <c r="M84" s="901"/>
      <c r="O84" s="1668"/>
      <c r="P84" s="340"/>
      <c r="Q84" s="901"/>
      <c r="R84" s="592"/>
      <c r="S84" s="2341"/>
      <c r="T84" s="340"/>
      <c r="U84" s="2344"/>
      <c r="V84" s="952"/>
      <c r="W84" s="2343"/>
      <c r="X84" s="340"/>
      <c r="Y84" s="2344"/>
      <c r="AA84" s="1668"/>
      <c r="AB84" s="340"/>
      <c r="AC84" s="2344"/>
    </row>
    <row r="85" spans="1:29" s="457" customFormat="1" x14ac:dyDescent="0.25">
      <c r="A85" s="2227"/>
      <c r="B85" s="2337" t="s">
        <v>328</v>
      </c>
      <c r="C85" s="2215"/>
      <c r="D85" s="340"/>
      <c r="E85" s="2386"/>
      <c r="F85" s="340"/>
      <c r="G85" s="456"/>
      <c r="H85" s="340"/>
      <c r="I85" s="897"/>
      <c r="J85" s="455"/>
      <c r="K85" s="1668"/>
      <c r="L85" s="340"/>
      <c r="M85" s="901"/>
      <c r="O85" s="1668"/>
      <c r="P85" s="340"/>
      <c r="Q85" s="901"/>
      <c r="R85" s="592"/>
      <c r="S85" s="2341"/>
      <c r="T85" s="340"/>
      <c r="U85" s="2344"/>
      <c r="V85" s="952"/>
      <c r="W85" s="2343"/>
      <c r="X85" s="340"/>
      <c r="Y85" s="2344"/>
      <c r="AA85" s="1668"/>
      <c r="AB85" s="340"/>
      <c r="AC85" s="2344"/>
    </row>
    <row r="86" spans="1:29" s="457" customFormat="1" x14ac:dyDescent="0.25">
      <c r="A86" s="2227"/>
      <c r="B86" s="2385">
        <v>6400</v>
      </c>
      <c r="C86" s="2215" t="s">
        <v>902</v>
      </c>
      <c r="D86" s="1866">
        <v>8063.86</v>
      </c>
      <c r="E86" s="2386"/>
      <c r="F86" s="340"/>
      <c r="G86" s="456">
        <f>IF(D86=0,"0.00%",(H86-D86)/D86)</f>
        <v>1.0149159335603546</v>
      </c>
      <c r="H86" s="340">
        <v>16248</v>
      </c>
      <c r="I86" s="897"/>
      <c r="J86" s="455"/>
      <c r="K86" s="456">
        <f>IF(H86=0,"0.00%",(L86-H86)/H86)</f>
        <v>-1.5263417035942885E-2</v>
      </c>
      <c r="L86" s="340">
        <v>16000</v>
      </c>
      <c r="M86" s="901"/>
      <c r="O86" s="456">
        <f>IF(L86=0,"0.00%",(P86-L86)/L86)</f>
        <v>-1</v>
      </c>
      <c r="P86" s="340">
        <v>0</v>
      </c>
      <c r="Q86" s="901"/>
      <c r="R86" s="592"/>
      <c r="S86" s="456" t="str">
        <f>IF(P86=0,"0.00%",(T86-P86)/P86)</f>
        <v>0.00%</v>
      </c>
      <c r="T86" s="340">
        <v>0</v>
      </c>
      <c r="U86" s="2344"/>
      <c r="V86" s="952"/>
      <c r="W86" s="2343"/>
      <c r="X86" s="340"/>
      <c r="Y86" s="2344"/>
      <c r="AA86" s="1668"/>
      <c r="AB86" s="340"/>
      <c r="AC86" s="2344"/>
    </row>
    <row r="87" spans="1:29" s="457" customFormat="1" x14ac:dyDescent="0.25">
      <c r="A87" s="2227"/>
      <c r="B87" s="2345"/>
      <c r="C87" s="2215"/>
      <c r="D87" s="340"/>
      <c r="E87" s="2386"/>
      <c r="F87" s="340"/>
      <c r="G87" s="2338"/>
      <c r="H87" s="340"/>
      <c r="I87" s="897"/>
      <c r="J87" s="455"/>
      <c r="K87" s="1668"/>
      <c r="L87" s="340"/>
      <c r="M87" s="901"/>
      <c r="O87" s="1668"/>
      <c r="P87" s="340"/>
      <c r="Q87" s="901"/>
      <c r="R87" s="592"/>
      <c r="S87" s="2341"/>
      <c r="T87" s="340"/>
      <c r="U87" s="2344"/>
      <c r="V87" s="952"/>
      <c r="W87" s="2343"/>
      <c r="X87" s="340"/>
      <c r="Y87" s="2344"/>
      <c r="AA87" s="1668"/>
      <c r="AB87" s="340"/>
      <c r="AC87" s="2344"/>
    </row>
    <row r="88" spans="1:29" s="457" customFormat="1" x14ac:dyDescent="0.25">
      <c r="A88" s="2228"/>
      <c r="B88" s="2337" t="s">
        <v>0</v>
      </c>
      <c r="C88" s="2215"/>
      <c r="D88" s="458">
        <f>SUM(D83,D67,D55,D13,D86)</f>
        <v>175676.28</v>
      </c>
      <c r="E88" s="2386"/>
      <c r="F88" s="340"/>
      <c r="G88" s="456">
        <f>IF(D88=0,"0.00%",(H88-D88)/D88)</f>
        <v>0.66213674378806286</v>
      </c>
      <c r="H88" s="458">
        <f>SUM(H83,H67,H55,H13,H86)</f>
        <v>291998</v>
      </c>
      <c r="I88" s="2316">
        <f>+H88-D88</f>
        <v>116321.72</v>
      </c>
      <c r="J88" s="459"/>
      <c r="K88" s="456">
        <f>IF(H88=0,"0.00%",(L88-H88)/H88)</f>
        <v>-2.4356331207747998E-2</v>
      </c>
      <c r="L88" s="458">
        <f>SUM(L83,L67,L55,L13,L86)</f>
        <v>284886</v>
      </c>
      <c r="M88" s="2316">
        <f>+L88-H88</f>
        <v>-7112</v>
      </c>
      <c r="O88" s="456">
        <f>IF(L88=0,"0.00%",(P88-L88)/L88)</f>
        <v>-7.7188770244940082E-3</v>
      </c>
      <c r="P88" s="458">
        <f>SUM(P83,P67,P55,P13,P86)</f>
        <v>282687</v>
      </c>
      <c r="Q88" s="2316">
        <f>+P88-L88</f>
        <v>-2199</v>
      </c>
      <c r="R88" s="592"/>
      <c r="S88" s="2238">
        <f>IF(P88=0,"0.00%",(T88-P88)/P88)</f>
        <v>1.0053522093339984E-2</v>
      </c>
      <c r="T88" s="458">
        <f>SUM(T83,T67,T55,T13)</f>
        <v>285529</v>
      </c>
      <c r="U88" s="2344"/>
      <c r="V88" s="952"/>
      <c r="W88" s="2241">
        <f>IF(T88=0,"0.00%",(X88-T88)/T88)</f>
        <v>6.3636268119875742E-3</v>
      </c>
      <c r="X88" s="458">
        <f>SUM(X83,X67,X55,X13)</f>
        <v>287346</v>
      </c>
      <c r="Y88" s="2344"/>
      <c r="AA88" s="456" t="e">
        <f>IF(X88=0,"0.00%",(AB88-X88)/X88)</f>
        <v>#VALUE!</v>
      </c>
      <c r="AB88" s="458" t="e">
        <f>SUM(AB83,AB67,AB55,AB13)</f>
        <v>#VALUE!</v>
      </c>
      <c r="AC88" s="2344"/>
    </row>
    <row r="89" spans="1:29" s="457" customFormat="1" x14ac:dyDescent="0.25">
      <c r="A89" s="2227"/>
      <c r="B89" s="2345"/>
      <c r="C89" s="2215"/>
      <c r="D89" s="340"/>
      <c r="E89" s="2386"/>
      <c r="F89" s="340"/>
      <c r="G89" s="2338"/>
      <c r="H89" s="340"/>
      <c r="I89" s="897"/>
      <c r="J89" s="455"/>
      <c r="K89" s="1668"/>
      <c r="L89" s="340"/>
      <c r="M89" s="901"/>
      <c r="O89" s="1668"/>
      <c r="P89" s="340"/>
      <c r="Q89" s="901"/>
      <c r="R89" s="592"/>
      <c r="S89" s="2341"/>
      <c r="T89" s="340"/>
      <c r="U89" s="2344"/>
      <c r="V89" s="952"/>
      <c r="W89" s="2343"/>
      <c r="X89" s="340"/>
      <c r="Y89" s="2344"/>
      <c r="AA89" s="1668"/>
      <c r="AB89" s="340"/>
      <c r="AC89" s="2344"/>
    </row>
    <row r="90" spans="1:29" s="457" customFormat="1" x14ac:dyDescent="0.25">
      <c r="A90" s="2227"/>
      <c r="B90" s="2337" t="s">
        <v>138</v>
      </c>
      <c r="C90" s="2215"/>
      <c r="D90" s="833">
        <f>D11-D88</f>
        <v>0</v>
      </c>
      <c r="E90" s="1656"/>
      <c r="G90" s="456" t="str">
        <f>IF(D90=0,"0.00%",(H90-D90)/D90)</f>
        <v>0.00%</v>
      </c>
      <c r="H90" s="833">
        <f>H11-H88</f>
        <v>0</v>
      </c>
      <c r="I90" s="897"/>
      <c r="J90" s="455"/>
      <c r="K90" s="456" t="str">
        <f>IF(H90=0,"0.00%",(L90-H90)/H90)</f>
        <v>0.00%</v>
      </c>
      <c r="L90" s="833">
        <f>L11-L88</f>
        <v>0</v>
      </c>
      <c r="M90" s="901"/>
      <c r="O90" s="456" t="str">
        <f>IF(L90=0,"0.00%",(P90-L90)/L90)</f>
        <v>0.00%</v>
      </c>
      <c r="P90" s="833">
        <f>P11-P88</f>
        <v>0</v>
      </c>
      <c r="Q90" s="901"/>
      <c r="R90" s="592"/>
      <c r="S90" s="2238" t="str">
        <f>IF(P90=0,"0.00%",(T90-P90)/P90)</f>
        <v>0.00%</v>
      </c>
      <c r="T90" s="833">
        <f>T11-T88</f>
        <v>0</v>
      </c>
      <c r="U90" s="2344"/>
      <c r="V90" s="952"/>
      <c r="W90" s="2241" t="str">
        <f>IF(T90=0,"0.00%",(X90-T90)/T90)</f>
        <v>0.00%</v>
      </c>
      <c r="X90" s="833">
        <f>X11-X88</f>
        <v>-287346</v>
      </c>
      <c r="Y90" s="2344"/>
      <c r="AA90" s="456" t="e">
        <f>IF(X90=0,"0.00%",(AB90-X90)/X90)</f>
        <v>#VALUE!</v>
      </c>
      <c r="AB90" s="833" t="e">
        <f>AB11-AB88</f>
        <v>#VALUE!</v>
      </c>
      <c r="AC90" s="2344"/>
    </row>
    <row r="91" spans="1:29" s="457" customFormat="1" x14ac:dyDescent="0.25">
      <c r="A91" s="2215"/>
      <c r="B91" s="2337"/>
      <c r="C91" s="2345"/>
      <c r="D91" s="833"/>
      <c r="E91" s="1656"/>
      <c r="G91" s="2338"/>
      <c r="H91" s="833"/>
      <c r="I91" s="897"/>
      <c r="J91" s="455"/>
      <c r="K91" s="1668"/>
      <c r="L91" s="833"/>
      <c r="M91" s="901"/>
      <c r="O91" s="1668"/>
      <c r="P91" s="833"/>
      <c r="Q91" s="901"/>
      <c r="R91" s="592"/>
      <c r="S91" s="2341"/>
      <c r="T91" s="2356"/>
      <c r="U91" s="2344"/>
      <c r="V91" s="952"/>
      <c r="W91" s="2343"/>
      <c r="X91" s="2356"/>
      <c r="Y91" s="2344"/>
      <c r="AA91" s="1668"/>
      <c r="AB91" s="2356"/>
      <c r="AC91" s="2344"/>
    </row>
    <row r="92" spans="1:29" s="457" customFormat="1" x14ac:dyDescent="0.25">
      <c r="A92" s="2215"/>
      <c r="B92" s="2337" t="s">
        <v>136</v>
      </c>
      <c r="C92" s="2394"/>
      <c r="D92" s="833">
        <f>D7+D90</f>
        <v>0</v>
      </c>
      <c r="E92" s="1656"/>
      <c r="G92" s="456" t="str">
        <f>IF(D92=0,"0.00%",(H92-D92)/D92)</f>
        <v>0.00%</v>
      </c>
      <c r="H92" s="833">
        <f>H7+H90</f>
        <v>0</v>
      </c>
      <c r="I92" s="897"/>
      <c r="J92" s="455"/>
      <c r="K92" s="456" t="str">
        <f>IF(H92=0,"0.00%",(L92-H92)/H92)</f>
        <v>0.00%</v>
      </c>
      <c r="L92" s="833">
        <f>L7+L90</f>
        <v>0</v>
      </c>
      <c r="M92" s="901"/>
      <c r="O92" s="456" t="str">
        <f>IF(L92=0,"0.00%",(P92-L92)/L92)</f>
        <v>0.00%</v>
      </c>
      <c r="P92" s="833">
        <f>P7+P90</f>
        <v>0</v>
      </c>
      <c r="Q92" s="901"/>
      <c r="R92" s="592"/>
      <c r="S92" s="2238" t="str">
        <f>IF(P92=0,"0.00%",(T92-P92)/P92)</f>
        <v>0.00%</v>
      </c>
      <c r="T92" s="2367">
        <f>T7+T90</f>
        <v>0</v>
      </c>
      <c r="U92" s="2344"/>
      <c r="V92" s="952"/>
      <c r="W92" s="2241" t="str">
        <f>IF(T92=0,"0.00%",(X92-T92)/T92)</f>
        <v>0.00%</v>
      </c>
      <c r="X92" s="2367">
        <f>X7+X90</f>
        <v>-287346</v>
      </c>
      <c r="Y92" s="2344"/>
      <c r="AA92" s="456" t="e">
        <f>IF(X92=0,"0.00%",(AB92-X92)/X92)</f>
        <v>#VALUE!</v>
      </c>
      <c r="AB92" s="2367" t="e">
        <f>AB7+AB90</f>
        <v>#VALUE!</v>
      </c>
      <c r="AC92" s="2344"/>
    </row>
    <row r="93" spans="1:29" s="457" customFormat="1" x14ac:dyDescent="0.25">
      <c r="A93" s="2215"/>
      <c r="B93" s="2345"/>
      <c r="C93" s="2225"/>
      <c r="D93" s="340"/>
      <c r="E93" s="1656"/>
      <c r="G93" s="2355"/>
      <c r="H93" s="459"/>
      <c r="I93" s="898"/>
      <c r="J93" s="459"/>
      <c r="K93" s="1668"/>
      <c r="L93" s="459"/>
      <c r="M93" s="901"/>
      <c r="O93" s="1668"/>
      <c r="P93" s="459"/>
      <c r="Q93" s="901"/>
      <c r="R93" s="592"/>
      <c r="S93" s="2341"/>
      <c r="T93" s="459"/>
      <c r="U93" s="2344"/>
      <c r="V93" s="952"/>
      <c r="W93" s="2343"/>
      <c r="X93" s="459"/>
      <c r="Y93" s="2344"/>
      <c r="AA93" s="1668"/>
      <c r="AB93" s="459"/>
      <c r="AC93" s="2344"/>
    </row>
    <row r="94" spans="1:29" s="457" customFormat="1" x14ac:dyDescent="0.25">
      <c r="A94" s="2215"/>
      <c r="B94" s="2345"/>
      <c r="C94" s="2230"/>
      <c r="D94" s="340"/>
      <c r="E94" s="1656"/>
      <c r="G94" s="2355"/>
      <c r="H94" s="455"/>
      <c r="I94" s="897"/>
      <c r="J94" s="455"/>
      <c r="K94" s="1668"/>
      <c r="L94" s="340"/>
      <c r="M94" s="901"/>
      <c r="O94" s="1668"/>
      <c r="P94" s="340"/>
      <c r="Q94" s="901"/>
      <c r="R94" s="592"/>
      <c r="S94" s="2341"/>
      <c r="T94" s="340"/>
      <c r="U94" s="2344"/>
      <c r="V94" s="952"/>
      <c r="W94" s="2343"/>
      <c r="X94" s="340"/>
      <c r="Y94" s="2344"/>
      <c r="AA94" s="1668"/>
      <c r="AB94" s="340"/>
      <c r="AC94" s="2344"/>
    </row>
    <row r="95" spans="1:29" s="457" customFormat="1" x14ac:dyDescent="0.25">
      <c r="A95" s="2215"/>
      <c r="B95" s="2345"/>
      <c r="C95" s="2230"/>
      <c r="D95" s="340"/>
      <c r="E95" s="1656"/>
      <c r="G95" s="2355"/>
      <c r="H95" s="455"/>
      <c r="I95" s="897"/>
      <c r="J95" s="455"/>
      <c r="K95" s="1668"/>
      <c r="L95" s="340"/>
      <c r="M95" s="901"/>
      <c r="O95" s="1668"/>
      <c r="P95" s="340"/>
      <c r="Q95" s="901"/>
      <c r="R95" s="592"/>
      <c r="S95" s="2341"/>
      <c r="T95" s="340"/>
      <c r="U95" s="2344"/>
      <c r="V95" s="952"/>
      <c r="W95" s="2343"/>
      <c r="X95" s="340"/>
      <c r="Y95" s="2344"/>
      <c r="AA95" s="1668"/>
      <c r="AB95" s="340"/>
      <c r="AC95" s="2344"/>
    </row>
    <row r="96" spans="1:29" s="457" customFormat="1" x14ac:dyDescent="0.25">
      <c r="A96" s="2215"/>
      <c r="B96" s="2345"/>
      <c r="C96" s="2230"/>
      <c r="D96" s="340"/>
      <c r="E96" s="1656"/>
      <c r="G96" s="2355"/>
      <c r="H96" s="455"/>
      <c r="I96" s="897"/>
      <c r="J96" s="455"/>
      <c r="K96" s="1668"/>
      <c r="L96" s="340"/>
      <c r="M96" s="901"/>
      <c r="O96" s="1668"/>
      <c r="P96" s="340"/>
      <c r="Q96" s="901"/>
      <c r="R96" s="592"/>
      <c r="S96" s="2341"/>
      <c r="T96" s="340"/>
      <c r="U96" s="2344"/>
      <c r="V96" s="952"/>
      <c r="W96" s="2343"/>
      <c r="X96" s="340"/>
      <c r="Y96" s="2344"/>
      <c r="AA96" s="1668"/>
      <c r="AB96" s="340"/>
      <c r="AC96" s="2344"/>
    </row>
    <row r="97" spans="1:29" s="457" customFormat="1" x14ac:dyDescent="0.25">
      <c r="A97" s="2215"/>
      <c r="B97" s="2345"/>
      <c r="C97" s="2230"/>
      <c r="D97" s="340"/>
      <c r="E97" s="1656"/>
      <c r="G97" s="2355"/>
      <c r="H97" s="455"/>
      <c r="I97" s="897"/>
      <c r="J97" s="455"/>
      <c r="K97" s="1668"/>
      <c r="L97" s="340"/>
      <c r="M97" s="901"/>
      <c r="O97" s="1668"/>
      <c r="P97" s="340"/>
      <c r="Q97" s="901"/>
      <c r="R97" s="592"/>
      <c r="S97" s="2341"/>
      <c r="T97" s="340"/>
      <c r="U97" s="2344"/>
      <c r="V97" s="952"/>
      <c r="W97" s="2343"/>
      <c r="X97" s="340"/>
      <c r="Y97" s="2344"/>
      <c r="AA97" s="1668"/>
      <c r="AB97" s="340"/>
      <c r="AC97" s="2344"/>
    </row>
    <row r="98" spans="1:29" s="2402" customFormat="1" ht="11.25" x14ac:dyDescent="0.2">
      <c r="A98" s="2232"/>
      <c r="B98" s="2395"/>
      <c r="C98" s="2396" t="s">
        <v>221</v>
      </c>
      <c r="D98" s="2397">
        <f>+D83+D67+D53+D41+D30</f>
        <v>167612.41999999998</v>
      </c>
      <c r="E98" s="2363"/>
      <c r="G98" s="2399" t="s">
        <v>221</v>
      </c>
      <c r="H98" s="2397">
        <f>+H83+H67+H53+H41+H30</f>
        <v>275750</v>
      </c>
      <c r="I98" s="2400"/>
      <c r="J98" s="607"/>
      <c r="K98" s="2399" t="s">
        <v>221</v>
      </c>
      <c r="L98" s="2397">
        <f>+L83+L67+L53+L41+L30</f>
        <v>268886</v>
      </c>
      <c r="M98" s="2404"/>
      <c r="O98" s="2399" t="s">
        <v>221</v>
      </c>
      <c r="P98" s="2397">
        <f>+P83+P67+P53+P41+P30</f>
        <v>282687</v>
      </c>
      <c r="Q98" s="2404"/>
      <c r="R98" s="608"/>
      <c r="S98" s="2405" t="s">
        <v>221</v>
      </c>
      <c r="T98" s="2397">
        <f>+T83+T67+T53+T41+T30</f>
        <v>285529</v>
      </c>
      <c r="U98" s="2409"/>
      <c r="V98" s="2407"/>
      <c r="W98" s="2408" t="s">
        <v>221</v>
      </c>
      <c r="X98" s="2397">
        <f>+X83+X67+X53+X41+X30</f>
        <v>287346</v>
      </c>
      <c r="Y98" s="2409"/>
      <c r="AA98" s="2399" t="s">
        <v>221</v>
      </c>
      <c r="AB98" s="2397" t="e">
        <f>+AB83+AB67+AB53+AB41+AB30</f>
        <v>#VALUE!</v>
      </c>
      <c r="AC98" s="2409"/>
    </row>
    <row r="99" spans="1:29" s="2402" customFormat="1" ht="11.25" x14ac:dyDescent="0.2">
      <c r="A99" s="2233"/>
      <c r="B99" s="2395"/>
      <c r="C99" s="2411" t="s">
        <v>222</v>
      </c>
      <c r="D99" s="2412">
        <f>+D13</f>
        <v>0</v>
      </c>
      <c r="E99" s="2419"/>
      <c r="F99" s="2410"/>
      <c r="G99" s="2415" t="s">
        <v>222</v>
      </c>
      <c r="H99" s="2412">
        <f>+H13</f>
        <v>0</v>
      </c>
      <c r="I99" s="2398"/>
      <c r="J99" s="608"/>
      <c r="K99" s="2415" t="s">
        <v>222</v>
      </c>
      <c r="L99" s="2412">
        <f>+L13</f>
        <v>0</v>
      </c>
      <c r="M99" s="2404"/>
      <c r="O99" s="2415" t="s">
        <v>222</v>
      </c>
      <c r="P99" s="2412">
        <f>+P13</f>
        <v>0</v>
      </c>
      <c r="Q99" s="2363"/>
      <c r="R99" s="608"/>
      <c r="S99" s="2416" t="s">
        <v>222</v>
      </c>
      <c r="T99" s="2412">
        <f>+T13</f>
        <v>0</v>
      </c>
      <c r="V99" s="2407"/>
      <c r="W99" s="2417" t="s">
        <v>222</v>
      </c>
      <c r="X99" s="2412">
        <f>+X13</f>
        <v>0</v>
      </c>
      <c r="AA99" s="2415" t="s">
        <v>222</v>
      </c>
      <c r="AB99" s="2412">
        <f>+AB13</f>
        <v>0</v>
      </c>
    </row>
    <row r="100" spans="1:29" s="2402" customFormat="1" ht="11.25" x14ac:dyDescent="0.2">
      <c r="A100" s="2233"/>
      <c r="B100" s="2395"/>
      <c r="C100" s="2411"/>
      <c r="D100" s="2418">
        <f>+D98+D99</f>
        <v>167612.41999999998</v>
      </c>
      <c r="E100" s="2419"/>
      <c r="F100" s="2410"/>
      <c r="G100" s="2415"/>
      <c r="H100" s="2418">
        <f>+H98+H99</f>
        <v>275750</v>
      </c>
      <c r="I100" s="2398"/>
      <c r="J100" s="608"/>
      <c r="K100" s="2415"/>
      <c r="L100" s="2418">
        <f>+L98+L99</f>
        <v>268886</v>
      </c>
      <c r="M100" s="2363"/>
      <c r="O100" s="2415"/>
      <c r="P100" s="2418">
        <f>+P98+P99</f>
        <v>282687</v>
      </c>
      <c r="Q100" s="2363"/>
      <c r="R100" s="608"/>
      <c r="S100" s="2416"/>
      <c r="T100" s="2418">
        <f>+T98+T99</f>
        <v>285529</v>
      </c>
      <c r="V100" s="2407"/>
      <c r="W100" s="2417"/>
      <c r="X100" s="2418">
        <f>+X98+X99</f>
        <v>287346</v>
      </c>
      <c r="AA100" s="2415"/>
      <c r="AB100" s="2418" t="e">
        <f>+AB98+AB99</f>
        <v>#VALUE!</v>
      </c>
    </row>
    <row r="101" spans="1:29" s="457" customFormat="1" ht="15" customHeight="1" x14ac:dyDescent="0.25">
      <c r="A101" s="2227"/>
      <c r="B101" s="2422"/>
      <c r="C101" s="2422"/>
      <c r="D101" s="459">
        <f>+D88-D100</f>
        <v>8063.8600000000151</v>
      </c>
      <c r="E101" s="2386"/>
      <c r="F101" s="340"/>
      <c r="G101" s="2447"/>
      <c r="H101" s="459">
        <f>+H88-H100</f>
        <v>16248</v>
      </c>
      <c r="I101" s="2339"/>
      <c r="J101" s="592"/>
      <c r="K101" s="2447"/>
      <c r="L101" s="459">
        <f>+L88-L100</f>
        <v>16000</v>
      </c>
      <c r="M101" s="1656"/>
      <c r="O101" s="2447"/>
      <c r="P101" s="459">
        <f>+P88-P100</f>
        <v>0</v>
      </c>
      <c r="Q101" s="1656"/>
      <c r="R101" s="592"/>
      <c r="S101" s="2447"/>
      <c r="T101" s="459">
        <f>+T88-T100</f>
        <v>0</v>
      </c>
      <c r="V101" s="952"/>
      <c r="W101" s="2448"/>
      <c r="X101" s="459">
        <f>+X88-X100</f>
        <v>0</v>
      </c>
      <c r="AA101" s="2447"/>
      <c r="AB101" s="459" t="e">
        <f>+AB88-AB100</f>
        <v>#VALUE!</v>
      </c>
    </row>
    <row r="102" spans="1:29" s="457" customFormat="1" x14ac:dyDescent="0.25">
      <c r="A102" s="2227"/>
      <c r="B102" s="2422"/>
      <c r="C102" s="2422"/>
      <c r="D102" s="455"/>
      <c r="E102" s="2386"/>
      <c r="F102" s="340"/>
      <c r="G102" s="2338"/>
      <c r="H102" s="2424"/>
      <c r="I102" s="2339"/>
      <c r="J102" s="592"/>
      <c r="K102" s="1668"/>
      <c r="L102" s="2370"/>
      <c r="M102" s="1656"/>
      <c r="O102" s="1668"/>
      <c r="P102" s="340"/>
      <c r="Q102" s="1656"/>
      <c r="R102" s="592"/>
      <c r="S102" s="2341"/>
      <c r="V102" s="952"/>
      <c r="W102" s="2343"/>
      <c r="AA102" s="1668"/>
    </row>
    <row r="103" spans="1:29" s="457" customFormat="1" x14ac:dyDescent="0.25">
      <c r="A103" s="2227"/>
      <c r="B103" s="2394"/>
      <c r="C103" s="2230"/>
      <c r="D103" s="342"/>
      <c r="E103" s="2386"/>
      <c r="F103" s="340"/>
      <c r="G103" s="2338"/>
      <c r="H103" s="2424"/>
      <c r="I103" s="2339"/>
      <c r="J103" s="592"/>
      <c r="K103" s="1668"/>
      <c r="L103" s="2370"/>
      <c r="M103" s="1656"/>
      <c r="O103" s="1668"/>
      <c r="P103" s="340"/>
      <c r="Q103" s="1656"/>
      <c r="R103" s="592"/>
      <c r="S103" s="2341"/>
      <c r="V103" s="952"/>
      <c r="W103" s="2343"/>
      <c r="AA103" s="1668"/>
    </row>
    <row r="104" spans="1:29" s="457" customFormat="1" x14ac:dyDescent="0.25">
      <c r="A104" s="2215"/>
      <c r="B104" s="2394"/>
      <c r="C104" s="2230"/>
      <c r="D104" s="455"/>
      <c r="E104" s="1656"/>
      <c r="G104" s="2338"/>
      <c r="H104" s="2424"/>
      <c r="I104" s="2339"/>
      <c r="J104" s="592"/>
      <c r="K104" s="1668"/>
      <c r="L104" s="2370"/>
      <c r="M104" s="1656"/>
      <c r="O104" s="1668"/>
      <c r="P104" s="340"/>
      <c r="Q104" s="1656"/>
      <c r="R104" s="592"/>
      <c r="S104" s="2341"/>
      <c r="V104" s="952"/>
      <c r="W104" s="2343"/>
      <c r="AA104" s="1668"/>
    </row>
    <row r="105" spans="1:29" s="457" customFormat="1" x14ac:dyDescent="0.25">
      <c r="A105" s="2215"/>
      <c r="B105" s="2394"/>
      <c r="C105" s="2230"/>
      <c r="D105" s="455"/>
      <c r="E105" s="1656"/>
      <c r="G105" s="2338"/>
      <c r="H105" s="2424"/>
      <c r="I105" s="2339"/>
      <c r="J105" s="592"/>
      <c r="K105" s="1668"/>
      <c r="L105" s="2370"/>
      <c r="M105" s="1656"/>
      <c r="O105" s="1668"/>
      <c r="P105" s="340"/>
      <c r="Q105" s="1656"/>
      <c r="R105" s="592"/>
      <c r="S105" s="2341"/>
      <c r="V105" s="952"/>
      <c r="W105" s="2343"/>
      <c r="AA105" s="1668"/>
    </row>
    <row r="106" spans="1:29" s="457" customFormat="1" ht="15" customHeight="1" x14ac:dyDescent="0.25">
      <c r="A106" s="2215"/>
      <c r="B106" s="2394"/>
      <c r="C106" s="2230"/>
      <c r="D106" s="455"/>
      <c r="E106" s="1656"/>
      <c r="G106" s="2338"/>
      <c r="H106" s="2424"/>
      <c r="I106" s="2339"/>
      <c r="J106" s="592"/>
      <c r="K106" s="1668"/>
      <c r="L106" s="2370"/>
      <c r="M106" s="1656"/>
      <c r="O106" s="1668"/>
      <c r="P106" s="340"/>
      <c r="Q106" s="1656"/>
      <c r="R106" s="592"/>
      <c r="S106" s="2341"/>
      <c r="V106" s="952"/>
      <c r="W106" s="2343"/>
      <c r="AA106" s="1668"/>
    </row>
    <row r="107" spans="1:29" s="457" customFormat="1" x14ac:dyDescent="0.25">
      <c r="A107" s="2215"/>
      <c r="B107" s="2394"/>
      <c r="C107" s="2230"/>
      <c r="D107" s="455"/>
      <c r="E107" s="1656"/>
      <c r="G107" s="2338"/>
      <c r="H107" s="2424"/>
      <c r="I107" s="2339"/>
      <c r="J107" s="592"/>
      <c r="K107" s="1668"/>
      <c r="L107" s="2370"/>
      <c r="M107" s="1656"/>
      <c r="O107" s="1668"/>
      <c r="P107" s="340"/>
      <c r="Q107" s="1656"/>
      <c r="R107" s="592"/>
      <c r="S107" s="2341"/>
      <c r="V107" s="952"/>
      <c r="W107" s="2343"/>
      <c r="AA107" s="1668"/>
    </row>
    <row r="108" spans="1:29" s="457" customFormat="1" x14ac:dyDescent="0.25">
      <c r="A108" s="2215"/>
      <c r="B108" s="2394"/>
      <c r="C108" s="2230"/>
      <c r="D108" s="455"/>
      <c r="E108" s="1656"/>
      <c r="G108" s="2338"/>
      <c r="H108" s="2424"/>
      <c r="I108" s="2339"/>
      <c r="J108" s="592"/>
      <c r="K108" s="1668"/>
      <c r="L108" s="2370"/>
      <c r="M108" s="1656"/>
      <c r="O108" s="1668"/>
      <c r="P108" s="340"/>
      <c r="Q108" s="1656"/>
      <c r="R108" s="592"/>
      <c r="S108" s="2341"/>
      <c r="V108" s="952"/>
      <c r="W108" s="2343"/>
      <c r="AA108" s="1668"/>
    </row>
    <row r="109" spans="1:29" s="457" customFormat="1" ht="15" customHeight="1" x14ac:dyDescent="0.25">
      <c r="A109" s="2215"/>
      <c r="B109" s="2570"/>
      <c r="C109" s="2570"/>
      <c r="D109" s="455"/>
      <c r="E109" s="1656"/>
      <c r="G109" s="2338"/>
      <c r="H109" s="2424"/>
      <c r="I109" s="2339"/>
      <c r="J109" s="592"/>
      <c r="K109" s="1668"/>
      <c r="L109" s="2370"/>
      <c r="M109" s="1656"/>
      <c r="O109" s="1668"/>
      <c r="P109" s="340"/>
      <c r="Q109" s="1656"/>
      <c r="R109" s="592"/>
      <c r="S109" s="2341"/>
      <c r="V109" s="952"/>
      <c r="W109" s="2343"/>
      <c r="AA109" s="1668"/>
    </row>
    <row r="110" spans="1:29" s="457" customFormat="1" x14ac:dyDescent="0.25">
      <c r="A110" s="2215"/>
      <c r="B110" s="2570"/>
      <c r="C110" s="2570"/>
      <c r="D110" s="455"/>
      <c r="E110" s="1656"/>
      <c r="G110" s="2338"/>
      <c r="H110" s="2424"/>
      <c r="I110" s="2339"/>
      <c r="J110" s="592"/>
      <c r="K110" s="1668"/>
      <c r="L110" s="2370"/>
      <c r="M110" s="1656"/>
      <c r="O110" s="1668"/>
      <c r="P110" s="340"/>
      <c r="Q110" s="1656"/>
      <c r="R110" s="592"/>
      <c r="S110" s="2341"/>
      <c r="V110" s="952"/>
      <c r="W110" s="2343"/>
      <c r="AA110" s="1668"/>
    </row>
    <row r="111" spans="1:29" s="457" customFormat="1" x14ac:dyDescent="0.25">
      <c r="A111" s="2215"/>
      <c r="B111" s="2394"/>
      <c r="C111" s="2230"/>
      <c r="D111" s="460"/>
      <c r="E111" s="1656"/>
      <c r="G111" s="2338"/>
      <c r="H111" s="2424"/>
      <c r="I111" s="2339"/>
      <c r="J111" s="592"/>
      <c r="K111" s="1668"/>
      <c r="L111" s="2370"/>
      <c r="M111" s="1656"/>
      <c r="O111" s="1668"/>
      <c r="P111" s="340"/>
      <c r="Q111" s="1656"/>
      <c r="R111" s="592"/>
      <c r="S111" s="2341"/>
      <c r="V111" s="952"/>
      <c r="W111" s="2343"/>
      <c r="AA111" s="1668"/>
    </row>
    <row r="112" spans="1:29" s="457" customFormat="1" x14ac:dyDescent="0.25">
      <c r="A112" s="2215"/>
      <c r="B112" s="2394"/>
      <c r="C112" s="2230"/>
      <c r="D112" s="455"/>
      <c r="E112" s="1656"/>
      <c r="G112" s="2338"/>
      <c r="H112" s="2424"/>
      <c r="I112" s="2339"/>
      <c r="J112" s="592"/>
      <c r="K112" s="1668"/>
      <c r="L112" s="2370"/>
      <c r="M112" s="1656"/>
      <c r="O112" s="1668"/>
      <c r="P112" s="340"/>
      <c r="Q112" s="1656"/>
      <c r="R112" s="592"/>
      <c r="S112" s="2341"/>
      <c r="V112" s="952"/>
      <c r="W112" s="2343"/>
      <c r="AA112" s="1668"/>
    </row>
    <row r="113" spans="1:27" s="457" customFormat="1" x14ac:dyDescent="0.25">
      <c r="A113" s="2215"/>
      <c r="B113" s="2394"/>
      <c r="C113" s="2230"/>
      <c r="D113" s="455"/>
      <c r="E113" s="1656"/>
      <c r="G113" s="2338"/>
      <c r="H113" s="2424"/>
      <c r="I113" s="2339"/>
      <c r="J113" s="592"/>
      <c r="K113" s="1668"/>
      <c r="L113" s="2370"/>
      <c r="M113" s="1656"/>
      <c r="O113" s="1668"/>
      <c r="P113" s="340"/>
      <c r="Q113" s="1656"/>
      <c r="R113" s="592"/>
      <c r="S113" s="2341"/>
      <c r="V113" s="952"/>
      <c r="W113" s="2343"/>
      <c r="AA113" s="1668"/>
    </row>
    <row r="114" spans="1:27" s="457" customFormat="1" ht="28.5" customHeight="1" x14ac:dyDescent="0.25">
      <c r="A114" s="2215"/>
      <c r="B114" s="2394"/>
      <c r="C114" s="2230"/>
      <c r="D114" s="342"/>
      <c r="E114" s="1656"/>
      <c r="G114" s="2338"/>
      <c r="H114" s="2424"/>
      <c r="I114" s="2339"/>
      <c r="J114" s="592"/>
      <c r="K114" s="1668"/>
      <c r="L114" s="2370"/>
      <c r="M114" s="1656"/>
      <c r="O114" s="1668"/>
      <c r="P114" s="340"/>
      <c r="Q114" s="1656"/>
      <c r="R114" s="592"/>
      <c r="S114" s="2341"/>
      <c r="V114" s="952"/>
      <c r="W114" s="2343"/>
      <c r="AA114" s="1668"/>
    </row>
    <row r="115" spans="1:27" s="457" customFormat="1" x14ac:dyDescent="0.25">
      <c r="A115" s="2215"/>
      <c r="B115" s="2394"/>
      <c r="C115" s="2230"/>
      <c r="D115" s="455"/>
      <c r="E115" s="1656"/>
      <c r="G115" s="2338"/>
      <c r="H115" s="2424"/>
      <c r="I115" s="2339"/>
      <c r="J115" s="592"/>
      <c r="K115" s="1668"/>
      <c r="L115" s="2370"/>
      <c r="M115" s="1656"/>
      <c r="O115" s="1668"/>
      <c r="P115" s="340"/>
      <c r="Q115" s="1656"/>
      <c r="R115" s="592"/>
      <c r="S115" s="2341"/>
      <c r="V115" s="952"/>
      <c r="W115" s="2343"/>
      <c r="AA115" s="1668"/>
    </row>
    <row r="116" spans="1:27" s="457" customFormat="1" x14ac:dyDescent="0.25">
      <c r="A116" s="2215"/>
      <c r="B116" s="2394"/>
      <c r="C116" s="2230"/>
      <c r="D116" s="455"/>
      <c r="E116" s="1656"/>
      <c r="G116" s="2338"/>
      <c r="H116" s="2424"/>
      <c r="I116" s="2339"/>
      <c r="J116" s="592"/>
      <c r="K116" s="1668"/>
      <c r="L116" s="2370"/>
      <c r="M116" s="1656"/>
      <c r="O116" s="1668"/>
      <c r="P116" s="340"/>
      <c r="Q116" s="1656"/>
      <c r="R116" s="592"/>
      <c r="S116" s="2341"/>
      <c r="V116" s="952"/>
      <c r="W116" s="2343"/>
      <c r="AA116" s="1668"/>
    </row>
    <row r="117" spans="1:27" s="457" customFormat="1" x14ac:dyDescent="0.25">
      <c r="A117" s="2215"/>
      <c r="B117" s="2394"/>
      <c r="C117" s="2230"/>
      <c r="D117" s="455"/>
      <c r="E117" s="1656"/>
      <c r="G117" s="2338"/>
      <c r="H117" s="2424"/>
      <c r="I117" s="2339"/>
      <c r="J117" s="592"/>
      <c r="K117" s="1668"/>
      <c r="L117" s="2370"/>
      <c r="M117" s="1656"/>
      <c r="O117" s="1668"/>
      <c r="P117" s="340"/>
      <c r="Q117" s="1656"/>
      <c r="R117" s="592"/>
      <c r="S117" s="2341"/>
      <c r="V117" s="952"/>
      <c r="W117" s="2343"/>
      <c r="AA117" s="1668"/>
    </row>
    <row r="118" spans="1:27" s="457" customFormat="1" x14ac:dyDescent="0.25">
      <c r="A118" s="2215"/>
      <c r="B118" s="2394"/>
      <c r="C118" s="2230"/>
      <c r="D118" s="455"/>
      <c r="E118" s="1656"/>
      <c r="G118" s="2338"/>
      <c r="H118" s="2424"/>
      <c r="I118" s="2339"/>
      <c r="J118" s="592"/>
      <c r="K118" s="1668"/>
      <c r="L118" s="2370"/>
      <c r="M118" s="1656"/>
      <c r="O118" s="1668"/>
      <c r="P118" s="340"/>
      <c r="Q118" s="1656"/>
      <c r="R118" s="592"/>
      <c r="S118" s="2341"/>
      <c r="V118" s="952"/>
      <c r="W118" s="2343"/>
      <c r="AA118" s="1668"/>
    </row>
    <row r="119" spans="1:27" s="457" customFormat="1" x14ac:dyDescent="0.25">
      <c r="A119" s="2215"/>
      <c r="B119" s="2394"/>
      <c r="C119" s="2230"/>
      <c r="D119" s="455"/>
      <c r="E119" s="1656"/>
      <c r="G119" s="2338"/>
      <c r="H119" s="2424"/>
      <c r="I119" s="2339"/>
      <c r="J119" s="592"/>
      <c r="K119" s="1668"/>
      <c r="L119" s="2370"/>
      <c r="M119" s="1656"/>
      <c r="O119" s="1668"/>
      <c r="P119" s="340"/>
      <c r="Q119" s="1656"/>
      <c r="R119" s="592"/>
      <c r="S119" s="2341"/>
      <c r="V119" s="952"/>
      <c r="W119" s="2343"/>
      <c r="AA119" s="1668"/>
    </row>
    <row r="120" spans="1:27" s="457" customFormat="1" x14ac:dyDescent="0.25">
      <c r="A120" s="2215"/>
      <c r="B120" s="2394"/>
      <c r="C120" s="2230"/>
      <c r="D120" s="455"/>
      <c r="E120" s="1656"/>
      <c r="G120" s="2338"/>
      <c r="H120" s="2424"/>
      <c r="I120" s="2339"/>
      <c r="J120" s="592"/>
      <c r="K120" s="1668"/>
      <c r="L120" s="2370"/>
      <c r="M120" s="1656"/>
      <c r="O120" s="1668"/>
      <c r="P120" s="340"/>
      <c r="Q120" s="1656"/>
      <c r="R120" s="592"/>
      <c r="S120" s="2341"/>
      <c r="V120" s="952"/>
      <c r="W120" s="2343"/>
      <c r="AA120" s="1668"/>
    </row>
    <row r="121" spans="1:27" s="457" customFormat="1" x14ac:dyDescent="0.25">
      <c r="A121" s="2215"/>
      <c r="B121" s="2394"/>
      <c r="C121" s="2230"/>
      <c r="D121" s="455"/>
      <c r="E121" s="1656"/>
      <c r="G121" s="2338"/>
      <c r="H121" s="2424"/>
      <c r="I121" s="2339"/>
      <c r="J121" s="592"/>
      <c r="K121" s="1668"/>
      <c r="L121" s="2370"/>
      <c r="M121" s="1656"/>
      <c r="O121" s="1668"/>
      <c r="P121" s="340"/>
      <c r="Q121" s="1656"/>
      <c r="R121" s="592"/>
      <c r="S121" s="2341"/>
      <c r="V121" s="952"/>
      <c r="W121" s="2343"/>
      <c r="AA121" s="1668"/>
    </row>
    <row r="122" spans="1:27" s="457" customFormat="1" x14ac:dyDescent="0.25">
      <c r="A122" s="2215"/>
      <c r="B122" s="2394"/>
      <c r="C122" s="2230"/>
      <c r="D122" s="455"/>
      <c r="E122" s="1656"/>
      <c r="G122" s="2338"/>
      <c r="H122" s="2424"/>
      <c r="I122" s="2339"/>
      <c r="J122" s="592"/>
      <c r="K122" s="1668"/>
      <c r="L122" s="2370"/>
      <c r="M122" s="1656"/>
      <c r="O122" s="1668"/>
      <c r="P122" s="340"/>
      <c r="Q122" s="1656"/>
      <c r="R122" s="592"/>
      <c r="S122" s="2341"/>
      <c r="V122" s="952"/>
      <c r="W122" s="2343"/>
      <c r="AA122" s="1668"/>
    </row>
    <row r="123" spans="1:27" s="457" customFormat="1" x14ac:dyDescent="0.25">
      <c r="A123" s="2215"/>
      <c r="B123" s="2394"/>
      <c r="C123" s="2230"/>
      <c r="D123" s="455"/>
      <c r="E123" s="1656"/>
      <c r="G123" s="2338"/>
      <c r="H123" s="2424"/>
      <c r="I123" s="2339"/>
      <c r="J123" s="592"/>
      <c r="K123" s="1668"/>
      <c r="L123" s="2370"/>
      <c r="M123" s="1656"/>
      <c r="O123" s="1668"/>
      <c r="P123" s="340"/>
      <c r="Q123" s="1656"/>
      <c r="R123" s="592"/>
      <c r="S123" s="2341"/>
      <c r="V123" s="952"/>
      <c r="W123" s="2343"/>
      <c r="AA123" s="1668"/>
    </row>
    <row r="124" spans="1:27" s="457" customFormat="1" x14ac:dyDescent="0.25">
      <c r="A124" s="2215"/>
      <c r="B124" s="2394"/>
      <c r="C124" s="2230"/>
      <c r="D124" s="455"/>
      <c r="E124" s="1656"/>
      <c r="G124" s="2338"/>
      <c r="H124" s="2424"/>
      <c r="I124" s="2339"/>
      <c r="J124" s="592"/>
      <c r="K124" s="1668"/>
      <c r="L124" s="2370"/>
      <c r="M124" s="1656"/>
      <c r="O124" s="1668"/>
      <c r="P124" s="340"/>
      <c r="Q124" s="1656"/>
      <c r="R124" s="592"/>
      <c r="S124" s="2341"/>
      <c r="V124" s="952"/>
      <c r="W124" s="2343"/>
      <c r="AA124" s="1668"/>
    </row>
    <row r="125" spans="1:27" s="457" customFormat="1" x14ac:dyDescent="0.25">
      <c r="A125" s="2215"/>
      <c r="B125" s="2394"/>
      <c r="C125" s="2230"/>
      <c r="D125" s="455"/>
      <c r="E125" s="1656"/>
      <c r="G125" s="2338"/>
      <c r="H125" s="2424"/>
      <c r="I125" s="2339"/>
      <c r="J125" s="592"/>
      <c r="K125" s="1668"/>
      <c r="L125" s="2370"/>
      <c r="M125" s="1656"/>
      <c r="O125" s="1668"/>
      <c r="P125" s="340"/>
      <c r="Q125" s="1656"/>
      <c r="R125" s="592"/>
      <c r="S125" s="2341"/>
      <c r="V125" s="952"/>
      <c r="W125" s="2343"/>
      <c r="AA125" s="1668"/>
    </row>
    <row r="126" spans="1:27" s="457" customFormat="1" x14ac:dyDescent="0.25">
      <c r="A126" s="2215"/>
      <c r="B126" s="2394"/>
      <c r="C126" s="2230"/>
      <c r="D126" s="455"/>
      <c r="E126" s="1656"/>
      <c r="G126" s="2338"/>
      <c r="H126" s="2424"/>
      <c r="I126" s="2339"/>
      <c r="J126" s="592"/>
      <c r="K126" s="1668"/>
      <c r="L126" s="2370"/>
      <c r="M126" s="1656"/>
      <c r="O126" s="1668"/>
      <c r="P126" s="340"/>
      <c r="Q126" s="1656"/>
      <c r="R126" s="592"/>
      <c r="S126" s="2341"/>
      <c r="V126" s="952"/>
      <c r="W126" s="2343"/>
      <c r="AA126" s="1668"/>
    </row>
    <row r="127" spans="1:27" s="457" customFormat="1" x14ac:dyDescent="0.25">
      <c r="A127" s="2215"/>
      <c r="B127" s="2394"/>
      <c r="C127" s="2230"/>
      <c r="D127" s="455"/>
      <c r="E127" s="1656"/>
      <c r="G127" s="2338"/>
      <c r="H127" s="2424"/>
      <c r="I127" s="2339"/>
      <c r="J127" s="592"/>
      <c r="K127" s="1668"/>
      <c r="L127" s="2370"/>
      <c r="M127" s="1656"/>
      <c r="O127" s="1668"/>
      <c r="P127" s="340"/>
      <c r="Q127" s="1656"/>
      <c r="R127" s="592"/>
      <c r="S127" s="2341"/>
      <c r="V127" s="952"/>
      <c r="W127" s="2343"/>
      <c r="AA127" s="1668"/>
    </row>
    <row r="128" spans="1:27" s="457" customFormat="1" x14ac:dyDescent="0.25">
      <c r="A128" s="2215"/>
      <c r="B128" s="2394"/>
      <c r="C128" s="2230"/>
      <c r="D128" s="455"/>
      <c r="E128" s="1656"/>
      <c r="G128" s="2338"/>
      <c r="H128" s="2424"/>
      <c r="I128" s="2339"/>
      <c r="J128" s="592"/>
      <c r="K128" s="1668"/>
      <c r="L128" s="2370"/>
      <c r="M128" s="1656"/>
      <c r="O128" s="1668"/>
      <c r="P128" s="340"/>
      <c r="Q128" s="1656"/>
      <c r="R128" s="592"/>
      <c r="S128" s="2341"/>
      <c r="V128" s="952"/>
      <c r="W128" s="2343"/>
      <c r="AA128" s="1668"/>
    </row>
    <row r="129" spans="1:27" s="457" customFormat="1" x14ac:dyDescent="0.25">
      <c r="A129" s="2215"/>
      <c r="B129" s="2394"/>
      <c r="C129" s="2230"/>
      <c r="D129" s="455"/>
      <c r="E129" s="1656"/>
      <c r="G129" s="2338"/>
      <c r="H129" s="2424"/>
      <c r="I129" s="2339"/>
      <c r="J129" s="592"/>
      <c r="K129" s="1668"/>
      <c r="L129" s="2370"/>
      <c r="M129" s="1656"/>
      <c r="O129" s="1668"/>
      <c r="P129" s="340"/>
      <c r="Q129" s="1656"/>
      <c r="R129" s="592"/>
      <c r="S129" s="2341"/>
      <c r="V129" s="952"/>
      <c r="W129" s="2343"/>
      <c r="AA129" s="1668"/>
    </row>
    <row r="130" spans="1:27" s="457" customFormat="1" x14ac:dyDescent="0.25">
      <c r="A130" s="2215"/>
      <c r="B130" s="2345"/>
      <c r="C130" s="2215"/>
      <c r="D130" s="340"/>
      <c r="E130" s="1656"/>
      <c r="G130" s="2338"/>
      <c r="H130" s="2424"/>
      <c r="I130" s="2339"/>
      <c r="J130" s="592"/>
      <c r="K130" s="1668"/>
      <c r="L130" s="2370"/>
      <c r="M130" s="1656"/>
      <c r="O130" s="1668"/>
      <c r="P130" s="340"/>
      <c r="Q130" s="1656"/>
      <c r="R130" s="592"/>
      <c r="S130" s="2341"/>
      <c r="V130" s="952"/>
      <c r="W130" s="2343"/>
      <c r="AA130" s="1668"/>
    </row>
    <row r="131" spans="1:27" s="457" customFormat="1" x14ac:dyDescent="0.25">
      <c r="A131" s="2215"/>
      <c r="B131" s="2345"/>
      <c r="C131" s="2215"/>
      <c r="D131" s="340"/>
      <c r="E131" s="1656"/>
      <c r="G131" s="2338"/>
      <c r="H131" s="2424"/>
      <c r="I131" s="2339"/>
      <c r="J131" s="592"/>
      <c r="K131" s="1668"/>
      <c r="L131" s="2370"/>
      <c r="M131" s="1656"/>
      <c r="O131" s="1668"/>
      <c r="P131" s="340"/>
      <c r="Q131" s="1656"/>
      <c r="R131" s="592"/>
      <c r="S131" s="2341"/>
      <c r="V131" s="952"/>
      <c r="W131" s="2343"/>
      <c r="AA131" s="1668"/>
    </row>
  </sheetData>
  <sheetProtection password="E247" sheet="1" objects="1" scenarios="1"/>
  <mergeCells count="1">
    <mergeCell ref="B109:C110"/>
  </mergeCells>
  <pageMargins left="0.25" right="0.25" top="0.5" bottom="0.5" header="0.25" footer="0.25"/>
  <pageSetup paperSize="5" scale="82" orientation="portrait" r:id="rId1"/>
  <headerFooter>
    <oddHeader>&amp;L&amp;F</oddHeader>
    <oddFooter>&amp;R&amp;A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Q109"/>
  <sheetViews>
    <sheetView showGridLines="0" zoomScaleNormal="100" workbookViewId="0">
      <pane xSplit="5" ySplit="5" topLeftCell="G6" activePane="bottomRight" state="frozen"/>
      <selection activeCell="F15" sqref="F15"/>
      <selection pane="topRight" activeCell="F15" sqref="F15"/>
      <selection pane="bottomLeft" activeCell="F15" sqref="F15"/>
      <selection pane="bottomRight" activeCell="G6" sqref="G6"/>
    </sheetView>
  </sheetViews>
  <sheetFormatPr defaultColWidth="0" defaultRowHeight="15.75" zeroHeight="1" x14ac:dyDescent="0.25"/>
  <cols>
    <col min="1" max="1" width="1.28515625" style="1214" customWidth="1"/>
    <col min="2" max="2" width="1.85546875" style="1214" customWidth="1"/>
    <col min="3" max="3" width="1.85546875" style="1213" customWidth="1"/>
    <col min="4" max="4" width="69" style="1213" customWidth="1"/>
    <col min="5" max="5" width="3.5703125" style="187" hidden="1" customWidth="1"/>
    <col min="6" max="6" width="21.7109375" style="187" hidden="1" customWidth="1"/>
    <col min="7" max="10" width="21.7109375" style="187" customWidth="1"/>
    <col min="11" max="12" width="21.7109375" style="187" hidden="1" customWidth="1"/>
    <col min="13" max="13" width="22.28515625" style="1735" hidden="1" customWidth="1"/>
    <col min="14" max="14" width="12.7109375" style="1698" hidden="1" customWidth="1"/>
    <col min="15" max="15" width="13.85546875" style="1735" hidden="1" customWidth="1"/>
    <col min="16" max="16" width="12.7109375" style="1603" hidden="1" customWidth="1"/>
    <col min="17" max="17" width="15.140625" style="1735" hidden="1" customWidth="1"/>
    <col min="18" max="18" width="12.7109375" style="1603" hidden="1" customWidth="1"/>
    <col min="19" max="19" width="4.5703125" style="1603" hidden="1" customWidth="1"/>
    <col min="20" max="21" width="23.28515625" style="1631" hidden="1" customWidth="1"/>
    <col min="22" max="22" width="23.28515625" style="1397" hidden="1" customWidth="1"/>
    <col min="23" max="23" width="23.28515625" style="795" hidden="1" customWidth="1"/>
    <col min="24" max="24" width="17.28515625" style="1140" hidden="1" customWidth="1"/>
    <col min="25" max="25" width="26.140625" style="1140" hidden="1" customWidth="1"/>
    <col min="26" max="26" width="19.5703125" style="1140" hidden="1" customWidth="1"/>
    <col min="27" max="27" width="13.140625" style="1140" hidden="1" customWidth="1"/>
    <col min="28" max="30" width="13.5703125" style="1140" hidden="1" customWidth="1"/>
    <col min="31" max="31" width="4" style="1140" hidden="1" customWidth="1"/>
    <col min="32" max="32" width="7.85546875" style="1140" hidden="1" customWidth="1"/>
    <col min="33" max="36" width="11" style="1140" hidden="1" customWidth="1"/>
    <col min="37" max="38" width="9.140625" style="1140" hidden="1" customWidth="1"/>
    <col min="39" max="39" width="18.28515625" style="1140" hidden="1" customWidth="1"/>
    <col min="40" max="43" width="0" style="1140" hidden="1" customWidth="1"/>
    <col min="44" max="16384" width="9.140625" style="1140" hidden="1"/>
  </cols>
  <sheetData>
    <row r="1" spans="1:28" s="1147" customFormat="1" ht="8.1" customHeight="1" thickBot="1" x14ac:dyDescent="0.3">
      <c r="A1" s="1813"/>
      <c r="B1" s="1813"/>
      <c r="C1" s="1814"/>
      <c r="D1" s="1821"/>
      <c r="E1" s="1815"/>
      <c r="F1" s="1815"/>
      <c r="G1" s="1815"/>
      <c r="H1" s="1815"/>
      <c r="I1" s="1815"/>
      <c r="J1" s="1815"/>
      <c r="K1" s="1815"/>
      <c r="L1" s="1815"/>
      <c r="M1" s="1816"/>
      <c r="N1" s="1817"/>
      <c r="O1" s="1816"/>
      <c r="P1" s="1818"/>
      <c r="Q1" s="1816"/>
      <c r="R1" s="1818"/>
      <c r="S1" s="1818"/>
      <c r="T1" s="1819"/>
      <c r="U1" s="1819"/>
      <c r="V1" s="1404"/>
      <c r="W1" s="1820"/>
    </row>
    <row r="2" spans="1:28" s="1139" customFormat="1" ht="18" customHeight="1" thickTop="1" x14ac:dyDescent="0.3">
      <c r="A2" s="2541" t="s">
        <v>343</v>
      </c>
      <c r="B2" s="2542"/>
      <c r="C2" s="2542"/>
      <c r="D2" s="2542"/>
      <c r="E2" s="1353" t="str">
        <f>+COMBINED!E2</f>
        <v>2015-2016</v>
      </c>
      <c r="F2" s="1369" t="str">
        <f>+COMBINED!F2</f>
        <v>2016-2017</v>
      </c>
      <c r="G2" s="1369" t="str">
        <f>+COMBINED!G2</f>
        <v>2017-2018</v>
      </c>
      <c r="H2" s="1370" t="str">
        <f>+COMBINED!H2</f>
        <v>2018-2019</v>
      </c>
      <c r="I2" s="1371" t="str">
        <f>+COMBINED!I2</f>
        <v>2019-2020</v>
      </c>
      <c r="J2" s="1372" t="str">
        <f>+COMBINED!J2</f>
        <v>2020-2021</v>
      </c>
      <c r="K2" s="1371" t="str">
        <f>+COMBINED!K2</f>
        <v>2021-2022</v>
      </c>
      <c r="L2" s="1372" t="str">
        <f>+COMBINED!L2</f>
        <v>2022-2023</v>
      </c>
      <c r="M2" s="1734"/>
      <c r="N2" s="1706"/>
      <c r="O2" s="1734"/>
      <c r="P2" s="1705"/>
      <c r="Q2" s="1734"/>
      <c r="R2" s="1705"/>
      <c r="S2" s="1705"/>
      <c r="T2" s="1630"/>
      <c r="U2" s="1614"/>
      <c r="V2" s="1614"/>
      <c r="W2" s="1615"/>
      <c r="X2" s="1577"/>
    </row>
    <row r="3" spans="1:28" s="1139" customFormat="1" ht="36" x14ac:dyDescent="0.3">
      <c r="A3" s="2543"/>
      <c r="B3" s="2544"/>
      <c r="C3" s="2544"/>
      <c r="D3" s="2544"/>
      <c r="E3" s="1366"/>
      <c r="F3" s="1406" t="s">
        <v>1082</v>
      </c>
      <c r="G3" s="1406" t="s">
        <v>1080</v>
      </c>
      <c r="H3" s="1689" t="s">
        <v>1081</v>
      </c>
      <c r="I3" s="1826" t="s">
        <v>859</v>
      </c>
      <c r="J3" s="1827" t="s">
        <v>859</v>
      </c>
      <c r="K3" s="1826" t="s">
        <v>859</v>
      </c>
      <c r="L3" s="1827" t="s">
        <v>859</v>
      </c>
      <c r="M3" s="1734"/>
      <c r="N3" s="1706"/>
      <c r="O3" s="1734"/>
      <c r="P3" s="1705"/>
      <c r="Q3" s="1734"/>
      <c r="R3" s="1705"/>
      <c r="S3" s="1705"/>
      <c r="T3" s="1630"/>
      <c r="U3" s="1614"/>
      <c r="V3" s="1614"/>
      <c r="W3" s="1615"/>
      <c r="X3" s="1577"/>
    </row>
    <row r="4" spans="1:28" x14ac:dyDescent="0.25">
      <c r="A4" s="1358"/>
      <c r="B4" s="1359"/>
      <c r="C4" s="1360"/>
      <c r="D4" s="1360"/>
      <c r="E4" s="178"/>
      <c r="F4" s="1824" t="s">
        <v>143</v>
      </c>
      <c r="G4" s="1889" t="s">
        <v>143</v>
      </c>
      <c r="H4" s="1938" t="s">
        <v>1110</v>
      </c>
      <c r="I4" s="1914" t="s">
        <v>143</v>
      </c>
      <c r="J4" s="2257" t="s">
        <v>143</v>
      </c>
      <c r="K4" s="2180"/>
      <c r="L4" s="1364"/>
      <c r="U4" s="1397"/>
      <c r="W4" s="462"/>
      <c r="X4" s="1578"/>
      <c r="Z4" s="1579"/>
    </row>
    <row r="5" spans="1:28" ht="18" x14ac:dyDescent="0.25">
      <c r="A5" s="1215"/>
      <c r="B5" s="1173" t="s">
        <v>344</v>
      </c>
      <c r="C5" s="1174"/>
      <c r="D5" s="1174"/>
      <c r="E5" s="667"/>
      <c r="F5" s="1825">
        <v>0</v>
      </c>
      <c r="G5" s="1890">
        <v>1.5599999999999999E-2</v>
      </c>
      <c r="H5" s="1939" t="s">
        <v>1111</v>
      </c>
      <c r="I5" s="1915">
        <v>2.5700000000000001E-2</v>
      </c>
      <c r="J5" s="2258">
        <v>2.6700000000000002E-2</v>
      </c>
      <c r="K5" s="2181"/>
      <c r="L5" s="668"/>
      <c r="M5" s="1736"/>
      <c r="N5" s="1709"/>
      <c r="O5" s="1736"/>
      <c r="P5" s="1708"/>
      <c r="Q5" s="1736"/>
      <c r="R5" s="1708"/>
      <c r="S5" s="1708"/>
      <c r="U5" s="1397"/>
      <c r="W5" s="462"/>
      <c r="X5" s="1578"/>
      <c r="Z5" s="1580"/>
      <c r="AA5" s="1580"/>
      <c r="AB5" s="1580"/>
    </row>
    <row r="6" spans="1:28" ht="18" x14ac:dyDescent="0.25">
      <c r="A6" s="1216"/>
      <c r="B6" s="1176"/>
      <c r="C6" s="739" t="s">
        <v>701</v>
      </c>
      <c r="D6" s="739"/>
      <c r="E6" s="617"/>
      <c r="F6" s="963">
        <f>+'RS 0000 &amp; 1400'!D10+'RS 0653'!D9+'RS 0654'!D9+'RS 0655'!D9+'RS 0617'!D9</f>
        <v>64149318.060000002</v>
      </c>
      <c r="G6" s="1891">
        <f>+'RS 0000 &amp; 1400'!H10+'RS 0617'!H9+'RS 0653'!H9+'RS 0654'!H9+'RS 0655'!H9</f>
        <v>65206189</v>
      </c>
      <c r="H6" s="1940">
        <f>+'RS 0000 &amp; 1400'!L10+'RS 0617'!L9+'RS 0653'!L9+'RS 0654'!L9+'RS 0655'!L9</f>
        <v>68931647</v>
      </c>
      <c r="I6" s="1916">
        <f>+'RS 0000 &amp; 1400'!P10+'RS 0617'!P9+'RS 0653'!P9+'RS 0654'!P9+'RS 0655'!P9</f>
        <v>70644051</v>
      </c>
      <c r="J6" s="2183">
        <f>+'RS 0000 &amp; 1400'!T10+'RS 0617'!T9+'RS 0653'!T9+'RS 0654'!T9+'RS 0655'!T9</f>
        <v>72102994</v>
      </c>
      <c r="K6" s="1916">
        <f>+J6*1.0266</f>
        <v>74020933.640399992</v>
      </c>
      <c r="L6" s="663">
        <f>+K6*1.0266</f>
        <v>75989890.475234628</v>
      </c>
      <c r="M6" s="1722">
        <f t="shared" ref="M6:M14" si="0">+H6-G6</f>
        <v>3725458</v>
      </c>
      <c r="N6" s="1699">
        <f t="shared" ref="N6:N14" si="1">IFERROR(M6/G6,0)</f>
        <v>5.7133503078979207E-2</v>
      </c>
      <c r="O6" s="1722">
        <f t="shared" ref="O6:O14" si="2">+I6-H6</f>
        <v>1712404</v>
      </c>
      <c r="P6" s="1699">
        <f t="shared" ref="P6:P14" si="3">IFERROR(O6/H6,0)</f>
        <v>2.4842058394455597E-2</v>
      </c>
      <c r="Q6" s="1722">
        <f>+J6-I6</f>
        <v>1458943</v>
      </c>
      <c r="R6" s="1699">
        <f>IFERROR(Q6/I6,0)</f>
        <v>2.0652029142552996E-2</v>
      </c>
      <c r="S6" s="1631"/>
      <c r="T6" s="1397"/>
      <c r="W6" s="462"/>
      <c r="X6" s="1578"/>
      <c r="Z6" s="1581"/>
      <c r="AA6" s="1581"/>
      <c r="AB6" s="1581"/>
    </row>
    <row r="7" spans="1:28" ht="18" hidden="1" customHeight="1" x14ac:dyDescent="0.25">
      <c r="A7" s="1216"/>
      <c r="B7" s="1176"/>
      <c r="C7" s="739"/>
      <c r="D7" s="1217" t="s">
        <v>851</v>
      </c>
      <c r="E7" s="961"/>
      <c r="F7" s="964">
        <v>0</v>
      </c>
      <c r="G7" s="1892">
        <v>0</v>
      </c>
      <c r="H7" s="1941">
        <v>0</v>
      </c>
      <c r="I7" s="1917">
        <v>0</v>
      </c>
      <c r="J7" s="2184">
        <v>0</v>
      </c>
      <c r="K7" s="1917"/>
      <c r="L7" s="648"/>
      <c r="M7" s="1722">
        <f t="shared" si="0"/>
        <v>0</v>
      </c>
      <c r="N7" s="1699">
        <f t="shared" si="1"/>
        <v>0</v>
      </c>
      <c r="O7" s="1722">
        <f t="shared" si="2"/>
        <v>0</v>
      </c>
      <c r="P7" s="1699">
        <f t="shared" si="3"/>
        <v>0</v>
      </c>
      <c r="Q7" s="1722">
        <f t="shared" ref="Q7:Q62" si="4">+J7-I7</f>
        <v>0</v>
      </c>
      <c r="R7" s="1699">
        <f t="shared" ref="R7:R62" si="5">IFERROR(Q7/I7,0)</f>
        <v>0</v>
      </c>
      <c r="S7" s="1631"/>
      <c r="T7" s="1612"/>
      <c r="V7" s="1612"/>
      <c r="W7" s="463"/>
      <c r="X7" s="1150"/>
      <c r="Y7" s="1141"/>
      <c r="Z7" s="1581"/>
      <c r="AA7" s="1581"/>
      <c r="AB7" s="1581"/>
    </row>
    <row r="8" spans="1:28" ht="18" x14ac:dyDescent="0.25">
      <c r="A8" s="1218"/>
      <c r="B8" s="1178"/>
      <c r="C8" s="731" t="s">
        <v>520</v>
      </c>
      <c r="D8" s="731"/>
      <c r="E8" s="619"/>
      <c r="F8" s="965">
        <f>+'RS 0000 &amp; 1400'!D11</f>
        <v>100830.73</v>
      </c>
      <c r="G8" s="1893">
        <f>+'RS 0000 &amp; 1400'!H11+'RS 0032'!H10</f>
        <v>162560</v>
      </c>
      <c r="H8" s="1942">
        <f>+'RS 0000 &amp; 1400'!L11+'RS 0032'!L10</f>
        <v>0</v>
      </c>
      <c r="I8" s="1918">
        <f>+'RS 0000 &amp; 1400'!P11+'RS 0032'!P10</f>
        <v>0</v>
      </c>
      <c r="J8" s="2185">
        <f>+'RS 0000 &amp; 1400'!T11+'RS 0032'!T10</f>
        <v>0</v>
      </c>
      <c r="K8" s="1918"/>
      <c r="L8" s="647"/>
      <c r="M8" s="1722">
        <f t="shared" si="0"/>
        <v>-162560</v>
      </c>
      <c r="N8" s="1699">
        <f t="shared" si="1"/>
        <v>-1</v>
      </c>
      <c r="O8" s="1722">
        <f t="shared" si="2"/>
        <v>0</v>
      </c>
      <c r="P8" s="1699">
        <f t="shared" si="3"/>
        <v>0</v>
      </c>
      <c r="Q8" s="1722">
        <f t="shared" si="4"/>
        <v>0</v>
      </c>
      <c r="R8" s="1699">
        <f t="shared" si="5"/>
        <v>0</v>
      </c>
      <c r="S8" s="1631"/>
      <c r="T8" s="1869"/>
      <c r="V8" s="1612"/>
      <c r="W8" s="463"/>
      <c r="X8" s="1150"/>
      <c r="Y8" s="1141"/>
    </row>
    <row r="9" spans="1:28" ht="18" x14ac:dyDescent="0.25">
      <c r="A9" s="1331"/>
      <c r="B9" s="1332"/>
      <c r="C9" s="1333"/>
      <c r="D9" s="1333"/>
      <c r="E9" s="1334"/>
      <c r="F9" s="965"/>
      <c r="G9" s="1893"/>
      <c r="H9" s="1942"/>
      <c r="I9" s="1918"/>
      <c r="J9" s="2185"/>
      <c r="K9" s="1918"/>
      <c r="L9" s="647"/>
      <c r="M9" s="1722">
        <f t="shared" si="0"/>
        <v>0</v>
      </c>
      <c r="N9" s="1699">
        <f t="shared" si="1"/>
        <v>0</v>
      </c>
      <c r="O9" s="1722">
        <f t="shared" si="2"/>
        <v>0</v>
      </c>
      <c r="P9" s="1699">
        <f t="shared" si="3"/>
        <v>0</v>
      </c>
      <c r="Q9" s="1722">
        <f t="shared" si="4"/>
        <v>0</v>
      </c>
      <c r="R9" s="1699">
        <f t="shared" si="5"/>
        <v>0</v>
      </c>
      <c r="S9" s="1631"/>
      <c r="T9" s="1612"/>
      <c r="V9" s="1612"/>
      <c r="W9" s="463"/>
      <c r="X9" s="1150"/>
      <c r="Y9" s="1141"/>
    </row>
    <row r="10" spans="1:28" ht="18" x14ac:dyDescent="0.25">
      <c r="A10" s="1218"/>
      <c r="B10" s="1178"/>
      <c r="C10" s="731" t="s">
        <v>347</v>
      </c>
      <c r="D10" s="731"/>
      <c r="E10" s="619"/>
      <c r="F10" s="965">
        <f>+'RS 0000 &amp; 1400'!D12+'RS 0000 &amp; 1400'!D14+'RS 1100'!D9</f>
        <v>1417478.97</v>
      </c>
      <c r="G10" s="1893">
        <f>+'RS 0000 &amp; 1400'!H12+'RS 0000 &amp; 1400'!H14+'RS 1100'!H11+'RS 0049'!H10</f>
        <v>1435696</v>
      </c>
      <c r="H10" s="1942">
        <f>+'RS 0000 &amp; 1400'!L12+'RS 0000 &amp; 1400'!L13+'RS 0000 &amp; 1400'!L14+'RS 0049'!L10+'RS 1100'!L11-H11</f>
        <v>1408689</v>
      </c>
      <c r="I10" s="1918">
        <f>+'RS 0000 &amp; 1400'!P12+'RS 0000 &amp; 1400'!P13+'RS 0000 &amp; 1400'!P14+'RS 0049'!P10+'RS 1100'!P11-I11</f>
        <v>1444240</v>
      </c>
      <c r="J10" s="2185">
        <f>+'RS 0000 &amp; 1400'!T12+'RS 0000 &amp; 1400'!T13+'RS 0000 &amp; 1400'!T14+'RS 0049'!T10+'RS 1100'!T11-J11</f>
        <v>1456754</v>
      </c>
      <c r="K10" s="1918" t="e">
        <f>(J10)*(1+#REF!)</f>
        <v>#REF!</v>
      </c>
      <c r="L10" s="647" t="e">
        <f>(K10)*(1+#REF!)</f>
        <v>#REF!</v>
      </c>
      <c r="M10" s="1722">
        <f t="shared" si="0"/>
        <v>-27007</v>
      </c>
      <c r="N10" s="1699">
        <f t="shared" si="1"/>
        <v>-1.8811085355116962E-2</v>
      </c>
      <c r="O10" s="1722">
        <f t="shared" si="2"/>
        <v>35551</v>
      </c>
      <c r="P10" s="1699">
        <f t="shared" si="3"/>
        <v>2.5236940162093977E-2</v>
      </c>
      <c r="Q10" s="1722">
        <f>+J10-I10</f>
        <v>12514</v>
      </c>
      <c r="R10" s="1699">
        <f t="shared" si="5"/>
        <v>8.664764859026201E-3</v>
      </c>
      <c r="S10" s="1631"/>
      <c r="T10" s="1612"/>
      <c r="V10" s="1612"/>
      <c r="W10" s="463"/>
      <c r="X10" s="1150"/>
      <c r="Y10" s="1141"/>
    </row>
    <row r="11" spans="1:28" ht="18" x14ac:dyDescent="0.25">
      <c r="A11" s="1219"/>
      <c r="B11" s="1220"/>
      <c r="C11" s="1221"/>
      <c r="D11" s="1179" t="s">
        <v>348</v>
      </c>
      <c r="E11" s="620"/>
      <c r="F11" s="964">
        <f>+'RS 0000 &amp; 1400'!D13</f>
        <v>1687542</v>
      </c>
      <c r="G11" s="1892">
        <f>+'RS 0000 &amp; 1400'!H13</f>
        <v>1143299</v>
      </c>
      <c r="H11" s="1941">
        <f>+'RS 0000 &amp; 1400'!L13</f>
        <v>2654872</v>
      </c>
      <c r="I11" s="1917">
        <f>+'RS 0000 &amp; 1400'!P13</f>
        <v>0</v>
      </c>
      <c r="J11" s="2184">
        <f>+'RS 0000 &amp; 1400'!T13</f>
        <v>0</v>
      </c>
      <c r="K11" s="1917">
        <v>0</v>
      </c>
      <c r="L11" s="648">
        <v>0</v>
      </c>
      <c r="M11" s="1722">
        <f t="shared" si="0"/>
        <v>1511573</v>
      </c>
      <c r="N11" s="1699">
        <f t="shared" si="1"/>
        <v>1.3221152122060809</v>
      </c>
      <c r="O11" s="1722">
        <f t="shared" si="2"/>
        <v>-2654872</v>
      </c>
      <c r="P11" s="1699">
        <f t="shared" si="3"/>
        <v>-1</v>
      </c>
      <c r="Q11" s="1722">
        <f t="shared" si="4"/>
        <v>0</v>
      </c>
      <c r="R11" s="1699">
        <f t="shared" si="5"/>
        <v>0</v>
      </c>
      <c r="S11" s="1712"/>
      <c r="T11" s="1612"/>
      <c r="V11" s="1612"/>
      <c r="W11" s="463"/>
      <c r="X11" s="1150"/>
      <c r="Y11" s="1141"/>
    </row>
    <row r="12" spans="1:28" ht="18.75" x14ac:dyDescent="0.3">
      <c r="A12" s="1218"/>
      <c r="B12" s="1178"/>
      <c r="C12" s="731" t="s">
        <v>349</v>
      </c>
      <c r="D12" s="731"/>
      <c r="E12" s="619"/>
      <c r="F12" s="965">
        <f>+SUM('RS 0000 &amp; 1400'!D17:D23)+'RS 0655'!D10</f>
        <v>629241.15000000014</v>
      </c>
      <c r="G12" s="1893">
        <f>+SUM('RS 0000 &amp; 1400'!H17:H23)+'RS 0655'!H10</f>
        <v>520003</v>
      </c>
      <c r="H12" s="1942">
        <f>+SUM('RS 0000 &amp; 1400'!L17:L23)+'RS 0655'!L10</f>
        <v>650208</v>
      </c>
      <c r="I12" s="1918">
        <f>+SUM('RS 0000 &amp; 1400'!P17:P23)+'RS 0655'!P10</f>
        <v>666662</v>
      </c>
      <c r="J12" s="2185">
        <f>+SUM('RS 0000 &amp; 1400'!Q17:Q23)+'RS 0655'!T10</f>
        <v>667210.07709999999</v>
      </c>
      <c r="K12" s="1918">
        <f t="shared" ref="K12:L12" si="6">+J12</f>
        <v>667210.07709999999</v>
      </c>
      <c r="L12" s="647">
        <f t="shared" si="6"/>
        <v>667210.07709999999</v>
      </c>
      <c r="M12" s="1722">
        <f t="shared" si="0"/>
        <v>130205</v>
      </c>
      <c r="N12" s="1699">
        <f t="shared" si="1"/>
        <v>0.25039278619546423</v>
      </c>
      <c r="O12" s="1722">
        <f t="shared" si="2"/>
        <v>16454</v>
      </c>
      <c r="P12" s="1699">
        <f t="shared" si="3"/>
        <v>2.5305748314385552E-2</v>
      </c>
      <c r="Q12" s="1722">
        <f t="shared" si="4"/>
        <v>548.07709999999497</v>
      </c>
      <c r="R12" s="1699">
        <f t="shared" si="5"/>
        <v>8.2212140484982639E-4</v>
      </c>
      <c r="S12" s="1828"/>
      <c r="T12" s="1612"/>
      <c r="V12" s="1612"/>
      <c r="W12" s="463"/>
      <c r="X12" s="1150"/>
      <c r="Y12" s="1141"/>
    </row>
    <row r="13" spans="1:28" ht="18" x14ac:dyDescent="0.25">
      <c r="A13" s="1222"/>
      <c r="B13" s="1223"/>
      <c r="C13" s="1224"/>
      <c r="D13" s="1225" t="s">
        <v>971</v>
      </c>
      <c r="E13" s="199"/>
      <c r="F13" s="966">
        <f>+'RS 0000 &amp; 1400'!D15+'RS 0000 &amp; 1400'!D16</f>
        <v>807000</v>
      </c>
      <c r="G13" s="1892">
        <f>+'RS 0000 &amp; 1400'!H15+'RS 0000 &amp; 1400'!H16</f>
        <v>803000</v>
      </c>
      <c r="H13" s="1943">
        <f>+'RS 0000 &amp; 1400'!L15+'RS 0000 &amp; 1400'!L16</f>
        <v>0</v>
      </c>
      <c r="I13" s="1919">
        <f>+'RS 0000 &amp; 1400'!P15+'RS 0000 &amp; 1400'!P16</f>
        <v>0</v>
      </c>
      <c r="J13" s="2186">
        <f>+'RS 0000 &amp; 1400'!T15+'RS 0000 &amp; 1400'!T16</f>
        <v>0</v>
      </c>
      <c r="K13" s="1919">
        <v>0</v>
      </c>
      <c r="L13" s="669">
        <v>0</v>
      </c>
      <c r="M13" s="1722">
        <f t="shared" si="0"/>
        <v>-803000</v>
      </c>
      <c r="N13" s="1699">
        <f t="shared" si="1"/>
        <v>-1</v>
      </c>
      <c r="O13" s="1722">
        <f t="shared" si="2"/>
        <v>0</v>
      </c>
      <c r="P13" s="1699">
        <f t="shared" si="3"/>
        <v>0</v>
      </c>
      <c r="Q13" s="1722">
        <f t="shared" si="4"/>
        <v>0</v>
      </c>
      <c r="R13" s="1699">
        <f t="shared" si="5"/>
        <v>0</v>
      </c>
      <c r="S13" s="199"/>
      <c r="T13" s="199"/>
      <c r="V13" s="1612"/>
      <c r="W13" s="463"/>
      <c r="X13" s="1150"/>
      <c r="Y13" s="1141"/>
    </row>
    <row r="14" spans="1:28" ht="18" customHeight="1" thickBot="1" x14ac:dyDescent="0.3">
      <c r="A14" s="1183"/>
      <c r="B14" s="1184" t="s">
        <v>350</v>
      </c>
      <c r="C14" s="1192"/>
      <c r="D14" s="1192"/>
      <c r="E14" s="624"/>
      <c r="F14" s="967">
        <f>SUM(F6:F13)</f>
        <v>68791410.909999996</v>
      </c>
      <c r="G14" s="1894">
        <f>SUM(G6:G13)</f>
        <v>69270747</v>
      </c>
      <c r="H14" s="1944">
        <f>SUM(H6:H13)</f>
        <v>73645416</v>
      </c>
      <c r="I14" s="1920">
        <f>SUM(I6:I13)</f>
        <v>72754953</v>
      </c>
      <c r="J14" s="2187">
        <f>SUM(J6:J13)</f>
        <v>74226958.077099994</v>
      </c>
      <c r="K14" s="1920" t="e">
        <f t="shared" ref="K14:L14" si="7">SUM(K6:K13)</f>
        <v>#REF!</v>
      </c>
      <c r="L14" s="654" t="e">
        <f t="shared" si="7"/>
        <v>#REF!</v>
      </c>
      <c r="M14" s="1722">
        <f t="shared" si="0"/>
        <v>4374669</v>
      </c>
      <c r="N14" s="1699">
        <f t="shared" si="1"/>
        <v>6.3153195099801648E-2</v>
      </c>
      <c r="O14" s="1722">
        <f t="shared" si="2"/>
        <v>-890463</v>
      </c>
      <c r="P14" s="1699">
        <f t="shared" si="3"/>
        <v>-1.2091220993306629E-2</v>
      </c>
      <c r="Q14" s="1722">
        <f t="shared" si="4"/>
        <v>1472005.0770999938</v>
      </c>
      <c r="R14" s="1699">
        <f t="shared" si="5"/>
        <v>2.0232369294500042E-2</v>
      </c>
      <c r="S14" s="1712"/>
      <c r="T14" s="1829"/>
      <c r="U14" s="1635"/>
      <c r="V14" s="1635"/>
      <c r="W14" s="631"/>
      <c r="X14" s="1582"/>
      <c r="Y14" s="1141"/>
    </row>
    <row r="15" spans="1:28" ht="18" customHeight="1" thickTop="1" x14ac:dyDescent="0.25">
      <c r="A15" s="1226"/>
      <c r="B15" s="1227"/>
      <c r="C15" s="1228"/>
      <c r="D15" s="1228"/>
      <c r="E15" s="683"/>
      <c r="F15" s="968"/>
      <c r="G15" s="1895"/>
      <c r="H15" s="1945"/>
      <c r="I15" s="1921"/>
      <c r="J15" s="2188"/>
      <c r="K15" s="1921"/>
      <c r="L15" s="651"/>
      <c r="M15" s="1722"/>
      <c r="N15" s="1699"/>
      <c r="O15" s="1722"/>
      <c r="P15" s="1699"/>
      <c r="Q15" s="1722">
        <f t="shared" si="4"/>
        <v>0</v>
      </c>
      <c r="R15" s="1699">
        <f t="shared" si="5"/>
        <v>0</v>
      </c>
      <c r="S15" s="1712"/>
      <c r="U15" s="1635"/>
      <c r="V15" s="1635"/>
      <c r="W15" s="631"/>
      <c r="X15" s="1582"/>
      <c r="Y15" s="1141"/>
    </row>
    <row r="16" spans="1:28" ht="18" customHeight="1" x14ac:dyDescent="0.25">
      <c r="A16" s="1215"/>
      <c r="B16" s="1173" t="s">
        <v>702</v>
      </c>
      <c r="C16" s="1174"/>
      <c r="D16" s="1174"/>
      <c r="E16" s="661"/>
      <c r="F16" s="969"/>
      <c r="G16" s="1896"/>
      <c r="H16" s="1946"/>
      <c r="I16" s="749"/>
      <c r="J16" s="2189"/>
      <c r="K16" s="749"/>
      <c r="L16" s="662"/>
      <c r="M16" s="1722"/>
      <c r="N16" s="1699"/>
      <c r="O16" s="1722"/>
      <c r="P16" s="1699"/>
      <c r="Q16" s="1722">
        <f t="shared" si="4"/>
        <v>0</v>
      </c>
      <c r="R16" s="1699">
        <f t="shared" si="5"/>
        <v>0</v>
      </c>
      <c r="S16" s="1712"/>
      <c r="U16" s="1635"/>
      <c r="V16" s="1635"/>
      <c r="W16" s="631"/>
      <c r="X16" s="1582"/>
      <c r="Y16" s="1141"/>
    </row>
    <row r="17" spans="1:43" ht="18" x14ac:dyDescent="0.25">
      <c r="A17" s="1216"/>
      <c r="B17" s="1176"/>
      <c r="C17" s="739" t="s">
        <v>361</v>
      </c>
      <c r="D17" s="739"/>
      <c r="E17" s="618"/>
      <c r="F17" s="963">
        <v>0</v>
      </c>
      <c r="G17" s="1891">
        <v>0</v>
      </c>
      <c r="H17" s="1940">
        <v>0</v>
      </c>
      <c r="I17" s="1916">
        <v>0</v>
      </c>
      <c r="J17" s="2183">
        <v>0</v>
      </c>
      <c r="K17" s="1916">
        <v>0</v>
      </c>
      <c r="L17" s="663">
        <v>0</v>
      </c>
      <c r="M17" s="1722">
        <f>+H17-G17</f>
        <v>0</v>
      </c>
      <c r="N17" s="1699">
        <f>IFERROR(M17/G17,0)</f>
        <v>0</v>
      </c>
      <c r="O17" s="1722">
        <f>+I17-H17</f>
        <v>0</v>
      </c>
      <c r="P17" s="1699">
        <f>IFERROR(O17/H17,0)</f>
        <v>0</v>
      </c>
      <c r="Q17" s="1722">
        <f t="shared" si="4"/>
        <v>0</v>
      </c>
      <c r="R17" s="1699">
        <f t="shared" si="5"/>
        <v>0</v>
      </c>
      <c r="S17" s="1712"/>
      <c r="T17" s="1636"/>
      <c r="U17" s="1637"/>
      <c r="V17" s="1637"/>
      <c r="W17" s="1616"/>
      <c r="X17" s="1148"/>
      <c r="Y17" s="1148"/>
      <c r="Z17" s="1148"/>
      <c r="AA17" s="1141"/>
      <c r="AB17" s="1141"/>
      <c r="AC17" s="1141"/>
      <c r="AD17" s="1141"/>
      <c r="AE17" s="1141"/>
      <c r="AF17" s="1141"/>
      <c r="AG17" s="1141"/>
      <c r="AH17" s="1141"/>
      <c r="AI17" s="1141"/>
      <c r="AJ17" s="1141"/>
      <c r="AK17" s="1141"/>
      <c r="AL17" s="1141"/>
      <c r="AM17" s="1141"/>
      <c r="AN17" s="1141"/>
      <c r="AO17" s="1141"/>
      <c r="AP17" s="1141"/>
      <c r="AQ17" s="1141"/>
    </row>
    <row r="18" spans="1:43" s="1143" customFormat="1" ht="18" x14ac:dyDescent="0.25">
      <c r="A18" s="1218"/>
      <c r="B18" s="1178"/>
      <c r="C18" s="731" t="s">
        <v>270</v>
      </c>
      <c r="D18" s="731"/>
      <c r="E18" s="619"/>
      <c r="F18" s="970">
        <v>0</v>
      </c>
      <c r="G18" s="1893">
        <v>0</v>
      </c>
      <c r="H18" s="1947">
        <v>0</v>
      </c>
      <c r="I18" s="1918">
        <v>0</v>
      </c>
      <c r="J18" s="2190">
        <v>0</v>
      </c>
      <c r="K18" s="1918">
        <v>0</v>
      </c>
      <c r="L18" s="647">
        <v>0</v>
      </c>
      <c r="M18" s="1722">
        <f>+H18-G18</f>
        <v>0</v>
      </c>
      <c r="N18" s="1699">
        <f>IFERROR(M18/G18,0)</f>
        <v>0</v>
      </c>
      <c r="O18" s="1722">
        <f>+I18-H18</f>
        <v>0</v>
      </c>
      <c r="P18" s="1699">
        <f>IFERROR(O18/H18,0)</f>
        <v>0</v>
      </c>
      <c r="Q18" s="1722">
        <f t="shared" si="4"/>
        <v>0</v>
      </c>
      <c r="R18" s="1699">
        <f t="shared" si="5"/>
        <v>0</v>
      </c>
      <c r="S18" s="1712"/>
      <c r="T18" s="1636"/>
      <c r="U18" s="1637"/>
      <c r="V18" s="1637"/>
      <c r="W18" s="1616"/>
      <c r="X18" s="1148"/>
      <c r="Y18" s="1148"/>
      <c r="Z18" s="1148"/>
      <c r="AA18" s="1142"/>
      <c r="AB18" s="1142"/>
      <c r="AC18" s="1142"/>
      <c r="AD18" s="1142"/>
      <c r="AE18" s="1142"/>
      <c r="AF18" s="1142"/>
      <c r="AG18" s="1142"/>
      <c r="AH18" s="1142"/>
      <c r="AI18" s="1142"/>
      <c r="AJ18" s="1142"/>
      <c r="AK18" s="1142"/>
      <c r="AL18" s="1142"/>
      <c r="AM18" s="1142"/>
      <c r="AN18" s="1142"/>
      <c r="AO18" s="1142"/>
      <c r="AP18" s="1142"/>
      <c r="AQ18" s="1142"/>
    </row>
    <row r="19" spans="1:43" ht="24.75" customHeight="1" x14ac:dyDescent="0.25">
      <c r="A19" s="1218"/>
      <c r="B19" s="1178"/>
      <c r="C19" s="731" t="s">
        <v>396</v>
      </c>
      <c r="D19" s="731"/>
      <c r="E19" s="619"/>
      <c r="F19" s="970"/>
      <c r="G19" s="1893"/>
      <c r="H19" s="1947"/>
      <c r="I19" s="1918"/>
      <c r="J19" s="2190"/>
      <c r="K19" s="1918" t="e">
        <f>-#REF!</f>
        <v>#REF!</v>
      </c>
      <c r="L19" s="647" t="e">
        <f>-#REF!</f>
        <v>#REF!</v>
      </c>
      <c r="M19" s="1722"/>
      <c r="N19" s="1699"/>
      <c r="O19" s="1722"/>
      <c r="P19" s="1699"/>
      <c r="Q19" s="1722">
        <f t="shared" si="4"/>
        <v>0</v>
      </c>
      <c r="R19" s="1699">
        <f t="shared" si="5"/>
        <v>0</v>
      </c>
      <c r="S19" s="1712"/>
      <c r="T19" s="1637"/>
      <c r="U19" s="1636"/>
      <c r="V19" s="1636"/>
      <c r="W19" s="1617"/>
      <c r="X19" s="1149"/>
      <c r="Y19" s="1141"/>
      <c r="Z19" s="1141"/>
      <c r="AA19" s="1141"/>
      <c r="AB19" s="1141"/>
      <c r="AC19" s="1141"/>
      <c r="AD19" s="1141"/>
      <c r="AE19" s="1141"/>
      <c r="AF19" s="1141"/>
      <c r="AG19" s="1141"/>
      <c r="AH19" s="1141"/>
      <c r="AI19" s="1141"/>
      <c r="AJ19" s="1141"/>
      <c r="AK19" s="1141"/>
      <c r="AL19" s="1141"/>
      <c r="AM19" s="1141"/>
      <c r="AN19" s="1141"/>
      <c r="AO19" s="1141"/>
      <c r="AP19" s="1141"/>
      <c r="AQ19" s="1141"/>
    </row>
    <row r="20" spans="1:43" ht="18" x14ac:dyDescent="0.25">
      <c r="A20" s="1218"/>
      <c r="B20" s="1178"/>
      <c r="C20" s="731"/>
      <c r="D20" s="731" t="str">
        <f>+RESTRICTED!D20</f>
        <v>Special Education (RS 6500)</v>
      </c>
      <c r="E20" s="619">
        <f>-RESTRICTED!E20</f>
        <v>0</v>
      </c>
      <c r="F20" s="970">
        <f>-RESTRICTED!F20</f>
        <v>-11011522.92</v>
      </c>
      <c r="G20" s="1893">
        <f>+'RS 0000 &amp; 1400'!H24</f>
        <v>-12810175</v>
      </c>
      <c r="H20" s="1947">
        <f>+'RS 0000 &amp; 1400'!L24</f>
        <v>-13924421</v>
      </c>
      <c r="I20" s="1918">
        <f>+'RS 0000 &amp; 1400'!P24</f>
        <v>-14065041</v>
      </c>
      <c r="J20" s="2190">
        <f>+'RS 0000 &amp; 1400'!T24</f>
        <v>-14236765</v>
      </c>
      <c r="K20" s="1918"/>
      <c r="L20" s="647"/>
      <c r="M20" s="1722">
        <f>+H20-G20</f>
        <v>-1114246</v>
      </c>
      <c r="N20" s="1699">
        <f>IFERROR(M20/G20,0)</f>
        <v>8.6981325391729619E-2</v>
      </c>
      <c r="O20" s="1722">
        <f>+I20-H20</f>
        <v>-140620</v>
      </c>
      <c r="P20" s="1699">
        <f>IFERROR(O20/H20,0)</f>
        <v>1.0098804108264178E-2</v>
      </c>
      <c r="Q20" s="1722">
        <f t="shared" si="4"/>
        <v>-171724</v>
      </c>
      <c r="R20" s="1699">
        <f t="shared" si="5"/>
        <v>1.2209278309249151E-2</v>
      </c>
      <c r="S20" s="1712"/>
      <c r="T20" s="1637"/>
      <c r="U20" s="1636"/>
      <c r="V20" s="1636"/>
      <c r="W20" s="1617"/>
      <c r="X20" s="1149"/>
      <c r="Y20" s="1141"/>
      <c r="Z20" s="1141"/>
      <c r="AA20" s="1141"/>
      <c r="AB20" s="1141"/>
      <c r="AC20" s="1141"/>
      <c r="AD20" s="1141"/>
      <c r="AE20" s="1141"/>
      <c r="AF20" s="1141"/>
      <c r="AG20" s="1141"/>
      <c r="AH20" s="1141"/>
      <c r="AI20" s="1141"/>
      <c r="AJ20" s="1141"/>
      <c r="AK20" s="1141"/>
      <c r="AL20" s="1141"/>
      <c r="AM20" s="1141"/>
      <c r="AN20" s="1141"/>
      <c r="AO20" s="1141"/>
      <c r="AP20" s="1141"/>
      <c r="AQ20" s="1141"/>
    </row>
    <row r="21" spans="1:43" ht="18" x14ac:dyDescent="0.25">
      <c r="A21" s="1218"/>
      <c r="B21" s="1178"/>
      <c r="C21" s="731"/>
      <c r="D21" s="731" t="str">
        <f>+RESTRICTED!D21</f>
        <v>Ongoing &amp; Major Maintenance (RS 8150)</v>
      </c>
      <c r="E21" s="619">
        <f>-RESTRICTED!E21</f>
        <v>0</v>
      </c>
      <c r="F21" s="970">
        <f>-RESTRICTED!F21</f>
        <v>-2400861</v>
      </c>
      <c r="G21" s="1893">
        <f>+'RS 0000 &amp; 1400'!H25</f>
        <v>-2608798</v>
      </c>
      <c r="H21" s="1947">
        <f>+'RS 0000 &amp; 1400'!L25</f>
        <v>-2679245</v>
      </c>
      <c r="I21" s="1918">
        <f>+'RS 0000 &amp; 1400'!P25</f>
        <v>-2995687.1799999997</v>
      </c>
      <c r="J21" s="2190">
        <f>+'RS 0000 &amp; 1400'!T25</f>
        <v>-3048208.4299999997</v>
      </c>
      <c r="K21" s="1918"/>
      <c r="L21" s="647"/>
      <c r="M21" s="1722">
        <f>+H21-G21</f>
        <v>-70447</v>
      </c>
      <c r="N21" s="1699">
        <f>IFERROR(M21/G21,0)</f>
        <v>2.7003623891156004E-2</v>
      </c>
      <c r="O21" s="1722">
        <f>+I21-H21</f>
        <v>-316442.1799999997</v>
      </c>
      <c r="P21" s="1699">
        <f>IFERROR(O21/H21,0)</f>
        <v>0.11810871346218793</v>
      </c>
      <c r="Q21" s="1722">
        <f t="shared" si="4"/>
        <v>-52521.25</v>
      </c>
      <c r="R21" s="1699">
        <f t="shared" si="5"/>
        <v>1.7532287867253218E-2</v>
      </c>
      <c r="S21" s="1712"/>
      <c r="T21" s="1636"/>
      <c r="U21" s="1636"/>
      <c r="V21" s="1636"/>
      <c r="W21" s="1617"/>
      <c r="X21" s="1149"/>
      <c r="Y21" s="1141"/>
      <c r="Z21" s="1141"/>
      <c r="AA21" s="1141"/>
      <c r="AB21" s="1141"/>
      <c r="AC21" s="1141"/>
      <c r="AD21" s="1141"/>
      <c r="AE21" s="1141"/>
      <c r="AF21" s="1141"/>
      <c r="AG21" s="1141"/>
      <c r="AH21" s="1141"/>
      <c r="AI21" s="1141"/>
      <c r="AJ21" s="1141"/>
      <c r="AK21" s="1141"/>
      <c r="AL21" s="1141"/>
      <c r="AM21" s="1141"/>
      <c r="AN21" s="1141"/>
      <c r="AO21" s="1141"/>
      <c r="AP21" s="1141"/>
      <c r="AQ21" s="1141"/>
    </row>
    <row r="22" spans="1:43" ht="18" x14ac:dyDescent="0.25">
      <c r="A22" s="1229"/>
      <c r="B22" s="1181"/>
      <c r="C22" s="1182"/>
      <c r="D22" s="1182" t="str">
        <f>+RESTRICTED!D22</f>
        <v>Facilities Improvement (RS 9225)</v>
      </c>
      <c r="E22" s="625">
        <f>-RESTRICTED!E22</f>
        <v>0</v>
      </c>
      <c r="F22" s="971">
        <f>-RESTRICTED!F22</f>
        <v>-1961318</v>
      </c>
      <c r="G22" s="1897">
        <f>+'RS 0000 &amp; 1400'!H26</f>
        <v>-300000</v>
      </c>
      <c r="H22" s="1948">
        <f>+'RS 0000 &amp; 1400'!L26</f>
        <v>0</v>
      </c>
      <c r="I22" s="1922">
        <f>+'RS 0000 &amp; 1400'!P26</f>
        <v>0</v>
      </c>
      <c r="J22" s="2191">
        <f>+'RS 0000 &amp; 1400'!T26</f>
        <v>0</v>
      </c>
      <c r="K22" s="1922"/>
      <c r="L22" s="649"/>
      <c r="M22" s="1722">
        <f>+H22-G22</f>
        <v>300000</v>
      </c>
      <c r="N22" s="1699">
        <f>IFERROR(M22/G22,0)</f>
        <v>-1</v>
      </c>
      <c r="O22" s="1722">
        <f>+I22-H22</f>
        <v>0</v>
      </c>
      <c r="P22" s="1699">
        <f>IFERROR(O22/H22,0)</f>
        <v>0</v>
      </c>
      <c r="Q22" s="1722">
        <f t="shared" si="4"/>
        <v>0</v>
      </c>
      <c r="R22" s="1699">
        <f t="shared" si="5"/>
        <v>0</v>
      </c>
      <c r="S22" s="1712"/>
      <c r="T22" s="1636"/>
      <c r="U22" s="1637"/>
      <c r="V22" s="1637"/>
      <c r="W22" s="1616"/>
      <c r="X22" s="1148"/>
      <c r="Y22" s="1141"/>
      <c r="Z22" s="1141"/>
      <c r="AA22" s="1141"/>
      <c r="AB22" s="1141"/>
      <c r="AC22" s="1141"/>
      <c r="AD22" s="1141"/>
      <c r="AE22" s="1141"/>
      <c r="AF22" s="1141"/>
      <c r="AG22" s="1141"/>
      <c r="AH22" s="1141"/>
      <c r="AI22" s="1141"/>
      <c r="AJ22" s="1141"/>
      <c r="AK22" s="1141"/>
      <c r="AL22" s="1141"/>
      <c r="AM22" s="1141"/>
      <c r="AN22" s="1141"/>
      <c r="AO22" s="1141"/>
      <c r="AP22" s="1141"/>
      <c r="AQ22" s="1141"/>
    </row>
    <row r="23" spans="1:43" ht="18" customHeight="1" thickBot="1" x14ac:dyDescent="0.3">
      <c r="A23" s="1183"/>
      <c r="B23" s="1184" t="s">
        <v>703</v>
      </c>
      <c r="C23" s="1192"/>
      <c r="D23" s="1192"/>
      <c r="E23" s="635"/>
      <c r="F23" s="972">
        <f>SUM(F17:F22)</f>
        <v>-15373701.92</v>
      </c>
      <c r="G23" s="1898">
        <f t="shared" ref="G23:H23" si="8">SUM(G17:G22)</f>
        <v>-15718973</v>
      </c>
      <c r="H23" s="1949">
        <f t="shared" si="8"/>
        <v>-16603666</v>
      </c>
      <c r="I23" s="1923">
        <f>SUM(I17:I22)</f>
        <v>-17060728.18</v>
      </c>
      <c r="J23" s="2192">
        <f>SUM(J17:J22)</f>
        <v>-17284973.43</v>
      </c>
      <c r="K23" s="1923"/>
      <c r="L23" s="670"/>
      <c r="M23" s="1722">
        <f>+H23-G23</f>
        <v>-884693</v>
      </c>
      <c r="N23" s="1699">
        <f>IFERROR(M23/G23,0)</f>
        <v>5.6281857599729958E-2</v>
      </c>
      <c r="O23" s="1722">
        <f>+I23-H23</f>
        <v>-457062.1799999997</v>
      </c>
      <c r="P23" s="1699">
        <f>IFERROR(O23/H23,0)</f>
        <v>2.7527786935728514E-2</v>
      </c>
      <c r="Q23" s="1722">
        <f t="shared" si="4"/>
        <v>-224245.25</v>
      </c>
      <c r="R23" s="1699">
        <f t="shared" si="5"/>
        <v>1.3143943660205482E-2</v>
      </c>
      <c r="S23" s="1712"/>
      <c r="T23" s="1632"/>
      <c r="U23" s="1635"/>
      <c r="V23" s="1635"/>
      <c r="W23" s="631"/>
      <c r="X23" s="1582"/>
    </row>
    <row r="24" spans="1:43" ht="18" customHeight="1" thickTop="1" x14ac:dyDescent="0.25">
      <c r="A24" s="1230"/>
      <c r="B24" s="1193"/>
      <c r="C24" s="1187"/>
      <c r="D24" s="1187"/>
      <c r="E24" s="1187"/>
      <c r="F24" s="1971"/>
      <c r="G24" s="1972"/>
      <c r="H24" s="1970"/>
      <c r="I24" s="1973"/>
      <c r="J24" s="1974"/>
      <c r="K24" s="2018"/>
      <c r="L24" s="652"/>
      <c r="M24" s="1722"/>
      <c r="N24" s="1699"/>
      <c r="O24" s="1722"/>
      <c r="P24" s="1699"/>
      <c r="Q24" s="1722">
        <f t="shared" si="4"/>
        <v>0</v>
      </c>
      <c r="R24" s="1699">
        <f t="shared" si="5"/>
        <v>0</v>
      </c>
      <c r="S24" s="1712"/>
      <c r="T24" s="1632"/>
      <c r="U24" s="1635"/>
      <c r="V24" s="1635"/>
      <c r="W24" s="631"/>
      <c r="X24" s="1582"/>
    </row>
    <row r="25" spans="1:43" s="1139" customFormat="1" ht="25.5" customHeight="1" x14ac:dyDescent="0.25">
      <c r="A25" s="1231"/>
      <c r="B25" s="1232" t="s">
        <v>704</v>
      </c>
      <c r="C25" s="1232"/>
      <c r="D25" s="1232"/>
      <c r="E25" s="684"/>
      <c r="F25" s="974">
        <f>SUM(F14,F23)</f>
        <v>53417708.989999995</v>
      </c>
      <c r="G25" s="974">
        <f>SUM(G14,G23)</f>
        <v>53551774</v>
      </c>
      <c r="H25" s="1040">
        <f t="shared" ref="H25:L25" si="9">SUM(H14,H23)</f>
        <v>57041750</v>
      </c>
      <c r="I25" s="1008">
        <f t="shared" si="9"/>
        <v>55694224.82</v>
      </c>
      <c r="J25" s="685">
        <f t="shared" si="9"/>
        <v>56941984.647099994</v>
      </c>
      <c r="K25" s="1008" t="e">
        <f t="shared" si="9"/>
        <v>#REF!</v>
      </c>
      <c r="L25" s="685" t="e">
        <f t="shared" si="9"/>
        <v>#REF!</v>
      </c>
      <c r="M25" s="1722">
        <f>+H25-G25</f>
        <v>3489976</v>
      </c>
      <c r="N25" s="1699">
        <f>IFERROR(M25/G25,0)</f>
        <v>6.5170128631032845E-2</v>
      </c>
      <c r="O25" s="1722">
        <f>+I25-H25</f>
        <v>-1347525.1799999997</v>
      </c>
      <c r="P25" s="1699">
        <f>IFERROR(O25/H25,0)</f>
        <v>-2.3623489461666231E-2</v>
      </c>
      <c r="Q25" s="1722">
        <f t="shared" si="4"/>
        <v>1247759.8270999938</v>
      </c>
      <c r="R25" s="1699">
        <f t="shared" si="5"/>
        <v>2.2403756065061859E-2</v>
      </c>
      <c r="S25" s="1712"/>
      <c r="T25" s="1638"/>
      <c r="U25" s="1639"/>
      <c r="V25" s="1639"/>
      <c r="W25" s="636"/>
      <c r="X25" s="1166"/>
    </row>
    <row r="26" spans="1:43" ht="18" customHeight="1" x14ac:dyDescent="0.25">
      <c r="A26" s="1233"/>
      <c r="B26" s="1196"/>
      <c r="C26" s="1197"/>
      <c r="D26" s="1197"/>
      <c r="E26" s="686"/>
      <c r="F26" s="975"/>
      <c r="G26" s="1895"/>
      <c r="H26" s="1950"/>
      <c r="I26" s="746"/>
      <c r="J26" s="2193"/>
      <c r="K26" s="746"/>
      <c r="L26" s="687"/>
      <c r="M26" s="1722"/>
      <c r="N26" s="1699"/>
      <c r="O26" s="1722"/>
      <c r="P26" s="1699"/>
      <c r="Q26" s="1722">
        <f t="shared" si="4"/>
        <v>0</v>
      </c>
      <c r="R26" s="1699">
        <f t="shared" si="5"/>
        <v>0</v>
      </c>
      <c r="S26" s="1712"/>
      <c r="T26" s="1640"/>
      <c r="U26" s="1636"/>
      <c r="V26" s="1635"/>
      <c r="W26" s="631"/>
      <c r="X26" s="1582"/>
    </row>
    <row r="27" spans="1:43" ht="20.25" x14ac:dyDescent="0.25">
      <c r="A27" s="1215"/>
      <c r="B27" s="1173" t="s">
        <v>351</v>
      </c>
      <c r="C27" s="1174"/>
      <c r="D27" s="1174"/>
      <c r="E27" s="661"/>
      <c r="F27" s="969"/>
      <c r="G27" s="1896"/>
      <c r="H27" s="1946"/>
      <c r="I27" s="749"/>
      <c r="J27" s="2189"/>
      <c r="K27" s="749"/>
      <c r="L27" s="662"/>
      <c r="M27" s="1722"/>
      <c r="N27" s="1699"/>
      <c r="O27" s="1722"/>
      <c r="P27" s="1699"/>
      <c r="Q27" s="1722">
        <f t="shared" si="4"/>
        <v>0</v>
      </c>
      <c r="R27" s="1699">
        <f t="shared" si="5"/>
        <v>0</v>
      </c>
      <c r="S27" s="1712"/>
      <c r="T27" s="1641"/>
      <c r="U27" s="1640"/>
    </row>
    <row r="28" spans="1:43" ht="18" x14ac:dyDescent="0.25">
      <c r="A28" s="1216"/>
      <c r="B28" s="1176"/>
      <c r="C28" s="739" t="s">
        <v>352</v>
      </c>
      <c r="D28" s="739"/>
      <c r="E28" s="618"/>
      <c r="F28" s="976">
        <f>+'RS 0000 &amp; 1400'!D65+'RS 0653'!D32+'RS 0654'!D33+'RS 0655'!D32+'RS 1100'!D24</f>
        <v>31226621.970000003</v>
      </c>
      <c r="G28" s="1891">
        <f>+'RS 0000 &amp; 1400'!H65+'RS 0653'!H32+'RS 0654'!H33+'RS 0655'!H32+'RS 1100'!H24+'RS 0032'!H29+'RS 0049'!H29+'RS 0103'!H29</f>
        <v>31867379.079999998</v>
      </c>
      <c r="H28" s="1940">
        <f>+'RS 0000 &amp; 1400'!L65+'RS 0032'!L29+'RS 0049'!L29+'RS 0103'!L29+'RS 0617'!L30+'RS 0653'!L32+'RS 0654'!L33+'RS 1100'!L24</f>
        <v>31864844</v>
      </c>
      <c r="I28" s="1916">
        <f>+'RS 0000 &amp; 1400'!P65+'RS 0032'!P29+'RS 0049'!P29+'RS 0103'!P29+'RS 0617'!P30+'RS 0653'!P32+'RS 0654'!P33+'RS 1100'!P24</f>
        <v>31836636</v>
      </c>
      <c r="J28" s="2194">
        <f>+'RS 0000 &amp; 1400'!T65+'RS 0032'!T29+'RS 0049'!T29+'RS 0103'!T29+'RS 0617'!T30+'RS 0653'!T32+'RS 0654'!T33+'RS 1100'!T24</f>
        <v>32381469</v>
      </c>
      <c r="K28" s="1916" t="e">
        <f>(+J28*(1+#REF!))</f>
        <v>#REF!</v>
      </c>
      <c r="L28" s="663" t="e">
        <f>(+K28*(1+#REF!))</f>
        <v>#REF!</v>
      </c>
      <c r="M28" s="1722">
        <f t="shared" ref="M28:M51" si="10">+H28-G28</f>
        <v>-2535.0799999982119</v>
      </c>
      <c r="N28" s="1699">
        <f t="shared" ref="N28:N51" si="11">IFERROR(M28/G28,0)</f>
        <v>-7.9550941219048375E-5</v>
      </c>
      <c r="O28" s="1722">
        <f t="shared" ref="O28:O51" si="12">+I28-H28</f>
        <v>-28208</v>
      </c>
      <c r="P28" s="1699">
        <f t="shared" ref="P28:P51" si="13">IFERROR(O28/H28,0)</f>
        <v>-8.852389172217507E-4</v>
      </c>
      <c r="Q28" s="1722">
        <f t="shared" si="4"/>
        <v>544833</v>
      </c>
      <c r="R28" s="1699">
        <f t="shared" si="5"/>
        <v>1.7113397282300807E-2</v>
      </c>
      <c r="S28" s="1712"/>
      <c r="T28" s="1691">
        <v>584764</v>
      </c>
      <c r="U28" s="1401" t="s">
        <v>856</v>
      </c>
      <c r="V28" s="1642"/>
      <c r="W28" s="1618"/>
      <c r="X28" s="1583"/>
      <c r="Y28" s="1583"/>
      <c r="AM28" s="1144"/>
    </row>
    <row r="29" spans="1:43" ht="18" x14ac:dyDescent="0.25">
      <c r="A29" s="1218"/>
      <c r="B29" s="1178"/>
      <c r="C29" s="731" t="s">
        <v>353</v>
      </c>
      <c r="D29" s="731"/>
      <c r="E29" s="619"/>
      <c r="F29" s="977">
        <f>+'RS 0000 &amp; 1400'!D112+'RS 0653'!D43+'RS 0654'!D51+'RS 0655'!D45+'RS 1100'!D31</f>
        <v>6576599.799999998</v>
      </c>
      <c r="G29" s="1893">
        <f>+'RS 0000 &amp; 1400'!H112+'RS 0653'!H43+'RS 0654'!H51+'RS 0655'!H45+'RS 1100'!H31+'RS 0032'!H42+'RS 0049'!H42+'RS 0103'!H42</f>
        <v>7073769.2800000003</v>
      </c>
      <c r="H29" s="1947">
        <f>'RS 0000 &amp; 1400'!L112+'RS 0032'!L42+'RS 0049'!L42+'RS 0103'!L42+'RS 0617'!L41+'RS 0653'!L43+'RS 0654'!L51+'RS 0655'!L45+'RS 1100'!L31</f>
        <v>7291738</v>
      </c>
      <c r="I29" s="1918">
        <f>'RS 0000 &amp; 1400'!P112+'RS 0032'!P42+'RS 0049'!P42+'RS 0103'!P42+'RS 0617'!P41+'RS 0653'!P43+'RS 0654'!P51+'RS 0655'!P45+'RS 1100'!P31</f>
        <v>7392974</v>
      </c>
      <c r="J29" s="2195">
        <f>'RS 0000 &amp; 1400'!T112+'RS 0032'!T42+'RS 0049'!T42+'RS 0103'!T42+'RS 0617'!T41+'RS 0653'!T43+'RS 0654'!T51+'RS 0655'!T45+'RS 1100'!T31</f>
        <v>7495992</v>
      </c>
      <c r="K29" s="1918" t="e">
        <f>+J29*(1+#REF!)</f>
        <v>#REF!</v>
      </c>
      <c r="L29" s="647" t="e">
        <f>+K29*(1+#REF!)</f>
        <v>#REF!</v>
      </c>
      <c r="M29" s="1722">
        <f t="shared" si="10"/>
        <v>217968.71999999974</v>
      </c>
      <c r="N29" s="1699">
        <f t="shared" si="11"/>
        <v>3.0813659786200962E-2</v>
      </c>
      <c r="O29" s="1722">
        <f t="shared" si="12"/>
        <v>101236</v>
      </c>
      <c r="P29" s="1699">
        <f t="shared" si="13"/>
        <v>1.3883658463866914E-2</v>
      </c>
      <c r="Q29" s="1722">
        <f t="shared" si="4"/>
        <v>103018</v>
      </c>
      <c r="R29" s="1699">
        <f t="shared" si="5"/>
        <v>1.393458167173319E-2</v>
      </c>
      <c r="S29" s="1712"/>
      <c r="T29" s="1643">
        <v>0</v>
      </c>
      <c r="U29" s="1402" t="s">
        <v>948</v>
      </c>
      <c r="V29" s="1642"/>
      <c r="W29" s="1618"/>
      <c r="X29" s="1583"/>
      <c r="Y29" s="1583"/>
      <c r="Z29" s="1141"/>
      <c r="AA29" s="1141"/>
      <c r="AB29" s="1141"/>
      <c r="AC29" s="1141"/>
      <c r="AD29" s="1141"/>
      <c r="AE29" s="1141"/>
      <c r="AF29" s="1141"/>
      <c r="AG29" s="1141"/>
      <c r="AH29" s="1141"/>
      <c r="AI29" s="1141"/>
      <c r="AJ29" s="1141"/>
      <c r="AK29" s="1141"/>
      <c r="AL29" s="1141"/>
      <c r="AM29" s="1145"/>
      <c r="AN29" s="1141"/>
      <c r="AO29" s="1141"/>
      <c r="AP29" s="1141"/>
      <c r="AQ29" s="1141"/>
    </row>
    <row r="30" spans="1:43" ht="20.25" hidden="1" customHeight="1" x14ac:dyDescent="0.3">
      <c r="A30" s="1234"/>
      <c r="B30" s="732"/>
      <c r="C30" s="732"/>
      <c r="D30" s="1349"/>
      <c r="E30" s="1350"/>
      <c r="F30" s="1742"/>
      <c r="G30" s="1899"/>
      <c r="H30" s="1951"/>
      <c r="I30" s="1888"/>
      <c r="J30" s="1888"/>
      <c r="K30" s="1888"/>
      <c r="L30" s="671"/>
      <c r="M30" s="1722">
        <f t="shared" si="10"/>
        <v>0</v>
      </c>
      <c r="N30" s="1699">
        <f t="shared" si="11"/>
        <v>0</v>
      </c>
      <c r="O30" s="1722">
        <f t="shared" si="12"/>
        <v>0</v>
      </c>
      <c r="P30" s="1699">
        <f t="shared" si="13"/>
        <v>0</v>
      </c>
      <c r="Q30" s="1722">
        <f t="shared" si="4"/>
        <v>0</v>
      </c>
      <c r="R30" s="1699">
        <f t="shared" si="5"/>
        <v>0</v>
      </c>
      <c r="S30" s="1712"/>
      <c r="T30" s="1612">
        <f>+T28*T29</f>
        <v>0</v>
      </c>
      <c r="U30" s="1402">
        <f>D29</f>
        <v>0</v>
      </c>
      <c r="V30" s="1642"/>
      <c r="W30" s="1618"/>
      <c r="X30" s="1583"/>
      <c r="Y30" s="1583"/>
      <c r="Z30" s="1141"/>
      <c r="AA30" s="1141"/>
      <c r="AB30" s="1141"/>
      <c r="AC30" s="1141"/>
      <c r="AD30" s="1141"/>
      <c r="AE30" s="1141"/>
      <c r="AF30" s="1141"/>
      <c r="AG30" s="1141"/>
      <c r="AH30" s="1141"/>
      <c r="AI30" s="1141"/>
      <c r="AJ30" s="1141"/>
      <c r="AK30" s="1141"/>
      <c r="AL30" s="1141"/>
      <c r="AM30" s="1141"/>
      <c r="AN30" s="1141"/>
      <c r="AO30" s="1141"/>
      <c r="AP30" s="1141"/>
      <c r="AQ30" s="1141"/>
    </row>
    <row r="31" spans="1:43" ht="20.25" hidden="1" customHeight="1" x14ac:dyDescent="0.3">
      <c r="A31" s="1234"/>
      <c r="B31" s="732"/>
      <c r="C31" s="732"/>
      <c r="D31" s="1349"/>
      <c r="E31" s="1350"/>
      <c r="F31" s="1742"/>
      <c r="G31" s="1899"/>
      <c r="H31" s="1951"/>
      <c r="I31" s="1888"/>
      <c r="J31" s="1888"/>
      <c r="K31" s="2182"/>
      <c r="L31" s="1351"/>
      <c r="M31" s="1722">
        <f t="shared" si="10"/>
        <v>0</v>
      </c>
      <c r="N31" s="1699">
        <f t="shared" si="11"/>
        <v>0</v>
      </c>
      <c r="O31" s="1722">
        <f t="shared" si="12"/>
        <v>0</v>
      </c>
      <c r="P31" s="1699">
        <f t="shared" si="13"/>
        <v>0</v>
      </c>
      <c r="Q31" s="1722">
        <f t="shared" si="4"/>
        <v>0</v>
      </c>
      <c r="R31" s="1699">
        <f t="shared" si="5"/>
        <v>0</v>
      </c>
      <c r="S31" s="1712"/>
      <c r="T31" s="1642"/>
      <c r="U31" s="1642"/>
      <c r="V31" s="1642"/>
      <c r="W31" s="1618"/>
      <c r="X31" s="1583"/>
      <c r="Y31" s="1583"/>
      <c r="Z31" s="1141"/>
      <c r="AA31" s="1141"/>
      <c r="AB31" s="1141"/>
      <c r="AC31" s="1141"/>
      <c r="AD31" s="1141"/>
      <c r="AE31" s="1141"/>
      <c r="AF31" s="1141"/>
      <c r="AG31" s="1141"/>
      <c r="AH31" s="1141"/>
      <c r="AI31" s="1141"/>
      <c r="AJ31" s="1141"/>
      <c r="AK31" s="1141"/>
      <c r="AL31" s="1141"/>
      <c r="AM31" s="1141"/>
      <c r="AN31" s="1141"/>
      <c r="AO31" s="1141"/>
      <c r="AP31" s="1141"/>
      <c r="AQ31" s="1141"/>
    </row>
    <row r="32" spans="1:43" ht="20.25" hidden="1" customHeight="1" x14ac:dyDescent="0.3">
      <c r="A32" s="1234"/>
      <c r="B32" s="732"/>
      <c r="C32" s="732"/>
      <c r="D32" s="1349"/>
      <c r="E32" s="1350"/>
      <c r="F32" s="1742"/>
      <c r="G32" s="1899"/>
      <c r="H32" s="1951"/>
      <c r="I32" s="1888"/>
      <c r="J32" s="1888"/>
      <c r="K32" s="2182"/>
      <c r="L32" s="1351"/>
      <c r="M32" s="1722">
        <f t="shared" si="10"/>
        <v>0</v>
      </c>
      <c r="N32" s="1699">
        <f t="shared" si="11"/>
        <v>0</v>
      </c>
      <c r="O32" s="1722">
        <f t="shared" si="12"/>
        <v>0</v>
      </c>
      <c r="P32" s="1699">
        <f t="shared" si="13"/>
        <v>0</v>
      </c>
      <c r="Q32" s="1722">
        <f t="shared" si="4"/>
        <v>0</v>
      </c>
      <c r="R32" s="1699">
        <f t="shared" si="5"/>
        <v>0</v>
      </c>
      <c r="S32" s="1712"/>
      <c r="T32" s="1811"/>
      <c r="U32" s="1642"/>
      <c r="V32" s="1642"/>
      <c r="W32" s="1618"/>
      <c r="X32" s="1583"/>
      <c r="Y32" s="1583"/>
      <c r="Z32" s="1141"/>
      <c r="AA32" s="1141"/>
      <c r="AB32" s="1141"/>
      <c r="AC32" s="1141"/>
      <c r="AD32" s="1141"/>
      <c r="AE32" s="1141"/>
      <c r="AF32" s="1141"/>
      <c r="AG32" s="1141"/>
      <c r="AH32" s="1141"/>
      <c r="AI32" s="1141"/>
      <c r="AJ32" s="1141"/>
      <c r="AK32" s="1141"/>
      <c r="AL32" s="1141"/>
      <c r="AM32" s="1141"/>
      <c r="AN32" s="1141"/>
      <c r="AO32" s="1141"/>
      <c r="AP32" s="1141"/>
      <c r="AQ32" s="1141"/>
    </row>
    <row r="33" spans="1:43" ht="20.25" hidden="1" customHeight="1" x14ac:dyDescent="0.3">
      <c r="A33" s="1234"/>
      <c r="B33" s="732"/>
      <c r="C33" s="732"/>
      <c r="D33" s="1349"/>
      <c r="E33" s="1350"/>
      <c r="F33" s="1742"/>
      <c r="G33" s="1899"/>
      <c r="H33" s="1951"/>
      <c r="I33" s="1888"/>
      <c r="J33" s="1888"/>
      <c r="K33" s="2182"/>
      <c r="L33" s="1351"/>
      <c r="M33" s="1722">
        <f t="shared" si="10"/>
        <v>0</v>
      </c>
      <c r="N33" s="1699">
        <f t="shared" si="11"/>
        <v>0</v>
      </c>
      <c r="O33" s="1722">
        <f t="shared" si="12"/>
        <v>0</v>
      </c>
      <c r="P33" s="1699">
        <f t="shared" si="13"/>
        <v>0</v>
      </c>
      <c r="Q33" s="1722">
        <f t="shared" si="4"/>
        <v>0</v>
      </c>
      <c r="R33" s="1699">
        <f t="shared" si="5"/>
        <v>0</v>
      </c>
      <c r="S33" s="1712"/>
      <c r="T33" s="1811"/>
      <c r="U33" s="1404"/>
      <c r="V33" s="1642"/>
      <c r="W33" s="1618"/>
      <c r="X33" s="1583"/>
      <c r="Y33" s="1583"/>
      <c r="Z33" s="1141"/>
      <c r="AA33" s="1141"/>
      <c r="AB33" s="1141"/>
      <c r="AC33" s="1141"/>
      <c r="AD33" s="1141"/>
      <c r="AE33" s="1141"/>
      <c r="AF33" s="1141"/>
      <c r="AG33" s="1141"/>
      <c r="AH33" s="1141"/>
      <c r="AI33" s="1141"/>
      <c r="AJ33" s="1141"/>
      <c r="AK33" s="1141"/>
      <c r="AL33" s="1141"/>
      <c r="AM33" s="1141"/>
      <c r="AN33" s="1141"/>
      <c r="AO33" s="1141"/>
      <c r="AP33" s="1141"/>
      <c r="AQ33" s="1141"/>
    </row>
    <row r="34" spans="1:43" s="1147" customFormat="1" ht="18" x14ac:dyDescent="0.25">
      <c r="A34" s="1218"/>
      <c r="B34" s="1178"/>
      <c r="C34" s="731" t="s">
        <v>354</v>
      </c>
      <c r="D34" s="731"/>
      <c r="E34" s="619"/>
      <c r="F34" s="977"/>
      <c r="G34" s="1893"/>
      <c r="H34" s="1947"/>
      <c r="I34" s="1918"/>
      <c r="J34" s="2195"/>
      <c r="K34" s="1918"/>
      <c r="L34" s="647"/>
      <c r="M34" s="1722">
        <f t="shared" si="10"/>
        <v>0</v>
      </c>
      <c r="N34" s="1699">
        <f t="shared" si="11"/>
        <v>0</v>
      </c>
      <c r="O34" s="1722">
        <f t="shared" si="12"/>
        <v>0</v>
      </c>
      <c r="P34" s="1699">
        <f t="shared" si="13"/>
        <v>0</v>
      </c>
      <c r="Q34" s="1722">
        <f t="shared" si="4"/>
        <v>0</v>
      </c>
      <c r="R34" s="1699">
        <f t="shared" si="5"/>
        <v>0</v>
      </c>
      <c r="S34" s="1712"/>
      <c r="T34" s="1642"/>
      <c r="U34" s="1642"/>
      <c r="V34" s="1642"/>
      <c r="W34" s="1618"/>
      <c r="X34" s="1583"/>
      <c r="Y34" s="1583"/>
      <c r="Z34" s="1148"/>
      <c r="AA34" s="1148"/>
      <c r="AB34" s="1148"/>
      <c r="AC34" s="1148"/>
      <c r="AD34" s="1148"/>
      <c r="AE34" s="1148"/>
      <c r="AF34" s="1148"/>
      <c r="AG34" s="1148"/>
      <c r="AH34" s="1148"/>
      <c r="AI34" s="1148"/>
      <c r="AJ34" s="1148"/>
      <c r="AK34" s="1146"/>
      <c r="AL34" s="1146"/>
      <c r="AM34" s="1146"/>
      <c r="AN34" s="1146"/>
      <c r="AO34" s="1146"/>
      <c r="AP34" s="1146"/>
      <c r="AQ34" s="1146"/>
    </row>
    <row r="35" spans="1:43" ht="18" x14ac:dyDescent="0.25">
      <c r="A35" s="1218"/>
      <c r="B35" s="1178"/>
      <c r="C35" s="731"/>
      <c r="D35" s="1179" t="s">
        <v>76</v>
      </c>
      <c r="E35" s="620"/>
      <c r="F35" s="978">
        <f>+'RS 0000 &amp; 1400'!D115+'RS 0653'!D46+'RS 0654'!D54+'RS 0655'!D48</f>
        <v>3943449.73</v>
      </c>
      <c r="G35" s="1892">
        <f>+'RS 0000 &amp; 1400'!H115+'RS 0653'!H46+'RS 0654'!H54+'RS 0655'!H48+'RS 1100'!H34+'RS 0032'!H45+'RS 0049'!H45+'RS 0103'!H45</f>
        <v>4621653.1500000004</v>
      </c>
      <c r="H35" s="1952">
        <f>'RS 0000 &amp; 1400'!L115+'RS 0032'!L45+'RS 0103'!L45+'RS 0617'!L44+'RS 0653'!L46+'RS 0654'!L54+'RS 0655'!L48+'RS 1100'!L34</f>
        <v>5221047</v>
      </c>
      <c r="I35" s="1917">
        <f>'RS 0000 &amp; 1400'!P115+'RS 0032'!P45+'RS 0103'!P45+'RS 0617'!P44+'RS 0653'!P46+'RS 0654'!P54+'RS 0655'!P48+'RS 1100'!P34</f>
        <v>5771860</v>
      </c>
      <c r="J35" s="2196">
        <f>'RS 0000 &amp; 1400'!T115+'RS 0032'!T45+'RS 0103'!T45+'RS 0617'!T44+'RS 0653'!T46+'RS 0654'!T54+'RS 0655'!T48+'RS 1100'!T34</f>
        <v>6184860</v>
      </c>
      <c r="K35" s="1917">
        <v>6862934.8935236689</v>
      </c>
      <c r="L35" s="648">
        <v>7581004.2628126368</v>
      </c>
      <c r="M35" s="1722">
        <f t="shared" si="10"/>
        <v>599393.84999999963</v>
      </c>
      <c r="N35" s="1699">
        <f t="shared" si="11"/>
        <v>0.1296925213870711</v>
      </c>
      <c r="O35" s="1722">
        <f t="shared" si="12"/>
        <v>550813</v>
      </c>
      <c r="P35" s="1699">
        <f t="shared" si="13"/>
        <v>0.10549857145511235</v>
      </c>
      <c r="Q35" s="1722">
        <f t="shared" si="4"/>
        <v>413000</v>
      </c>
      <c r="R35" s="1699">
        <f t="shared" si="5"/>
        <v>7.1554057097712009E-2</v>
      </c>
      <c r="S35" s="1712"/>
      <c r="T35" s="1642"/>
      <c r="U35" s="1642"/>
      <c r="V35" s="1642"/>
      <c r="W35" s="1618"/>
      <c r="X35" s="1583"/>
      <c r="Y35" s="1583"/>
      <c r="Z35" s="1585"/>
      <c r="AA35" s="1149"/>
      <c r="AB35" s="1148"/>
      <c r="AC35" s="1148"/>
      <c r="AD35" s="1148"/>
      <c r="AE35" s="1148"/>
      <c r="AF35" s="1148"/>
      <c r="AG35" s="1149"/>
      <c r="AH35" s="1148"/>
      <c r="AI35" s="1148"/>
      <c r="AJ35" s="1148"/>
      <c r="AK35" s="1148"/>
      <c r="AL35" s="1141"/>
      <c r="AM35" s="1148"/>
      <c r="AN35" s="1149"/>
      <c r="AO35" s="1149"/>
      <c r="AP35" s="1149"/>
      <c r="AQ35" s="1149"/>
    </row>
    <row r="36" spans="1:43" ht="19.5" x14ac:dyDescent="0.35">
      <c r="A36" s="1218"/>
      <c r="B36" s="1178"/>
      <c r="C36" s="731"/>
      <c r="D36" s="1179" t="s">
        <v>77</v>
      </c>
      <c r="E36" s="620"/>
      <c r="F36" s="978">
        <f>+'RS 0000 &amp; 1400'!D116+'RS 0653'!D47+'RS 0654'!D55+'RS 0655'!D49</f>
        <v>791905.79999999993</v>
      </c>
      <c r="G36" s="1892">
        <f>+'RS 0000 &amp; 1400'!H116+'RS 0653'!H47+'RS 0654'!H55+'RS 0655'!H49+'RS 1100'!H35+'RS 0032'!H46+'RS 0049'!H46+'RS 0103'!H46</f>
        <v>984206</v>
      </c>
      <c r="H36" s="1952">
        <f>'RS 0000 &amp; 1400'!L116+'RS 0032'!L46+'RS 0103'!L46+'RS 0617'!L45+'RS 0653'!L47+'RS 0654'!L55+'RS 0655'!L49+'RS 1100'!L35</f>
        <v>1261330</v>
      </c>
      <c r="I36" s="1917">
        <f>'RS 0000 &amp; 1400'!P116+'RS 0032'!P46+'RS 0103'!P46+'RS 0617'!P45+'RS 0653'!P47+'RS 0654'!P55+'RS 0655'!P49+'RS 1100'!P35</f>
        <v>1537739</v>
      </c>
      <c r="J36" s="2196">
        <f>'RS 0000 &amp; 1400'!T116+'RS 0032'!T46+'RS 0103'!T46+'RS 0617'!T45+'RS 0653'!T47+'RS 0654'!T55+'RS 0655'!T49+'RS 1100'!T35</f>
        <v>1761558</v>
      </c>
      <c r="K36" s="1917">
        <v>1908307.0034539229</v>
      </c>
      <c r="L36" s="648">
        <v>2010300.2300400396</v>
      </c>
      <c r="M36" s="1722">
        <f t="shared" si="10"/>
        <v>277124</v>
      </c>
      <c r="N36" s="1699">
        <f t="shared" si="11"/>
        <v>0.2815711344982656</v>
      </c>
      <c r="O36" s="1722">
        <f t="shared" si="12"/>
        <v>276409</v>
      </c>
      <c r="P36" s="1699">
        <f t="shared" si="13"/>
        <v>0.21914090682057827</v>
      </c>
      <c r="Q36" s="1722">
        <f t="shared" si="4"/>
        <v>223819</v>
      </c>
      <c r="R36" s="1699">
        <f t="shared" si="5"/>
        <v>0.14555070788996052</v>
      </c>
      <c r="S36" s="1712"/>
      <c r="T36" s="1642"/>
      <c r="U36" s="1642"/>
      <c r="V36" s="1642"/>
      <c r="W36" s="1618"/>
      <c r="X36" s="1583"/>
      <c r="Y36" s="1583"/>
      <c r="Z36" s="1585"/>
      <c r="AA36" s="1149"/>
      <c r="AB36" s="1148"/>
      <c r="AC36" s="1148"/>
      <c r="AD36" s="1148"/>
      <c r="AE36" s="1148"/>
      <c r="AF36" s="1586"/>
      <c r="AG36" s="1586"/>
      <c r="AH36" s="1148"/>
      <c r="AI36" s="1148"/>
      <c r="AJ36" s="1148"/>
      <c r="AK36" s="1148"/>
      <c r="AL36" s="1141"/>
      <c r="AM36" s="1148"/>
      <c r="AN36" s="1149"/>
      <c r="AO36" s="1149"/>
      <c r="AP36" s="1149"/>
      <c r="AQ36" s="1149"/>
    </row>
    <row r="37" spans="1:43" ht="18" x14ac:dyDescent="0.25">
      <c r="A37" s="1218"/>
      <c r="B37" s="1178"/>
      <c r="C37" s="731"/>
      <c r="D37" s="731" t="s">
        <v>394</v>
      </c>
      <c r="E37" s="619"/>
      <c r="F37" s="979">
        <f>+'RS 0000 &amp; 1400'!D117+'RS 0653'!D48+'RS 0654'!D56+'RS 0655'!D50</f>
        <v>364474.9</v>
      </c>
      <c r="G37" s="1893">
        <f>+'RS 0000 &amp; 1400'!H117+'RS 0653'!H48+'RS 0654'!H56+'RS 0655'!H50+'RS 1100'!H36+'RS 0032'!H47+'RS 0049'!H47+'RS 0103'!H47</f>
        <v>404651</v>
      </c>
      <c r="H37" s="1947">
        <f>'RS 0000 &amp; 1400'!L117+'RS 0032'!L47+'RS 0103'!L47+'RS 0617'!L46+'RS 0653'!L48+'RS 0654'!L56+'RS 0655'!L50+'RS 1100'!L36</f>
        <v>436875</v>
      </c>
      <c r="I37" s="1918">
        <f>'RS 0000 &amp; 1400'!P117+'RS 0032'!P47+'RS 0103'!P47+'RS 0617'!P46+'RS 0653'!P48+'RS 0654'!P56+'RS 0655'!P50+'RS 1100'!P36</f>
        <v>458363</v>
      </c>
      <c r="J37" s="2197">
        <f>'RS 0000 &amp; 1400'!T117+'RS 0032'!T47+'RS 0103'!T47+'RS 0617'!T46+'RS 0653'!T48+'RS 0654'!T56+'RS 0655'!T50+'RS 1100'!T36</f>
        <v>464751</v>
      </c>
      <c r="K37" s="1918">
        <v>448163.00838690612</v>
      </c>
      <c r="L37" s="647">
        <v>454885.45351270965</v>
      </c>
      <c r="M37" s="1722">
        <f t="shared" si="10"/>
        <v>32224</v>
      </c>
      <c r="N37" s="1699">
        <f t="shared" si="11"/>
        <v>7.963405502519455E-2</v>
      </c>
      <c r="O37" s="1722">
        <f t="shared" si="12"/>
        <v>21488</v>
      </c>
      <c r="P37" s="1699">
        <f t="shared" si="13"/>
        <v>4.9185693848354792E-2</v>
      </c>
      <c r="Q37" s="1722">
        <f t="shared" si="4"/>
        <v>6388</v>
      </c>
      <c r="R37" s="1699">
        <f t="shared" si="5"/>
        <v>1.3936552470421915E-2</v>
      </c>
      <c r="S37" s="1712"/>
      <c r="T37" s="1642"/>
      <c r="U37" s="1642"/>
      <c r="V37" s="1642"/>
      <c r="W37" s="1618"/>
      <c r="X37" s="1583"/>
      <c r="Y37" s="1583"/>
      <c r="Z37" s="1585"/>
      <c r="AA37" s="1149"/>
      <c r="AB37" s="1148"/>
      <c r="AC37" s="1148"/>
      <c r="AD37" s="1148"/>
      <c r="AE37" s="1148"/>
      <c r="AF37" s="1148"/>
      <c r="AG37" s="1148"/>
      <c r="AH37" s="1148"/>
      <c r="AI37" s="1148"/>
      <c r="AJ37" s="1148"/>
      <c r="AK37" s="1148"/>
      <c r="AL37" s="1141"/>
      <c r="AM37" s="1148"/>
      <c r="AN37" s="1149"/>
      <c r="AO37" s="1149"/>
      <c r="AP37" s="1149"/>
      <c r="AQ37" s="1149"/>
    </row>
    <row r="38" spans="1:43" ht="19.5" x14ac:dyDescent="0.35">
      <c r="A38" s="1218"/>
      <c r="B38" s="1178"/>
      <c r="C38" s="731"/>
      <c r="D38" s="731" t="s">
        <v>79</v>
      </c>
      <c r="E38" s="619"/>
      <c r="F38" s="979">
        <f>+'RS 0000 &amp; 1400'!D118+'RS 0653'!D49+'RS 0654'!D57+'RS 0655'!D51</f>
        <v>514906.07000000007</v>
      </c>
      <c r="G38" s="1893">
        <f>+'RS 0000 &amp; 1400'!H118+'RS 0653'!H49+'RS 0654'!H57+'RS 0655'!H51+'RS 1100'!H37+'RS 0032'!H48+'RS 0049'!H48+'RS 0103'!H48</f>
        <v>544271</v>
      </c>
      <c r="H38" s="1947">
        <f>'RS 0000 &amp; 1400'!L118+'RS 0032'!L48+'RS 0103'!L48+'RS 0617'!L47+'RS 0653'!L49+'RS 0654'!L57+'RS 0655'!L51+'RS 1100'!L37</f>
        <v>567226.5</v>
      </c>
      <c r="I38" s="1918">
        <f>'RS 0000 &amp; 1400'!P118+'RS 0032'!P48+'RS 0103'!P48+'RS 0617'!P47+'RS 0653'!P49+'RS 0654'!P57+'RS 0655'!P51+'RS 1100'!P37</f>
        <v>568830</v>
      </c>
      <c r="J38" s="2197">
        <f>'RS 0000 &amp; 1400'!T118+'RS 0032'!T48+'RS 0103'!T48+'RS 0617'!T47+'RS 0653'!T49+'RS 0654'!T57+'RS 0655'!T51+'RS 1100'!T37</f>
        <v>578224</v>
      </c>
      <c r="K38" s="1918">
        <v>579812.58357110654</v>
      </c>
      <c r="L38" s="647">
        <v>588509.77232467302</v>
      </c>
      <c r="M38" s="1722">
        <f t="shared" si="10"/>
        <v>22955.5</v>
      </c>
      <c r="N38" s="1699">
        <f t="shared" si="11"/>
        <v>4.2176599524869046E-2</v>
      </c>
      <c r="O38" s="1722">
        <f t="shared" si="12"/>
        <v>1603.5</v>
      </c>
      <c r="P38" s="1699">
        <f t="shared" si="13"/>
        <v>2.8269130585401071E-3</v>
      </c>
      <c r="Q38" s="1722">
        <f t="shared" si="4"/>
        <v>9394</v>
      </c>
      <c r="R38" s="1699">
        <f t="shared" si="5"/>
        <v>1.6514600144155546E-2</v>
      </c>
      <c r="S38" s="1712"/>
      <c r="T38" s="1642"/>
      <c r="U38" s="1642"/>
      <c r="V38" s="1642"/>
      <c r="W38" s="1618"/>
      <c r="X38" s="1583"/>
      <c r="Y38" s="1583"/>
      <c r="Z38" s="1587"/>
      <c r="AA38" s="1149"/>
      <c r="AB38" s="1148"/>
      <c r="AC38" s="1148"/>
      <c r="AD38" s="1148"/>
      <c r="AE38" s="1148"/>
      <c r="AF38" s="1149"/>
      <c r="AG38" s="1149"/>
      <c r="AH38" s="1148"/>
      <c r="AI38" s="1148"/>
      <c r="AJ38" s="1148"/>
      <c r="AK38" s="1148"/>
      <c r="AL38" s="1141"/>
      <c r="AM38" s="1148"/>
      <c r="AN38" s="1149"/>
      <c r="AO38" s="1149"/>
      <c r="AP38" s="1149"/>
      <c r="AQ38" s="1149"/>
    </row>
    <row r="39" spans="1:43" ht="18" x14ac:dyDescent="0.25">
      <c r="A39" s="1218"/>
      <c r="B39" s="1178"/>
      <c r="C39" s="731"/>
      <c r="D39" s="1200" t="s">
        <v>80</v>
      </c>
      <c r="E39" s="619"/>
      <c r="F39" s="979">
        <f>+'RS 0000 &amp; 1400'!D119+'RS 0653'!D50+'RS 0654'!D58+'RS 0655'!D52</f>
        <v>3787299.2800000003</v>
      </c>
      <c r="G39" s="1893">
        <f>+'RS 0000 &amp; 1400'!H119+'RS 0653'!H50+'RS 0654'!H58+'RS 0655'!H52+'RS 1100'!H38+'RS 0032'!H49+'RS 0049'!H49+'RS 0103'!H49</f>
        <v>3930809</v>
      </c>
      <c r="H39" s="1947">
        <f>'RS 0000 &amp; 1400'!L119+'RS 0032'!L49+'RS 0103'!L49+'RS 0617'!L48+'RS 0653'!L50+'RS 0654'!L58+'RS 0655'!L52+'RS 1100'!L38</f>
        <v>4173220</v>
      </c>
      <c r="I39" s="1918">
        <f>'RS 0000 &amp; 1400'!P119+'RS 0032'!P49+'RS 0103'!P49+'RS 0617'!P48+'RS 0653'!P50+'RS 0654'!P58+'RS 0655'!P52+'RS 1100'!P38</f>
        <v>4381882</v>
      </c>
      <c r="J39" s="2197">
        <f>'RS 0000 &amp; 1400'!T119+'RS 0032'!T49+'RS 0103'!T49+'RS 0617'!T48+'RS 0653'!T50+'RS 0654'!T58+'RS 0655'!T52+'RS 1100'!T38</f>
        <v>4600977</v>
      </c>
      <c r="K39" s="1918">
        <v>19993.537364520915</v>
      </c>
      <c r="L39" s="647">
        <v>20293.440424988727</v>
      </c>
      <c r="M39" s="1722">
        <f t="shared" si="10"/>
        <v>242411</v>
      </c>
      <c r="N39" s="1699">
        <f t="shared" si="11"/>
        <v>6.1669493480858519E-2</v>
      </c>
      <c r="O39" s="1722">
        <f t="shared" si="12"/>
        <v>208662</v>
      </c>
      <c r="P39" s="1699">
        <f t="shared" si="13"/>
        <v>5.0000239623120758E-2</v>
      </c>
      <c r="Q39" s="1722">
        <f t="shared" si="4"/>
        <v>219095</v>
      </c>
      <c r="R39" s="1699">
        <f t="shared" si="5"/>
        <v>5.0000205391199488E-2</v>
      </c>
      <c r="S39" s="1712"/>
      <c r="T39" s="1642"/>
      <c r="U39" s="1642"/>
      <c r="V39" s="1642"/>
      <c r="W39" s="1618"/>
      <c r="X39" s="1583"/>
      <c r="Y39" s="1583"/>
      <c r="Z39" s="1585"/>
      <c r="AA39" s="1149"/>
      <c r="AB39" s="1148"/>
      <c r="AC39" s="1148"/>
      <c r="AD39" s="1148"/>
      <c r="AE39" s="1148"/>
      <c r="AF39" s="1149"/>
      <c r="AG39" s="1149"/>
      <c r="AH39" s="1148"/>
      <c r="AI39" s="1148"/>
      <c r="AJ39" s="1148"/>
      <c r="AK39" s="1148"/>
      <c r="AL39" s="1141"/>
      <c r="AM39" s="1148"/>
      <c r="AN39" s="1149"/>
      <c r="AO39" s="1149"/>
      <c r="AP39" s="1149"/>
      <c r="AQ39" s="1149"/>
    </row>
    <row r="40" spans="1:43" ht="18" x14ac:dyDescent="0.25">
      <c r="A40" s="1218"/>
      <c r="B40" s="1178"/>
      <c r="C40" s="731"/>
      <c r="D40" s="731" t="s">
        <v>81</v>
      </c>
      <c r="E40" s="619"/>
      <c r="F40" s="979">
        <f>+'RS 0000 &amp; 1400'!D120+'RS 0653'!D51+'RS 0654'!D59+'RS 0655'!D53</f>
        <v>17794.439999999999</v>
      </c>
      <c r="G40" s="1893">
        <f>+'RS 0000 &amp; 1400'!H120+'RS 0653'!H51+'RS 0654'!H59+'RS 0655'!H53+'RS 1100'!H39+'RS 0032'!H50+'RS 0049'!H50+'RS 0103'!H50</f>
        <v>19106</v>
      </c>
      <c r="H40" s="1947">
        <f>'RS 0000 &amp; 1400'!L120+'RS 0032'!L50+'RS 0103'!L50+'RS 0617'!L49+'RS 0653'!L51+'RS 0654'!L59+'RS 0655'!L53+'RS 1100'!L39</f>
        <v>19618.5</v>
      </c>
      <c r="I40" s="1918">
        <f>'RS 0000 &amp; 1400'!P120+'RS 0032'!P50+'RS 0103'!P50+'RS 0617'!P49+'RS 0653'!P51+'RS 0654'!P59+'RS 0655'!P53+'RS 1100'!P39</f>
        <v>19613</v>
      </c>
      <c r="J40" s="2197">
        <f>'RS 0000 &amp; 1400'!T120+'RS 0032'!T50+'RS 0103'!T50+'RS 0617'!T49+'RS 0653'!T51+'RS 0654'!T59+'RS 0655'!T53+'RS 1100'!T39</f>
        <v>19938</v>
      </c>
      <c r="K40" s="1918">
        <v>399870.74729041825</v>
      </c>
      <c r="L40" s="647">
        <v>405868.80849977449</v>
      </c>
      <c r="M40" s="1722">
        <f t="shared" si="10"/>
        <v>512.5</v>
      </c>
      <c r="N40" s="1699">
        <f t="shared" si="11"/>
        <v>2.6824034334763949E-2</v>
      </c>
      <c r="O40" s="1722">
        <f t="shared" si="12"/>
        <v>-5.5</v>
      </c>
      <c r="P40" s="1699">
        <f t="shared" si="13"/>
        <v>-2.8034763106251753E-4</v>
      </c>
      <c r="Q40" s="1722">
        <f t="shared" si="4"/>
        <v>325</v>
      </c>
      <c r="R40" s="1699">
        <f t="shared" si="5"/>
        <v>1.6570641921174731E-2</v>
      </c>
      <c r="S40" s="1712"/>
      <c r="T40" s="1642"/>
      <c r="U40" s="1642"/>
      <c r="V40" s="1642"/>
      <c r="W40" s="1618"/>
      <c r="X40" s="1583"/>
      <c r="Y40" s="1583"/>
      <c r="Z40" s="1141"/>
      <c r="AA40" s="1149"/>
      <c r="AB40" s="1148"/>
      <c r="AC40" s="1148"/>
      <c r="AD40" s="1148"/>
      <c r="AE40" s="1148"/>
      <c r="AF40" s="1149"/>
      <c r="AG40" s="1149"/>
      <c r="AH40" s="1148"/>
      <c r="AI40" s="1148"/>
      <c r="AJ40" s="1148"/>
      <c r="AK40" s="1148"/>
      <c r="AL40" s="1141"/>
      <c r="AM40" s="1148"/>
      <c r="AN40" s="1149"/>
      <c r="AO40" s="1149"/>
      <c r="AP40" s="1149"/>
      <c r="AQ40" s="1149"/>
    </row>
    <row r="41" spans="1:43" ht="20.25" x14ac:dyDescent="0.25">
      <c r="A41" s="1235"/>
      <c r="B41" s="1199"/>
      <c r="C41" s="1200"/>
      <c r="D41" s="731" t="s">
        <v>82</v>
      </c>
      <c r="E41" s="621"/>
      <c r="F41" s="979">
        <f>+'RS 0000 &amp; 1400'!D121+'RS 0653'!D52+'RS 0654'!D60+'RS 0655'!D54</f>
        <v>391198.78</v>
      </c>
      <c r="G41" s="1893">
        <f>+'RS 0000 &amp; 1400'!H121+'RS 0653'!H52+'RS 0654'!H60+'RS 0655'!H54+'RS 1100'!H40+'RS 0032'!H51+'RS 0049'!H51+'RS 0103'!H51</f>
        <v>352362</v>
      </c>
      <c r="H41" s="1947">
        <f>'RS 0000 &amp; 1400'!L121+'RS 0032'!L51+'RS 0103'!L51+'RS 0617'!L50+'RS 0653'!L52+'RS 0654'!L60+'RS 0655'!L54+'RS 1100'!L40</f>
        <v>312903</v>
      </c>
      <c r="I41" s="1918">
        <f>'RS 0000 &amp; 1400'!P121+'RS 0032'!P51+'RS 0103'!P51+'RS 0617'!P50+'RS 0653'!P52+'RS 0654'!P60+'RS 0655'!P54+'RS 1100'!P40</f>
        <v>313836</v>
      </c>
      <c r="J41" s="2197">
        <f>'RS 0000 &amp; 1400'!T121+'RS 0032'!T51+'RS 0103'!T51+'RS 0617'!T50+'RS 0653'!T52+'RS 0654'!T60+'RS 0655'!T54+'RS 1100'!T40</f>
        <v>319018</v>
      </c>
      <c r="K41" s="2023">
        <v>5857426.5626453077</v>
      </c>
      <c r="L41" s="656">
        <v>6150297.890777573</v>
      </c>
      <c r="M41" s="1722">
        <f t="shared" si="10"/>
        <v>-39459</v>
      </c>
      <c r="N41" s="1699">
        <f t="shared" si="11"/>
        <v>-0.11198426618080269</v>
      </c>
      <c r="O41" s="1722">
        <f t="shared" si="12"/>
        <v>933</v>
      </c>
      <c r="P41" s="1699">
        <f t="shared" si="13"/>
        <v>2.981754729101351E-3</v>
      </c>
      <c r="Q41" s="1722">
        <f t="shared" si="4"/>
        <v>5182</v>
      </c>
      <c r="R41" s="1699">
        <f t="shared" si="5"/>
        <v>1.6511808715380008E-2</v>
      </c>
      <c r="S41" s="1712"/>
      <c r="T41" s="1641" t="s">
        <v>909</v>
      </c>
      <c r="U41" s="1642"/>
      <c r="V41" s="1642"/>
      <c r="W41" s="1618"/>
      <c r="X41" s="1583"/>
      <c r="Y41" s="1583"/>
      <c r="Z41" s="1141"/>
      <c r="AA41" s="1149"/>
      <c r="AB41" s="1148"/>
      <c r="AC41" s="1148"/>
      <c r="AD41" s="1148"/>
      <c r="AE41" s="1148"/>
      <c r="AF41" s="1141"/>
      <c r="AG41" s="1141"/>
      <c r="AH41" s="1148"/>
      <c r="AI41" s="1148"/>
      <c r="AJ41" s="1148"/>
      <c r="AK41" s="1148"/>
      <c r="AL41" s="1141"/>
      <c r="AM41" s="1148"/>
      <c r="AN41" s="1149"/>
      <c r="AO41" s="1149"/>
      <c r="AP41" s="1149"/>
      <c r="AQ41" s="1149"/>
    </row>
    <row r="42" spans="1:43" ht="18" x14ac:dyDescent="0.25">
      <c r="A42" s="1235"/>
      <c r="B42" s="1199"/>
      <c r="C42" s="1200"/>
      <c r="D42" s="731" t="s">
        <v>92</v>
      </c>
      <c r="E42" s="621"/>
      <c r="F42" s="979">
        <f>+'RS 0000 &amp; 1400'!D122+'RS 0653'!D53+'RS 0654'!D61+'RS 0655'!D55</f>
        <v>340626.19</v>
      </c>
      <c r="G42" s="1893">
        <f>+'RS 0000 &amp; 1400'!H122+'RS 0653'!H53+'RS 0654'!H61+'RS 0655'!H55+'RS 1100'!H41+'RS 0032'!H52+'RS 0049'!H52+'RS 0103'!H52</f>
        <v>329794</v>
      </c>
      <c r="H42" s="1947">
        <f>'RS 0000 &amp; 1400'!L122+'RS 0032'!L52+'RS 0103'!L52+'RS 0617'!L51+'RS 0653'!L53+'RS 0654'!L61+'RS 0655'!L55+'RS 1100'!L41</f>
        <v>331389</v>
      </c>
      <c r="I42" s="1918">
        <f>'RS 0000 &amp; 1400'!P122+'RS 0032'!P52+'RS 0103'!P52+'RS 0617'!P51+'RS 0653'!P53+'RS 0654'!P61+'RS 0655'!P55+'RS 1100'!P41</f>
        <v>331389</v>
      </c>
      <c r="J42" s="2197">
        <f>'RS 0000 &amp; 1400'!T122+'RS 0032'!T52+'RS 0103'!T52+'RS 0617'!T51+'RS 0653'!T53+'RS 0654'!T61+'RS 0655'!T55+'RS 1100'!T41</f>
        <v>331389</v>
      </c>
      <c r="K42" s="2023"/>
      <c r="L42" s="656"/>
      <c r="M42" s="1722">
        <f t="shared" si="10"/>
        <v>1595</v>
      </c>
      <c r="N42" s="1699">
        <f t="shared" si="11"/>
        <v>4.8363523896735542E-3</v>
      </c>
      <c r="O42" s="1722">
        <f t="shared" si="12"/>
        <v>0</v>
      </c>
      <c r="P42" s="1699">
        <f t="shared" si="13"/>
        <v>0</v>
      </c>
      <c r="Q42" s="1722">
        <f t="shared" si="4"/>
        <v>0</v>
      </c>
      <c r="R42" s="1699">
        <f t="shared" si="5"/>
        <v>0</v>
      </c>
      <c r="S42" s="1712"/>
      <c r="T42" s="1654" t="str">
        <f t="shared" ref="T42:W42" si="14">+G2</f>
        <v>2017-2018</v>
      </c>
      <c r="U42" s="1654" t="str">
        <f t="shared" si="14"/>
        <v>2018-2019</v>
      </c>
      <c r="V42" s="1626" t="str">
        <f t="shared" si="14"/>
        <v>2019-2020</v>
      </c>
      <c r="W42" s="1626" t="str">
        <f t="shared" si="14"/>
        <v>2020-2021</v>
      </c>
      <c r="X42" s="1583"/>
      <c r="Y42" s="1141"/>
      <c r="Z42" s="1149"/>
      <c r="AA42" s="1148"/>
      <c r="AB42" s="1148"/>
      <c r="AC42" s="1148"/>
      <c r="AD42" s="1148"/>
      <c r="AE42" s="1141"/>
      <c r="AF42" s="1141"/>
      <c r="AG42" s="1148"/>
      <c r="AH42" s="1148"/>
      <c r="AI42" s="1148"/>
      <c r="AJ42" s="1148"/>
      <c r="AK42" s="1141"/>
      <c r="AL42" s="1148"/>
      <c r="AM42" s="1149"/>
      <c r="AN42" s="1149"/>
      <c r="AO42" s="1149"/>
      <c r="AP42" s="1149"/>
    </row>
    <row r="43" spans="1:43" ht="18" x14ac:dyDescent="0.25">
      <c r="A43" s="1235"/>
      <c r="B43" s="1199"/>
      <c r="C43" s="1200"/>
      <c r="D43" s="731" t="s">
        <v>93</v>
      </c>
      <c r="E43" s="621"/>
      <c r="F43" s="979">
        <f>+'RS 0000 &amp; 1400'!D123+'RS 0653'!D54+'RS 0654'!D62+'RS 0655'!D56</f>
        <v>320777.17000000004</v>
      </c>
      <c r="G43" s="1893">
        <f>+'RS 0000 &amp; 1400'!H123+'RS 0653'!H54+'RS 0654'!H62+'RS 0655'!H56+'RS 1100'!H42+'RS 0032'!H53+'RS 0049'!H53+'RS 0103'!H53</f>
        <v>344495</v>
      </c>
      <c r="H43" s="1947">
        <f>'RS 0000 &amp; 1400'!L123+'RS 0032'!L53+'RS 0103'!L53+'RS 0617'!L52+'RS 0653'!L54+'RS 0654'!L62+'RS 0655'!L56+'RS 1100'!L42</f>
        <v>337773</v>
      </c>
      <c r="I43" s="1918">
        <f>'RS 0000 &amp; 1400'!P123+'RS 0032'!P53+'RS 0103'!P53+'RS 0617'!P52+'RS 0653'!P54+'RS 0654'!P62+'RS 0655'!P56+'RS 1100'!P42</f>
        <v>337773</v>
      </c>
      <c r="J43" s="2197">
        <f>'RS 0000 &amp; 1400'!T123+'RS 0032'!T53+'RS 0103'!T53+'RS 0617'!T52+'RS 0653'!T54+'RS 0654'!T62+'RS 0655'!T56+'RS 1100'!T42</f>
        <v>337773</v>
      </c>
      <c r="K43" s="2023"/>
      <c r="L43" s="656"/>
      <c r="M43" s="1722">
        <f t="shared" si="10"/>
        <v>-6722</v>
      </c>
      <c r="N43" s="1699">
        <f t="shared" si="11"/>
        <v>-1.9512619921914685E-2</v>
      </c>
      <c r="O43" s="1722">
        <f t="shared" si="12"/>
        <v>0</v>
      </c>
      <c r="P43" s="1699">
        <f t="shared" si="13"/>
        <v>0</v>
      </c>
      <c r="Q43" s="1722">
        <f t="shared" si="4"/>
        <v>0</v>
      </c>
      <c r="R43" s="1699">
        <f t="shared" si="5"/>
        <v>0</v>
      </c>
      <c r="S43" s="1712"/>
      <c r="T43" s="1642">
        <f>+SUM(G35:G43)</f>
        <v>11531347.15</v>
      </c>
      <c r="U43" s="1642">
        <f>+SUM(H35:H43)</f>
        <v>12661382</v>
      </c>
      <c r="V43" s="1403">
        <f>+SUM(I35:I43)</f>
        <v>13721285</v>
      </c>
      <c r="W43" s="1403">
        <f>+SUM(J35:J43)</f>
        <v>14598488</v>
      </c>
      <c r="X43" s="1583"/>
      <c r="Y43" s="1141"/>
      <c r="Z43" s="1149"/>
      <c r="AA43" s="1148"/>
      <c r="AB43" s="1148"/>
      <c r="AC43" s="1148"/>
      <c r="AD43" s="1148"/>
      <c r="AE43" s="1141"/>
      <c r="AF43" s="1141"/>
      <c r="AG43" s="1148"/>
      <c r="AH43" s="1148"/>
      <c r="AI43" s="1148"/>
      <c r="AJ43" s="1148"/>
      <c r="AK43" s="1141"/>
      <c r="AL43" s="1148"/>
      <c r="AM43" s="1149"/>
      <c r="AN43" s="1149"/>
      <c r="AO43" s="1149"/>
      <c r="AP43" s="1149"/>
    </row>
    <row r="44" spans="1:43" ht="27" customHeight="1" x14ac:dyDescent="0.25">
      <c r="A44" s="1218"/>
      <c r="B44" s="1178"/>
      <c r="C44" s="731" t="s">
        <v>355</v>
      </c>
      <c r="D44" s="731"/>
      <c r="E44" s="619"/>
      <c r="F44" s="970">
        <f>+'RS 0000 &amp; 1400'!D141+'RS 0653'!D71+'RS 0654'!D79+'RS 0655'!D73+'RS 1100'!D59</f>
        <v>843522.15000000014</v>
      </c>
      <c r="G44" s="1893">
        <f>+'RS 0000 &amp; 1400'!H141+'RS 0653'!H71+'RS 0654'!H79+'RS 0655'!H73+'RS 1100'!H59+'RS 0032'!H70+'RS 0049'!H70+'RS 0103'!H70</f>
        <v>1095890</v>
      </c>
      <c r="H44" s="1947">
        <f>+'RS 0000 &amp; 1400'!L141+'RS 0653'!L71+'RS 0654'!L79+'RS 0655'!L73+'RS 1100'!L59+'RS 0032'!L70+'RS 0049'!L70+'RS 0103'!L70+'RS 0042'!L70+'RS 0617'!L66-UNRESTRICTED!H45</f>
        <v>1422623</v>
      </c>
      <c r="I44" s="1918">
        <f>+'RS 0000 &amp; 1400'!P141+'RS 0653'!P71+'RS 0654'!P79+'RS 0655'!P73+'RS 1100'!P59+'RS 0032'!P70+'RS 0049'!P70+'RS 0103'!P70+'RS 0042'!P70+'RS 0617'!P66-UNRESTRICTED!I45</f>
        <v>1385622</v>
      </c>
      <c r="J44" s="2190">
        <f>+'RS 0000 &amp; 1400'!T141+'RS 0653'!T71+'RS 0654'!T79+'RS 0655'!T73+'RS 1100'!T59+'RS 0032'!T70+'RS 0049'!T70+'RS 0103'!T70+'RS 0042'!T70+'RS 0617'!T66-UNRESTRICTED!J45</f>
        <v>1377841</v>
      </c>
      <c r="K44" s="1918" t="e">
        <f>(+J44)*(1+#REF!)</f>
        <v>#REF!</v>
      </c>
      <c r="L44" s="647" t="e">
        <f>(+K44)*(1+#REF!)</f>
        <v>#REF!</v>
      </c>
      <c r="M44" s="1722">
        <f t="shared" si="10"/>
        <v>326733</v>
      </c>
      <c r="N44" s="1699">
        <f t="shared" si="11"/>
        <v>0.29814397430399037</v>
      </c>
      <c r="O44" s="1722">
        <f t="shared" si="12"/>
        <v>-37001</v>
      </c>
      <c r="P44" s="1699">
        <f t="shared" si="13"/>
        <v>-2.6008998870396444E-2</v>
      </c>
      <c r="Q44" s="1722">
        <f t="shared" si="4"/>
        <v>-7781</v>
      </c>
      <c r="R44" s="1699">
        <f t="shared" si="5"/>
        <v>-5.6155286218030603E-3</v>
      </c>
      <c r="S44" s="1712"/>
      <c r="T44" s="1642"/>
      <c r="U44" s="1642">
        <f>+U43-T43</f>
        <v>1130034.8499999996</v>
      </c>
      <c r="V44" s="1642">
        <f t="shared" ref="V44:W44" si="15">+V43-U43</f>
        <v>1059903</v>
      </c>
      <c r="W44" s="1642">
        <f t="shared" si="15"/>
        <v>877203</v>
      </c>
      <c r="X44" s="1583"/>
      <c r="Y44" s="1583"/>
      <c r="Z44" s="1141"/>
      <c r="AA44" s="1149"/>
      <c r="AB44" s="1149"/>
      <c r="AC44" s="1149"/>
      <c r="AD44" s="1149"/>
      <c r="AE44" s="1149"/>
      <c r="AF44" s="1141"/>
      <c r="AG44" s="1141"/>
      <c r="AH44" s="1149"/>
      <c r="AI44" s="1149"/>
      <c r="AJ44" s="1149"/>
      <c r="AK44" s="1149"/>
      <c r="AL44" s="1149"/>
      <c r="AM44" s="1149"/>
      <c r="AN44" s="1149"/>
      <c r="AO44" s="1149"/>
      <c r="AP44" s="1149"/>
      <c r="AQ44" s="1149"/>
    </row>
    <row r="45" spans="1:43" s="1147" customFormat="1" ht="36" customHeight="1" x14ac:dyDescent="0.35">
      <c r="A45" s="1235"/>
      <c r="B45" s="1199"/>
      <c r="C45" s="1200"/>
      <c r="D45" s="1204" t="s">
        <v>664</v>
      </c>
      <c r="E45" s="622"/>
      <c r="F45" s="980">
        <f>+'RS 0617'!D66</f>
        <v>1933812.68</v>
      </c>
      <c r="G45" s="1900">
        <f>+'RS 0617'!H66</f>
        <v>300000</v>
      </c>
      <c r="H45" s="1953">
        <f>'RS 0617'!L59</f>
        <v>3100000</v>
      </c>
      <c r="I45" s="1924">
        <f>'RS 0617'!P59</f>
        <v>1000000</v>
      </c>
      <c r="J45" s="2198">
        <f>'RS 0617'!T59</f>
        <v>0</v>
      </c>
      <c r="K45" s="1924">
        <v>350000</v>
      </c>
      <c r="L45" s="657">
        <v>1369212</v>
      </c>
      <c r="M45" s="1722">
        <f t="shared" si="10"/>
        <v>2800000</v>
      </c>
      <c r="N45" s="1699">
        <f t="shared" si="11"/>
        <v>9.3333333333333339</v>
      </c>
      <c r="O45" s="1722">
        <f t="shared" si="12"/>
        <v>-2100000</v>
      </c>
      <c r="P45" s="1699">
        <f t="shared" si="13"/>
        <v>-0.67741935483870963</v>
      </c>
      <c r="Q45" s="1722">
        <f t="shared" si="4"/>
        <v>-1000000</v>
      </c>
      <c r="R45" s="1699">
        <f t="shared" si="5"/>
        <v>-1</v>
      </c>
      <c r="S45" s="1712"/>
      <c r="T45" s="1612"/>
      <c r="U45" s="2272">
        <f>+U44/T43</f>
        <v>9.7996776551818543E-2</v>
      </c>
      <c r="V45" s="2272">
        <f t="shared" ref="V45:W45" si="16">+V44/U43</f>
        <v>8.3711477941349532E-2</v>
      </c>
      <c r="W45" s="2272">
        <f t="shared" si="16"/>
        <v>6.3930091095695488E-2</v>
      </c>
      <c r="X45" s="1583"/>
      <c r="Y45" s="1583"/>
      <c r="Z45" s="1146"/>
      <c r="AA45" s="1149"/>
      <c r="AB45" s="1586"/>
      <c r="AC45" s="1586"/>
      <c r="AD45" s="1586"/>
      <c r="AE45" s="1586"/>
      <c r="AF45" s="1146"/>
      <c r="AG45" s="1146"/>
      <c r="AH45" s="1149"/>
      <c r="AI45" s="1150"/>
      <c r="AJ45" s="1150"/>
      <c r="AK45" s="1150"/>
      <c r="AL45" s="1150"/>
      <c r="AM45" s="1146"/>
      <c r="AN45" s="1146"/>
      <c r="AO45" s="1146"/>
      <c r="AP45" s="1146"/>
      <c r="AQ45" s="1146"/>
    </row>
    <row r="46" spans="1:43" ht="25.5" customHeight="1" x14ac:dyDescent="0.25">
      <c r="A46" s="1218"/>
      <c r="B46" s="1178"/>
      <c r="C46" s="731" t="s">
        <v>356</v>
      </c>
      <c r="D46" s="731"/>
      <c r="E46" s="619"/>
      <c r="F46" s="970">
        <f>+'RS 0000 &amp; 1400'!D185+'RS 0653'!D87+'RS 0654'!D95+'RS 0655'!D95+'RS 1100'!D76+'RS 0617'!D82-F47</f>
        <v>2773265.02</v>
      </c>
      <c r="G46" s="1893">
        <f>+'RS 0000 &amp; 1400'!H185+'RS 0653'!H87+'RS 0654'!H95+'RS 0655'!H95+'RS 1100'!H76+'RS 0617'!H82-G47+'RS 0032'!H83+'RS 0049'!H83+'RS 0103'!H83</f>
        <v>3239594.93</v>
      </c>
      <c r="H46" s="1947">
        <f>+'RS 0000 &amp; 1400'!L185+'RS 0653'!L87+'RS 0654'!L95+'RS 0655'!L95+'RS 1100'!L76+'RS 0617'!L82-H47+'RS 0032'!L83+'RS 0049'!L83+'RS 0103'!L83</f>
        <v>3123687</v>
      </c>
      <c r="I46" s="1918">
        <f>+'RS 0000 &amp; 1400'!P185+'RS 0653'!P87+'RS 0654'!P95+'RS 0655'!P95+'RS 1100'!P76+'RS 0617'!P82-I47+'RS 0032'!P83+'RS 0049'!P83+'RS 0103'!P83</f>
        <v>3013194</v>
      </c>
      <c r="J46" s="2190">
        <f>+'RS 0000 &amp; 1400'!T185+'RS 0653'!T87+'RS 0654'!T95+'RS 0655'!T95+'RS 1100'!T76+'RS 0617'!T82-J47+'RS 0032'!T83+'RS 0049'!T83+'RS 0103'!T83</f>
        <v>3068395</v>
      </c>
      <c r="K46" s="1918" t="e">
        <f>(+J46)*(1+#REF!)</f>
        <v>#REF!</v>
      </c>
      <c r="L46" s="647" t="e">
        <f>(+K46)*(1+#REF!)</f>
        <v>#REF!</v>
      </c>
      <c r="M46" s="1722">
        <f t="shared" si="10"/>
        <v>-115907.93000000017</v>
      </c>
      <c r="N46" s="1699">
        <f t="shared" si="11"/>
        <v>-3.5778525557823418E-2</v>
      </c>
      <c r="O46" s="1722">
        <f t="shared" si="12"/>
        <v>-110493</v>
      </c>
      <c r="P46" s="1699">
        <f t="shared" si="13"/>
        <v>-3.5372622160927132E-2</v>
      </c>
      <c r="Q46" s="1722">
        <f t="shared" si="4"/>
        <v>55201</v>
      </c>
      <c r="R46" s="1699">
        <f t="shared" si="5"/>
        <v>1.8319763015590764E-2</v>
      </c>
      <c r="S46" s="1712"/>
      <c r="T46" s="1642"/>
      <c r="U46" s="1642"/>
      <c r="V46" s="1642"/>
      <c r="W46" s="1618"/>
      <c r="X46" s="1583"/>
      <c r="Y46" s="1583"/>
      <c r="Z46" s="1141"/>
      <c r="AA46" s="1149"/>
      <c r="AB46" s="1149"/>
      <c r="AC46" s="1149"/>
      <c r="AD46" s="1149"/>
      <c r="AE46" s="1149"/>
      <c r="AF46" s="1141"/>
      <c r="AG46" s="1141"/>
      <c r="AH46" s="1149"/>
      <c r="AI46" s="1150"/>
      <c r="AJ46" s="1150"/>
      <c r="AK46" s="1150"/>
      <c r="AL46" s="1150"/>
      <c r="AM46" s="1141"/>
      <c r="AN46" s="1141"/>
      <c r="AO46" s="1141"/>
      <c r="AP46" s="1141"/>
      <c r="AQ46" s="1141"/>
    </row>
    <row r="47" spans="1:43" ht="18" x14ac:dyDescent="0.25">
      <c r="A47" s="1218"/>
      <c r="B47" s="1178"/>
      <c r="C47" s="731"/>
      <c r="D47" s="1204" t="s">
        <v>660</v>
      </c>
      <c r="E47" s="619"/>
      <c r="F47" s="980">
        <f>+'RS 0617'!D82</f>
        <v>33700.58</v>
      </c>
      <c r="G47" s="1900">
        <f>+'RS 0617'!H82</f>
        <v>48576</v>
      </c>
      <c r="H47" s="1954">
        <f>+'RS 0617'!L82</f>
        <v>300895</v>
      </c>
      <c r="I47" s="1924">
        <f>+'RS 0617'!P82</f>
        <v>300000</v>
      </c>
      <c r="J47" s="2198">
        <f>+'RS 0617'!T82</f>
        <v>300000</v>
      </c>
      <c r="K47" s="1924"/>
      <c r="L47" s="657"/>
      <c r="M47" s="1722">
        <f t="shared" si="10"/>
        <v>252319</v>
      </c>
      <c r="N47" s="1699">
        <f t="shared" si="11"/>
        <v>5.1943140645586299</v>
      </c>
      <c r="O47" s="1722">
        <f t="shared" si="12"/>
        <v>-895</v>
      </c>
      <c r="P47" s="1699">
        <f t="shared" si="13"/>
        <v>-2.974459529071603E-3</v>
      </c>
      <c r="Q47" s="1722">
        <f t="shared" si="4"/>
        <v>0</v>
      </c>
      <c r="R47" s="1699">
        <f t="shared" si="5"/>
        <v>0</v>
      </c>
      <c r="T47" s="1642">
        <f>+F46+F47</f>
        <v>2806965.6</v>
      </c>
      <c r="U47" s="1642">
        <f>+G46+G47</f>
        <v>3288170.93</v>
      </c>
      <c r="V47" s="1642">
        <f>+H46+H47</f>
        <v>3424582</v>
      </c>
      <c r="W47" s="1642">
        <f>+I46+I47</f>
        <v>3313194</v>
      </c>
      <c r="X47" s="1583"/>
      <c r="Y47" s="1583"/>
      <c r="Z47" s="1141"/>
      <c r="AA47" s="1149"/>
      <c r="AB47" s="1149"/>
      <c r="AC47" s="1149"/>
      <c r="AD47" s="1149"/>
      <c r="AE47" s="1149"/>
      <c r="AF47" s="1141"/>
      <c r="AG47" s="1141"/>
      <c r="AH47" s="1149"/>
      <c r="AI47" s="1150"/>
      <c r="AJ47" s="1150"/>
      <c r="AK47" s="1150"/>
      <c r="AL47" s="1150"/>
      <c r="AM47" s="1141"/>
      <c r="AN47" s="1141"/>
      <c r="AO47" s="1141"/>
      <c r="AP47" s="1141"/>
      <c r="AQ47" s="1141"/>
    </row>
    <row r="48" spans="1:43" s="1147" customFormat="1" ht="25.5" customHeight="1" x14ac:dyDescent="0.25">
      <c r="A48" s="1218"/>
      <c r="B48" s="1178"/>
      <c r="C48" s="731" t="s">
        <v>328</v>
      </c>
      <c r="D48" s="731"/>
      <c r="E48" s="619"/>
      <c r="F48" s="970">
        <f>+'RS 0000 &amp; 1400'!D191+'RS 1100'!D82</f>
        <v>25000</v>
      </c>
      <c r="G48" s="1893">
        <f>+'RS 0000 &amp; 1400'!H191+'RS 1100'!H82+'RS 0655'!H101</f>
        <v>9153</v>
      </c>
      <c r="H48" s="1947">
        <f>+'RS 0000 &amp; 1400'!L191+'RS 1100'!L82+'RS 0655'!L101</f>
        <v>0</v>
      </c>
      <c r="I48" s="1918">
        <f>+'RS 0000 &amp; 1400'!P191+'RS 1100'!P82+'RS 0655'!P101</f>
        <v>0</v>
      </c>
      <c r="J48" s="2190">
        <f>+'RS 0000 &amp; 1400'!T191+'RS 1100'!T82+'RS 0655'!T101</f>
        <v>0</v>
      </c>
      <c r="K48" s="1918" t="e">
        <f>(+J48)*(1+#REF!)</f>
        <v>#REF!</v>
      </c>
      <c r="L48" s="647" t="e">
        <f>(+K48)*(1+#REF!)</f>
        <v>#REF!</v>
      </c>
      <c r="M48" s="1722">
        <f t="shared" si="10"/>
        <v>-9153</v>
      </c>
      <c r="N48" s="1699">
        <f t="shared" si="11"/>
        <v>-1</v>
      </c>
      <c r="O48" s="1722">
        <f t="shared" si="12"/>
        <v>0</v>
      </c>
      <c r="P48" s="1699">
        <f t="shared" si="13"/>
        <v>0</v>
      </c>
      <c r="Q48" s="1722">
        <f t="shared" si="4"/>
        <v>0</v>
      </c>
      <c r="R48" s="1699">
        <f t="shared" si="5"/>
        <v>0</v>
      </c>
      <c r="S48" s="1712"/>
      <c r="T48" s="1642"/>
      <c r="U48" s="1642"/>
      <c r="V48" s="1642"/>
      <c r="W48" s="1618"/>
      <c r="X48" s="1583"/>
      <c r="Y48" s="1583"/>
      <c r="Z48" s="1146"/>
      <c r="AA48" s="1588"/>
      <c r="AB48" s="1149"/>
      <c r="AC48" s="1149"/>
      <c r="AD48" s="1149"/>
      <c r="AE48" s="1149"/>
      <c r="AF48" s="1146"/>
      <c r="AG48" s="1146"/>
      <c r="AH48" s="1148"/>
      <c r="AI48" s="1150"/>
      <c r="AJ48" s="1150"/>
      <c r="AK48" s="1150"/>
      <c r="AL48" s="1150"/>
      <c r="AM48" s="1146"/>
      <c r="AN48" s="1146"/>
      <c r="AO48" s="1146"/>
      <c r="AP48" s="1146"/>
      <c r="AQ48" s="1146"/>
    </row>
    <row r="49" spans="1:43" ht="18" x14ac:dyDescent="0.25">
      <c r="A49" s="1218"/>
      <c r="B49" s="1178"/>
      <c r="C49" s="731" t="s">
        <v>357</v>
      </c>
      <c r="D49" s="731"/>
      <c r="E49" s="619"/>
      <c r="F49" s="970">
        <f>+'RS 0000 &amp; 1400'!D194+'RS 0000 &amp; 1400'!D195</f>
        <v>121634.83</v>
      </c>
      <c r="G49" s="1893">
        <f>+'RS 0000 &amp; 1400'!H194+'RS 0000 &amp; 1400'!H195+'RS 0000 &amp; 1400'!H198</f>
        <v>197959</v>
      </c>
      <c r="H49" s="1947">
        <f>+'RS 0000 &amp; 1400'!L194+'RS 0000 &amp; 1400'!L195+'RS 0000 &amp; 1400'!L198</f>
        <v>173251</v>
      </c>
      <c r="I49" s="1918">
        <f>+'RS 0000 &amp; 1400'!P194+'RS 0000 &amp; 1400'!P195+'RS 0000 &amp; 1400'!P198</f>
        <v>173251</v>
      </c>
      <c r="J49" s="2190">
        <f>+'RS 0000 &amp; 1400'!T194+'RS 0000 &amp; 1400'!T195+'RS 0000 &amp; 1400'!T198</f>
        <v>173251</v>
      </c>
      <c r="K49" s="1918" t="e">
        <f>(+J49)*(1+#REF!)</f>
        <v>#REF!</v>
      </c>
      <c r="L49" s="647" t="e">
        <f>(+K49)*(1+#REF!)</f>
        <v>#REF!</v>
      </c>
      <c r="M49" s="1722">
        <f t="shared" si="10"/>
        <v>-24708</v>
      </c>
      <c r="N49" s="1699">
        <f t="shared" si="11"/>
        <v>-0.12481372405397077</v>
      </c>
      <c r="O49" s="1722">
        <f t="shared" si="12"/>
        <v>0</v>
      </c>
      <c r="P49" s="1699">
        <f t="shared" si="13"/>
        <v>0</v>
      </c>
      <c r="Q49" s="1722">
        <f t="shared" si="4"/>
        <v>0</v>
      </c>
      <c r="R49" s="1699">
        <f t="shared" si="5"/>
        <v>0</v>
      </c>
      <c r="S49" s="1712"/>
      <c r="T49" s="1642"/>
      <c r="U49" s="1642"/>
      <c r="V49" s="1642"/>
      <c r="W49" s="1618"/>
      <c r="X49" s="1583"/>
      <c r="Y49" s="1583"/>
      <c r="Z49" s="1141"/>
      <c r="AA49" s="1148"/>
      <c r="AB49" s="1149"/>
      <c r="AC49" s="1149"/>
      <c r="AD49" s="1149"/>
      <c r="AE49" s="1149"/>
      <c r="AF49" s="1141"/>
      <c r="AG49" s="1141"/>
      <c r="AH49" s="1588"/>
      <c r="AI49" s="1150"/>
      <c r="AJ49" s="1150"/>
      <c r="AK49" s="1150"/>
      <c r="AL49" s="1150"/>
      <c r="AM49" s="1141"/>
      <c r="AN49" s="1141"/>
      <c r="AO49" s="1141"/>
      <c r="AP49" s="1141"/>
      <c r="AQ49" s="1141"/>
    </row>
    <row r="50" spans="1:43" ht="18" x14ac:dyDescent="0.25">
      <c r="A50" s="1229"/>
      <c r="B50" s="1181"/>
      <c r="C50" s="1182" t="s">
        <v>358</v>
      </c>
      <c r="D50" s="1182"/>
      <c r="E50" s="625"/>
      <c r="F50" s="971">
        <f>+'RS 0000 &amp; 1400'!D196+'RS 0000 &amp; 1400'!D197</f>
        <v>-694543.14</v>
      </c>
      <c r="G50" s="1897">
        <f>+'RS 0000 &amp; 1400'!H196+'RS 0000 &amp; 1400'!H197</f>
        <v>-895066</v>
      </c>
      <c r="H50" s="1948">
        <f>+'RS 0000 &amp; 1400'!L196+'RS 0000 &amp; 1400'!L197</f>
        <v>-1129223</v>
      </c>
      <c r="I50" s="1922">
        <f>+'RS 0000 &amp; 1400'!P196+'RS 0000 &amp; 1400'!P197</f>
        <v>-1167165</v>
      </c>
      <c r="J50" s="2191">
        <f>+'RS 0000 &amp; 1400'!T196+'RS 0000 &amp; 1400'!T197</f>
        <v>-1206382</v>
      </c>
      <c r="K50" s="1922" t="e">
        <f>(+J50)*(1+#REF!)</f>
        <v>#REF!</v>
      </c>
      <c r="L50" s="649" t="e">
        <f>(+K50)*(1+#REF!)</f>
        <v>#REF!</v>
      </c>
      <c r="M50" s="1722">
        <f t="shared" si="10"/>
        <v>-234157</v>
      </c>
      <c r="N50" s="1699">
        <f t="shared" si="11"/>
        <v>0.26160864115048499</v>
      </c>
      <c r="O50" s="1722">
        <f t="shared" si="12"/>
        <v>-37942</v>
      </c>
      <c r="P50" s="1699">
        <f t="shared" si="13"/>
        <v>3.3600094932533256E-2</v>
      </c>
      <c r="Q50" s="1722">
        <f t="shared" si="4"/>
        <v>-39217</v>
      </c>
      <c r="R50" s="1699">
        <f t="shared" si="5"/>
        <v>3.36002193348841E-2</v>
      </c>
      <c r="S50" s="1712"/>
      <c r="T50" s="1642"/>
      <c r="U50" s="1642"/>
      <c r="V50" s="1642"/>
      <c r="W50" s="1618"/>
      <c r="X50" s="1583"/>
      <c r="Y50" s="1583"/>
      <c r="Z50" s="1141"/>
      <c r="AA50" s="1149"/>
      <c r="AB50" s="1149"/>
      <c r="AC50" s="1149"/>
      <c r="AD50" s="1149"/>
      <c r="AE50" s="1149"/>
      <c r="AF50" s="1141"/>
      <c r="AG50" s="1141"/>
      <c r="AH50" s="1148"/>
      <c r="AI50" s="1150"/>
      <c r="AJ50" s="1150"/>
      <c r="AK50" s="1150"/>
      <c r="AL50" s="1150"/>
      <c r="AM50" s="1141"/>
      <c r="AN50" s="1141"/>
      <c r="AO50" s="1141"/>
      <c r="AP50" s="1141"/>
      <c r="AQ50" s="1141"/>
    </row>
    <row r="51" spans="1:43" ht="18.75" thickBot="1" x14ac:dyDescent="0.3">
      <c r="A51" s="1183"/>
      <c r="B51" s="1184" t="s">
        <v>359</v>
      </c>
      <c r="C51" s="1192"/>
      <c r="D51" s="1192"/>
      <c r="E51" s="624"/>
      <c r="F51" s="967">
        <f>SUM(F28:F50)</f>
        <v>53312046.249999993</v>
      </c>
      <c r="G51" s="1894">
        <f>SUM(G28:G50)</f>
        <v>54468602.439999998</v>
      </c>
      <c r="H51" s="1944">
        <f t="shared" ref="H51:L51" si="17">SUM(H28:H50)</f>
        <v>58809197</v>
      </c>
      <c r="I51" s="1920">
        <f t="shared" si="17"/>
        <v>57655797</v>
      </c>
      <c r="J51" s="2187">
        <f t="shared" si="17"/>
        <v>58189054</v>
      </c>
      <c r="K51" s="1920" t="e">
        <f t="shared" si="17"/>
        <v>#REF!</v>
      </c>
      <c r="L51" s="654" t="e">
        <f t="shared" si="17"/>
        <v>#REF!</v>
      </c>
      <c r="M51" s="1722">
        <f t="shared" si="10"/>
        <v>4340594.5600000024</v>
      </c>
      <c r="N51" s="1699">
        <f t="shared" si="11"/>
        <v>7.9689846362065067E-2</v>
      </c>
      <c r="O51" s="1722">
        <f t="shared" si="12"/>
        <v>-1153400</v>
      </c>
      <c r="P51" s="1699">
        <f t="shared" si="13"/>
        <v>-1.9612578624394413E-2</v>
      </c>
      <c r="Q51" s="1722">
        <f t="shared" si="4"/>
        <v>533257</v>
      </c>
      <c r="R51" s="1699">
        <f t="shared" si="5"/>
        <v>9.2489745653849872E-3</v>
      </c>
      <c r="S51" s="1712"/>
      <c r="T51" s="1612"/>
      <c r="U51" s="1612"/>
      <c r="V51" s="1612"/>
      <c r="W51" s="1619"/>
      <c r="X51" s="1141"/>
      <c r="Y51" s="1141"/>
      <c r="Z51" s="1141"/>
      <c r="AA51" s="1149"/>
      <c r="AB51" s="1148"/>
      <c r="AC51" s="1148"/>
      <c r="AD51" s="1148"/>
      <c r="AE51" s="1148"/>
      <c r="AF51" s="1141"/>
      <c r="AG51" s="1141"/>
      <c r="AH51" s="1149"/>
      <c r="AI51" s="1150"/>
      <c r="AJ51" s="1150"/>
      <c r="AK51" s="1150"/>
      <c r="AL51" s="1150"/>
      <c r="AM51" s="1141"/>
      <c r="AN51" s="1141"/>
      <c r="AO51" s="1141"/>
      <c r="AP51" s="1141"/>
      <c r="AQ51" s="1141"/>
    </row>
    <row r="52" spans="1:43" ht="18.75" thickTop="1" x14ac:dyDescent="0.25">
      <c r="A52" s="1226"/>
      <c r="B52" s="1227"/>
      <c r="C52" s="1228"/>
      <c r="D52" s="1228"/>
      <c r="E52" s="690"/>
      <c r="F52" s="981"/>
      <c r="G52" s="1901"/>
      <c r="H52" s="1955"/>
      <c r="I52" s="1925"/>
      <c r="J52" s="2199"/>
      <c r="K52" s="1925"/>
      <c r="L52" s="691"/>
      <c r="M52" s="1722"/>
      <c r="N52" s="1699"/>
      <c r="O52" s="1722"/>
      <c r="P52" s="1699"/>
      <c r="Q52" s="1722">
        <f t="shared" si="4"/>
        <v>0</v>
      </c>
      <c r="R52" s="1699">
        <f t="shared" si="5"/>
        <v>0</v>
      </c>
      <c r="S52" s="1712"/>
      <c r="T52" s="1637"/>
      <c r="U52" s="1636"/>
      <c r="V52" s="1636"/>
      <c r="W52" s="1617"/>
      <c r="X52" s="1149"/>
      <c r="Y52" s="1149"/>
      <c r="Z52" s="1149"/>
      <c r="AA52" s="1141"/>
      <c r="AB52" s="1141"/>
      <c r="AC52" s="1149"/>
      <c r="AD52" s="1149"/>
      <c r="AE52" s="1149"/>
      <c r="AF52" s="1149"/>
      <c r="AG52" s="1149"/>
      <c r="AH52" s="1141"/>
      <c r="AI52" s="1141"/>
      <c r="AJ52" s="1141"/>
      <c r="AK52" s="1141"/>
      <c r="AL52" s="1141"/>
      <c r="AM52" s="1141"/>
      <c r="AN52" s="1141"/>
      <c r="AO52" s="1141"/>
      <c r="AP52" s="1141"/>
      <c r="AQ52" s="1141"/>
    </row>
    <row r="53" spans="1:43" ht="18" x14ac:dyDescent="0.25">
      <c r="A53" s="1215"/>
      <c r="B53" s="1173" t="s">
        <v>705</v>
      </c>
      <c r="C53" s="1174"/>
      <c r="D53" s="1174"/>
      <c r="E53" s="661"/>
      <c r="F53" s="982"/>
      <c r="G53" s="1896"/>
      <c r="H53" s="1946"/>
      <c r="I53" s="749"/>
      <c r="J53" s="2200"/>
      <c r="K53" s="749"/>
      <c r="L53" s="662"/>
      <c r="M53" s="1722"/>
      <c r="N53" s="1699"/>
      <c r="O53" s="1722"/>
      <c r="P53" s="1699"/>
      <c r="Q53" s="1722">
        <f t="shared" si="4"/>
        <v>0</v>
      </c>
      <c r="R53" s="1699">
        <f t="shared" si="5"/>
        <v>0</v>
      </c>
      <c r="S53" s="1712"/>
      <c r="T53" s="1636"/>
      <c r="U53" s="1636"/>
      <c r="V53" s="1636"/>
      <c r="W53" s="1617"/>
      <c r="X53" s="1149"/>
      <c r="Y53" s="1149"/>
      <c r="Z53" s="1149"/>
      <c r="AA53" s="1141"/>
      <c r="AB53" s="1141"/>
      <c r="AC53" s="1141"/>
      <c r="AD53" s="1141"/>
      <c r="AE53" s="1141"/>
      <c r="AF53" s="1141"/>
      <c r="AG53" s="1141"/>
      <c r="AH53" s="1141"/>
      <c r="AI53" s="1141"/>
      <c r="AJ53" s="1141"/>
      <c r="AK53" s="1141"/>
      <c r="AL53" s="1141"/>
      <c r="AM53" s="1141"/>
      <c r="AN53" s="1141"/>
      <c r="AO53" s="1141"/>
      <c r="AP53" s="1141"/>
      <c r="AQ53" s="1141"/>
    </row>
    <row r="54" spans="1:43" ht="20.25" x14ac:dyDescent="0.4">
      <c r="A54" s="1216"/>
      <c r="B54" s="1176"/>
      <c r="C54" s="739" t="s">
        <v>360</v>
      </c>
      <c r="D54" s="739"/>
      <c r="E54" s="688"/>
      <c r="F54" s="983">
        <f>+'RS 0000 &amp; 1400'!D199+'RS 0000 &amp; 1400'!D200+'RS 0000 &amp; 1400'!D201</f>
        <v>562000</v>
      </c>
      <c r="G54" s="1902">
        <f>+'RS 0000 &amp; 1400'!H199+'RS 0000 &amp; 1400'!H200+'RS 0000 &amp; 1400'!H201+'RS 0000 &amp; 1400'!H202</f>
        <v>562000</v>
      </c>
      <c r="H54" s="1956">
        <f>+'RS 0000 &amp; 1400'!L199+'RS 0000 &amp; 1400'!L200+'RS 0000 &amp; 1400'!L201+'RS 0000 &amp; 1400'!L202</f>
        <v>662000</v>
      </c>
      <c r="I54" s="1926">
        <f>+'RS 0000 &amp; 1400'!P199+'RS 0000 &amp; 1400'!P200+'RS 0000 &amp; 1400'!P201+'RS 0000 &amp; 1400'!P202</f>
        <v>662000</v>
      </c>
      <c r="J54" s="2201">
        <f>+'RS 0000 &amp; 1400'!T199+'RS 0000 &amp; 1400'!T200+'RS 0000 &amp; 1400'!T201+'RS 0000 &amp; 1400'!T202</f>
        <v>662000</v>
      </c>
      <c r="K54" s="1926">
        <f t="shared" ref="K54:L54" si="18">+J54</f>
        <v>662000</v>
      </c>
      <c r="L54" s="689">
        <f t="shared" si="18"/>
        <v>662000</v>
      </c>
      <c r="M54" s="1722">
        <f>+H54-G54</f>
        <v>100000</v>
      </c>
      <c r="N54" s="1699">
        <f>IFERROR(M54/G54,0)</f>
        <v>0.17793594306049823</v>
      </c>
      <c r="O54" s="1722">
        <f>+I54-H54</f>
        <v>0</v>
      </c>
      <c r="P54" s="1699">
        <f>IFERROR(O54/H54,0)</f>
        <v>0</v>
      </c>
      <c r="Q54" s="1722">
        <f t="shared" si="4"/>
        <v>0</v>
      </c>
      <c r="R54" s="1699">
        <f t="shared" si="5"/>
        <v>0</v>
      </c>
      <c r="S54" s="1712"/>
      <c r="T54" s="1636"/>
      <c r="U54" s="1645"/>
      <c r="V54" s="1645"/>
      <c r="W54" s="1620"/>
      <c r="X54" s="1586"/>
      <c r="Y54" s="1586"/>
      <c r="Z54" s="1586"/>
      <c r="AA54" s="1141"/>
      <c r="AB54" s="1141"/>
      <c r="AC54" s="1141"/>
      <c r="AD54" s="1141"/>
      <c r="AE54" s="1141"/>
      <c r="AF54" s="1141"/>
      <c r="AG54" s="1141"/>
      <c r="AH54" s="1141"/>
      <c r="AI54" s="1141"/>
      <c r="AJ54" s="1141"/>
      <c r="AK54" s="1141"/>
      <c r="AL54" s="1141"/>
      <c r="AM54" s="1141"/>
      <c r="AN54" s="1141"/>
      <c r="AO54" s="1141"/>
      <c r="AP54" s="1141"/>
      <c r="AQ54" s="1141"/>
    </row>
    <row r="55" spans="1:43" ht="18" x14ac:dyDescent="0.25">
      <c r="A55" s="1218"/>
      <c r="B55" s="1178"/>
      <c r="C55" s="731" t="s">
        <v>362</v>
      </c>
      <c r="D55" s="731"/>
      <c r="E55" s="619"/>
      <c r="F55" s="970">
        <v>0</v>
      </c>
      <c r="G55" s="1893">
        <v>0</v>
      </c>
      <c r="H55" s="1947">
        <v>0</v>
      </c>
      <c r="I55" s="1918">
        <v>0</v>
      </c>
      <c r="J55" s="2190">
        <v>0</v>
      </c>
      <c r="K55" s="1918">
        <v>0</v>
      </c>
      <c r="L55" s="647">
        <v>0</v>
      </c>
      <c r="M55" s="1722">
        <f>+H55-G55</f>
        <v>0</v>
      </c>
      <c r="N55" s="1699">
        <f>IFERROR(M55/G55,0)</f>
        <v>0</v>
      </c>
      <c r="O55" s="1722">
        <f>+I55-H55</f>
        <v>0</v>
      </c>
      <c r="P55" s="1699">
        <f>IFERROR(O55/H55,0)</f>
        <v>0</v>
      </c>
      <c r="Q55" s="1722">
        <f t="shared" si="4"/>
        <v>0</v>
      </c>
      <c r="R55" s="1699">
        <f t="shared" si="5"/>
        <v>0</v>
      </c>
      <c r="S55" s="1712"/>
      <c r="T55" s="1637"/>
      <c r="U55" s="1636"/>
      <c r="V55" s="1636"/>
      <c r="W55" s="1617"/>
      <c r="X55" s="1149"/>
      <c r="Y55" s="1149"/>
      <c r="Z55" s="1149"/>
      <c r="AA55" s="1141"/>
      <c r="AB55" s="1141"/>
      <c r="AC55" s="1141"/>
      <c r="AD55" s="1141"/>
      <c r="AE55" s="1141"/>
      <c r="AF55" s="1141"/>
      <c r="AG55" s="1141"/>
      <c r="AH55" s="1141"/>
      <c r="AI55" s="1141"/>
      <c r="AJ55" s="1141"/>
      <c r="AK55" s="1141"/>
      <c r="AL55" s="1141"/>
      <c r="AM55" s="1141"/>
      <c r="AN55" s="1141"/>
      <c r="AO55" s="1141"/>
      <c r="AP55" s="1141"/>
      <c r="AQ55" s="1141"/>
    </row>
    <row r="56" spans="1:43" s="1152" customFormat="1" ht="21" thickBot="1" x14ac:dyDescent="0.45">
      <c r="A56" s="1183"/>
      <c r="B56" s="1184" t="s">
        <v>364</v>
      </c>
      <c r="C56" s="1192"/>
      <c r="D56" s="1192"/>
      <c r="E56" s="624">
        <f>+E17-E54+E18+E55+SUM(E20:E22)</f>
        <v>0</v>
      </c>
      <c r="F56" s="967">
        <f>SUM(F54:F55)</f>
        <v>562000</v>
      </c>
      <c r="G56" s="1894">
        <f t="shared" ref="G56:J56" si="19">SUM(G54:G55)</f>
        <v>562000</v>
      </c>
      <c r="H56" s="1944">
        <f t="shared" si="19"/>
        <v>662000</v>
      </c>
      <c r="I56" s="1920">
        <f t="shared" si="19"/>
        <v>662000</v>
      </c>
      <c r="J56" s="2187">
        <f t="shared" si="19"/>
        <v>662000</v>
      </c>
      <c r="K56" s="1920" t="e">
        <f>+K17-K54+K18+K55+K19</f>
        <v>#REF!</v>
      </c>
      <c r="L56" s="654" t="e">
        <f>+L17-L54+L18+L55+L19</f>
        <v>#REF!</v>
      </c>
      <c r="M56" s="1722">
        <f>+H56-G56</f>
        <v>100000</v>
      </c>
      <c r="N56" s="1699">
        <f>IFERROR(M56/G56,0)</f>
        <v>0.17793594306049823</v>
      </c>
      <c r="O56" s="1722">
        <f>+I56-H56</f>
        <v>0</v>
      </c>
      <c r="P56" s="1699">
        <f>IFERROR(O56/H56,0)</f>
        <v>0</v>
      </c>
      <c r="Q56" s="1722">
        <f t="shared" si="4"/>
        <v>0</v>
      </c>
      <c r="R56" s="1699">
        <f t="shared" si="5"/>
        <v>0</v>
      </c>
      <c r="S56" s="1712"/>
      <c r="T56" s="1636"/>
      <c r="U56" s="1645"/>
      <c r="V56" s="1645"/>
      <c r="W56" s="1620"/>
      <c r="X56" s="1586"/>
      <c r="Y56" s="1151"/>
      <c r="Z56" s="1151"/>
      <c r="AA56" s="1151"/>
      <c r="AB56" s="1151"/>
      <c r="AC56" s="1151"/>
      <c r="AD56" s="1151"/>
      <c r="AE56" s="1151"/>
      <c r="AF56" s="1151"/>
      <c r="AG56" s="1151"/>
      <c r="AH56" s="1151"/>
      <c r="AI56" s="1151"/>
      <c r="AJ56" s="1151"/>
      <c r="AK56" s="1151"/>
      <c r="AL56" s="1151"/>
      <c r="AM56" s="1151"/>
      <c r="AN56" s="1151"/>
      <c r="AO56" s="1151"/>
      <c r="AP56" s="1151"/>
      <c r="AQ56" s="1151"/>
    </row>
    <row r="57" spans="1:43" s="1152" customFormat="1" ht="18.75" thickTop="1" x14ac:dyDescent="0.25">
      <c r="A57" s="1230"/>
      <c r="B57" s="1193"/>
      <c r="C57" s="1187"/>
      <c r="D57" s="1187"/>
      <c r="E57" s="1187"/>
      <c r="F57" s="1975"/>
      <c r="G57" s="1187"/>
      <c r="H57" s="1970"/>
      <c r="I57" s="1187"/>
      <c r="J57" s="1974"/>
      <c r="K57" s="2018"/>
      <c r="L57" s="652"/>
      <c r="M57" s="1722"/>
      <c r="N57" s="1699"/>
      <c r="O57" s="1722"/>
      <c r="P57" s="1699"/>
      <c r="Q57" s="1722">
        <f t="shared" si="4"/>
        <v>0</v>
      </c>
      <c r="R57" s="1699">
        <f t="shared" si="5"/>
        <v>0</v>
      </c>
      <c r="S57" s="1712"/>
      <c r="T57" s="1636"/>
      <c r="U57" s="1637"/>
      <c r="V57" s="1637"/>
      <c r="W57" s="1616"/>
      <c r="X57" s="1148"/>
      <c r="Y57" s="1151"/>
      <c r="Z57" s="1151"/>
      <c r="AA57" s="1151"/>
      <c r="AB57" s="1151"/>
      <c r="AC57" s="1151"/>
      <c r="AD57" s="1151"/>
      <c r="AE57" s="1151"/>
      <c r="AF57" s="1151"/>
      <c r="AG57" s="1151"/>
      <c r="AH57" s="1151"/>
      <c r="AI57" s="1151"/>
      <c r="AJ57" s="1151"/>
      <c r="AK57" s="1151"/>
      <c r="AL57" s="1151"/>
      <c r="AM57" s="1151"/>
      <c r="AN57" s="1151"/>
      <c r="AO57" s="1151"/>
      <c r="AP57" s="1151"/>
      <c r="AQ57" s="1151"/>
    </row>
    <row r="58" spans="1:43" s="1154" customFormat="1" ht="25.5" customHeight="1" x14ac:dyDescent="0.25">
      <c r="A58" s="1231"/>
      <c r="B58" s="1232" t="s">
        <v>706</v>
      </c>
      <c r="C58" s="1236"/>
      <c r="D58" s="1236"/>
      <c r="E58" s="692"/>
      <c r="F58" s="985">
        <f>SUM(F51,F56)</f>
        <v>53874046.249999993</v>
      </c>
      <c r="G58" s="985">
        <f t="shared" ref="G58:J58" si="20">SUM(G51,G56)</f>
        <v>55030602.439999998</v>
      </c>
      <c r="H58" s="1047">
        <f t="shared" si="20"/>
        <v>59471197</v>
      </c>
      <c r="I58" s="1016">
        <f t="shared" si="20"/>
        <v>58317797</v>
      </c>
      <c r="J58" s="693">
        <f t="shared" si="20"/>
        <v>58851054</v>
      </c>
      <c r="K58" s="1016"/>
      <c r="L58" s="693"/>
      <c r="M58" s="1722">
        <f>+H58-G58</f>
        <v>4440594.5600000024</v>
      </c>
      <c r="N58" s="1699">
        <f>IFERROR(M58/G58,0)</f>
        <v>8.0693184575647586E-2</v>
      </c>
      <c r="O58" s="1722">
        <f>+I58-H58</f>
        <v>-1153400</v>
      </c>
      <c r="P58" s="1699">
        <f>IFERROR(O58/H58,0)</f>
        <v>-1.9394262402352522E-2</v>
      </c>
      <c r="Q58" s="1722">
        <f t="shared" si="4"/>
        <v>533257</v>
      </c>
      <c r="R58" s="1699">
        <f t="shared" si="5"/>
        <v>9.1439839539892084E-3</v>
      </c>
      <c r="S58" s="1712"/>
      <c r="T58" s="1646"/>
      <c r="U58" s="1647"/>
      <c r="V58" s="1647"/>
      <c r="W58" s="1622"/>
      <c r="X58" s="1171"/>
      <c r="Y58" s="1153"/>
      <c r="Z58" s="1153"/>
      <c r="AA58" s="1153"/>
      <c r="AB58" s="1153"/>
      <c r="AC58" s="1153"/>
      <c r="AD58" s="1153"/>
      <c r="AE58" s="1153"/>
      <c r="AF58" s="1153"/>
      <c r="AG58" s="1153"/>
      <c r="AH58" s="1153"/>
      <c r="AI58" s="1153"/>
      <c r="AJ58" s="1153"/>
      <c r="AK58" s="1153"/>
      <c r="AL58" s="1153"/>
      <c r="AM58" s="1153"/>
      <c r="AN58" s="1153"/>
      <c r="AO58" s="1153"/>
      <c r="AP58" s="1153"/>
      <c r="AQ58" s="1153"/>
    </row>
    <row r="59" spans="1:43" s="1154" customFormat="1" ht="14.25" customHeight="1" x14ac:dyDescent="0.25">
      <c r="A59" s="1237"/>
      <c r="B59" s="1238"/>
      <c r="C59" s="1239"/>
      <c r="D59" s="1240"/>
      <c r="E59" s="1240"/>
      <c r="F59" s="1240"/>
      <c r="G59" s="1240"/>
      <c r="H59" s="1978"/>
      <c r="I59" s="1240"/>
      <c r="J59" s="2202"/>
      <c r="K59" s="753"/>
      <c r="L59" s="753"/>
      <c r="M59" s="1722"/>
      <c r="N59" s="1699"/>
      <c r="O59" s="1722"/>
      <c r="P59" s="1699"/>
      <c r="Q59" s="1722">
        <f t="shared" si="4"/>
        <v>0</v>
      </c>
      <c r="R59" s="1699">
        <f t="shared" si="5"/>
        <v>0</v>
      </c>
      <c r="S59" s="1712"/>
      <c r="T59" s="1646"/>
      <c r="U59" s="1647"/>
      <c r="V59" s="1647"/>
      <c r="W59" s="1622"/>
      <c r="X59" s="1171"/>
      <c r="Y59" s="1153"/>
      <c r="Z59" s="1153"/>
      <c r="AA59" s="1153"/>
      <c r="AB59" s="1153"/>
      <c r="AC59" s="1153"/>
      <c r="AD59" s="1153"/>
      <c r="AE59" s="1153"/>
      <c r="AF59" s="1153"/>
      <c r="AG59" s="1153"/>
      <c r="AH59" s="1153"/>
      <c r="AI59" s="1153"/>
      <c r="AJ59" s="1153"/>
      <c r="AK59" s="1153"/>
      <c r="AL59" s="1153"/>
      <c r="AM59" s="1153"/>
      <c r="AN59" s="1153"/>
      <c r="AO59" s="1153"/>
      <c r="AP59" s="1153"/>
      <c r="AQ59" s="1153"/>
    </row>
    <row r="60" spans="1:43" s="1154" customFormat="1" ht="33" customHeight="1" x14ac:dyDescent="0.25">
      <c r="A60" s="1231"/>
      <c r="B60" s="1232" t="s">
        <v>383</v>
      </c>
      <c r="C60" s="1232"/>
      <c r="D60" s="1232"/>
      <c r="E60" s="694"/>
      <c r="F60" s="986">
        <v>15516669.960000001</v>
      </c>
      <c r="G60" s="986">
        <f>+F62</f>
        <v>15060332.700000003</v>
      </c>
      <c r="H60" s="1049">
        <f>+G62</f>
        <v>13581504.260000005</v>
      </c>
      <c r="I60" s="1017">
        <f>+H62</f>
        <v>11152057.260000005</v>
      </c>
      <c r="J60" s="695">
        <f t="shared" ref="J60:L60" si="21">+I62</f>
        <v>8528485.0800000057</v>
      </c>
      <c r="K60" s="1017">
        <f t="shared" si="21"/>
        <v>6619415.7270999998</v>
      </c>
      <c r="L60" s="695" t="e">
        <f t="shared" si="21"/>
        <v>#REF!</v>
      </c>
      <c r="M60" s="1722">
        <f>+H60-G60</f>
        <v>-1478828.4399999976</v>
      </c>
      <c r="N60" s="1699">
        <f>IFERROR(M60/G60,0)</f>
        <v>-9.8193610291225322E-2</v>
      </c>
      <c r="O60" s="1722">
        <f>+I60-H60</f>
        <v>-2429447</v>
      </c>
      <c r="P60" s="1699">
        <f>IFERROR(O60/H60,0)</f>
        <v>-0.17887908095387947</v>
      </c>
      <c r="Q60" s="1722">
        <f t="shared" si="4"/>
        <v>-2623572.1799999997</v>
      </c>
      <c r="R60" s="1699">
        <f t="shared" si="5"/>
        <v>-0.23525454710586721</v>
      </c>
      <c r="S60" s="1712"/>
      <c r="T60" s="1648"/>
      <c r="U60" s="1649"/>
      <c r="V60" s="1646"/>
      <c r="W60" s="1623"/>
      <c r="X60" s="1170"/>
      <c r="Y60" s="1153"/>
      <c r="Z60" s="1153"/>
      <c r="AA60" s="1153"/>
      <c r="AB60" s="1153"/>
      <c r="AC60" s="1153"/>
      <c r="AD60" s="1153"/>
      <c r="AE60" s="1153"/>
      <c r="AF60" s="1153"/>
      <c r="AG60" s="1153"/>
      <c r="AH60" s="1153"/>
      <c r="AI60" s="1153"/>
      <c r="AJ60" s="1153"/>
      <c r="AK60" s="1153"/>
      <c r="AL60" s="1153"/>
      <c r="AM60" s="1153"/>
      <c r="AN60" s="1153"/>
      <c r="AO60" s="1153"/>
      <c r="AP60" s="1153"/>
      <c r="AQ60" s="1153"/>
    </row>
    <row r="61" spans="1:43" s="1154" customFormat="1" ht="33" customHeight="1" x14ac:dyDescent="0.25">
      <c r="A61" s="1231"/>
      <c r="B61" s="1232" t="s">
        <v>365</v>
      </c>
      <c r="C61" s="1236"/>
      <c r="D61" s="1236"/>
      <c r="E61" s="694"/>
      <c r="F61" s="986">
        <f>F25-F58</f>
        <v>-456337.25999999791</v>
      </c>
      <c r="G61" s="986">
        <f>G25-G58</f>
        <v>-1478828.4399999976</v>
      </c>
      <c r="H61" s="1049">
        <f>H25-H58</f>
        <v>-2429447</v>
      </c>
      <c r="I61" s="1017">
        <f>I25-I58</f>
        <v>-2623572.1799999997</v>
      </c>
      <c r="J61" s="695">
        <f>J25-J58</f>
        <v>-1909069.3529000059</v>
      </c>
      <c r="K61" s="1017" t="e">
        <f>+#REF!+K56</f>
        <v>#REF!</v>
      </c>
      <c r="L61" s="695" t="e">
        <f>+#REF!+L56</f>
        <v>#REF!</v>
      </c>
      <c r="M61" s="1722">
        <f>+H61-G61</f>
        <v>-950618.56000000238</v>
      </c>
      <c r="N61" s="1699">
        <f>IFERROR(M61/G61,0)</f>
        <v>0.64281868963786215</v>
      </c>
      <c r="O61" s="1722">
        <f>+I61-H61</f>
        <v>-194125.1799999997</v>
      </c>
      <c r="P61" s="1699">
        <f>IFERROR(O61/H61,0)</f>
        <v>7.9905089512139885E-2</v>
      </c>
      <c r="Q61" s="1722">
        <f t="shared" si="4"/>
        <v>714502.82709999382</v>
      </c>
      <c r="R61" s="1699">
        <f t="shared" si="5"/>
        <v>-0.27233968729611774</v>
      </c>
      <c r="S61" s="1712"/>
      <c r="T61" s="1650"/>
      <c r="U61" s="1651"/>
      <c r="V61" s="1646"/>
      <c r="W61" s="1623"/>
      <c r="X61" s="1170"/>
      <c r="Y61" s="1153"/>
      <c r="Z61" s="1153"/>
      <c r="AA61" s="1153"/>
      <c r="AB61" s="1153"/>
      <c r="AC61" s="1153"/>
      <c r="AD61" s="1153"/>
      <c r="AE61" s="1153"/>
      <c r="AF61" s="1153"/>
      <c r="AG61" s="1153"/>
      <c r="AH61" s="1153"/>
      <c r="AI61" s="1153"/>
      <c r="AJ61" s="1153"/>
      <c r="AK61" s="1153"/>
      <c r="AL61" s="1153"/>
      <c r="AM61" s="1153"/>
      <c r="AN61" s="1153"/>
      <c r="AO61" s="1153"/>
      <c r="AP61" s="1153"/>
      <c r="AQ61" s="1153"/>
    </row>
    <row r="62" spans="1:43" s="1156" customFormat="1" ht="26.25" customHeight="1" x14ac:dyDescent="0.25">
      <c r="A62" s="1241"/>
      <c r="B62" s="1242" t="s">
        <v>136</v>
      </c>
      <c r="C62" s="1243"/>
      <c r="D62" s="1243"/>
      <c r="E62" s="643"/>
      <c r="F62" s="987">
        <f>F60+F61</f>
        <v>15060332.700000003</v>
      </c>
      <c r="G62" s="987">
        <f>G60+G61</f>
        <v>13581504.260000005</v>
      </c>
      <c r="H62" s="1050">
        <f>H60+H61</f>
        <v>11152057.260000005</v>
      </c>
      <c r="I62" s="1018">
        <f>I60+I61</f>
        <v>8528485.0800000057</v>
      </c>
      <c r="J62" s="672">
        <f>J60+J61</f>
        <v>6619415.7270999998</v>
      </c>
      <c r="K62" s="1018" t="e">
        <f>+#REF!+K61</f>
        <v>#REF!</v>
      </c>
      <c r="L62" s="672" t="e">
        <f>+#REF!+L61</f>
        <v>#REF!</v>
      </c>
      <c r="M62" s="1722">
        <f>+H62-G62</f>
        <v>-2429447</v>
      </c>
      <c r="N62" s="1699">
        <f>IFERROR(M62/G62,0)</f>
        <v>-0.17887908095387947</v>
      </c>
      <c r="O62" s="1722">
        <f>+I62-H62</f>
        <v>-2623572.1799999997</v>
      </c>
      <c r="P62" s="1699">
        <f>IFERROR(O62/H62,0)</f>
        <v>-0.23525454710586721</v>
      </c>
      <c r="Q62" s="1722">
        <f t="shared" si="4"/>
        <v>-1909069.3529000059</v>
      </c>
      <c r="R62" s="1699">
        <f t="shared" si="5"/>
        <v>-0.22384624408582593</v>
      </c>
      <c r="S62" s="1712"/>
      <c r="T62" s="1649"/>
      <c r="U62" s="1649"/>
      <c r="V62" s="1651"/>
      <c r="W62" s="645"/>
      <c r="X62" s="1590"/>
      <c r="Y62" s="1155"/>
      <c r="Z62" s="1155"/>
      <c r="AA62" s="1591"/>
      <c r="AB62" s="1155"/>
      <c r="AC62" s="1155"/>
      <c r="AD62" s="1155"/>
      <c r="AE62" s="1155"/>
      <c r="AF62" s="1155"/>
      <c r="AG62" s="1155"/>
      <c r="AH62" s="1155"/>
      <c r="AI62" s="1155"/>
      <c r="AJ62" s="1155"/>
      <c r="AK62" s="1155"/>
      <c r="AL62" s="1155"/>
      <c r="AM62" s="1155"/>
      <c r="AN62" s="1155"/>
      <c r="AO62" s="1155"/>
      <c r="AP62" s="1155"/>
      <c r="AQ62" s="1155"/>
    </row>
    <row r="63" spans="1:43" s="1152" customFormat="1" ht="18.75" thickBot="1" x14ac:dyDescent="0.3">
      <c r="A63" s="1244"/>
      <c r="B63" s="1245"/>
      <c r="C63" s="1246"/>
      <c r="D63" s="1246"/>
      <c r="E63" s="642"/>
      <c r="F63" s="1761">
        <f>F62/COMBINED!F58</f>
        <v>0.18818670416682493</v>
      </c>
      <c r="G63" s="1761">
        <f>G62/COMBINED!G58</f>
        <v>0.15647853450062332</v>
      </c>
      <c r="H63" s="1762">
        <f>H62/COMBINED!H58</f>
        <v>0.12805859334948708</v>
      </c>
      <c r="I63" s="1763">
        <f>I62/COMBINED!I58</f>
        <v>9.8535031936913695E-2</v>
      </c>
      <c r="J63" s="2203">
        <f>J62/COMBINED!J58</f>
        <v>7.7259781401347927E-2</v>
      </c>
      <c r="K63" s="1019" t="e">
        <f>+K62/(COMBINED!K51+COMBINED!K54+COMBINED!K55)</f>
        <v>#REF!</v>
      </c>
      <c r="L63" s="673" t="e">
        <f>+L62/(COMBINED!L51+COMBINED!L54+COMBINED!L55)</f>
        <v>#REF!</v>
      </c>
      <c r="M63" s="1722"/>
      <c r="N63" s="1711"/>
      <c r="O63" s="1722"/>
      <c r="P63" s="1712"/>
      <c r="Q63" s="1722"/>
      <c r="R63" s="1712"/>
      <c r="S63" s="1712"/>
      <c r="T63" s="1635"/>
      <c r="U63" s="1651"/>
      <c r="V63" s="1635"/>
      <c r="W63" s="627"/>
      <c r="X63" s="1592"/>
      <c r="Y63" s="1151"/>
      <c r="Z63" s="1151"/>
      <c r="AA63" s="1593"/>
      <c r="AB63" s="1151"/>
      <c r="AC63" s="1151"/>
      <c r="AD63" s="1151"/>
      <c r="AE63" s="1151"/>
      <c r="AF63" s="1151"/>
      <c r="AG63" s="1151"/>
      <c r="AH63" s="1151"/>
      <c r="AI63" s="1151"/>
      <c r="AJ63" s="1151"/>
      <c r="AK63" s="1151"/>
      <c r="AL63" s="1151"/>
      <c r="AM63" s="1151"/>
      <c r="AN63" s="1151"/>
      <c r="AO63" s="1151"/>
      <c r="AP63" s="1151"/>
      <c r="AQ63" s="1151"/>
    </row>
    <row r="64" spans="1:43" s="1152" customFormat="1" ht="18.75" thickTop="1" x14ac:dyDescent="0.25">
      <c r="A64" s="1230"/>
      <c r="B64" s="1193"/>
      <c r="C64" s="1194"/>
      <c r="D64" s="1812"/>
      <c r="E64" s="1812"/>
      <c r="F64" s="1812"/>
      <c r="G64" s="1812"/>
      <c r="H64" s="1957"/>
      <c r="I64" s="1812"/>
      <c r="J64" s="2204"/>
      <c r="K64" s="755"/>
      <c r="L64" s="755"/>
      <c r="M64" s="1737"/>
      <c r="N64" s="1695"/>
      <c r="O64" s="1737"/>
      <c r="P64" s="1589"/>
      <c r="Q64" s="1737"/>
      <c r="R64" s="1589"/>
      <c r="S64" s="1589"/>
      <c r="T64" s="1635"/>
      <c r="U64" s="1651"/>
      <c r="V64" s="1635"/>
      <c r="W64" s="627"/>
      <c r="X64" s="1592"/>
      <c r="Y64" s="1151"/>
      <c r="Z64" s="1151"/>
      <c r="AA64" s="1593"/>
      <c r="AB64" s="1151"/>
      <c r="AC64" s="1151"/>
      <c r="AD64" s="1151"/>
      <c r="AE64" s="1151"/>
      <c r="AF64" s="1151"/>
      <c r="AG64" s="1151"/>
      <c r="AH64" s="1151"/>
      <c r="AI64" s="1151"/>
      <c r="AJ64" s="1151"/>
      <c r="AK64" s="1151"/>
      <c r="AL64" s="1151"/>
      <c r="AM64" s="1151"/>
      <c r="AN64" s="1151"/>
      <c r="AO64" s="1151"/>
      <c r="AP64" s="1151"/>
      <c r="AQ64" s="1151"/>
    </row>
    <row r="65" spans="1:43" s="1152" customFormat="1" ht="29.25" customHeight="1" x14ac:dyDescent="0.25">
      <c r="A65" s="1247" t="s">
        <v>366</v>
      </c>
      <c r="B65" s="1248"/>
      <c r="C65" s="1249"/>
      <c r="D65" s="1249"/>
      <c r="E65" s="682"/>
      <c r="F65" s="682"/>
      <c r="G65" s="1903"/>
      <c r="H65" s="1053"/>
      <c r="I65" s="756"/>
      <c r="J65" s="756"/>
      <c r="K65" s="756"/>
      <c r="L65" s="756"/>
      <c r="M65" s="1737"/>
      <c r="N65" s="1695"/>
      <c r="O65" s="1737"/>
      <c r="P65" s="1589"/>
      <c r="Q65" s="1737"/>
      <c r="R65" s="1589"/>
      <c r="S65" s="1589"/>
      <c r="T65" s="1651"/>
      <c r="U65" s="1651"/>
      <c r="V65" s="1651"/>
      <c r="W65" s="1766"/>
      <c r="X65" s="1594"/>
      <c r="Y65" s="1595"/>
      <c r="Z65" s="1595"/>
      <c r="AA65" s="1593"/>
      <c r="AB65" s="1151"/>
      <c r="AC65" s="1151"/>
      <c r="AD65" s="1151"/>
      <c r="AE65" s="1151"/>
      <c r="AF65" s="1151"/>
      <c r="AG65" s="1151"/>
      <c r="AH65" s="1151"/>
      <c r="AI65" s="1151"/>
      <c r="AJ65" s="1151"/>
      <c r="AK65" s="1151"/>
      <c r="AL65" s="1151"/>
      <c r="AM65" s="1151"/>
      <c r="AN65" s="1151"/>
      <c r="AO65" s="1151"/>
      <c r="AP65" s="1151"/>
      <c r="AQ65" s="1151"/>
    </row>
    <row r="66" spans="1:43" s="1152" customFormat="1" ht="21" customHeight="1" x14ac:dyDescent="0.25">
      <c r="A66" s="1250"/>
      <c r="B66" s="1251" t="s">
        <v>891</v>
      </c>
      <c r="C66" s="1252"/>
      <c r="D66" s="1253"/>
      <c r="E66" s="680"/>
      <c r="F66" s="989">
        <f>10000+80800</f>
        <v>90800</v>
      </c>
      <c r="G66" s="1904">
        <v>10000</v>
      </c>
      <c r="H66" s="1958">
        <f>+G66</f>
        <v>10000</v>
      </c>
      <c r="I66" s="1927">
        <f t="shared" ref="I66:L66" si="22">+H66</f>
        <v>10000</v>
      </c>
      <c r="J66" s="2205">
        <f t="shared" si="22"/>
        <v>10000</v>
      </c>
      <c r="K66" s="1927">
        <f t="shared" si="22"/>
        <v>10000</v>
      </c>
      <c r="L66" s="681">
        <f t="shared" si="22"/>
        <v>10000</v>
      </c>
      <c r="M66" s="1737"/>
      <c r="N66" s="1695"/>
      <c r="O66" s="1737"/>
      <c r="P66" s="1589"/>
      <c r="Q66" s="1737"/>
      <c r="R66" s="1589"/>
      <c r="S66" s="1589"/>
      <c r="T66" s="1635"/>
      <c r="U66" s="1651"/>
      <c r="V66" s="1635"/>
      <c r="W66" s="632"/>
      <c r="X66" s="1596"/>
      <c r="Y66" s="1593"/>
      <c r="Z66" s="1593"/>
      <c r="AA66" s="1593"/>
      <c r="AB66" s="1151"/>
      <c r="AC66" s="1151"/>
      <c r="AD66" s="1151"/>
      <c r="AE66" s="1151"/>
      <c r="AF66" s="1151"/>
      <c r="AG66" s="1151"/>
      <c r="AH66" s="1151"/>
      <c r="AI66" s="1151"/>
      <c r="AJ66" s="1151"/>
      <c r="AK66" s="1151"/>
      <c r="AL66" s="1151"/>
      <c r="AM66" s="1151"/>
      <c r="AN66" s="1151"/>
      <c r="AO66" s="1151"/>
      <c r="AP66" s="1151"/>
      <c r="AQ66" s="1151"/>
    </row>
    <row r="67" spans="1:43" s="1152" customFormat="1" ht="21" customHeight="1" x14ac:dyDescent="0.25">
      <c r="A67" s="742"/>
      <c r="B67" s="709" t="s">
        <v>368</v>
      </c>
      <c r="C67" s="710"/>
      <c r="D67" s="1254"/>
      <c r="E67" s="637"/>
      <c r="F67" s="990">
        <v>0</v>
      </c>
      <c r="G67" s="1905">
        <v>0</v>
      </c>
      <c r="H67" s="1959">
        <v>0</v>
      </c>
      <c r="I67" s="1928">
        <v>0</v>
      </c>
      <c r="J67" s="2206">
        <v>0</v>
      </c>
      <c r="K67" s="1928">
        <v>0</v>
      </c>
      <c r="L67" s="674">
        <v>0</v>
      </c>
      <c r="M67" s="1737"/>
      <c r="N67" s="1695"/>
      <c r="O67" s="1737"/>
      <c r="P67" s="1589"/>
      <c r="Q67" s="1737"/>
      <c r="R67" s="1589"/>
      <c r="S67" s="1589"/>
      <c r="T67" s="1635"/>
      <c r="U67" s="1635"/>
      <c r="V67" s="1635"/>
      <c r="W67" s="1635"/>
      <c r="X67" s="1596"/>
      <c r="Y67" s="1593"/>
      <c r="Z67" s="1593"/>
      <c r="AA67" s="1593"/>
      <c r="AB67" s="1151"/>
      <c r="AC67" s="1151"/>
      <c r="AD67" s="1151"/>
      <c r="AE67" s="1151"/>
      <c r="AF67" s="1151"/>
      <c r="AG67" s="1151"/>
      <c r="AH67" s="1151"/>
      <c r="AI67" s="1151"/>
      <c r="AJ67" s="1151"/>
      <c r="AK67" s="1151"/>
      <c r="AL67" s="1151"/>
      <c r="AM67" s="1151"/>
      <c r="AN67" s="1151"/>
      <c r="AO67" s="1151"/>
      <c r="AP67" s="1151"/>
      <c r="AQ67" s="1151"/>
    </row>
    <row r="68" spans="1:43" s="1152" customFormat="1" ht="21" customHeight="1" x14ac:dyDescent="0.25">
      <c r="A68" s="742"/>
      <c r="B68" s="709" t="s">
        <v>369</v>
      </c>
      <c r="C68" s="710"/>
      <c r="D68" s="1254"/>
      <c r="E68" s="637"/>
      <c r="F68" s="990">
        <v>0</v>
      </c>
      <c r="G68" s="1905">
        <v>0</v>
      </c>
      <c r="H68" s="1959">
        <v>0</v>
      </c>
      <c r="I68" s="1928">
        <v>0</v>
      </c>
      <c r="J68" s="2206">
        <v>0</v>
      </c>
      <c r="K68" s="1928">
        <v>0</v>
      </c>
      <c r="L68" s="674">
        <v>0</v>
      </c>
      <c r="M68" s="1737"/>
      <c r="N68" s="1695"/>
      <c r="O68" s="1737"/>
      <c r="P68" s="1589"/>
      <c r="Q68" s="1737"/>
      <c r="R68" s="1589"/>
      <c r="S68" s="1589"/>
      <c r="T68" s="1635"/>
      <c r="U68" s="1635"/>
      <c r="V68" s="1635"/>
      <c r="W68" s="632"/>
      <c r="X68" s="1596"/>
      <c r="Y68" s="1593"/>
      <c r="Z68" s="1593"/>
      <c r="AA68" s="1593"/>
      <c r="AB68" s="1151"/>
      <c r="AC68" s="1151"/>
      <c r="AD68" s="1151"/>
      <c r="AE68" s="1151"/>
      <c r="AF68" s="1151"/>
      <c r="AG68" s="1151"/>
      <c r="AH68" s="1151"/>
      <c r="AI68" s="1151"/>
      <c r="AJ68" s="1151"/>
      <c r="AK68" s="1151"/>
      <c r="AL68" s="1151"/>
      <c r="AM68" s="1151"/>
      <c r="AN68" s="1151"/>
      <c r="AO68" s="1151"/>
      <c r="AP68" s="1151"/>
      <c r="AQ68" s="1151"/>
    </row>
    <row r="69" spans="1:43" s="1152" customFormat="1" ht="21" customHeight="1" x14ac:dyDescent="0.25">
      <c r="A69" s="742"/>
      <c r="B69" s="709" t="s">
        <v>370</v>
      </c>
      <c r="C69" s="710"/>
      <c r="D69" s="1254"/>
      <c r="E69" s="637">
        <f t="shared" ref="E69:J69" si="23">+SUM(E70:E75)</f>
        <v>1427000</v>
      </c>
      <c r="F69" s="990">
        <f t="shared" si="23"/>
        <v>1842391.51</v>
      </c>
      <c r="G69" s="1905">
        <f t="shared" si="23"/>
        <v>2208344.5099999998</v>
      </c>
      <c r="H69" s="1959">
        <f t="shared" si="23"/>
        <v>1091459.51</v>
      </c>
      <c r="I69" s="1928">
        <f t="shared" si="23"/>
        <v>209064.51</v>
      </c>
      <c r="J69" s="2206">
        <f t="shared" si="23"/>
        <v>317344</v>
      </c>
      <c r="K69" s="1928">
        <f t="shared" ref="K69:L69" si="24">+SUM(K70:K75)</f>
        <v>317344</v>
      </c>
      <c r="L69" s="674">
        <f t="shared" si="24"/>
        <v>317344</v>
      </c>
      <c r="M69" s="1737"/>
      <c r="N69" s="1695"/>
      <c r="O69" s="1737"/>
      <c r="P69" s="1589"/>
      <c r="Q69" s="1737"/>
      <c r="R69" s="1589"/>
      <c r="S69" s="1589"/>
      <c r="T69" s="1635"/>
      <c r="U69" s="1635"/>
      <c r="V69" s="1635"/>
      <c r="W69" s="1635"/>
      <c r="X69" s="1596"/>
      <c r="Y69" s="1593"/>
      <c r="Z69" s="1593"/>
      <c r="AA69" s="1593"/>
      <c r="AB69" s="1151"/>
      <c r="AC69" s="1151"/>
      <c r="AD69" s="1151"/>
      <c r="AE69" s="1151"/>
      <c r="AF69" s="1151"/>
      <c r="AG69" s="1151"/>
      <c r="AH69" s="1151"/>
      <c r="AI69" s="1151"/>
      <c r="AJ69" s="1151"/>
      <c r="AK69" s="1151"/>
      <c r="AL69" s="1151"/>
      <c r="AM69" s="1151"/>
      <c r="AN69" s="1151"/>
      <c r="AO69" s="1151"/>
      <c r="AP69" s="1151"/>
      <c r="AQ69" s="1151"/>
    </row>
    <row r="70" spans="1:43" ht="18" x14ac:dyDescent="0.25">
      <c r="A70" s="742"/>
      <c r="B70" s="709"/>
      <c r="C70" s="710" t="s">
        <v>371</v>
      </c>
      <c r="D70" s="1254"/>
      <c r="E70" s="638">
        <v>200000</v>
      </c>
      <c r="F70" s="991">
        <v>200000</v>
      </c>
      <c r="G70" s="1906">
        <f t="shared" ref="G70:I70" si="25">+F70</f>
        <v>200000</v>
      </c>
      <c r="H70" s="1960">
        <f t="shared" si="25"/>
        <v>200000</v>
      </c>
      <c r="I70" s="1929">
        <f t="shared" si="25"/>
        <v>200000</v>
      </c>
      <c r="J70" s="2207">
        <f t="shared" ref="J70:L73" si="26">+I70</f>
        <v>200000</v>
      </c>
      <c r="K70" s="1929">
        <f t="shared" si="26"/>
        <v>200000</v>
      </c>
      <c r="L70" s="960">
        <f t="shared" si="26"/>
        <v>200000</v>
      </c>
      <c r="T70" s="1612"/>
      <c r="U70" s="1612"/>
      <c r="V70" s="1612"/>
      <c r="W70" s="1612"/>
      <c r="X70" s="1597"/>
      <c r="Y70" s="1598"/>
      <c r="Z70" s="1598"/>
      <c r="AA70" s="1598"/>
      <c r="AB70" s="1141"/>
      <c r="AC70" s="1141"/>
      <c r="AD70" s="1141"/>
      <c r="AE70" s="1141"/>
      <c r="AF70" s="1141"/>
      <c r="AG70" s="1141"/>
      <c r="AH70" s="1141"/>
      <c r="AI70" s="1141"/>
      <c r="AJ70" s="1141"/>
      <c r="AK70" s="1141"/>
      <c r="AL70" s="1141"/>
      <c r="AM70" s="1141"/>
      <c r="AN70" s="1141"/>
      <c r="AO70" s="1141"/>
      <c r="AP70" s="1141"/>
      <c r="AQ70" s="1141"/>
    </row>
    <row r="71" spans="1:43" s="1158" customFormat="1" ht="18.75" x14ac:dyDescent="0.3">
      <c r="A71" s="742"/>
      <c r="B71" s="709"/>
      <c r="C71" s="710" t="s">
        <v>372</v>
      </c>
      <c r="D71" s="1254"/>
      <c r="E71" s="638">
        <v>425000</v>
      </c>
      <c r="F71" s="991">
        <v>425000</v>
      </c>
      <c r="G71" s="1906">
        <f>+'RS 0103'!H102</f>
        <v>287663</v>
      </c>
      <c r="H71" s="1961">
        <v>0</v>
      </c>
      <c r="I71" s="1930">
        <v>0</v>
      </c>
      <c r="J71" s="2264">
        <v>0</v>
      </c>
      <c r="K71" s="1929">
        <f t="shared" si="26"/>
        <v>0</v>
      </c>
      <c r="L71" s="960">
        <f t="shared" si="26"/>
        <v>0</v>
      </c>
      <c r="M71" s="1884"/>
      <c r="N71" s="1696"/>
      <c r="O71" s="1738"/>
      <c r="P71" s="1584"/>
      <c r="Q71" s="1738"/>
      <c r="R71" s="1584"/>
      <c r="S71" s="1584"/>
      <c r="T71" s="1652"/>
      <c r="U71" s="1397"/>
      <c r="V71" s="1397"/>
      <c r="W71" s="634"/>
      <c r="X71" s="1600"/>
      <c r="Y71" s="1601"/>
      <c r="Z71" s="1601"/>
      <c r="AA71" s="1602"/>
      <c r="AB71" s="1157"/>
      <c r="AC71" s="1157"/>
      <c r="AD71" s="1157"/>
      <c r="AE71" s="1157"/>
      <c r="AF71" s="1157"/>
      <c r="AG71" s="1157"/>
      <c r="AH71" s="1157"/>
      <c r="AI71" s="1157"/>
      <c r="AJ71" s="1157"/>
      <c r="AK71" s="1157"/>
      <c r="AL71" s="1157"/>
      <c r="AM71" s="1157"/>
      <c r="AN71" s="1157"/>
      <c r="AO71" s="1157"/>
      <c r="AP71" s="1157"/>
      <c r="AQ71" s="1157"/>
    </row>
    <row r="72" spans="1:43" s="1158" customFormat="1" ht="18" x14ac:dyDescent="0.25">
      <c r="A72" s="742"/>
      <c r="B72" s="709"/>
      <c r="C72" s="710" t="s">
        <v>893</v>
      </c>
      <c r="D72" s="1254"/>
      <c r="E72" s="638">
        <v>225000</v>
      </c>
      <c r="F72" s="991">
        <v>401134</v>
      </c>
      <c r="G72" s="1906">
        <f>+'RS 0617'!H89</f>
        <v>1720681.51</v>
      </c>
      <c r="H72" s="1962">
        <f>+'RS 0617'!L89</f>
        <v>891459.51</v>
      </c>
      <c r="I72" s="1931">
        <f>+'RS 0617'!P89</f>
        <v>9064.5100000000093</v>
      </c>
      <c r="J72" s="2265">
        <f>+'RS 0617'!T87</f>
        <v>117344</v>
      </c>
      <c r="K72" s="1932">
        <f t="shared" si="26"/>
        <v>117344</v>
      </c>
      <c r="L72" s="675">
        <f t="shared" si="26"/>
        <v>117344</v>
      </c>
      <c r="M72" s="1885" t="s">
        <v>1072</v>
      </c>
      <c r="N72" s="1697"/>
      <c r="O72" s="1739"/>
      <c r="P72" s="1599"/>
      <c r="Q72" s="1739"/>
      <c r="R72" s="1599"/>
      <c r="S72" s="1599"/>
      <c r="T72" s="1397"/>
      <c r="U72" s="1397"/>
      <c r="V72" s="1397"/>
      <c r="W72" s="634"/>
      <c r="X72" s="1600"/>
      <c r="Y72" s="1601"/>
      <c r="Z72" s="1601"/>
      <c r="AA72" s="1602"/>
      <c r="AB72" s="1157"/>
      <c r="AC72" s="1157"/>
      <c r="AD72" s="1157"/>
      <c r="AE72" s="1157"/>
      <c r="AF72" s="1157"/>
      <c r="AG72" s="1157"/>
      <c r="AH72" s="1157"/>
      <c r="AI72" s="1157"/>
      <c r="AJ72" s="1157"/>
      <c r="AK72" s="1157"/>
      <c r="AL72" s="1157"/>
      <c r="AM72" s="1157"/>
      <c r="AN72" s="1157"/>
      <c r="AO72" s="1157"/>
      <c r="AP72" s="1157"/>
      <c r="AQ72" s="1157"/>
    </row>
    <row r="73" spans="1:43" s="1160" customFormat="1" ht="18" hidden="1" customHeight="1" x14ac:dyDescent="0.25">
      <c r="A73" s="742"/>
      <c r="B73" s="709"/>
      <c r="C73" s="710"/>
      <c r="D73" s="1254"/>
      <c r="E73" s="638">
        <v>577000</v>
      </c>
      <c r="F73" s="991">
        <v>816257.51</v>
      </c>
      <c r="G73" s="1908"/>
      <c r="H73" s="1962"/>
      <c r="I73" s="1931"/>
      <c r="J73" s="2207"/>
      <c r="K73" s="1932">
        <f t="shared" si="26"/>
        <v>0</v>
      </c>
      <c r="L73" s="675">
        <f t="shared" si="26"/>
        <v>0</v>
      </c>
      <c r="M73" s="1884"/>
      <c r="N73" s="1698"/>
      <c r="O73" s="1735"/>
      <c r="P73" s="1603"/>
      <c r="Q73" s="1735"/>
      <c r="R73" s="1603"/>
      <c r="S73" s="1603"/>
      <c r="T73" s="1397"/>
      <c r="U73" s="1397"/>
      <c r="V73" s="1397"/>
      <c r="W73" s="634"/>
      <c r="X73" s="1600"/>
      <c r="Y73" s="1601"/>
      <c r="Z73" s="1601"/>
      <c r="AA73" s="1598"/>
      <c r="AB73" s="1159"/>
      <c r="AC73" s="1159"/>
      <c r="AD73" s="1159"/>
      <c r="AE73" s="1159"/>
      <c r="AF73" s="1159"/>
      <c r="AG73" s="1159"/>
      <c r="AH73" s="1159"/>
      <c r="AI73" s="1159"/>
      <c r="AJ73" s="1159"/>
      <c r="AK73" s="1159"/>
      <c r="AL73" s="1159"/>
      <c r="AM73" s="1159"/>
      <c r="AN73" s="1159"/>
      <c r="AO73" s="1159"/>
      <c r="AP73" s="1159"/>
      <c r="AQ73" s="1159"/>
    </row>
    <row r="74" spans="1:43" s="1160" customFormat="1" ht="18" hidden="1" customHeight="1" x14ac:dyDescent="0.25">
      <c r="A74" s="742"/>
      <c r="B74" s="709"/>
      <c r="C74" s="710"/>
      <c r="D74" s="1254"/>
      <c r="E74" s="638"/>
      <c r="F74" s="991"/>
      <c r="G74" s="1907"/>
      <c r="H74" s="1961"/>
      <c r="I74" s="1930"/>
      <c r="J74" s="2207"/>
      <c r="K74" s="1932"/>
      <c r="L74" s="675"/>
      <c r="M74" s="1884"/>
      <c r="N74" s="1698"/>
      <c r="O74" s="1735"/>
      <c r="P74" s="1603"/>
      <c r="Q74" s="1735"/>
      <c r="R74" s="1603"/>
      <c r="S74" s="1603"/>
      <c r="T74" s="1397"/>
      <c r="U74" s="1397"/>
      <c r="V74" s="1397"/>
      <c r="W74" s="634"/>
      <c r="X74" s="1600"/>
      <c r="Y74" s="1601"/>
      <c r="Z74" s="1601"/>
      <c r="AA74" s="1601"/>
    </row>
    <row r="75" spans="1:43" s="1160" customFormat="1" ht="18" hidden="1" customHeight="1" x14ac:dyDescent="0.25">
      <c r="A75" s="742"/>
      <c r="B75" s="709"/>
      <c r="C75" s="710"/>
      <c r="D75" s="1254"/>
      <c r="E75" s="638"/>
      <c r="F75" s="991"/>
      <c r="G75" s="1906"/>
      <c r="H75" s="1960"/>
      <c r="I75" s="1932"/>
      <c r="J75" s="2207"/>
      <c r="K75" s="1932"/>
      <c r="L75" s="675"/>
      <c r="M75" s="1884"/>
      <c r="N75" s="1698"/>
      <c r="O75" s="1735"/>
      <c r="P75" s="1603"/>
      <c r="Q75" s="1735"/>
      <c r="R75" s="1603"/>
      <c r="S75" s="1603"/>
      <c r="T75" s="1397"/>
      <c r="U75" s="1397"/>
      <c r="V75" s="1397"/>
      <c r="W75" s="634"/>
      <c r="X75" s="1600"/>
      <c r="Y75" s="1601"/>
      <c r="Z75" s="1601"/>
      <c r="AA75" s="1601"/>
    </row>
    <row r="76" spans="1:43" s="1160" customFormat="1" ht="33.75" customHeight="1" x14ac:dyDescent="0.25">
      <c r="A76" s="742"/>
      <c r="B76" s="709" t="s">
        <v>373</v>
      </c>
      <c r="C76" s="710"/>
      <c r="D76" s="1254"/>
      <c r="E76" s="639"/>
      <c r="F76" s="992"/>
      <c r="G76" s="1909"/>
      <c r="H76" s="1963"/>
      <c r="I76" s="1933"/>
      <c r="J76" s="2208"/>
      <c r="K76" s="1933"/>
      <c r="L76" s="676"/>
      <c r="M76" s="1884"/>
      <c r="N76" s="1698"/>
      <c r="O76" s="1735"/>
      <c r="P76" s="1603"/>
      <c r="Q76" s="1735"/>
      <c r="R76" s="1603"/>
      <c r="S76" s="1603"/>
      <c r="T76" s="1397"/>
      <c r="U76" s="1397"/>
      <c r="V76" s="1397"/>
      <c r="W76" s="634"/>
      <c r="X76" s="1600"/>
      <c r="Y76" s="1601"/>
      <c r="Z76" s="1601"/>
      <c r="AA76" s="1601"/>
    </row>
    <row r="77" spans="1:43" ht="18" x14ac:dyDescent="0.25">
      <c r="A77" s="1255"/>
      <c r="B77" s="1256"/>
      <c r="C77" s="1256" t="s">
        <v>374</v>
      </c>
      <c r="D77" s="1257"/>
      <c r="E77" s="711">
        <f>ROUND((+COMBINED!E51+COMBINED!E54+COMBINED!E55)*0.03,0)</f>
        <v>0</v>
      </c>
      <c r="F77" s="993">
        <f>ROUND(COMBINED!F58*0.03,0)</f>
        <v>2400860</v>
      </c>
      <c r="G77" s="1910">
        <f>ROUND(COMBINED!G58*0.03,0)</f>
        <v>2603840</v>
      </c>
      <c r="H77" s="1964">
        <f>ROUND(COMBINED!H58*0.03,0)</f>
        <v>2612567</v>
      </c>
      <c r="I77" s="1934">
        <f>ROUND(COMBINED!I58*0.03,0)</f>
        <v>2596585</v>
      </c>
      <c r="J77" s="2209">
        <f>ROUND((+COMBINED!J51+COMBINED!J54+COMBINED!J55)*0.03,0)</f>
        <v>2570321</v>
      </c>
      <c r="K77" s="1934" t="e">
        <f>ROUND((+COMBINED!K51+COMBINED!K54+COMBINED!K55)*0.03,0)</f>
        <v>#REF!</v>
      </c>
      <c r="L77" s="712" t="e">
        <f>ROUND((+COMBINED!L51+COMBINED!L54+COMBINED!L55)*0.03,0)</f>
        <v>#REF!</v>
      </c>
      <c r="M77" s="1883"/>
      <c r="T77" s="1397"/>
      <c r="U77" s="1635"/>
      <c r="V77" s="1635"/>
      <c r="W77" s="632"/>
      <c r="X77" s="1596"/>
      <c r="Y77" s="1593"/>
      <c r="Z77" s="1601"/>
      <c r="AA77" s="1601"/>
    </row>
    <row r="78" spans="1:43" ht="18" x14ac:dyDescent="0.25">
      <c r="A78" s="1258"/>
      <c r="B78" s="1259"/>
      <c r="C78" s="1259"/>
      <c r="D78" s="1260"/>
      <c r="E78" s="705"/>
      <c r="F78" s="994">
        <f>F77/COMBINED!F58</f>
        <v>2.9999996651200359E-2</v>
      </c>
      <c r="G78" s="1911">
        <f>G77/COMBINED!G58</f>
        <v>2.9999995543505638E-2</v>
      </c>
      <c r="H78" s="1965">
        <f>H77/COMBINED!H58</f>
        <v>2.9999994373351099E-2</v>
      </c>
      <c r="I78" s="1935">
        <f>I77/COMBINED!I58</f>
        <v>3.0000003928237026E-2</v>
      </c>
      <c r="J78" s="2210">
        <f>+J77/(COMBINED!$J$51+COMBINED!$J$54+COMBINED!$J$55)</f>
        <v>2.9999994981172451E-2</v>
      </c>
      <c r="K78" s="1935" t="e">
        <f>+K77/(COMBINED!$K$51+COMBINED!$K$54+COMBINED!$K$55)</f>
        <v>#REF!</v>
      </c>
      <c r="L78" s="706" t="e">
        <f>+L77/(COMBINED!$L$51+COMBINED!$L$54+COMBINED!$L$55)</f>
        <v>#REF!</v>
      </c>
      <c r="T78" s="1636"/>
      <c r="U78" s="1636"/>
      <c r="V78" s="1612"/>
      <c r="W78" s="633"/>
      <c r="X78" s="1598"/>
      <c r="Y78" s="1601"/>
      <c r="Z78" s="1601"/>
      <c r="AA78" s="1601"/>
    </row>
    <row r="79" spans="1:43" ht="24.75" customHeight="1" x14ac:dyDescent="0.25">
      <c r="A79" s="1261"/>
      <c r="B79" s="1262"/>
      <c r="C79" s="1262" t="s">
        <v>375</v>
      </c>
      <c r="D79" s="1263"/>
      <c r="E79" s="188"/>
      <c r="F79" s="995">
        <f>+F62-SUM(F66:F69,F77)</f>
        <v>10726281.190000003</v>
      </c>
      <c r="G79" s="1912">
        <f t="shared" ref="G79:I79" si="27">+G62-SUM(G66:G69,G77)</f>
        <v>8759319.7500000056</v>
      </c>
      <c r="H79" s="1966">
        <f t="shared" si="27"/>
        <v>7438030.7500000056</v>
      </c>
      <c r="I79" s="1936">
        <f t="shared" si="27"/>
        <v>5712835.5700000059</v>
      </c>
      <c r="J79" s="2211">
        <f t="shared" ref="J79" si="28">+J62-SUM(J66:J69,J77)</f>
        <v>3721750.7270999998</v>
      </c>
      <c r="K79" s="1936" t="e">
        <f t="shared" ref="K79:L79" si="29">+K62-SUM(K66:K69,K77)</f>
        <v>#REF!</v>
      </c>
      <c r="L79" s="677" t="e">
        <f t="shared" si="29"/>
        <v>#REF!</v>
      </c>
      <c r="T79" s="1397"/>
      <c r="U79" s="1397"/>
      <c r="W79" s="629"/>
      <c r="X79" s="1604"/>
      <c r="Y79" s="1160"/>
      <c r="Z79" s="1160"/>
      <c r="AA79" s="1601"/>
    </row>
    <row r="80" spans="1:43" ht="16.5" customHeight="1" x14ac:dyDescent="0.25">
      <c r="A80" s="1215"/>
      <c r="B80" s="1173"/>
      <c r="C80" s="1174"/>
      <c r="D80" s="1264"/>
      <c r="E80" s="189"/>
      <c r="F80" s="996">
        <f>F79/COMBINED!F58</f>
        <v>0.13403047232234844</v>
      </c>
      <c r="G80" s="1913">
        <f>G79/COMBINED!G58</f>
        <v>0.10092000793602568</v>
      </c>
      <c r="H80" s="1967">
        <f>H79/COMBINED!H58</f>
        <v>8.5410586847653139E-2</v>
      </c>
      <c r="I80" s="1937">
        <f>I79/COMBINED!I58</f>
        <v>6.6004035893826848E-2</v>
      </c>
      <c r="J80" s="2212">
        <f>J79/COMBINED!J58</f>
        <v>4.3439128083291902E-2</v>
      </c>
      <c r="K80" s="1937" t="e">
        <f>K79/COMBINED!K58</f>
        <v>#REF!</v>
      </c>
      <c r="L80" s="678" t="e">
        <f>L79/COMBINED!L58</f>
        <v>#REF!</v>
      </c>
      <c r="T80" s="1397"/>
      <c r="U80" s="1635"/>
      <c r="V80" s="1635"/>
      <c r="W80" s="627"/>
      <c r="X80" s="1592"/>
      <c r="Y80" s="1151"/>
      <c r="Z80" s="1160"/>
      <c r="AA80" s="1601"/>
    </row>
    <row r="81" spans="1:38" ht="24.75" customHeight="1" x14ac:dyDescent="0.25">
      <c r="A81" s="1241" t="s">
        <v>376</v>
      </c>
      <c r="B81" s="1265"/>
      <c r="C81" s="1265"/>
      <c r="D81" s="1265"/>
      <c r="E81" s="643"/>
      <c r="F81" s="987">
        <f>+SUM(F66:F69,F77,F79)</f>
        <v>15060332.700000003</v>
      </c>
      <c r="G81" s="987">
        <f>+SUM(G66:G69,G77,G79)</f>
        <v>13581504.260000005</v>
      </c>
      <c r="H81" s="1050">
        <f t="shared" ref="H81:I81" si="30">+SUM(H66:H69,H77,H79)</f>
        <v>11152057.260000005</v>
      </c>
      <c r="I81" s="1018">
        <f t="shared" si="30"/>
        <v>8528485.0800000057</v>
      </c>
      <c r="J81" s="672">
        <f t="shared" ref="J81:L81" si="31">+SUM(J66:J69,J77,J79)</f>
        <v>6619415.7270999998</v>
      </c>
      <c r="K81" s="1018" t="e">
        <f t="shared" si="31"/>
        <v>#REF!</v>
      </c>
      <c r="L81" s="672" t="e">
        <f t="shared" si="31"/>
        <v>#REF!</v>
      </c>
      <c r="T81" s="1653"/>
      <c r="U81" s="1653"/>
      <c r="V81" s="1624"/>
      <c r="W81" s="1625"/>
      <c r="X81" s="1605"/>
    </row>
    <row r="82" spans="1:38" ht="18.75" thickBot="1" x14ac:dyDescent="0.3">
      <c r="A82" s="1266"/>
      <c r="B82" s="1267"/>
      <c r="C82" s="1267"/>
      <c r="D82" s="1267"/>
      <c r="E82" s="644"/>
      <c r="F82" s="997">
        <f>F81/COMBINED!F58</f>
        <v>0.18818670416682493</v>
      </c>
      <c r="G82" s="997">
        <f>G81/COMBINED!G58</f>
        <v>0.15647853450062332</v>
      </c>
      <c r="H82" s="1062">
        <f>H81/COMBINED!H58</f>
        <v>0.12805859334948708</v>
      </c>
      <c r="I82" s="1028">
        <f>I81/COMBINED!I58</f>
        <v>9.8535031936913695E-2</v>
      </c>
      <c r="J82" s="679">
        <f>+J81/(COMBINED!$J$51+COMBINED!$J$54+COMBINED!$J$55)</f>
        <v>7.7259781401347927E-2</v>
      </c>
      <c r="K82" s="1028" t="e">
        <f>+K81/(COMBINED!$K$51+COMBINED!$K$54+COMBINED!$K$55)</f>
        <v>#REF!</v>
      </c>
      <c r="L82" s="679" t="e">
        <f>+L81/(COMBINED!$L$51+COMBINED!$L$54+COMBINED!$L$55)</f>
        <v>#REF!</v>
      </c>
      <c r="T82" s="1653"/>
      <c r="U82" s="1653"/>
      <c r="V82" s="1624"/>
      <c r="W82" s="1625"/>
      <c r="X82" s="1605"/>
    </row>
    <row r="83" spans="1:38" s="1161" customFormat="1" ht="8.1" customHeight="1" thickTop="1" thickBot="1" x14ac:dyDescent="0.3">
      <c r="A83" s="1268"/>
      <c r="B83" s="1269"/>
      <c r="C83" s="1269"/>
      <c r="D83" s="1823"/>
      <c r="E83" s="801"/>
      <c r="F83" s="801"/>
      <c r="G83" s="801"/>
      <c r="H83" s="1968"/>
      <c r="I83" s="1822"/>
      <c r="J83" s="801"/>
      <c r="K83" s="187"/>
      <c r="L83" s="187"/>
      <c r="M83" s="1740"/>
      <c r="N83" s="1715"/>
      <c r="O83" s="1740"/>
      <c r="P83" s="1714"/>
      <c r="Q83" s="1740"/>
      <c r="R83" s="1714"/>
      <c r="S83" s="1714"/>
      <c r="T83" s="1631"/>
      <c r="U83" s="1631"/>
      <c r="V83" s="1397"/>
      <c r="W83" s="795"/>
      <c r="X83" s="1140"/>
    </row>
    <row r="84" spans="1:38" s="1161" customFormat="1" ht="8.1" customHeight="1" thickTop="1" x14ac:dyDescent="0.25">
      <c r="A84" s="1268"/>
      <c r="B84" s="1269"/>
      <c r="C84" s="1269"/>
      <c r="D84" s="1823"/>
      <c r="E84" s="801"/>
      <c r="F84" s="801"/>
      <c r="G84" s="801"/>
      <c r="H84" s="801"/>
      <c r="I84" s="1822"/>
      <c r="J84" s="801"/>
      <c r="K84" s="187"/>
      <c r="L84" s="187"/>
      <c r="M84" s="1740"/>
      <c r="N84" s="1715"/>
      <c r="O84" s="1740"/>
      <c r="P84" s="1714"/>
      <c r="Q84" s="1740"/>
      <c r="R84" s="1714"/>
      <c r="S84" s="1714"/>
      <c r="T84" s="1631"/>
      <c r="U84" s="1631"/>
      <c r="V84" s="1397"/>
      <c r="W84" s="795"/>
      <c r="X84" s="1140"/>
    </row>
    <row r="85" spans="1:38" ht="15.75" hidden="1" customHeight="1" x14ac:dyDescent="0.25">
      <c r="B85" s="1270" t="s">
        <v>719</v>
      </c>
      <c r="G85" s="783"/>
      <c r="M85" s="1740"/>
      <c r="N85" s="1715"/>
      <c r="O85" s="1740"/>
      <c r="P85" s="1714"/>
      <c r="Q85" s="1740"/>
      <c r="R85" s="1714"/>
      <c r="S85" s="1714"/>
      <c r="Y85" s="1161"/>
      <c r="Z85" s="1161"/>
      <c r="AA85" s="1161"/>
      <c r="AB85" s="1161"/>
      <c r="AC85" s="1161"/>
      <c r="AD85" s="1161"/>
      <c r="AE85" s="1161"/>
      <c r="AF85" s="1161"/>
      <c r="AG85" s="1161"/>
      <c r="AH85" s="1161"/>
      <c r="AI85" s="1161"/>
      <c r="AJ85" s="1161"/>
      <c r="AK85" s="1161"/>
      <c r="AL85" s="1161"/>
    </row>
    <row r="86" spans="1:38" ht="15.75" hidden="1" customHeight="1" x14ac:dyDescent="0.25">
      <c r="G86" s="783"/>
      <c r="H86" s="783"/>
      <c r="I86" s="783"/>
      <c r="K86" s="783"/>
      <c r="L86" s="783"/>
      <c r="M86" s="1741"/>
      <c r="N86" s="1718"/>
      <c r="O86" s="1741"/>
      <c r="P86" s="1717"/>
      <c r="Q86" s="1741"/>
      <c r="R86" s="1717"/>
      <c r="S86" s="1717"/>
      <c r="T86" s="1636"/>
    </row>
    <row r="87" spans="1:38" ht="15.75" hidden="1" customHeight="1" x14ac:dyDescent="0.25">
      <c r="D87" s="1271" t="s">
        <v>714</v>
      </c>
      <c r="E87" s="783"/>
      <c r="F87" s="787" t="s">
        <v>727</v>
      </c>
      <c r="G87" s="788" t="s">
        <v>715</v>
      </c>
      <c r="H87" s="786" t="s">
        <v>716</v>
      </c>
      <c r="I87" s="784"/>
      <c r="J87" s="787"/>
      <c r="K87" s="784"/>
      <c r="L87" s="784"/>
      <c r="M87" s="1741"/>
      <c r="N87" s="1718"/>
      <c r="O87" s="1741"/>
      <c r="P87" s="1717"/>
      <c r="Q87" s="1741"/>
      <c r="R87" s="1717"/>
      <c r="S87" s="1717"/>
      <c r="T87" s="1636"/>
    </row>
    <row r="88" spans="1:38" ht="15.75" hidden="1" customHeight="1" x14ac:dyDescent="0.25">
      <c r="D88" s="1272" t="s">
        <v>717</v>
      </c>
      <c r="E88" s="783"/>
      <c r="F88" s="784"/>
      <c r="G88" s="785"/>
      <c r="H88" s="789" t="s">
        <v>718</v>
      </c>
      <c r="I88" s="785"/>
      <c r="J88" s="784"/>
      <c r="K88" s="785"/>
      <c r="L88" s="785"/>
      <c r="M88" s="1741"/>
      <c r="N88" s="1718"/>
      <c r="O88" s="1741"/>
      <c r="P88" s="1717"/>
      <c r="Q88" s="1741"/>
      <c r="R88" s="1717"/>
      <c r="S88" s="1717"/>
      <c r="T88" s="1636"/>
    </row>
    <row r="89" spans="1:38" ht="15.75" hidden="1" customHeight="1" x14ac:dyDescent="0.25">
      <c r="D89" s="1273"/>
      <c r="E89" s="783"/>
      <c r="G89" s="784"/>
      <c r="H89" s="784"/>
      <c r="I89" s="784"/>
      <c r="K89" s="784"/>
      <c r="L89" s="784"/>
      <c r="M89" s="1741"/>
      <c r="N89" s="1718"/>
      <c r="O89" s="1741"/>
      <c r="P89" s="1717"/>
      <c r="Q89" s="1741"/>
      <c r="R89" s="1717"/>
      <c r="S89" s="1717"/>
      <c r="T89" s="1636"/>
    </row>
    <row r="90" spans="1:38" ht="15.75" hidden="1" customHeight="1" x14ac:dyDescent="0.25">
      <c r="D90" s="1274" t="s">
        <v>725</v>
      </c>
      <c r="E90" s="783"/>
      <c r="I90" s="785"/>
      <c r="K90" s="785"/>
      <c r="L90" s="785"/>
      <c r="M90" s="1741"/>
      <c r="N90" s="1718"/>
      <c r="O90" s="1741"/>
      <c r="P90" s="1717"/>
      <c r="Q90" s="1741"/>
      <c r="R90" s="1717"/>
      <c r="S90" s="1717"/>
      <c r="T90" s="1636"/>
    </row>
    <row r="91" spans="1:38" ht="15.75" hidden="1" customHeight="1" x14ac:dyDescent="0.25">
      <c r="D91" s="1275" t="s">
        <v>723</v>
      </c>
      <c r="E91" s="799"/>
      <c r="F91" s="800" t="s">
        <v>722</v>
      </c>
      <c r="G91" s="788" t="s">
        <v>852</v>
      </c>
      <c r="H91" s="786" t="s">
        <v>724</v>
      </c>
      <c r="I91" s="785"/>
      <c r="J91" s="800"/>
      <c r="K91" s="785"/>
      <c r="L91" s="785"/>
      <c r="M91" s="1741"/>
      <c r="N91" s="1718"/>
      <c r="O91" s="1741"/>
      <c r="P91" s="1717"/>
      <c r="Q91" s="1741"/>
      <c r="R91" s="1717"/>
      <c r="S91" s="1717"/>
      <c r="T91" s="1636"/>
    </row>
    <row r="92" spans="1:38" ht="15.75" hidden="1" customHeight="1" x14ac:dyDescent="0.25">
      <c r="D92" s="1273"/>
      <c r="E92" s="783"/>
      <c r="F92" s="783"/>
      <c r="G92" s="783"/>
      <c r="H92" s="783"/>
      <c r="I92" s="783"/>
      <c r="J92" s="783"/>
      <c r="K92" s="783"/>
      <c r="L92" s="783"/>
      <c r="M92" s="1741"/>
      <c r="N92" s="1718"/>
      <c r="O92" s="1741"/>
      <c r="P92" s="1717"/>
      <c r="Q92" s="1741"/>
      <c r="R92" s="1717"/>
      <c r="S92" s="1717"/>
      <c r="T92" s="1636"/>
    </row>
    <row r="93" spans="1:38" ht="15.75" hidden="1" customHeight="1" x14ac:dyDescent="0.25">
      <c r="D93" s="1273"/>
      <c r="E93" s="783"/>
      <c r="G93" s="785"/>
      <c r="H93" s="785"/>
      <c r="I93" s="785"/>
      <c r="K93" s="785"/>
      <c r="L93" s="785"/>
      <c r="M93" s="1741"/>
      <c r="N93" s="1718"/>
      <c r="O93" s="1741"/>
      <c r="P93" s="1717"/>
      <c r="Q93" s="1741"/>
      <c r="R93" s="1717"/>
      <c r="S93" s="1717"/>
      <c r="T93" s="1636"/>
    </row>
    <row r="94" spans="1:38" ht="15.75" hidden="1" customHeight="1" x14ac:dyDescent="0.25">
      <c r="D94" s="1276" t="s">
        <v>726</v>
      </c>
      <c r="E94" s="783"/>
      <c r="F94" s="783"/>
      <c r="G94" s="783"/>
      <c r="H94" s="783"/>
      <c r="I94" s="783"/>
      <c r="J94" s="783"/>
      <c r="K94" s="783"/>
      <c r="L94" s="783"/>
      <c r="M94" s="1741"/>
      <c r="N94" s="1718"/>
      <c r="O94" s="1741"/>
      <c r="P94" s="1717"/>
      <c r="Q94" s="1741"/>
      <c r="R94" s="1717"/>
      <c r="S94" s="1717"/>
      <c r="T94" s="1636"/>
    </row>
    <row r="95" spans="1:38" hidden="1" x14ac:dyDescent="0.25">
      <c r="D95" s="1273"/>
      <c r="E95" s="783"/>
      <c r="F95" s="785"/>
      <c r="G95" s="785"/>
      <c r="H95" s="785"/>
      <c r="I95" s="785"/>
      <c r="J95" s="785"/>
      <c r="K95" s="785"/>
      <c r="L95" s="785"/>
      <c r="M95" s="1741"/>
      <c r="N95" s="1718"/>
      <c r="O95" s="1741"/>
      <c r="P95" s="1717"/>
      <c r="Q95" s="1741"/>
      <c r="R95" s="1717"/>
      <c r="S95" s="1717"/>
      <c r="T95" s="1636"/>
    </row>
    <row r="96" spans="1:38" hidden="1" x14ac:dyDescent="0.25"/>
    <row r="97" spans="6:10" hidden="1" x14ac:dyDescent="0.25"/>
    <row r="98" spans="6:10" hidden="1" x14ac:dyDescent="0.25">
      <c r="G98" s="465"/>
      <c r="H98" s="466"/>
    </row>
    <row r="99" spans="6:10" hidden="1" x14ac:dyDescent="0.25">
      <c r="H99" s="465"/>
    </row>
    <row r="100" spans="6:10" hidden="1" x14ac:dyDescent="0.25">
      <c r="F100" s="775"/>
      <c r="H100" s="464"/>
      <c r="J100" s="775"/>
    </row>
    <row r="101" spans="6:10" hidden="1" x14ac:dyDescent="0.25">
      <c r="F101" s="775"/>
      <c r="G101" s="776"/>
      <c r="H101" s="464"/>
      <c r="J101" s="775"/>
    </row>
    <row r="102" spans="6:10" hidden="1" x14ac:dyDescent="0.25">
      <c r="H102" s="464"/>
    </row>
    <row r="103" spans="6:10" hidden="1" x14ac:dyDescent="0.25">
      <c r="F103" s="775"/>
      <c r="H103" s="464"/>
      <c r="J103" s="775"/>
    </row>
    <row r="104" spans="6:10" hidden="1" x14ac:dyDescent="0.25">
      <c r="F104" s="777"/>
      <c r="G104" s="776"/>
      <c r="H104" s="464"/>
      <c r="J104" s="777"/>
    </row>
    <row r="105" spans="6:10" hidden="1" x14ac:dyDescent="0.25">
      <c r="F105" s="778"/>
      <c r="G105" s="779"/>
      <c r="H105" s="464"/>
      <c r="J105" s="778"/>
    </row>
    <row r="106" spans="6:10" hidden="1" x14ac:dyDescent="0.25">
      <c r="F106" s="778"/>
      <c r="G106" s="779"/>
      <c r="H106" s="464"/>
      <c r="J106" s="778"/>
    </row>
    <row r="107" spans="6:10" hidden="1" x14ac:dyDescent="0.25">
      <c r="F107" s="780"/>
      <c r="G107" s="779"/>
      <c r="H107" s="465"/>
      <c r="J107" s="780"/>
    </row>
    <row r="108" spans="6:10" hidden="1" x14ac:dyDescent="0.25">
      <c r="F108" s="778"/>
      <c r="G108" s="779"/>
      <c r="H108" s="464"/>
      <c r="J108" s="778"/>
    </row>
    <row r="109" spans="6:10" hidden="1" x14ac:dyDescent="0.25">
      <c r="F109" s="781"/>
      <c r="G109" s="782"/>
      <c r="H109" s="466"/>
      <c r="J109" s="781"/>
    </row>
  </sheetData>
  <sheetProtection password="E247" sheet="1" objects="1" scenarios="1"/>
  <mergeCells count="1">
    <mergeCell ref="A2:D3"/>
  </mergeCells>
  <printOptions horizontalCentered="1"/>
  <pageMargins left="0.17" right="0.17" top="0.56000000000000005" bottom="0.44" header="0.23" footer="0.17"/>
  <pageSetup paperSize="5" scale="55" pageOrder="overThenDown" orientation="portrait" r:id="rId1"/>
  <headerFooter>
    <oddHeader>&amp;C&amp;"Cambria,Bold"&amp;14Sylvan Union School District
2017-18 Budget</oddHeader>
    <oddFooter>&amp;L2017-18 2nd Interim Updated for SEA TA
March. 15, 2018</oddFooter>
  </headerFooter>
  <ignoredErrors>
    <ignoredError sqref="F81"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C131"/>
  <sheetViews>
    <sheetView zoomScaleNormal="100" workbookViewId="0">
      <pane xSplit="3" ySplit="6" topLeftCell="H7" activePane="bottomRight" state="frozen"/>
      <selection activeCell="H7" sqref="H7"/>
      <selection pane="topRight" activeCell="H7" sqref="H7"/>
      <selection pane="bottomLeft" activeCell="H7" sqref="H7"/>
      <selection pane="bottomRight" activeCell="H7" sqref="H7"/>
    </sheetView>
  </sheetViews>
  <sheetFormatPr defaultRowHeight="15" x14ac:dyDescent="0.25"/>
  <cols>
    <col min="1" max="1" width="1.7109375" style="2213" customWidth="1"/>
    <col min="2" max="2" width="8.5703125" style="2172" customWidth="1"/>
    <col min="3" max="3" width="18.28515625" style="2176" customWidth="1"/>
    <col min="4" max="4" width="16" style="2" hidden="1" customWidth="1"/>
    <col min="5" max="5" width="17.7109375" style="844" hidden="1" customWidth="1"/>
    <col min="6" max="6" width="6" style="39" hidden="1" customWidth="1"/>
    <col min="7" max="7" width="9.7109375" style="52" hidden="1" customWidth="1"/>
    <col min="8" max="8" width="13.85546875" style="121" bestFit="1" customWidth="1"/>
    <col min="9" max="9" width="26" style="853" hidden="1" customWidth="1"/>
    <col min="10" max="10" width="5.7109375" style="59" hidden="1" customWidth="1"/>
    <col min="11" max="11" width="9.42578125" style="333" hidden="1" customWidth="1"/>
    <col min="12" max="12" width="14" style="122" bestFit="1" customWidth="1"/>
    <col min="13" max="13" width="26" style="844" hidden="1" customWidth="1"/>
    <col min="14" max="14" width="5.7109375" style="39" hidden="1" customWidth="1"/>
    <col min="15" max="15" width="9.42578125" style="333" hidden="1" customWidth="1"/>
    <col min="16" max="16" width="14" style="2" bestFit="1" customWidth="1"/>
    <col min="17" max="17" width="24.85546875" style="844" hidden="1" customWidth="1"/>
    <col min="18" max="18" width="5.28515625" style="51" hidden="1" customWidth="1"/>
    <col min="19" max="19" width="9.42578125" style="338" hidden="1" customWidth="1"/>
    <col min="20" max="20" width="14" style="39" customWidth="1"/>
    <col min="21" max="21" width="24.85546875" style="39" hidden="1" customWidth="1"/>
    <col min="22" max="22" width="5.7109375" style="109" customWidth="1"/>
    <col min="23" max="23" width="9.42578125" style="2244" hidden="1" customWidth="1"/>
    <col min="24" max="24" width="14" style="39" hidden="1" customWidth="1"/>
    <col min="25" max="25" width="24.85546875" style="39" hidden="1" customWidth="1"/>
    <col min="26" max="26" width="5.7109375" style="39" hidden="1" customWidth="1"/>
    <col min="27" max="27" width="9.42578125" style="333" hidden="1" customWidth="1"/>
    <col min="28" max="28" width="14" style="39" hidden="1" customWidth="1"/>
    <col min="29" max="29" width="24.85546875" style="39" hidden="1" customWidth="1"/>
    <col min="30" max="16384" width="9.140625" style="39"/>
  </cols>
  <sheetData>
    <row r="1" spans="1:29" x14ac:dyDescent="0.25">
      <c r="B1" s="2172" t="s">
        <v>61</v>
      </c>
      <c r="C1" s="2177" t="s">
        <v>226</v>
      </c>
      <c r="D1" s="933"/>
      <c r="E1" s="842"/>
      <c r="F1" s="98"/>
      <c r="G1" s="325"/>
      <c r="H1" s="934"/>
      <c r="I1" s="842"/>
      <c r="K1" s="338"/>
      <c r="L1" s="121"/>
      <c r="M1" s="842"/>
      <c r="N1" s="51"/>
      <c r="O1" s="338"/>
      <c r="P1" s="121"/>
      <c r="Q1" s="842"/>
      <c r="T1" s="86">
        <v>0</v>
      </c>
      <c r="U1" s="98"/>
      <c r="X1" s="86">
        <v>0</v>
      </c>
      <c r="Y1" s="98"/>
      <c r="AB1" s="86">
        <v>0</v>
      </c>
      <c r="AC1" s="98"/>
    </row>
    <row r="2" spans="1:29" ht="17.25" x14ac:dyDescent="0.4">
      <c r="B2" s="2173" t="s">
        <v>59</v>
      </c>
      <c r="C2" s="2177">
        <v>6010</v>
      </c>
      <c r="D2" s="934"/>
      <c r="E2" s="842"/>
      <c r="F2" s="98"/>
      <c r="G2" s="1663"/>
      <c r="H2" s="934"/>
      <c r="I2" s="842"/>
      <c r="K2" s="338"/>
      <c r="L2" s="87"/>
      <c r="M2" s="842"/>
      <c r="N2" s="51"/>
      <c r="O2" s="338"/>
      <c r="P2" s="87"/>
      <c r="Q2" s="842"/>
      <c r="T2" s="87">
        <v>0</v>
      </c>
      <c r="U2" s="98"/>
      <c r="X2" s="87">
        <v>0</v>
      </c>
      <c r="Y2" s="98"/>
      <c r="AB2" s="87">
        <v>0</v>
      </c>
      <c r="AC2" s="98"/>
    </row>
    <row r="3" spans="1:29" x14ac:dyDescent="0.25">
      <c r="D3" s="935"/>
      <c r="E3" s="852"/>
      <c r="F3" s="936"/>
      <c r="G3" s="1664"/>
      <c r="H3" s="935"/>
      <c r="I3" s="852"/>
      <c r="K3" s="338"/>
      <c r="L3" s="121"/>
      <c r="M3" s="853"/>
      <c r="N3" s="51"/>
      <c r="O3" s="338"/>
      <c r="P3" s="121"/>
      <c r="Q3" s="853"/>
      <c r="T3" s="86">
        <f>SUM(T1:T2)</f>
        <v>0</v>
      </c>
      <c r="U3" s="51"/>
      <c r="X3" s="86">
        <f>SUM(X1:X2)</f>
        <v>0</v>
      </c>
      <c r="Y3" s="51"/>
      <c r="AB3" s="86">
        <f>SUM(AB1:AB2)</f>
        <v>0</v>
      </c>
      <c r="AC3" s="51"/>
    </row>
    <row r="4" spans="1:29" x14ac:dyDescent="0.25">
      <c r="D4" s="36"/>
      <c r="E4" s="853"/>
      <c r="F4" s="51"/>
      <c r="G4" s="330"/>
      <c r="K4" s="338"/>
      <c r="L4" s="121"/>
      <c r="M4" s="853"/>
      <c r="N4" s="51"/>
      <c r="O4" s="338"/>
      <c r="P4" s="121"/>
      <c r="Q4" s="853"/>
      <c r="T4" s="86"/>
      <c r="U4" s="51"/>
      <c r="X4" s="86"/>
      <c r="Y4" s="51"/>
      <c r="AB4" s="86"/>
      <c r="AC4" s="51"/>
    </row>
    <row r="5" spans="1:29" ht="15.75" x14ac:dyDescent="0.25">
      <c r="B5" s="2174" t="s">
        <v>56</v>
      </c>
      <c r="P5" s="122"/>
      <c r="T5" s="73"/>
      <c r="X5" s="73"/>
      <c r="AB5" s="73"/>
    </row>
    <row r="6" spans="1:29" s="89" customFormat="1" ht="15.75" x14ac:dyDescent="0.25">
      <c r="A6" s="2214"/>
      <c r="B6" s="2175"/>
      <c r="C6" s="2175"/>
      <c r="D6" s="243" t="s">
        <v>55</v>
      </c>
      <c r="E6" s="845"/>
      <c r="G6" s="327"/>
      <c r="H6" s="282" t="str">
        <f>LEFT(D6,4)+1&amp;"-"&amp;RIGHT(D6,4)+1</f>
        <v>2017-2018</v>
      </c>
      <c r="I6" s="854"/>
      <c r="J6" s="93"/>
      <c r="K6" s="334"/>
      <c r="L6" s="123" t="str">
        <f>LEFT(H6,4)+1&amp;"-"&amp;RIGHT(H6,4)+1</f>
        <v>2018-2019</v>
      </c>
      <c r="M6" s="888"/>
      <c r="N6" s="96"/>
      <c r="O6" s="337"/>
      <c r="P6" s="123" t="str">
        <f>LEFT(L6,4)+1&amp;"-"&amp;RIGHT(L6,4)+1</f>
        <v>2019-2020</v>
      </c>
      <c r="Q6" s="888"/>
      <c r="R6" s="2237"/>
      <c r="S6" s="2242"/>
      <c r="T6" s="95" t="str">
        <f>LEFT(P6,4)+1&amp;"-"&amp;RIGHT(P6,4)+1</f>
        <v>2020-2021</v>
      </c>
      <c r="U6" s="95"/>
      <c r="V6" s="110"/>
      <c r="W6" s="2245"/>
      <c r="X6" s="95" t="str">
        <f>LEFT(T6,4)+1&amp;"-"&amp;RIGHT(T6,4)+1</f>
        <v>2021-2022</v>
      </c>
      <c r="Y6" s="95"/>
      <c r="Z6" s="96"/>
      <c r="AA6" s="337"/>
      <c r="AB6" s="95" t="str">
        <f>LEFT(X6,4)+1&amp;"-"&amp;RIGHT(X6,4)+1</f>
        <v>2022-2023</v>
      </c>
      <c r="AC6" s="95"/>
    </row>
    <row r="7" spans="1:29" s="457" customFormat="1" x14ac:dyDescent="0.25">
      <c r="A7" s="2215"/>
      <c r="B7" s="2337" t="s">
        <v>54</v>
      </c>
      <c r="C7" s="2215"/>
      <c r="D7" s="340">
        <v>0</v>
      </c>
      <c r="E7" s="1656"/>
      <c r="G7" s="2338"/>
      <c r="H7" s="340">
        <f>D89</f>
        <v>0</v>
      </c>
      <c r="I7" s="1656"/>
      <c r="J7" s="599"/>
      <c r="K7" s="1668"/>
      <c r="L7" s="340">
        <f>H89</f>
        <v>0</v>
      </c>
      <c r="M7" s="1656"/>
      <c r="O7" s="1668"/>
      <c r="P7" s="340">
        <f>L89</f>
        <v>0</v>
      </c>
      <c r="Q7" s="1656"/>
      <c r="R7" s="592"/>
      <c r="S7" s="2341"/>
      <c r="T7" s="340">
        <f>P89</f>
        <v>0</v>
      </c>
      <c r="V7" s="952"/>
      <c r="W7" s="2343"/>
      <c r="X7" s="340">
        <f>T89</f>
        <v>0</v>
      </c>
      <c r="AA7" s="1668"/>
      <c r="AB7" s="340">
        <f>X89</f>
        <v>-2670</v>
      </c>
    </row>
    <row r="8" spans="1:29" s="457" customFormat="1" x14ac:dyDescent="0.25">
      <c r="A8" s="2215"/>
      <c r="B8" s="2345"/>
      <c r="C8" s="2215"/>
      <c r="D8" s="340"/>
      <c r="E8" s="1656"/>
      <c r="G8" s="2338"/>
      <c r="H8" s="340"/>
      <c r="I8" s="1656"/>
      <c r="J8" s="592"/>
      <c r="K8" s="1668"/>
      <c r="L8" s="340"/>
      <c r="M8" s="1656"/>
      <c r="O8" s="1668"/>
      <c r="P8" s="340"/>
      <c r="Q8" s="1656"/>
      <c r="R8" s="592"/>
      <c r="S8" s="2341"/>
      <c r="V8" s="952"/>
      <c r="W8" s="2343"/>
      <c r="AA8" s="1668"/>
    </row>
    <row r="9" spans="1:29" s="457" customFormat="1" x14ac:dyDescent="0.25">
      <c r="A9" s="2215"/>
      <c r="B9" s="2345" t="s">
        <v>52</v>
      </c>
      <c r="C9" s="2215" t="s">
        <v>53</v>
      </c>
      <c r="D9" s="340">
        <v>217800</v>
      </c>
      <c r="E9" s="1656"/>
      <c r="G9" s="456">
        <f>IF(D9=0,"0.00%",(H9-D9)/D9)</f>
        <v>9.2000000000000026E-2</v>
      </c>
      <c r="H9" s="833">
        <v>237837.6</v>
      </c>
      <c r="I9" s="1656" t="s">
        <v>173</v>
      </c>
      <c r="J9" s="342"/>
      <c r="K9" s="456">
        <f>IF(H9=0,"0.00%",(L9-H9)/H9)</f>
        <v>1.6818198636135717E-6</v>
      </c>
      <c r="L9" s="833">
        <v>237838</v>
      </c>
      <c r="M9" s="1656"/>
      <c r="O9" s="456">
        <f>IF(L9=0,"0.00%",(P9-L9)/L9)</f>
        <v>0</v>
      </c>
      <c r="P9" s="833">
        <f>+L9</f>
        <v>237838</v>
      </c>
      <c r="Q9" s="1656" t="s">
        <v>173</v>
      </c>
      <c r="R9" s="592"/>
      <c r="S9" s="2238">
        <f>IF(P9=0,"0.00%",(T9-P9)/P9)</f>
        <v>0</v>
      </c>
      <c r="T9" s="833">
        <f>+P9</f>
        <v>237838</v>
      </c>
      <c r="V9" s="952"/>
      <c r="W9" s="2241">
        <f>IF(T9=0,"0.00%",(X9-T9)/T9)</f>
        <v>0</v>
      </c>
      <c r="X9" s="833">
        <f>+T9</f>
        <v>237838</v>
      </c>
      <c r="AA9" s="456">
        <f>IF(X9=0,"0.00%",(AB9-X9)/X9)</f>
        <v>0</v>
      </c>
      <c r="AB9" s="833">
        <f>+X9:X10</f>
        <v>237838</v>
      </c>
    </row>
    <row r="10" spans="1:29" s="457" customFormat="1" x14ac:dyDescent="0.25">
      <c r="A10" s="2215"/>
      <c r="B10" s="2345"/>
      <c r="C10" s="2215" t="s">
        <v>51</v>
      </c>
      <c r="D10" s="340">
        <v>0</v>
      </c>
      <c r="E10" s="1656"/>
      <c r="G10" s="456" t="str">
        <f t="shared" ref="G10:G15" si="0">IF(D10=0,"0.00%",(H10-D10)/D10)</f>
        <v>0.00%</v>
      </c>
      <c r="H10" s="833">
        <v>0</v>
      </c>
      <c r="I10" s="1656"/>
      <c r="J10" s="342"/>
      <c r="K10" s="456" t="str">
        <f>IF(H10=0,"0.00%",(L10-H10)/H10)</f>
        <v>0.00%</v>
      </c>
      <c r="L10" s="833">
        <f>-H2</f>
        <v>0</v>
      </c>
      <c r="M10" s="1656"/>
      <c r="O10" s="456" t="str">
        <f>IF(L10=0,"0.00%",(P10-L10)/L10)</f>
        <v>0.00%</v>
      </c>
      <c r="P10" s="833">
        <f>-L2</f>
        <v>0</v>
      </c>
      <c r="Q10" s="1656"/>
      <c r="R10" s="592"/>
      <c r="S10" s="2238" t="str">
        <f>IF(P10=0,"0.00%",(T10-P10)/P10)</f>
        <v>0.00%</v>
      </c>
      <c r="T10" s="833">
        <f>-P2</f>
        <v>0</v>
      </c>
      <c r="V10" s="952"/>
      <c r="W10" s="2241" t="str">
        <f>IF(T10=0,"0.00%",(X10-T10)/T10)</f>
        <v>0.00%</v>
      </c>
      <c r="X10" s="833">
        <f>-T2</f>
        <v>0</v>
      </c>
      <c r="AA10" s="456" t="str">
        <f>IF(X10=0,"0.00%",(AB10-X10)/X10)</f>
        <v>0.00%</v>
      </c>
      <c r="AB10" s="833">
        <f>-X2</f>
        <v>0</v>
      </c>
    </row>
    <row r="11" spans="1:29" s="457" customFormat="1" x14ac:dyDescent="0.25">
      <c r="A11" s="2215"/>
      <c r="B11" s="2337" t="s">
        <v>137</v>
      </c>
      <c r="C11" s="2215"/>
      <c r="D11" s="458">
        <f>SUM(D9:D10)</f>
        <v>217800</v>
      </c>
      <c r="E11" s="1656"/>
      <c r="G11" s="456">
        <f t="shared" si="0"/>
        <v>9.2000000000000026E-2</v>
      </c>
      <c r="H11" s="458">
        <f>SUM(H9:H10)</f>
        <v>237837.6</v>
      </c>
      <c r="I11" s="2316">
        <f>+H11-D11</f>
        <v>20037.600000000006</v>
      </c>
      <c r="J11" s="601"/>
      <c r="K11" s="456">
        <f>IF(H11=0,"0.00%",(L11-H11)/H11)</f>
        <v>1.6818198636135717E-6</v>
      </c>
      <c r="L11" s="458">
        <f>SUM(L9:L10)</f>
        <v>237838</v>
      </c>
      <c r="M11" s="2316">
        <f>+L11-H11</f>
        <v>0.39999999999417923</v>
      </c>
      <c r="O11" s="456">
        <f>IF(L11=0,"0.00%",(P11-L11)/L11)</f>
        <v>0</v>
      </c>
      <c r="P11" s="458">
        <f>SUM(P9:P10)</f>
        <v>237838</v>
      </c>
      <c r="Q11" s="2316">
        <f>+P11-L11</f>
        <v>0</v>
      </c>
      <c r="R11" s="592"/>
      <c r="S11" s="2238">
        <f>IF(P11=0,"0.00%",(T11-P11)/P11)</f>
        <v>0</v>
      </c>
      <c r="T11" s="2353">
        <f>SUM(T9:T10)</f>
        <v>237838</v>
      </c>
      <c r="V11" s="952"/>
      <c r="W11" s="2241">
        <f>IF(T11=0,"0.00%",(X11-T11)/T11)</f>
        <v>0</v>
      </c>
      <c r="X11" s="2353">
        <f>SUM(X9:X10)</f>
        <v>237838</v>
      </c>
      <c r="AA11" s="456">
        <f>IF(X11=0,"0.00%",(AB11-X11)/X11)</f>
        <v>0</v>
      </c>
      <c r="AB11" s="2353">
        <f>SUM(AB9:AB10)</f>
        <v>237838</v>
      </c>
    </row>
    <row r="12" spans="1:29" s="457" customFormat="1" x14ac:dyDescent="0.25">
      <c r="A12" s="2215"/>
      <c r="B12" s="2345"/>
      <c r="C12" s="2215"/>
      <c r="D12" s="340"/>
      <c r="E12" s="1656"/>
      <c r="G12" s="2338"/>
      <c r="H12" s="833"/>
      <c r="I12" s="1656"/>
      <c r="J12" s="602"/>
      <c r="K12" s="2338"/>
      <c r="L12" s="833"/>
      <c r="M12" s="1656"/>
      <c r="O12" s="2338"/>
      <c r="P12" s="833"/>
      <c r="Q12" s="1656"/>
      <c r="R12" s="592"/>
      <c r="S12" s="2355"/>
      <c r="T12" s="2356"/>
      <c r="V12" s="952"/>
      <c r="W12" s="2357"/>
      <c r="X12" s="2356"/>
      <c r="AA12" s="2338"/>
      <c r="AB12" s="2356"/>
    </row>
    <row r="13" spans="1:29" s="457" customFormat="1" x14ac:dyDescent="0.25">
      <c r="A13" s="2215"/>
      <c r="B13" s="2345"/>
      <c r="C13" s="2358" t="s">
        <v>64</v>
      </c>
      <c r="D13" s="2359">
        <f>ROUND(D11-(D11/(1+E13)),2)</f>
        <v>7771.07</v>
      </c>
      <c r="E13" s="2361">
        <v>3.6999999999999998E-2</v>
      </c>
      <c r="G13" s="456">
        <f t="shared" si="0"/>
        <v>0.3588862280226533</v>
      </c>
      <c r="H13" s="2359">
        <v>10560</v>
      </c>
      <c r="I13" s="2455">
        <v>4.4400000000000002E-2</v>
      </c>
      <c r="J13" s="603"/>
      <c r="K13" s="456">
        <f>IF(H13=0,"0.00%",(L13-H13)/H13)</f>
        <v>0.1559659090909091</v>
      </c>
      <c r="L13" s="2359">
        <v>12207</v>
      </c>
      <c r="M13" s="2455">
        <v>5.4100000000000002E-2</v>
      </c>
      <c r="O13" s="456">
        <f>IF(L13=0,"0.00%",(P13-L13)/L13)</f>
        <v>0</v>
      </c>
      <c r="P13" s="2359">
        <f>ROUND(P11-(P11/(1+Q13)),0)</f>
        <v>12207</v>
      </c>
      <c r="Q13" s="2455">
        <f>+M13</f>
        <v>5.4100000000000002E-2</v>
      </c>
      <c r="R13" s="592"/>
      <c r="S13" s="2238">
        <f>IF(P13=0,"0.00%",(T13-P13)/P13)</f>
        <v>0</v>
      </c>
      <c r="T13" s="2359">
        <f>ROUND(T11-(T11/(1+U13)),0)</f>
        <v>12207</v>
      </c>
      <c r="U13" s="2455">
        <f>+Q13</f>
        <v>5.4100000000000002E-2</v>
      </c>
      <c r="V13" s="952"/>
      <c r="W13" s="2241">
        <f>IF(T13=0,"0.00%",(X13-T13)/T13)</f>
        <v>-0.30482510035225691</v>
      </c>
      <c r="X13" s="2362">
        <f>ROUND(X11-(X11/(1+E13)),0)</f>
        <v>8486</v>
      </c>
      <c r="AA13" s="456">
        <f>IF(X13=0,"0.00%",(AB13-X13)/X13)</f>
        <v>6.402074004242281</v>
      </c>
      <c r="AB13" s="2362">
        <f>ROUND(AB11-(AB11/(1+G13)),0)</f>
        <v>62814</v>
      </c>
    </row>
    <row r="14" spans="1:29" s="457" customFormat="1" x14ac:dyDescent="0.25">
      <c r="A14" s="2215"/>
      <c r="B14" s="2345"/>
      <c r="C14" s="2215"/>
      <c r="D14" s="340"/>
      <c r="E14" s="1656"/>
      <c r="G14" s="2338"/>
      <c r="H14" s="833"/>
      <c r="I14" s="1656" t="s">
        <v>941</v>
      </c>
      <c r="J14" s="602"/>
      <c r="K14" s="2338"/>
      <c r="L14" s="833"/>
      <c r="M14" s="1656"/>
      <c r="O14" s="2338"/>
      <c r="P14" s="833"/>
      <c r="Q14" s="1656"/>
      <c r="R14" s="592"/>
      <c r="S14" s="2355"/>
      <c r="T14" s="2356"/>
      <c r="V14" s="952"/>
      <c r="W14" s="2357"/>
      <c r="X14" s="2356"/>
      <c r="AA14" s="2338"/>
      <c r="AB14" s="2356"/>
    </row>
    <row r="15" spans="1:29" s="457" customFormat="1" x14ac:dyDescent="0.25">
      <c r="A15" s="2215"/>
      <c r="B15" s="2337" t="s">
        <v>50</v>
      </c>
      <c r="C15" s="2215"/>
      <c r="D15" s="1866">
        <f>D11-D13</f>
        <v>210028.93</v>
      </c>
      <c r="E15" s="1656"/>
      <c r="G15" s="456">
        <f t="shared" si="0"/>
        <v>8.2125210084153702E-2</v>
      </c>
      <c r="H15" s="2359">
        <f>H11-H13</f>
        <v>227277.6</v>
      </c>
      <c r="I15" s="2316">
        <f>+H15-D15</f>
        <v>17248.670000000013</v>
      </c>
      <c r="J15" s="601"/>
      <c r="K15" s="456">
        <f>IF(H15=0,"0.00%",(L15-H15)/H15)</f>
        <v>-7.244884669672708E-3</v>
      </c>
      <c r="L15" s="2359">
        <f>L11-L13</f>
        <v>225631</v>
      </c>
      <c r="M15" s="2316">
        <f>+L15-H15</f>
        <v>-1646.6000000000058</v>
      </c>
      <c r="O15" s="456">
        <f>IF(L15=0,"0.00%",(P15-L15)/L15)</f>
        <v>0</v>
      </c>
      <c r="P15" s="2359">
        <f>P11-P13</f>
        <v>225631</v>
      </c>
      <c r="Q15" s="2316">
        <f>+P15-L15</f>
        <v>0</v>
      </c>
      <c r="R15" s="592"/>
      <c r="S15" s="2238">
        <f>IF(P15=0,"0.00%",(T15-P15)/P15)</f>
        <v>0</v>
      </c>
      <c r="T15" s="2366">
        <f>T11-T13</f>
        <v>225631</v>
      </c>
      <c r="V15" s="952"/>
      <c r="W15" s="2241">
        <f>IF(T15=0,"0.00%",(X15-T15)/T15)</f>
        <v>1.6491528203128117E-2</v>
      </c>
      <c r="X15" s="2366">
        <f>X11-X13</f>
        <v>229352</v>
      </c>
      <c r="AA15" s="456">
        <f>IF(X15=0,"0.00%",(AB15-X15)/X15)</f>
        <v>-0.23687606822700477</v>
      </c>
      <c r="AB15" s="2366">
        <f>AB11-AB13</f>
        <v>175024</v>
      </c>
    </row>
    <row r="16" spans="1:29" s="457" customFormat="1" x14ac:dyDescent="0.25">
      <c r="A16" s="2215"/>
      <c r="B16" s="2345"/>
      <c r="C16" s="2215"/>
      <c r="D16" s="340"/>
      <c r="E16" s="1656"/>
      <c r="G16" s="2338"/>
      <c r="H16" s="833"/>
      <c r="I16" s="1656"/>
      <c r="J16" s="601"/>
      <c r="K16" s="1668"/>
      <c r="L16" s="833"/>
      <c r="M16" s="1656"/>
      <c r="O16" s="1668"/>
      <c r="P16" s="833"/>
      <c r="Q16" s="1656"/>
      <c r="R16" s="592"/>
      <c r="S16" s="2341"/>
      <c r="T16" s="2367"/>
      <c r="V16" s="952"/>
      <c r="W16" s="2343"/>
      <c r="X16" s="2367"/>
      <c r="AA16" s="1668"/>
      <c r="AB16" s="2367"/>
    </row>
    <row r="17" spans="1:29" s="457" customFormat="1" x14ac:dyDescent="0.25">
      <c r="A17" s="2215"/>
      <c r="B17" s="2345"/>
      <c r="C17" s="2345"/>
      <c r="D17" s="340"/>
      <c r="E17" s="1656"/>
      <c r="G17" s="2338"/>
      <c r="H17" s="833"/>
      <c r="I17" s="1656"/>
      <c r="J17" s="602"/>
      <c r="K17" s="1668"/>
      <c r="L17" s="833"/>
      <c r="M17" s="1656"/>
      <c r="O17" s="1668"/>
      <c r="P17" s="833"/>
      <c r="Q17" s="1656"/>
      <c r="R17" s="592"/>
      <c r="S17" s="2341"/>
      <c r="T17" s="2356"/>
      <c r="V17" s="952"/>
      <c r="W17" s="2343"/>
      <c r="X17" s="2356"/>
      <c r="AA17" s="1668"/>
      <c r="AB17" s="2356"/>
    </row>
    <row r="18" spans="1:29" s="457" customFormat="1" x14ac:dyDescent="0.25">
      <c r="A18" s="2223"/>
      <c r="B18" s="2345"/>
      <c r="C18" s="2215"/>
      <c r="D18" s="459" t="s">
        <v>807</v>
      </c>
      <c r="E18" s="1867"/>
      <c r="F18" s="2433"/>
      <c r="G18" s="2338"/>
      <c r="H18" s="459" t="s">
        <v>176</v>
      </c>
      <c r="I18" s="1867"/>
      <c r="J18" s="604"/>
      <c r="K18" s="1668"/>
      <c r="L18" s="2370"/>
      <c r="M18" s="1867"/>
      <c r="O18" s="1668"/>
      <c r="P18" s="340"/>
      <c r="Q18" s="1867"/>
      <c r="R18" s="592"/>
      <c r="S18" s="2341"/>
      <c r="U18" s="2433"/>
      <c r="V18" s="952"/>
      <c r="W18" s="2343"/>
      <c r="Y18" s="2433"/>
      <c r="AA18" s="1668"/>
      <c r="AC18" s="2433"/>
    </row>
    <row r="19" spans="1:29" s="457" customFormat="1" ht="17.25" x14ac:dyDescent="0.4">
      <c r="A19" s="2224"/>
      <c r="B19" s="2345"/>
      <c r="C19" s="2215"/>
      <c r="D19" s="2435" t="s">
        <v>808</v>
      </c>
      <c r="E19" s="2434"/>
      <c r="F19" s="2436"/>
      <c r="G19" s="2338"/>
      <c r="H19" s="2435" t="s">
        <v>48</v>
      </c>
      <c r="I19" s="2371"/>
      <c r="J19" s="459"/>
      <c r="K19" s="1668"/>
      <c r="L19" s="2372" t="s">
        <v>48</v>
      </c>
      <c r="M19" s="2373">
        <v>0.02</v>
      </c>
      <c r="N19" s="1668"/>
      <c r="O19" s="1668"/>
      <c r="P19" s="2464" t="s">
        <v>48</v>
      </c>
      <c r="Q19" s="2373">
        <v>0.02</v>
      </c>
      <c r="R19" s="592"/>
      <c r="S19" s="2341"/>
      <c r="T19" s="2372" t="s">
        <v>48</v>
      </c>
      <c r="U19" s="2374">
        <v>0.02</v>
      </c>
      <c r="V19" s="952"/>
      <c r="W19" s="2343"/>
      <c r="X19" s="2372" t="s">
        <v>48</v>
      </c>
      <c r="Y19" s="2374">
        <v>0.02</v>
      </c>
      <c r="AA19" s="1668"/>
      <c r="AB19" s="2372" t="s">
        <v>48</v>
      </c>
      <c r="AC19" s="2374">
        <v>0.02</v>
      </c>
    </row>
    <row r="20" spans="1:29" s="2378" customFormat="1" x14ac:dyDescent="0.25">
      <c r="A20" s="2225"/>
      <c r="B20" s="2337" t="s">
        <v>46</v>
      </c>
      <c r="C20" s="2358"/>
      <c r="D20" s="1866"/>
      <c r="E20" s="2375"/>
      <c r="F20" s="1866"/>
      <c r="G20" s="2376"/>
      <c r="H20" s="1866"/>
      <c r="I20" s="868"/>
      <c r="J20" s="460"/>
      <c r="K20" s="606"/>
      <c r="L20" s="1866"/>
      <c r="M20" s="2379"/>
      <c r="O20" s="606"/>
      <c r="P20" s="1866"/>
      <c r="Q20" s="2379"/>
      <c r="R20" s="461"/>
      <c r="S20" s="1669"/>
      <c r="T20" s="1866"/>
      <c r="U20" s="2383"/>
      <c r="V20" s="2381"/>
      <c r="W20" s="2382"/>
      <c r="X20" s="1866"/>
      <c r="Y20" s="2383"/>
      <c r="AA20" s="606"/>
      <c r="AB20" s="1866"/>
      <c r="AC20" s="2383"/>
    </row>
    <row r="21" spans="1:29" s="457" customFormat="1" x14ac:dyDescent="0.25">
      <c r="A21" s="2226"/>
      <c r="B21" s="2385">
        <v>1110</v>
      </c>
      <c r="C21" s="2215" t="s">
        <v>227</v>
      </c>
      <c r="D21" s="340">
        <v>2623.33</v>
      </c>
      <c r="E21" s="2386"/>
      <c r="F21" s="340"/>
      <c r="G21" s="456">
        <f t="shared" ref="G21:G30" si="1">IF(D21=0,"0.00%",(H21-D21)/D21)</f>
        <v>0.52477957405282605</v>
      </c>
      <c r="H21" s="340">
        <v>4000</v>
      </c>
      <c r="I21" s="899"/>
      <c r="J21" s="455"/>
      <c r="K21" s="456">
        <f t="shared" ref="K21:K27" si="2">IF(H21=0,"0.00%",(L21-H21)/H21)</f>
        <v>0</v>
      </c>
      <c r="L21" s="340">
        <f>+H21</f>
        <v>4000</v>
      </c>
      <c r="M21" s="897" t="s">
        <v>173</v>
      </c>
      <c r="O21" s="456">
        <f t="shared" ref="O21:O27" si="3">IF(L21=0,"0.00%",(P21-L21)/L21)</f>
        <v>0.02</v>
      </c>
      <c r="P21" s="340">
        <f>ROUND(L21*(1+Q19),0)</f>
        <v>4080</v>
      </c>
      <c r="Q21" s="897" t="str">
        <f>TEXT(Q19,"0.0%")&amp;" = Est. S &amp; C"</f>
        <v>2.0% = Est. S &amp; C</v>
      </c>
      <c r="R21" s="592"/>
      <c r="S21" s="2238">
        <f t="shared" ref="S21:S27" si="4">IF(P21=0,"0.00%",(T21-P21)/P21)</f>
        <v>2.0098039215686276E-2</v>
      </c>
      <c r="T21" s="340">
        <f>ROUND(P21*(1+U19),0)</f>
        <v>4162</v>
      </c>
      <c r="U21" s="897" t="str">
        <f>TEXT(U19,"0.0%")&amp;" = Est. S &amp; C"</f>
        <v>2.0% = Est. S &amp; C</v>
      </c>
      <c r="V21" s="952"/>
      <c r="W21" s="2241">
        <f t="shared" ref="W21:W27" si="5">IF(T21=0,"0.00%",(X21-T21)/T21)</f>
        <v>1.9942335415665546E-2</v>
      </c>
      <c r="X21" s="340">
        <f>ROUND(T21*(1+Y19),0)</f>
        <v>4245</v>
      </c>
      <c r="Y21" s="455" t="str">
        <f>TEXT(Y19,"0.0%")&amp;" = Est. S &amp; C"</f>
        <v>2.0% = Est. S &amp; C</v>
      </c>
      <c r="AA21" s="456">
        <f t="shared" ref="AA21:AA27" si="6">IF(X21=0,"0.00%",(AB21-X21)/X21)</f>
        <v>2.0023557126030624E-2</v>
      </c>
      <c r="AB21" s="340">
        <f>ROUND(X21*(1+AC19),0)</f>
        <v>4330</v>
      </c>
      <c r="AC21" s="455" t="str">
        <f>TEXT(AC19,"0.0%")&amp;" = Est. S &amp; C"</f>
        <v>2.0% = Est. S &amp; C</v>
      </c>
    </row>
    <row r="22" spans="1:29" s="457" customFormat="1" x14ac:dyDescent="0.25">
      <c r="A22" s="2227"/>
      <c r="B22" s="2385"/>
      <c r="C22" s="2215"/>
      <c r="D22" s="340">
        <v>0</v>
      </c>
      <c r="E22" s="2386"/>
      <c r="F22" s="340"/>
      <c r="G22" s="456" t="str">
        <f t="shared" si="1"/>
        <v>0.00%</v>
      </c>
      <c r="H22" s="340">
        <v>0</v>
      </c>
      <c r="I22" s="897"/>
      <c r="J22" s="455"/>
      <c r="K22" s="456" t="str">
        <f t="shared" si="2"/>
        <v>0.00%</v>
      </c>
      <c r="L22" s="340">
        <f>+H22</f>
        <v>0</v>
      </c>
      <c r="M22" s="897"/>
      <c r="O22" s="456" t="str">
        <f t="shared" si="3"/>
        <v>0.00%</v>
      </c>
      <c r="P22" s="340">
        <f>+L22</f>
        <v>0</v>
      </c>
      <c r="Q22" s="897"/>
      <c r="R22" s="592"/>
      <c r="S22" s="2238" t="str">
        <f t="shared" si="4"/>
        <v>0.00%</v>
      </c>
      <c r="T22" s="340">
        <f>+P22</f>
        <v>0</v>
      </c>
      <c r="U22" s="897"/>
      <c r="V22" s="952"/>
      <c r="W22" s="2241" t="str">
        <f t="shared" si="5"/>
        <v>0.00%</v>
      </c>
      <c r="X22" s="340">
        <f>ROUND(T22*(1+Y19),0)</f>
        <v>0</v>
      </c>
      <c r="Y22" s="455" t="str">
        <f>TEXT(Y19,"0.0%")&amp;" = Est. S &amp; C"</f>
        <v>2.0% = Est. S &amp; C</v>
      </c>
      <c r="AA22" s="456" t="str">
        <f t="shared" si="6"/>
        <v>0.00%</v>
      </c>
      <c r="AB22" s="340">
        <f>ROUND(X22*(1+AC19),0)</f>
        <v>0</v>
      </c>
      <c r="AC22" s="455" t="str">
        <f>TEXT(AC19,"0.0%")&amp;" = Est. S &amp; C"</f>
        <v>2.0% = Est. S &amp; C</v>
      </c>
    </row>
    <row r="23" spans="1:29" s="457" customFormat="1" hidden="1" x14ac:dyDescent="0.25">
      <c r="A23" s="2227"/>
      <c r="B23" s="2385"/>
      <c r="C23" s="2215"/>
      <c r="D23" s="340">
        <v>0</v>
      </c>
      <c r="E23" s="2386"/>
      <c r="F23" s="340"/>
      <c r="G23" s="456" t="str">
        <f t="shared" si="1"/>
        <v>0.00%</v>
      </c>
      <c r="H23" s="340">
        <f t="shared" ref="H23:H27" si="7">ROUND(D23*(1+$I$19),0)</f>
        <v>0</v>
      </c>
      <c r="I23" s="897" t="str">
        <f t="shared" ref="I23:I28" si="8">TEXT($I$19,"0.0%")&amp;" = Est. S &amp; C"</f>
        <v>0.0% = Est. S &amp; C</v>
      </c>
      <c r="J23" s="455"/>
      <c r="K23" s="456" t="str">
        <f t="shared" si="2"/>
        <v>0.00%</v>
      </c>
      <c r="L23" s="340">
        <f>ROUND(H23*(1+M19),0)</f>
        <v>0</v>
      </c>
      <c r="M23" s="897" t="str">
        <f>TEXT(M19,"0.0%")&amp;" = Est. S &amp; C"</f>
        <v>2.0% = Est. S &amp; C</v>
      </c>
      <c r="O23" s="456" t="str">
        <f t="shared" si="3"/>
        <v>0.00%</v>
      </c>
      <c r="P23" s="340">
        <f>ROUND(L23*(1+Q19),0)</f>
        <v>0</v>
      </c>
      <c r="Q23" s="897" t="str">
        <f>TEXT(Q19,"0.0%")&amp;" = Est. S &amp; C"</f>
        <v>2.0% = Est. S &amp; C</v>
      </c>
      <c r="R23" s="592"/>
      <c r="S23" s="2238" t="str">
        <f t="shared" si="4"/>
        <v>0.00%</v>
      </c>
      <c r="T23" s="340">
        <f>ROUND(P23*(1+U19),0)</f>
        <v>0</v>
      </c>
      <c r="U23" s="455" t="str">
        <f>TEXT(U19,"0.0%")&amp;" = Est. S &amp; C"</f>
        <v>2.0% = Est. S &amp; C</v>
      </c>
      <c r="V23" s="952"/>
      <c r="W23" s="2241" t="str">
        <f t="shared" si="5"/>
        <v>0.00%</v>
      </c>
      <c r="X23" s="340">
        <f>ROUND(T23*(1+Y19),0)</f>
        <v>0</v>
      </c>
      <c r="Y23" s="455" t="str">
        <f>TEXT(Y19,"0.0%")&amp;" = Est. S &amp; C"</f>
        <v>2.0% = Est. S &amp; C</v>
      </c>
      <c r="AA23" s="456" t="str">
        <f t="shared" si="6"/>
        <v>0.00%</v>
      </c>
      <c r="AB23" s="340">
        <f>ROUND(X23*(1+AC19),0)</f>
        <v>0</v>
      </c>
      <c r="AC23" s="455" t="str">
        <f>TEXT(AC19,"0.0%")&amp;" = Est. S &amp; C"</f>
        <v>2.0% = Est. S &amp; C</v>
      </c>
    </row>
    <row r="24" spans="1:29" s="457" customFormat="1" hidden="1" x14ac:dyDescent="0.25">
      <c r="A24" s="2227"/>
      <c r="B24" s="2385"/>
      <c r="C24" s="2215"/>
      <c r="D24" s="340">
        <v>0</v>
      </c>
      <c r="E24" s="2386"/>
      <c r="F24" s="340"/>
      <c r="G24" s="456" t="str">
        <f t="shared" si="1"/>
        <v>0.00%</v>
      </c>
      <c r="H24" s="340">
        <f t="shared" si="7"/>
        <v>0</v>
      </c>
      <c r="I24" s="897" t="str">
        <f t="shared" si="8"/>
        <v>0.0% = Est. S &amp; C</v>
      </c>
      <c r="J24" s="455"/>
      <c r="K24" s="456" t="str">
        <f t="shared" si="2"/>
        <v>0.00%</v>
      </c>
      <c r="L24" s="340">
        <f>ROUND(H24*(1+M19),0)</f>
        <v>0</v>
      </c>
      <c r="M24" s="897" t="str">
        <f>TEXT(M19,"0.0%")&amp;" = Est. S &amp; C"</f>
        <v>2.0% = Est. S &amp; C</v>
      </c>
      <c r="O24" s="456" t="str">
        <f t="shared" si="3"/>
        <v>0.00%</v>
      </c>
      <c r="P24" s="340">
        <f>ROUND(L24*(1+Q19),0)</f>
        <v>0</v>
      </c>
      <c r="Q24" s="897" t="str">
        <f>TEXT(Q19,"0.0%")&amp;" = Est. S &amp; C"</f>
        <v>2.0% = Est. S &amp; C</v>
      </c>
      <c r="R24" s="592"/>
      <c r="S24" s="2238" t="str">
        <f t="shared" si="4"/>
        <v>0.00%</v>
      </c>
      <c r="T24" s="340">
        <f>ROUND(P24*(1+U19),0)</f>
        <v>0</v>
      </c>
      <c r="U24" s="455" t="str">
        <f>TEXT(U19,"0.0%")&amp;" = Est. S &amp; C"</f>
        <v>2.0% = Est. S &amp; C</v>
      </c>
      <c r="V24" s="952"/>
      <c r="W24" s="2241" t="str">
        <f t="shared" si="5"/>
        <v>0.00%</v>
      </c>
      <c r="X24" s="340">
        <f>ROUND(T24*(1+Y19),0)</f>
        <v>0</v>
      </c>
      <c r="Y24" s="455" t="str">
        <f>TEXT(Y19,"0.0%")&amp;" = Est. S &amp; C"</f>
        <v>2.0% = Est. S &amp; C</v>
      </c>
      <c r="AA24" s="456" t="str">
        <f t="shared" si="6"/>
        <v>0.00%</v>
      </c>
      <c r="AB24" s="340">
        <f>ROUND(X24*(1+AC19),0)</f>
        <v>0</v>
      </c>
      <c r="AC24" s="455" t="str">
        <f>TEXT(AC19,"0.0%")&amp;" = Est. S &amp; C"</f>
        <v>2.0% = Est. S &amp; C</v>
      </c>
    </row>
    <row r="25" spans="1:29" s="457" customFormat="1" hidden="1" x14ac:dyDescent="0.25">
      <c r="A25" s="2227"/>
      <c r="B25" s="2385"/>
      <c r="C25" s="2215"/>
      <c r="D25" s="340">
        <v>0</v>
      </c>
      <c r="E25" s="2386"/>
      <c r="F25" s="340"/>
      <c r="G25" s="456" t="str">
        <f t="shared" si="1"/>
        <v>0.00%</v>
      </c>
      <c r="H25" s="340">
        <f t="shared" si="7"/>
        <v>0</v>
      </c>
      <c r="I25" s="897" t="str">
        <f t="shared" si="8"/>
        <v>0.0% = Est. S &amp; C</v>
      </c>
      <c r="J25" s="455"/>
      <c r="K25" s="456" t="str">
        <f t="shared" si="2"/>
        <v>0.00%</v>
      </c>
      <c r="L25" s="340">
        <f>ROUND(H25*(1+M19),0)</f>
        <v>0</v>
      </c>
      <c r="M25" s="897" t="str">
        <f>TEXT(M19,"0.0%")&amp;" = Est. S &amp; C"</f>
        <v>2.0% = Est. S &amp; C</v>
      </c>
      <c r="O25" s="456" t="str">
        <f t="shared" si="3"/>
        <v>0.00%</v>
      </c>
      <c r="P25" s="340">
        <f>ROUND(L25*(1+Q19),0)</f>
        <v>0</v>
      </c>
      <c r="Q25" s="897" t="str">
        <f>TEXT(Q19,"0.0%")&amp;" = Est. S &amp; C"</f>
        <v>2.0% = Est. S &amp; C</v>
      </c>
      <c r="R25" s="592"/>
      <c r="S25" s="2238" t="str">
        <f t="shared" si="4"/>
        <v>0.00%</v>
      </c>
      <c r="T25" s="340">
        <f>ROUND(P25*(1+U19),0)</f>
        <v>0</v>
      </c>
      <c r="U25" s="455" t="str">
        <f>TEXT(U19,"0.0%")&amp;" = Est. S &amp; C"</f>
        <v>2.0% = Est. S &amp; C</v>
      </c>
      <c r="V25" s="952"/>
      <c r="W25" s="2241" t="str">
        <f t="shared" si="5"/>
        <v>0.00%</v>
      </c>
      <c r="X25" s="340">
        <f>ROUND(T25*(1+Y19),0)</f>
        <v>0</v>
      </c>
      <c r="Y25" s="455" t="str">
        <f>TEXT(Y19,"0.0%")&amp;" = Est. S &amp; C"</f>
        <v>2.0% = Est. S &amp; C</v>
      </c>
      <c r="AA25" s="456" t="str">
        <f t="shared" si="6"/>
        <v>0.00%</v>
      </c>
      <c r="AB25" s="340">
        <f>ROUND(X25*(1+AC19),0)</f>
        <v>0</v>
      </c>
      <c r="AC25" s="455" t="str">
        <f>TEXT(AC19,"0.0%")&amp;" = Est. S &amp; C"</f>
        <v>2.0% = Est. S &amp; C</v>
      </c>
    </row>
    <row r="26" spans="1:29" s="457" customFormat="1" hidden="1" x14ac:dyDescent="0.25">
      <c r="A26" s="2227"/>
      <c r="B26" s="2385"/>
      <c r="C26" s="2215"/>
      <c r="D26" s="340">
        <v>0</v>
      </c>
      <c r="E26" s="2386"/>
      <c r="F26" s="340"/>
      <c r="G26" s="456" t="str">
        <f t="shared" si="1"/>
        <v>0.00%</v>
      </c>
      <c r="H26" s="340">
        <f t="shared" si="7"/>
        <v>0</v>
      </c>
      <c r="I26" s="897" t="str">
        <f t="shared" si="8"/>
        <v>0.0% = Est. S &amp; C</v>
      </c>
      <c r="J26" s="455"/>
      <c r="K26" s="456" t="str">
        <f t="shared" si="2"/>
        <v>0.00%</v>
      </c>
      <c r="L26" s="340">
        <f>ROUND(H26*(1+M19),0)</f>
        <v>0</v>
      </c>
      <c r="M26" s="2341" t="str">
        <f>TEXT(M19,"0.0%")&amp;" = Est. S &amp; C"</f>
        <v>2.0% = Est. S &amp; C</v>
      </c>
      <c r="O26" s="456" t="str">
        <f t="shared" si="3"/>
        <v>0.00%</v>
      </c>
      <c r="P26" s="340">
        <f>ROUND(L26*(1+Q19),0)</f>
        <v>0</v>
      </c>
      <c r="Q26" s="897" t="str">
        <f>TEXT(Q19,"0.0%")&amp;" = Est. S &amp; C"</f>
        <v>2.0% = Est. S &amp; C</v>
      </c>
      <c r="R26" s="592"/>
      <c r="S26" s="2238" t="str">
        <f t="shared" si="4"/>
        <v>0.00%</v>
      </c>
      <c r="T26" s="340">
        <f>ROUND(P26*(1+U19),0)</f>
        <v>0</v>
      </c>
      <c r="U26" s="455" t="str">
        <f>TEXT(U19,"0.0%")&amp;" = Est. S &amp; C"</f>
        <v>2.0% = Est. S &amp; C</v>
      </c>
      <c r="V26" s="952"/>
      <c r="W26" s="2241" t="str">
        <f t="shared" si="5"/>
        <v>0.00%</v>
      </c>
      <c r="X26" s="340">
        <f>ROUND(T26*(1+Y19),0)</f>
        <v>0</v>
      </c>
      <c r="Y26" s="455" t="str">
        <f>TEXT(Y19,"0.0%")&amp;" = Est. S &amp; C"</f>
        <v>2.0% = Est. S &amp; C</v>
      </c>
      <c r="AA26" s="456" t="str">
        <f t="shared" si="6"/>
        <v>0.00%</v>
      </c>
      <c r="AB26" s="340">
        <f>ROUND(X26*(1+AC19),0)</f>
        <v>0</v>
      </c>
      <c r="AC26" s="455" t="str">
        <f>TEXT(AC19,"0.0%")&amp;" = Est. S &amp; C"</f>
        <v>2.0% = Est. S &amp; C</v>
      </c>
    </row>
    <row r="27" spans="1:29" s="457" customFormat="1" hidden="1" x14ac:dyDescent="0.25">
      <c r="A27" s="2227"/>
      <c r="B27" s="2385"/>
      <c r="C27" s="2215"/>
      <c r="D27" s="340">
        <v>0</v>
      </c>
      <c r="E27" s="2386"/>
      <c r="F27" s="340"/>
      <c r="G27" s="456" t="str">
        <f t="shared" si="1"/>
        <v>0.00%</v>
      </c>
      <c r="H27" s="340">
        <f t="shared" si="7"/>
        <v>0</v>
      </c>
      <c r="I27" s="897" t="str">
        <f t="shared" si="8"/>
        <v>0.0% = Est. S &amp; C</v>
      </c>
      <c r="J27" s="455"/>
      <c r="K27" s="456" t="str">
        <f t="shared" si="2"/>
        <v>0.00%</v>
      </c>
      <c r="L27" s="340">
        <f>ROUND(H27*(1+M19),0)</f>
        <v>0</v>
      </c>
      <c r="M27" s="897" t="str">
        <f>TEXT(M19,"0.0%")&amp;" = Est. S &amp; C"</f>
        <v>2.0% = Est. S &amp; C</v>
      </c>
      <c r="O27" s="456" t="str">
        <f t="shared" si="3"/>
        <v>0.00%</v>
      </c>
      <c r="P27" s="340">
        <f>ROUND(L27*(1+Q19),0)</f>
        <v>0</v>
      </c>
      <c r="Q27" s="897" t="str">
        <f>TEXT(Q19,"0.0%")&amp;" = Est. S &amp; C"</f>
        <v>2.0% = Est. S &amp; C</v>
      </c>
      <c r="R27" s="592"/>
      <c r="S27" s="2238" t="str">
        <f t="shared" si="4"/>
        <v>0.00%</v>
      </c>
      <c r="T27" s="340">
        <f>ROUND(P27*(1+U19),0)</f>
        <v>0</v>
      </c>
      <c r="U27" s="455" t="str">
        <f>TEXT(U19,"0.0%")&amp;" = Est. S &amp; C"</f>
        <v>2.0% = Est. S &amp; C</v>
      </c>
      <c r="V27" s="952"/>
      <c r="W27" s="2241" t="str">
        <f t="shared" si="5"/>
        <v>0.00%</v>
      </c>
      <c r="X27" s="340">
        <f>ROUND(T27*(1+Y19),0)</f>
        <v>0</v>
      </c>
      <c r="Y27" s="455" t="str">
        <f>TEXT(Y19,"0.0%")&amp;" = Est. S &amp; C"</f>
        <v>2.0% = Est. S &amp; C</v>
      </c>
      <c r="AA27" s="456" t="str">
        <f t="shared" si="6"/>
        <v>0.00%</v>
      </c>
      <c r="AB27" s="340">
        <f>ROUND(X27*(1+AC19),0)</f>
        <v>0</v>
      </c>
      <c r="AC27" s="455" t="str">
        <f>TEXT(AC19,"0.0%")&amp;" = Est. S &amp; C"</f>
        <v>2.0% = Est. S &amp; C</v>
      </c>
    </row>
    <row r="28" spans="1:29" s="457" customFormat="1" hidden="1" x14ac:dyDescent="0.25">
      <c r="A28" s="2227"/>
      <c r="B28" s="2385"/>
      <c r="C28" s="2215"/>
      <c r="D28" s="340">
        <v>0</v>
      </c>
      <c r="E28" s="2386"/>
      <c r="F28" s="340"/>
      <c r="G28" s="456" t="str">
        <f>IF(D28=0,"0.00%",(H28-D28)/D28)</f>
        <v>0.00%</v>
      </c>
      <c r="H28" s="340">
        <f>ROUND(D28*(1+$I$19),0)</f>
        <v>0</v>
      </c>
      <c r="I28" s="897" t="str">
        <f t="shared" si="8"/>
        <v>0.0% = Est. S &amp; C</v>
      </c>
      <c r="J28" s="455"/>
      <c r="K28" s="456" t="str">
        <f>IF(H28=0,"0.00%",(L28-H28)/H28)</f>
        <v>0.00%</v>
      </c>
      <c r="L28" s="340">
        <f>ROUND(H28*(1+M20),0)</f>
        <v>0</v>
      </c>
      <c r="M28" s="897" t="str">
        <f>TEXT(M20,"0.0%")&amp;" = Est. S &amp; C"</f>
        <v>0.0% = Est. S &amp; C</v>
      </c>
      <c r="O28" s="456" t="str">
        <f>IF(L28=0,"0.00%",(P28-L28)/L28)</f>
        <v>0.00%</v>
      </c>
      <c r="P28" s="340">
        <f>ROUND(L28*(1+Q20),0)</f>
        <v>0</v>
      </c>
      <c r="Q28" s="897" t="str">
        <f>TEXT(Q20,"0.0%")&amp;" = Est. S &amp; C"</f>
        <v>0.0% = Est. S &amp; C</v>
      </c>
      <c r="R28" s="592"/>
      <c r="S28" s="2238" t="str">
        <f>IF(P28=0,"0.00%",(T28-P28)/P28)</f>
        <v>0.00%</v>
      </c>
      <c r="T28" s="340">
        <f>ROUND(P28*(1+U20),0)</f>
        <v>0</v>
      </c>
      <c r="U28" s="455" t="str">
        <f>TEXT(U20,"0.0%")&amp;" = Est. S &amp; C"</f>
        <v>0.0% = Est. S &amp; C</v>
      </c>
      <c r="V28" s="952"/>
      <c r="W28" s="2241" t="str">
        <f>IF(T28=0,"0.00%",(X28-T28)/T28)</f>
        <v>0.00%</v>
      </c>
      <c r="X28" s="340">
        <f>ROUND(T28*(1+Y20),0)</f>
        <v>0</v>
      </c>
      <c r="Y28" s="455" t="str">
        <f>TEXT(Y20,"0.0%")&amp;" = Est. S &amp; C"</f>
        <v>0.0% = Est. S &amp; C</v>
      </c>
      <c r="AA28" s="456" t="str">
        <f>IF(X28=0,"0.00%",(AB28-X28)/X28)</f>
        <v>0.00%</v>
      </c>
      <c r="AB28" s="340">
        <f>ROUND(X28*(1+AC20),0)</f>
        <v>0</v>
      </c>
      <c r="AC28" s="455" t="str">
        <f>TEXT(AC20,"0.0%")&amp;" = Est. S &amp; C"</f>
        <v>0.0% = Est. S &amp; C</v>
      </c>
    </row>
    <row r="29" spans="1:29" s="457" customFormat="1" ht="6" hidden="1" customHeight="1" x14ac:dyDescent="0.25">
      <c r="A29" s="2227"/>
      <c r="B29" s="2385"/>
      <c r="C29" s="2215"/>
      <c r="D29" s="340"/>
      <c r="E29" s="2386"/>
      <c r="F29" s="340"/>
      <c r="G29" s="456"/>
      <c r="H29" s="340"/>
      <c r="I29" s="897"/>
      <c r="J29" s="455"/>
      <c r="K29" s="1668"/>
      <c r="L29" s="340"/>
      <c r="M29" s="901"/>
      <c r="O29" s="1668"/>
      <c r="P29" s="340"/>
      <c r="Q29" s="901"/>
      <c r="R29" s="592"/>
      <c r="S29" s="2341"/>
      <c r="T29" s="340"/>
      <c r="U29" s="2344"/>
      <c r="V29" s="952"/>
      <c r="W29" s="2343"/>
      <c r="X29" s="340"/>
      <c r="Y29" s="2344"/>
      <c r="AA29" s="1668"/>
      <c r="AB29" s="340"/>
      <c r="AC29" s="2344"/>
    </row>
    <row r="30" spans="1:29" s="457" customFormat="1" x14ac:dyDescent="0.25">
      <c r="A30" s="2228"/>
      <c r="B30" s="2385"/>
      <c r="C30" s="2215"/>
      <c r="D30" s="458">
        <f>SUM(D21:D29)</f>
        <v>2623.33</v>
      </c>
      <c r="E30" s="2386"/>
      <c r="F30" s="340"/>
      <c r="G30" s="456">
        <f t="shared" si="1"/>
        <v>0.52477957405282605</v>
      </c>
      <c r="H30" s="458">
        <f>SUM(H21:H29)</f>
        <v>4000</v>
      </c>
      <c r="I30" s="2316">
        <f>+H30-D30</f>
        <v>1376.67</v>
      </c>
      <c r="J30" s="459"/>
      <c r="K30" s="456">
        <f>IF(H30=0,"0.00%",(L30-H30)/H30)</f>
        <v>0</v>
      </c>
      <c r="L30" s="458">
        <f>SUM(L21:L29)</f>
        <v>4000</v>
      </c>
      <c r="M30" s="2316">
        <f>+L30-H30</f>
        <v>0</v>
      </c>
      <c r="O30" s="456">
        <f>IF(L30=0,"0.00%",(P30-L30)/L30)</f>
        <v>0.02</v>
      </c>
      <c r="P30" s="458">
        <f>SUM(P21:P29)</f>
        <v>4080</v>
      </c>
      <c r="Q30" s="2316">
        <f>+P30-L30</f>
        <v>80</v>
      </c>
      <c r="R30" s="592"/>
      <c r="S30" s="2238">
        <f>IF(P30=0,"0.00%",(T30-P30)/P30)</f>
        <v>2.0098039215686276E-2</v>
      </c>
      <c r="T30" s="458">
        <f>SUM(T21:T29)</f>
        <v>4162</v>
      </c>
      <c r="U30" s="2344"/>
      <c r="V30" s="952"/>
      <c r="W30" s="2241">
        <f>IF(T30=0,"0.00%",(X30-T30)/T30)</f>
        <v>1.9942335415665546E-2</v>
      </c>
      <c r="X30" s="458">
        <f>SUM(X21:X29)</f>
        <v>4245</v>
      </c>
      <c r="Y30" s="2344"/>
      <c r="AA30" s="456">
        <f>IF(X30=0,"0.00%",(AB30-X30)/X30)</f>
        <v>2.0023557126030624E-2</v>
      </c>
      <c r="AB30" s="458">
        <f>SUM(AB21:AB29)</f>
        <v>4330</v>
      </c>
      <c r="AC30" s="2344"/>
    </row>
    <row r="31" spans="1:29" s="457" customFormat="1" x14ac:dyDescent="0.25">
      <c r="A31" s="2227"/>
      <c r="B31" s="2345"/>
      <c r="C31" s="2215"/>
      <c r="D31" s="340"/>
      <c r="E31" s="2386"/>
      <c r="F31" s="340"/>
      <c r="G31" s="2338"/>
      <c r="H31" s="340"/>
      <c r="I31" s="899"/>
      <c r="J31" s="455"/>
      <c r="K31" s="1668"/>
      <c r="L31" s="340"/>
      <c r="M31" s="2388"/>
      <c r="O31" s="1668"/>
      <c r="P31" s="340"/>
      <c r="Q31" s="2388"/>
      <c r="R31" s="592"/>
      <c r="S31" s="2341"/>
      <c r="T31" s="340"/>
      <c r="U31" s="2344"/>
      <c r="V31" s="952"/>
      <c r="W31" s="2343"/>
      <c r="X31" s="340"/>
      <c r="Y31" s="2344"/>
      <c r="AA31" s="1668"/>
      <c r="AB31" s="340"/>
      <c r="AC31" s="2344"/>
    </row>
    <row r="32" spans="1:29" s="461" customFormat="1" x14ac:dyDescent="0.25">
      <c r="A32" s="2225"/>
      <c r="B32" s="2440" t="s">
        <v>35</v>
      </c>
      <c r="C32" s="2225"/>
      <c r="D32" s="460"/>
      <c r="E32" s="868"/>
      <c r="F32" s="460"/>
      <c r="G32" s="2389"/>
      <c r="H32" s="460"/>
      <c r="I32" s="868"/>
      <c r="J32" s="460"/>
      <c r="K32" s="1669"/>
      <c r="L32" s="460"/>
      <c r="M32" s="902"/>
      <c r="O32" s="1669"/>
      <c r="P32" s="460"/>
      <c r="Q32" s="902"/>
      <c r="S32" s="1669"/>
      <c r="T32" s="460"/>
      <c r="U32" s="2392"/>
      <c r="V32" s="2381"/>
      <c r="W32" s="2382"/>
      <c r="X32" s="460"/>
      <c r="Y32" s="2392"/>
      <c r="AA32" s="1669"/>
      <c r="AB32" s="460"/>
      <c r="AC32" s="2392"/>
    </row>
    <row r="33" spans="1:29" s="457" customFormat="1" x14ac:dyDescent="0.25">
      <c r="A33" s="2227"/>
      <c r="B33" s="2385">
        <v>2912</v>
      </c>
      <c r="C33" s="2215" t="s">
        <v>228</v>
      </c>
      <c r="D33" s="340">
        <v>55561.98</v>
      </c>
      <c r="E33" s="2386"/>
      <c r="F33" s="340"/>
      <c r="G33" s="456">
        <f t="shared" ref="G33:G39" si="9">IF(D33=0,"0.00%",(H33-D33)/D33)</f>
        <v>7.5177666454651126E-2</v>
      </c>
      <c r="H33" s="340">
        <v>59739</v>
      </c>
      <c r="I33" s="897"/>
      <c r="J33" s="455"/>
      <c r="K33" s="456">
        <f t="shared" ref="K33:K39" si="10">IF(H33=0,"0.00%",(L33-H33)/H33)</f>
        <v>9.6101374311588744E-2</v>
      </c>
      <c r="L33" s="340">
        <v>65480</v>
      </c>
      <c r="M33" s="897" t="str">
        <f>TEXT(M19,"0.0%")&amp;" = Est. S &amp; C"</f>
        <v>2.0% = Est. S &amp; C</v>
      </c>
      <c r="O33" s="456">
        <f t="shared" ref="O33:O39" si="11">IF(L33=0,"0.00%",(P33-L33)/L33)</f>
        <v>2.0006108735491752E-2</v>
      </c>
      <c r="P33" s="340">
        <f>ROUND(L33*(1+Q19),0)</f>
        <v>66790</v>
      </c>
      <c r="Q33" s="897" t="str">
        <f>TEXT(Q19,"0.0%")&amp;" = Est. S &amp; C"</f>
        <v>2.0% = Est. S &amp; C</v>
      </c>
      <c r="R33" s="592"/>
      <c r="S33" s="2238">
        <f t="shared" ref="S33:S39" si="12">IF(P33=0,"0.00%",(T33-P33)/P33)</f>
        <v>2.000299446024854E-2</v>
      </c>
      <c r="T33" s="340">
        <f>ROUND(P33*(1+U19),0)</f>
        <v>68126</v>
      </c>
      <c r="U33" s="455" t="str">
        <f>TEXT(U19,"0.0%")&amp;" = Est. S &amp; C"</f>
        <v>2.0% = Est. S &amp; C</v>
      </c>
      <c r="V33" s="952"/>
      <c r="W33" s="2241">
        <f t="shared" ref="W33:W39" si="13">IF(T33=0,"0.00%",(X33-T33)/T33)</f>
        <v>2.0007045768135515E-2</v>
      </c>
      <c r="X33" s="340">
        <f>ROUND(T33*(1+Y19),0)</f>
        <v>69489</v>
      </c>
      <c r="Y33" s="455" t="str">
        <f>TEXT(Y19,"0.0%")&amp;" = Est. S &amp; C"</f>
        <v>2.0% = Est. S &amp; C</v>
      </c>
      <c r="AA33" s="456">
        <f t="shared" ref="AA33:AA39" si="14">IF(X33=0,"0.00%",(AB33-X33)/X33)</f>
        <v>2.0003165968714473E-2</v>
      </c>
      <c r="AB33" s="340">
        <f>ROUND(X33*(1+AC19),0)</f>
        <v>70879</v>
      </c>
      <c r="AC33" s="455" t="str">
        <f>TEXT(AC19,"0.0%")&amp;" = Est. S &amp; C"</f>
        <v>2.0% = Est. S &amp; C</v>
      </c>
    </row>
    <row r="34" spans="1:29" s="457" customFormat="1" x14ac:dyDescent="0.25">
      <c r="A34" s="2227"/>
      <c r="B34" s="2385"/>
      <c r="C34" s="2215"/>
      <c r="D34" s="340">
        <v>0</v>
      </c>
      <c r="E34" s="2386"/>
      <c r="F34" s="340"/>
      <c r="G34" s="456" t="str">
        <f t="shared" si="9"/>
        <v>0.00%</v>
      </c>
      <c r="H34" s="340"/>
      <c r="I34" s="897"/>
      <c r="J34" s="455"/>
      <c r="K34" s="456" t="str">
        <f t="shared" si="10"/>
        <v>0.00%</v>
      </c>
      <c r="L34" s="340"/>
      <c r="M34" s="897"/>
      <c r="O34" s="456" t="str">
        <f t="shared" si="11"/>
        <v>0.00%</v>
      </c>
      <c r="P34" s="340"/>
      <c r="Q34" s="897"/>
      <c r="R34" s="592"/>
      <c r="S34" s="2238" t="str">
        <f t="shared" si="12"/>
        <v>0.00%</v>
      </c>
      <c r="T34" s="340">
        <f>ROUND(P34*(1+U19),0)</f>
        <v>0</v>
      </c>
      <c r="U34" s="455" t="str">
        <f>TEXT(U19,"0.0%")&amp;" = Est. S &amp; C"</f>
        <v>2.0% = Est. S &amp; C</v>
      </c>
      <c r="V34" s="952"/>
      <c r="W34" s="2241" t="str">
        <f t="shared" si="13"/>
        <v>0.00%</v>
      </c>
      <c r="X34" s="340">
        <f>ROUND(T34*(1+Y19),0)</f>
        <v>0</v>
      </c>
      <c r="Y34" s="455" t="str">
        <f>TEXT(Y19,"0.0%")&amp;" = Est. S &amp; C"</f>
        <v>2.0% = Est. S &amp; C</v>
      </c>
      <c r="AA34" s="456" t="str">
        <f t="shared" si="14"/>
        <v>0.00%</v>
      </c>
      <c r="AB34" s="340">
        <f>ROUND(X34*(1+AC19),0)</f>
        <v>0</v>
      </c>
      <c r="AC34" s="455" t="str">
        <f>TEXT(AC19,"0.0%")&amp;" = Est. S &amp; C"</f>
        <v>2.0% = Est. S &amp; C</v>
      </c>
    </row>
    <row r="35" spans="1:29" s="457" customFormat="1" hidden="1" x14ac:dyDescent="0.25">
      <c r="A35" s="2227"/>
      <c r="B35" s="2385"/>
      <c r="C35" s="2215"/>
      <c r="D35" s="340">
        <v>0</v>
      </c>
      <c r="E35" s="2386"/>
      <c r="F35" s="340"/>
      <c r="G35" s="456" t="str">
        <f t="shared" si="9"/>
        <v>0.00%</v>
      </c>
      <c r="H35" s="340">
        <f t="shared" ref="H35:H39" si="15">ROUND(D35*(1+$I$19),0)</f>
        <v>0</v>
      </c>
      <c r="I35" s="897" t="str">
        <f t="shared" ref="I35:I39" si="16">TEXT($I$19,"0.0%")&amp;" = Est. S &amp; C"</f>
        <v>0.0% = Est. S &amp; C</v>
      </c>
      <c r="J35" s="455"/>
      <c r="K35" s="456" t="str">
        <f t="shared" si="10"/>
        <v>0.00%</v>
      </c>
      <c r="L35" s="340">
        <f>ROUND(H35*(1+M19),0)</f>
        <v>0</v>
      </c>
      <c r="M35" s="897" t="str">
        <f>TEXT(M19,"0.0%")&amp;" = Est. S &amp; C"</f>
        <v>2.0% = Est. S &amp; C</v>
      </c>
      <c r="O35" s="456" t="str">
        <f t="shared" si="11"/>
        <v>0.00%</v>
      </c>
      <c r="P35" s="340">
        <f>ROUND(L35*(1+Q19),0)</f>
        <v>0</v>
      </c>
      <c r="Q35" s="897" t="str">
        <f>TEXT(Q19,"0.0%")&amp;" = Est. S &amp; C"</f>
        <v>2.0% = Est. S &amp; C</v>
      </c>
      <c r="R35" s="592"/>
      <c r="S35" s="2238" t="str">
        <f t="shared" si="12"/>
        <v>0.00%</v>
      </c>
      <c r="T35" s="340">
        <f>ROUND(P35*(1+U19),0)</f>
        <v>0</v>
      </c>
      <c r="U35" s="455" t="str">
        <f>TEXT(U19,"0.0%")&amp;" = Est. S &amp; C"</f>
        <v>2.0% = Est. S &amp; C</v>
      </c>
      <c r="V35" s="952"/>
      <c r="W35" s="2241" t="str">
        <f t="shared" si="13"/>
        <v>0.00%</v>
      </c>
      <c r="X35" s="340">
        <f>ROUND(T35*(1+Y19),0)</f>
        <v>0</v>
      </c>
      <c r="Y35" s="455" t="str">
        <f>TEXT(Y19,"0.0%")&amp;" = Est. S &amp; C"</f>
        <v>2.0% = Est. S &amp; C</v>
      </c>
      <c r="AA35" s="456" t="str">
        <f t="shared" si="14"/>
        <v>0.00%</v>
      </c>
      <c r="AB35" s="340">
        <f>ROUND(X35*(1+AC19),0)</f>
        <v>0</v>
      </c>
      <c r="AC35" s="455" t="str">
        <f>TEXT(AC19,"0.0%")&amp;" = Est. S &amp; C"</f>
        <v>2.0% = Est. S &amp; C</v>
      </c>
    </row>
    <row r="36" spans="1:29" s="457" customFormat="1" hidden="1" x14ac:dyDescent="0.25">
      <c r="A36" s="2227"/>
      <c r="B36" s="2385"/>
      <c r="C36" s="2215"/>
      <c r="D36" s="340">
        <v>0</v>
      </c>
      <c r="E36" s="2386"/>
      <c r="F36" s="340"/>
      <c r="G36" s="456" t="str">
        <f t="shared" si="9"/>
        <v>0.00%</v>
      </c>
      <c r="H36" s="340">
        <f t="shared" si="15"/>
        <v>0</v>
      </c>
      <c r="I36" s="897" t="str">
        <f t="shared" si="16"/>
        <v>0.0% = Est. S &amp; C</v>
      </c>
      <c r="J36" s="455"/>
      <c r="K36" s="456" t="str">
        <f t="shared" si="10"/>
        <v>0.00%</v>
      </c>
      <c r="L36" s="340">
        <f>ROUND(H36*(1+M19),0)</f>
        <v>0</v>
      </c>
      <c r="M36" s="897" t="str">
        <f>TEXT(M19,"0.0%")&amp;" = Est. S &amp; C"</f>
        <v>2.0% = Est. S &amp; C</v>
      </c>
      <c r="O36" s="456" t="str">
        <f t="shared" si="11"/>
        <v>0.00%</v>
      </c>
      <c r="P36" s="340">
        <f>ROUND(L36*(1+Q19),0)</f>
        <v>0</v>
      </c>
      <c r="Q36" s="897" t="str">
        <f>TEXT(Q19,"0.0%")&amp;" = Est. S &amp; C"</f>
        <v>2.0% = Est. S &amp; C</v>
      </c>
      <c r="R36" s="592"/>
      <c r="S36" s="2238" t="str">
        <f t="shared" si="12"/>
        <v>0.00%</v>
      </c>
      <c r="T36" s="340">
        <f>ROUND(P36*(1+U19),0)</f>
        <v>0</v>
      </c>
      <c r="U36" s="455" t="str">
        <f>TEXT(U19,"0.0%")&amp;" = Est. S &amp; C"</f>
        <v>2.0% = Est. S &amp; C</v>
      </c>
      <c r="V36" s="952"/>
      <c r="W36" s="2241" t="str">
        <f t="shared" si="13"/>
        <v>0.00%</v>
      </c>
      <c r="X36" s="340">
        <f>ROUND(T36*(1+Y19),0)</f>
        <v>0</v>
      </c>
      <c r="Y36" s="455" t="str">
        <f>TEXT(Y19,"0.0%")&amp;" = Est. S &amp; C"</f>
        <v>2.0% = Est. S &amp; C</v>
      </c>
      <c r="AA36" s="456" t="str">
        <f t="shared" si="14"/>
        <v>0.00%</v>
      </c>
      <c r="AB36" s="340">
        <f>ROUND(X36*(1+AC19),0)</f>
        <v>0</v>
      </c>
      <c r="AC36" s="455" t="str">
        <f>TEXT(AC19,"0.0%")&amp;" = Est. S &amp; C"</f>
        <v>2.0% = Est. S &amp; C</v>
      </c>
    </row>
    <row r="37" spans="1:29" s="457" customFormat="1" hidden="1" x14ac:dyDescent="0.25">
      <c r="A37" s="2227"/>
      <c r="B37" s="2385"/>
      <c r="C37" s="2215"/>
      <c r="D37" s="340">
        <v>0</v>
      </c>
      <c r="E37" s="2386"/>
      <c r="F37" s="340"/>
      <c r="G37" s="456" t="str">
        <f t="shared" si="9"/>
        <v>0.00%</v>
      </c>
      <c r="H37" s="340">
        <f t="shared" si="15"/>
        <v>0</v>
      </c>
      <c r="I37" s="897" t="str">
        <f t="shared" si="16"/>
        <v>0.0% = Est. S &amp; C</v>
      </c>
      <c r="J37" s="455"/>
      <c r="K37" s="456" t="str">
        <f t="shared" si="10"/>
        <v>0.00%</v>
      </c>
      <c r="L37" s="340">
        <f>ROUND(H37*(1+M19),0)</f>
        <v>0</v>
      </c>
      <c r="M37" s="897" t="str">
        <f>TEXT(M19,"0.0%")&amp;" = Est. S &amp; C"</f>
        <v>2.0% = Est. S &amp; C</v>
      </c>
      <c r="O37" s="456" t="str">
        <f t="shared" si="11"/>
        <v>0.00%</v>
      </c>
      <c r="P37" s="340">
        <f>ROUND(L37*(1+Q19),0)</f>
        <v>0</v>
      </c>
      <c r="Q37" s="897" t="str">
        <f>TEXT(Q19,"0.0%")&amp;" = Est. S &amp; C"</f>
        <v>2.0% = Est. S &amp; C</v>
      </c>
      <c r="R37" s="592"/>
      <c r="S37" s="2238" t="str">
        <f t="shared" si="12"/>
        <v>0.00%</v>
      </c>
      <c r="T37" s="340">
        <f>ROUND(P37*(1+U19),0)</f>
        <v>0</v>
      </c>
      <c r="U37" s="455" t="str">
        <f>TEXT(U19,"0.0%")&amp;" = Est. S &amp; C"</f>
        <v>2.0% = Est. S &amp; C</v>
      </c>
      <c r="V37" s="952"/>
      <c r="W37" s="2241" t="str">
        <f t="shared" si="13"/>
        <v>0.00%</v>
      </c>
      <c r="X37" s="340">
        <f>ROUND(T37*(1+Y19),0)</f>
        <v>0</v>
      </c>
      <c r="Y37" s="455" t="str">
        <f>TEXT(Y19,"0.0%")&amp;" = Est. S &amp; C"</f>
        <v>2.0% = Est. S &amp; C</v>
      </c>
      <c r="AA37" s="456" t="str">
        <f t="shared" si="14"/>
        <v>0.00%</v>
      </c>
      <c r="AB37" s="340">
        <f>ROUND(X37*(1+AC19),0)</f>
        <v>0</v>
      </c>
      <c r="AC37" s="455" t="str">
        <f>TEXT(AC19,"0.0%")&amp;" = Est. S &amp; C"</f>
        <v>2.0% = Est. S &amp; C</v>
      </c>
    </row>
    <row r="38" spans="1:29" s="457" customFormat="1" hidden="1" x14ac:dyDescent="0.25">
      <c r="A38" s="2227"/>
      <c r="B38" s="2385"/>
      <c r="C38" s="2215"/>
      <c r="D38" s="340">
        <v>0</v>
      </c>
      <c r="E38" s="2386"/>
      <c r="F38" s="340"/>
      <c r="G38" s="456" t="str">
        <f t="shared" si="9"/>
        <v>0.00%</v>
      </c>
      <c r="H38" s="340">
        <f t="shared" si="15"/>
        <v>0</v>
      </c>
      <c r="I38" s="897" t="str">
        <f t="shared" si="16"/>
        <v>0.0% = Est. S &amp; C</v>
      </c>
      <c r="J38" s="455"/>
      <c r="K38" s="456" t="str">
        <f t="shared" si="10"/>
        <v>0.00%</v>
      </c>
      <c r="L38" s="340">
        <f>ROUND(H38*(1+M19),0)</f>
        <v>0</v>
      </c>
      <c r="M38" s="897" t="str">
        <f>TEXT(M19,"0.0%")&amp;" = Est. S &amp; C"</f>
        <v>2.0% = Est. S &amp; C</v>
      </c>
      <c r="O38" s="456" t="str">
        <f t="shared" si="11"/>
        <v>0.00%</v>
      </c>
      <c r="P38" s="340">
        <f>ROUND(L38*(1+Q19),0)</f>
        <v>0</v>
      </c>
      <c r="Q38" s="897" t="str">
        <f>TEXT(Q19,"0.0%")&amp;" = Est. S &amp; C"</f>
        <v>2.0% = Est. S &amp; C</v>
      </c>
      <c r="R38" s="592"/>
      <c r="S38" s="2238" t="str">
        <f t="shared" si="12"/>
        <v>0.00%</v>
      </c>
      <c r="T38" s="340">
        <f>ROUND(P38*(1+U19),0)</f>
        <v>0</v>
      </c>
      <c r="U38" s="455" t="str">
        <f>TEXT(U19,"0.0%")&amp;" = Est. S &amp; C"</f>
        <v>2.0% = Est. S &amp; C</v>
      </c>
      <c r="V38" s="952"/>
      <c r="W38" s="2241" t="str">
        <f t="shared" si="13"/>
        <v>0.00%</v>
      </c>
      <c r="X38" s="340">
        <f>ROUND(T38*(1+Y19),0)</f>
        <v>0</v>
      </c>
      <c r="Y38" s="455" t="str">
        <f>TEXT(Y19,"0.0%")&amp;" = Est. S &amp; C"</f>
        <v>2.0% = Est. S &amp; C</v>
      </c>
      <c r="AA38" s="456" t="str">
        <f t="shared" si="14"/>
        <v>0.00%</v>
      </c>
      <c r="AB38" s="340">
        <f>ROUND(X38*(1+AC19),0)</f>
        <v>0</v>
      </c>
      <c r="AC38" s="455" t="str">
        <f>TEXT(AC19,"0.0%")&amp;" = Est. S &amp; C"</f>
        <v>2.0% = Est. S &amp; C</v>
      </c>
    </row>
    <row r="39" spans="1:29" s="457" customFormat="1" hidden="1" x14ac:dyDescent="0.25">
      <c r="A39" s="2227"/>
      <c r="B39" s="2385"/>
      <c r="C39" s="2215"/>
      <c r="D39" s="340">
        <v>0</v>
      </c>
      <c r="E39" s="2386"/>
      <c r="F39" s="340"/>
      <c r="G39" s="456" t="str">
        <f t="shared" si="9"/>
        <v>0.00%</v>
      </c>
      <c r="H39" s="340">
        <f t="shared" si="15"/>
        <v>0</v>
      </c>
      <c r="I39" s="897" t="str">
        <f t="shared" si="16"/>
        <v>0.0% = Est. S &amp; C</v>
      </c>
      <c r="J39" s="455"/>
      <c r="K39" s="456" t="str">
        <f t="shared" si="10"/>
        <v>0.00%</v>
      </c>
      <c r="L39" s="340">
        <f>ROUND(H39*(1+M19),0)</f>
        <v>0</v>
      </c>
      <c r="M39" s="897" t="str">
        <f>TEXT(M19,"0.0%")&amp;" = Est. S &amp; C"</f>
        <v>2.0% = Est. S &amp; C</v>
      </c>
      <c r="O39" s="456" t="str">
        <f t="shared" si="11"/>
        <v>0.00%</v>
      </c>
      <c r="P39" s="340">
        <f>ROUND(L39*(1+Q19),0)</f>
        <v>0</v>
      </c>
      <c r="Q39" s="897" t="str">
        <f>TEXT(Q19,"0.0%")&amp;" = Est. S &amp; C"</f>
        <v>2.0% = Est. S &amp; C</v>
      </c>
      <c r="R39" s="592"/>
      <c r="S39" s="2238" t="str">
        <f t="shared" si="12"/>
        <v>0.00%</v>
      </c>
      <c r="T39" s="340">
        <f>ROUND(P39*(1+U19),0)</f>
        <v>0</v>
      </c>
      <c r="U39" s="455" t="str">
        <f>TEXT(U19,"0.0%")&amp;" = Est. S &amp; C"</f>
        <v>2.0% = Est. S &amp; C</v>
      </c>
      <c r="V39" s="952"/>
      <c r="W39" s="2241" t="str">
        <f t="shared" si="13"/>
        <v>0.00%</v>
      </c>
      <c r="X39" s="340">
        <f>ROUND(T39*(1+Y19),0)</f>
        <v>0</v>
      </c>
      <c r="Y39" s="455" t="str">
        <f>TEXT(Y19,"0.0%")&amp;" = Est. S &amp; C"</f>
        <v>2.0% = Est. S &amp; C</v>
      </c>
      <c r="AA39" s="456" t="str">
        <f t="shared" si="14"/>
        <v>0.00%</v>
      </c>
      <c r="AB39" s="340">
        <f>ROUND(X39*(1+AC19),0)</f>
        <v>0</v>
      </c>
      <c r="AC39" s="455" t="str">
        <f>TEXT(AC19,"0.0%")&amp;" = Est. S &amp; C"</f>
        <v>2.0% = Est. S &amp; C</v>
      </c>
    </row>
    <row r="40" spans="1:29" s="457" customFormat="1" ht="6" hidden="1" customHeight="1" x14ac:dyDescent="0.25">
      <c r="A40" s="2227"/>
      <c r="B40" s="2385"/>
      <c r="C40" s="2215"/>
      <c r="D40" s="340"/>
      <c r="E40" s="2386"/>
      <c r="F40" s="340"/>
      <c r="G40" s="2338"/>
      <c r="H40" s="340"/>
      <c r="I40" s="897"/>
      <c r="J40" s="455"/>
      <c r="K40" s="1668"/>
      <c r="L40" s="340"/>
      <c r="M40" s="901"/>
      <c r="O40" s="1668"/>
      <c r="P40" s="340"/>
      <c r="Q40" s="901"/>
      <c r="R40" s="592"/>
      <c r="S40" s="2341"/>
      <c r="T40" s="340"/>
      <c r="U40" s="2344"/>
      <c r="V40" s="952"/>
      <c r="W40" s="2343"/>
      <c r="X40" s="340"/>
      <c r="Y40" s="2344"/>
      <c r="AA40" s="1668"/>
      <c r="AB40" s="340"/>
      <c r="AC40" s="2344"/>
    </row>
    <row r="41" spans="1:29" s="457" customFormat="1" x14ac:dyDescent="0.25">
      <c r="A41" s="2228"/>
      <c r="B41" s="2385"/>
      <c r="C41" s="2215"/>
      <c r="D41" s="458">
        <f>SUM(D33:D40)</f>
        <v>55561.98</v>
      </c>
      <c r="E41" s="2386"/>
      <c r="F41" s="340"/>
      <c r="G41" s="456">
        <f>IF(D41=0,"0.00%",(H41-D41)/D41)</f>
        <v>7.5177666454651126E-2</v>
      </c>
      <c r="H41" s="458">
        <f>SUM(H33:H40)</f>
        <v>59739</v>
      </c>
      <c r="I41" s="2316">
        <f>+H41-D41</f>
        <v>4177.0199999999968</v>
      </c>
      <c r="J41" s="459"/>
      <c r="K41" s="456">
        <f>IF(H41=0,"0.00%",(L41-H41)/H41)</f>
        <v>9.6101374311588744E-2</v>
      </c>
      <c r="L41" s="458">
        <f>SUM(L33:L40)</f>
        <v>65480</v>
      </c>
      <c r="M41" s="2316">
        <f>+L41-H41</f>
        <v>5741</v>
      </c>
      <c r="O41" s="456">
        <f>IF(L41=0,"0.00%",(P41-L41)/L41)</f>
        <v>2.0006108735491752E-2</v>
      </c>
      <c r="P41" s="458">
        <f>SUM(P33:P40)</f>
        <v>66790</v>
      </c>
      <c r="Q41" s="2316">
        <f>+P41-L41</f>
        <v>1310</v>
      </c>
      <c r="R41" s="592"/>
      <c r="S41" s="2238">
        <f>IF(P41=0,"0.00%",(T41-P41)/P41)</f>
        <v>2.000299446024854E-2</v>
      </c>
      <c r="T41" s="458">
        <f>SUM(T33:T40)</f>
        <v>68126</v>
      </c>
      <c r="U41" s="2344"/>
      <c r="V41" s="952"/>
      <c r="W41" s="2241">
        <f>IF(T41=0,"0.00%",(X41-T41)/T41)</f>
        <v>2.0007045768135515E-2</v>
      </c>
      <c r="X41" s="458">
        <f>SUM(X33:X40)</f>
        <v>69489</v>
      </c>
      <c r="Y41" s="2344"/>
      <c r="AA41" s="456">
        <f>IF(X41=0,"0.00%",(AB41-X41)/X41)</f>
        <v>2.0003165968714473E-2</v>
      </c>
      <c r="AB41" s="458">
        <f>SUM(AB33:AB40)</f>
        <v>70879</v>
      </c>
      <c r="AC41" s="2344"/>
    </row>
    <row r="42" spans="1:29" s="457" customFormat="1" x14ac:dyDescent="0.25">
      <c r="A42" s="2227"/>
      <c r="B42" s="2345" t="s">
        <v>28</v>
      </c>
      <c r="C42" s="2215"/>
      <c r="D42" s="340"/>
      <c r="E42" s="2386"/>
      <c r="F42" s="340"/>
      <c r="G42" s="2338"/>
      <c r="H42" s="340"/>
      <c r="I42" s="897"/>
      <c r="J42" s="455"/>
      <c r="K42" s="1668"/>
      <c r="L42" s="340"/>
      <c r="M42" s="901"/>
      <c r="O42" s="1668"/>
      <c r="P42" s="340"/>
      <c r="Q42" s="901"/>
      <c r="R42" s="592"/>
      <c r="S42" s="2341"/>
      <c r="T42" s="340"/>
      <c r="U42" s="2344"/>
      <c r="V42" s="952"/>
      <c r="W42" s="2343"/>
      <c r="X42" s="340"/>
      <c r="Y42" s="2344"/>
      <c r="AA42" s="1668"/>
      <c r="AB42" s="340"/>
      <c r="AC42" s="2344"/>
    </row>
    <row r="43" spans="1:29" s="457" customFormat="1" x14ac:dyDescent="0.25">
      <c r="A43" s="2229"/>
      <c r="B43" s="2337" t="s">
        <v>27</v>
      </c>
      <c r="C43" s="2215"/>
      <c r="D43" s="340"/>
      <c r="E43" s="2386"/>
      <c r="F43" s="340"/>
      <c r="G43" s="2338"/>
      <c r="H43" s="340"/>
      <c r="I43" s="897"/>
      <c r="J43" s="455"/>
      <c r="K43" s="1668"/>
      <c r="L43" s="340"/>
      <c r="M43" s="901"/>
      <c r="O43" s="1668"/>
      <c r="P43" s="340"/>
      <c r="Q43" s="901"/>
      <c r="R43" s="592"/>
      <c r="S43" s="2341"/>
      <c r="T43" s="340"/>
      <c r="U43" s="2344"/>
      <c r="V43" s="952"/>
      <c r="W43" s="2343"/>
      <c r="X43" s="340"/>
      <c r="Y43" s="2344"/>
      <c r="AA43" s="1668"/>
      <c r="AB43" s="340"/>
      <c r="AC43" s="2344"/>
    </row>
    <row r="44" spans="1:29" s="457" customFormat="1" x14ac:dyDescent="0.25">
      <c r="A44" s="2227"/>
      <c r="B44" s="2385" t="s">
        <v>83</v>
      </c>
      <c r="C44" s="2215" t="s">
        <v>76</v>
      </c>
      <c r="D44" s="340">
        <v>319.14999999999998</v>
      </c>
      <c r="E44" s="899" t="str">
        <f>TEXT('MYP Assumptions'!$D$57,"0.00%")&amp;", STRS rate"</f>
        <v>12.58%, STRS rate</v>
      </c>
      <c r="F44" s="340"/>
      <c r="G44" s="456">
        <f t="shared" ref="G44:G53" si="17">IF(D44=0,"0.00%",(H44-D44)/D44)</f>
        <v>-0.45793514021619924</v>
      </c>
      <c r="H44" s="340">
        <v>173</v>
      </c>
      <c r="I44" s="899" t="str">
        <f>TEXT('MYP Assumptions'!E57,"0.00%")&amp;", projected STRS rate"</f>
        <v>14.43%, projected STRS rate</v>
      </c>
      <c r="J44" s="455"/>
      <c r="K44" s="456">
        <f t="shared" ref="K44:K53" si="18">IF(H44=0,"0.00%",(L44-H44)/H44)</f>
        <v>2.7687861271676302</v>
      </c>
      <c r="L44" s="340">
        <v>652</v>
      </c>
      <c r="M44" s="899" t="str">
        <f>TEXT('MYP Assumptions'!F57,"0.00%")&amp;", projected STRS rate"</f>
        <v>16.28%, projected STRS rate</v>
      </c>
      <c r="O44" s="456">
        <f t="shared" ref="O44:O53" si="19">IF(L44=0,"0.00%",(P44-L44)/L44)</f>
        <v>0.13496932515337423</v>
      </c>
      <c r="P44" s="340">
        <f>ROUND(P30*LEFT(Q44,6),0)</f>
        <v>740</v>
      </c>
      <c r="Q44" s="899" t="str">
        <f>TEXT('MYP Assumptions'!G57,"0.00%")&amp;", projected STRS rate"</f>
        <v>18.13%, projected STRS rate</v>
      </c>
      <c r="R44" s="592"/>
      <c r="S44" s="2238">
        <f t="shared" ref="S44:S53" si="20">IF(P44=0,"0.00%",(T44-P44)/P44)</f>
        <v>7.4324324324324328E-2</v>
      </c>
      <c r="T44" s="340">
        <f>ROUND(T30*LEFT(U44,6),0)</f>
        <v>795</v>
      </c>
      <c r="U44" s="953" t="str">
        <f>TEXT('MYP Assumptions'!H57,"0.00%")&amp;", projected STRS rate"</f>
        <v>19.10%, projected STRS rate</v>
      </c>
      <c r="V44" s="952"/>
      <c r="W44" s="2241">
        <f t="shared" ref="W44:W53" si="21">IF(T44=0,"0.00%",(X44-T44)/T44)</f>
        <v>2.0125786163522012E-2</v>
      </c>
      <c r="X44" s="340">
        <f>ROUND(X30*LEFT(Y44,6),0)</f>
        <v>811</v>
      </c>
      <c r="Y44" s="953" t="str">
        <f>TEXT('MYP Assumptions'!I57,"0.00%")&amp;", projected STRS rate"</f>
        <v>19.10%, projected STRS rate</v>
      </c>
      <c r="AA44" s="456" t="e">
        <f t="shared" ref="AA44:AA53" si="22">IF(X44=0,"0.00%",(AB44-X44)/X44)</f>
        <v>#VALUE!</v>
      </c>
      <c r="AB44" s="340" t="e">
        <f>ROUND(AB30*LEFT(AC44,6),0)</f>
        <v>#VALUE!</v>
      </c>
      <c r="AC44" s="953" t="str">
        <f>TEXT('MYP Assumptions'!J57,"0.00%")&amp;", projected STRS rate"</f>
        <v>0.00%, projected STRS rate</v>
      </c>
    </row>
    <row r="45" spans="1:29" s="457" customFormat="1" x14ac:dyDescent="0.25">
      <c r="A45" s="2227"/>
      <c r="B45" s="2385" t="s">
        <v>84</v>
      </c>
      <c r="C45" s="2215" t="s">
        <v>77</v>
      </c>
      <c r="D45" s="340">
        <v>7721.49</v>
      </c>
      <c r="E45" s="899" t="str">
        <f>TEXT('MYP Assumptions'!$D$58,"0.00%")&amp;", PERS rate"</f>
        <v>13.89%, PERS rate</v>
      </c>
      <c r="F45" s="340"/>
      <c r="G45" s="456">
        <f t="shared" si="17"/>
        <v>0.35984117055127968</v>
      </c>
      <c r="H45" s="340">
        <v>10500</v>
      </c>
      <c r="I45" s="899" t="str">
        <f>TEXT('MYP Assumptions'!E58,"0.000%")&amp;", projected PERS rate"</f>
        <v>15.531%, projected PERS rate</v>
      </c>
      <c r="J45" s="455"/>
      <c r="K45" s="456">
        <f t="shared" si="18"/>
        <v>0.12638095238095237</v>
      </c>
      <c r="L45" s="340">
        <v>11827</v>
      </c>
      <c r="M45" s="899" t="str">
        <f>TEXT('MYP Assumptions'!F58,"0.00%")&amp;", projected PERS rate"</f>
        <v>18.06%, projected PERS rate</v>
      </c>
      <c r="O45" s="456">
        <f t="shared" si="19"/>
        <v>0.17460049040331446</v>
      </c>
      <c r="P45" s="340">
        <f>ROUND(P41*LEFT(Q45,6),0)</f>
        <v>13892</v>
      </c>
      <c r="Q45" s="899" t="str">
        <f>TEXT('MYP Assumptions'!G58,"0.00%")&amp;", projected PERS rate"</f>
        <v>20.80%, projected PERS rate</v>
      </c>
      <c r="R45" s="592"/>
      <c r="S45" s="2238">
        <f t="shared" si="20"/>
        <v>0.1524618485459257</v>
      </c>
      <c r="T45" s="340">
        <f>ROUND(T41*LEFT(U45,6),0)</f>
        <v>16010</v>
      </c>
      <c r="U45" s="953" t="str">
        <f>TEXT('MYP Assumptions'!H58,"0.00%")&amp;", projected PERS rate"</f>
        <v>23.50%, projected PERS rate</v>
      </c>
      <c r="V45" s="952"/>
      <c r="W45" s="2241">
        <f t="shared" si="21"/>
        <v>6.7707682698313551E-2</v>
      </c>
      <c r="X45" s="340">
        <f>ROUND(X41*LEFT(Y45,6),0)</f>
        <v>17094</v>
      </c>
      <c r="Y45" s="953" t="str">
        <f>TEXT('MYP Assumptions'!I58,"0.00%")&amp;", projected PERS rate"</f>
        <v>24.60%, projected PERS rate</v>
      </c>
      <c r="AA45" s="456" t="e">
        <f t="shared" si="22"/>
        <v>#VALUE!</v>
      </c>
      <c r="AB45" s="340" t="e">
        <f>ROUND(AB41*LEFT(AC45,6),0)</f>
        <v>#VALUE!</v>
      </c>
      <c r="AC45" s="953" t="str">
        <f>TEXT('MYP Assumptions'!J58,"0.00%")&amp;", projected PERS rate"</f>
        <v>0.00%, projected PERS rate</v>
      </c>
    </row>
    <row r="46" spans="1:29" s="457" customFormat="1" x14ac:dyDescent="0.25">
      <c r="A46" s="2227"/>
      <c r="B46" s="2385" t="s">
        <v>85</v>
      </c>
      <c r="C46" s="2215" t="s">
        <v>78</v>
      </c>
      <c r="D46" s="340">
        <v>3172.53</v>
      </c>
      <c r="E46" s="899" t="str">
        <f>TEXT('MYP Assumptions'!$D$60,"0.00%")&amp;", SS rate"</f>
        <v>6.20%, SS rate</v>
      </c>
      <c r="F46" s="340"/>
      <c r="G46" s="456">
        <f t="shared" si="17"/>
        <v>0.30337616980769283</v>
      </c>
      <c r="H46" s="340">
        <v>4135</v>
      </c>
      <c r="I46" s="899" t="str">
        <f>TEXT('MYP Assumptions'!E60,"0.00%")&amp;", no rate change"</f>
        <v>6.20%, no rate change</v>
      </c>
      <c r="J46" s="455"/>
      <c r="K46" s="456">
        <f t="shared" si="18"/>
        <v>-1.8137847642079808E-2</v>
      </c>
      <c r="L46" s="340">
        <v>4060</v>
      </c>
      <c r="M46" s="899" t="str">
        <f>TEXT('MYP Assumptions'!F60,"0.00%")&amp;", no rate change"</f>
        <v>6.20%, no rate change</v>
      </c>
      <c r="O46" s="456">
        <f t="shared" si="19"/>
        <v>1.9950738916256157E-2</v>
      </c>
      <c r="P46" s="340">
        <f>ROUND(P41*LEFT(Q46,5),0)</f>
        <v>4141</v>
      </c>
      <c r="Q46" s="899" t="str">
        <f>TEXT('MYP Assumptions'!G60,"0.00%")&amp;", no rate change"</f>
        <v>6.20%, no rate change</v>
      </c>
      <c r="R46" s="592"/>
      <c r="S46" s="2238">
        <f t="shared" si="20"/>
        <v>2.0043467761410288E-2</v>
      </c>
      <c r="T46" s="340">
        <f>ROUND(T41*LEFT(U46,5),0)</f>
        <v>4224</v>
      </c>
      <c r="U46" s="953" t="str">
        <f>TEXT('MYP Assumptions'!H60,"0.00%")&amp;", no rate change"</f>
        <v>6.20%, no rate change</v>
      </c>
      <c r="V46" s="952"/>
      <c r="W46" s="2241">
        <f t="shared" si="21"/>
        <v>1.9886363636363636E-2</v>
      </c>
      <c r="X46" s="340">
        <f>ROUND(X41*LEFT(Y46,5),0)</f>
        <v>4308</v>
      </c>
      <c r="Y46" s="953" t="str">
        <f>TEXT('MYP Assumptions'!I60,"0.00%")&amp;", no rate change"</f>
        <v>6.20%, no rate change</v>
      </c>
      <c r="AA46" s="456">
        <f t="shared" si="22"/>
        <v>-1</v>
      </c>
      <c r="AB46" s="340">
        <f>ROUND(AB41*LEFT(AC46,5),0)</f>
        <v>0</v>
      </c>
      <c r="AC46" s="953" t="str">
        <f>TEXT('MYP Assumptions'!J60,"0.00%")&amp;", no rate change"</f>
        <v>0.00%, no rate change</v>
      </c>
    </row>
    <row r="47" spans="1:29" s="457" customFormat="1" x14ac:dyDescent="0.25">
      <c r="A47" s="2227"/>
      <c r="B47" s="2385" t="s">
        <v>86</v>
      </c>
      <c r="C47" s="2215" t="s">
        <v>79</v>
      </c>
      <c r="D47" s="340">
        <f>36.78+741.93</f>
        <v>778.70999999999992</v>
      </c>
      <c r="E47" s="899" t="str">
        <f>TEXT('MYP Assumptions'!$D$61,"0.00%")&amp;", Medicare rate"</f>
        <v>1.45%, Medicare rate</v>
      </c>
      <c r="F47" s="340"/>
      <c r="G47" s="456">
        <f t="shared" si="17"/>
        <v>9.5401368930667488E-2</v>
      </c>
      <c r="H47" s="340">
        <f>18+835</f>
        <v>853</v>
      </c>
      <c r="I47" s="899" t="str">
        <f>TEXT('MYP Assumptions'!E61,"0.00%")&amp;", no rate change"</f>
        <v>1.45%, no rate change</v>
      </c>
      <c r="J47" s="455"/>
      <c r="K47" s="456">
        <f t="shared" si="18"/>
        <v>0.18053927315357562</v>
      </c>
      <c r="L47" s="340">
        <f>58+949</f>
        <v>1007</v>
      </c>
      <c r="M47" s="899" t="str">
        <f>TEXT('MYP Assumptions'!F61,"0.00%")&amp;", no rate change"</f>
        <v>1.45%, no rate change</v>
      </c>
      <c r="O47" s="456">
        <f t="shared" si="19"/>
        <v>2.0854021847070508E-2</v>
      </c>
      <c r="P47" s="340">
        <f>ROUND((P41+P30)*LEFT(Q47,5),0)</f>
        <v>1028</v>
      </c>
      <c r="Q47" s="899" t="str">
        <f>TEXT('MYP Assumptions'!G61,"0.00%")&amp;", no rate change"</f>
        <v>1.45%, no rate change</v>
      </c>
      <c r="R47" s="592"/>
      <c r="S47" s="2238">
        <f t="shared" si="20"/>
        <v>1.9455252918287938E-2</v>
      </c>
      <c r="T47" s="340">
        <f>ROUND((T41+T30)*LEFT(U47,5),0)</f>
        <v>1048</v>
      </c>
      <c r="U47" s="953" t="str">
        <f>TEXT('MYP Assumptions'!H61,"0.00%")&amp;", no rate change"</f>
        <v>1.45%, no rate change</v>
      </c>
      <c r="V47" s="952"/>
      <c r="W47" s="2241">
        <f t="shared" si="21"/>
        <v>2.0038167938931296E-2</v>
      </c>
      <c r="X47" s="340">
        <f>ROUND((X41+X30)*LEFT(Y47,5),0)</f>
        <v>1069</v>
      </c>
      <c r="Y47" s="953" t="str">
        <f>TEXT('MYP Assumptions'!I61,"0.00%")&amp;", no rate change"</f>
        <v>1.45%, no rate change</v>
      </c>
      <c r="AA47" s="456">
        <f t="shared" si="22"/>
        <v>-1</v>
      </c>
      <c r="AB47" s="340">
        <f>ROUND((AB41+AB30)*LEFT(AC47,5),0)</f>
        <v>0</v>
      </c>
      <c r="AC47" s="953" t="str">
        <f>TEXT('MYP Assumptions'!J61,"0.00%")&amp;", no rate change"</f>
        <v>0.00%, no rate change</v>
      </c>
    </row>
    <row r="48" spans="1:29" s="457" customFormat="1" x14ac:dyDescent="0.25">
      <c r="A48" s="2227"/>
      <c r="B48" s="2385" t="s">
        <v>87</v>
      </c>
      <c r="C48" s="2215" t="s">
        <v>80</v>
      </c>
      <c r="D48" s="340">
        <v>7495.32</v>
      </c>
      <c r="E48" s="899"/>
      <c r="F48" s="340"/>
      <c r="G48" s="456">
        <f t="shared" si="17"/>
        <v>1.2498465709269289E-2</v>
      </c>
      <c r="H48" s="340">
        <v>7589</v>
      </c>
      <c r="I48" s="899"/>
      <c r="J48" s="455"/>
      <c r="K48" s="456">
        <f t="shared" si="18"/>
        <v>-0.15351166161549612</v>
      </c>
      <c r="L48" s="340">
        <v>6424</v>
      </c>
      <c r="M48" s="899" t="str">
        <f>TEXT('MYP Assumptions'!$I$68,"0.00%")&amp;", projected increase"</f>
        <v>5.00%, projected increase</v>
      </c>
      <c r="O48" s="456">
        <f t="shared" si="19"/>
        <v>4.9968866749688666E-2</v>
      </c>
      <c r="P48" s="340">
        <f>ROUND((L48)*(LEFT(Q48,5)+1),0)</f>
        <v>6745</v>
      </c>
      <c r="Q48" s="899" t="str">
        <f>TEXT('MYP Assumptions'!$I$68,"0.00%")&amp;", projected increase"</f>
        <v>5.00%, projected increase</v>
      </c>
      <c r="R48" s="592"/>
      <c r="S48" s="2238">
        <f t="shared" si="20"/>
        <v>4.9962935507783544E-2</v>
      </c>
      <c r="T48" s="340">
        <f>ROUND((P48)*(LEFT(U48,5)+1),0)</f>
        <v>7082</v>
      </c>
      <c r="U48" s="953" t="str">
        <f>TEXT('MYP Assumptions'!$I$68,"0.00%")&amp;", projected increase"</f>
        <v>5.00%, projected increase</v>
      </c>
      <c r="V48" s="952"/>
      <c r="W48" s="2241">
        <f t="shared" si="21"/>
        <v>4.9985879695001414E-2</v>
      </c>
      <c r="X48" s="340">
        <f>ROUND((T48)*(LEFT(Y48,5)+1),0)</f>
        <v>7436</v>
      </c>
      <c r="Y48" s="953" t="str">
        <f>TEXT('MYP Assumptions'!$I$68,"0.00%")&amp;", projected increase"</f>
        <v>5.00%, projected increase</v>
      </c>
      <c r="AA48" s="456">
        <f t="shared" si="22"/>
        <v>5.0026896180742332E-2</v>
      </c>
      <c r="AB48" s="340">
        <f>ROUND((X48)*(LEFT(AC48,5)+1),0)</f>
        <v>7808</v>
      </c>
      <c r="AC48" s="953" t="str">
        <f>TEXT('MYP Assumptions'!$I$68,"0.00%")&amp;", projected increase"</f>
        <v>5.00%, projected increase</v>
      </c>
    </row>
    <row r="49" spans="1:29" s="457" customFormat="1" x14ac:dyDescent="0.25">
      <c r="A49" s="2227"/>
      <c r="B49" s="2385" t="s">
        <v>88</v>
      </c>
      <c r="C49" s="2215" t="s">
        <v>81</v>
      </c>
      <c r="D49" s="340">
        <f>1.27+25.65</f>
        <v>26.919999999999998</v>
      </c>
      <c r="E49" s="899" t="str">
        <f>TEXT('MYP Assumptions'!$D$62,"0.00%")&amp;", SUI rate"</f>
        <v>0.05%, SUI rate</v>
      </c>
      <c r="F49" s="340"/>
      <c r="G49" s="456">
        <f t="shared" si="17"/>
        <v>0.18870728083209518</v>
      </c>
      <c r="H49" s="340">
        <f>2+30</f>
        <v>32</v>
      </c>
      <c r="I49" s="899" t="str">
        <f>TEXT('MYP Assumptions'!E62,"0.00%")&amp;", no rate change"</f>
        <v>0.05%, no rate change</v>
      </c>
      <c r="J49" s="455"/>
      <c r="K49" s="456">
        <f t="shared" si="18"/>
        <v>6.25E-2</v>
      </c>
      <c r="L49" s="340">
        <f>2+32</f>
        <v>34</v>
      </c>
      <c r="M49" s="899" t="str">
        <f>TEXT('MYP Assumptions'!F62,"0.00%")&amp;", no rate change"</f>
        <v>0.05%, no rate change</v>
      </c>
      <c r="O49" s="456">
        <f t="shared" si="19"/>
        <v>2.9411764705882353E-2</v>
      </c>
      <c r="P49" s="340">
        <f>ROUND((P41+P30)*LEFT(Q49,5),0)</f>
        <v>35</v>
      </c>
      <c r="Q49" s="899" t="str">
        <f>TEXT('MYP Assumptions'!G62,"0.00%")&amp;", no rate change"</f>
        <v>0.05%, no rate change</v>
      </c>
      <c r="R49" s="592"/>
      <c r="S49" s="2238">
        <f t="shared" si="20"/>
        <v>2.8571428571428571E-2</v>
      </c>
      <c r="T49" s="340">
        <f>ROUND((T41+T30)*LEFT(U49,5),0)</f>
        <v>36</v>
      </c>
      <c r="U49" s="953" t="str">
        <f>TEXT('MYP Assumptions'!H62,"0.00%")&amp;", no rate change"</f>
        <v>0.05%, no rate change</v>
      </c>
      <c r="V49" s="952"/>
      <c r="W49" s="2241">
        <f t="shared" si="21"/>
        <v>2.7777777777777776E-2</v>
      </c>
      <c r="X49" s="340">
        <f>ROUND((X41+X30)*LEFT(Y49,5),0)</f>
        <v>37</v>
      </c>
      <c r="Y49" s="953" t="str">
        <f>TEXT('MYP Assumptions'!I62,"0.00%")&amp;", no rate change"</f>
        <v>0.05%, no rate change</v>
      </c>
      <c r="AA49" s="456">
        <f t="shared" si="22"/>
        <v>-1</v>
      </c>
      <c r="AB49" s="340">
        <f>ROUND((AB41+AB30)*LEFT(AC49,5),0)</f>
        <v>0</v>
      </c>
      <c r="AC49" s="953" t="str">
        <f>TEXT('MYP Assumptions'!J62,"0.00%")&amp;", no rate change"</f>
        <v>0.00%, no rate change</v>
      </c>
    </row>
    <row r="50" spans="1:29" s="457" customFormat="1" x14ac:dyDescent="0.25">
      <c r="A50" s="2227"/>
      <c r="B50" s="2385" t="s">
        <v>89</v>
      </c>
      <c r="C50" s="2215" t="s">
        <v>82</v>
      </c>
      <c r="D50" s="340">
        <v>27.92</v>
      </c>
      <c r="E50" s="899" t="str">
        <f>TEXT('MYP Assumptions'!$D$63,"0.00%")&amp;", W/C rate"</f>
        <v>1.10%, W/C rate</v>
      </c>
      <c r="F50" s="340"/>
      <c r="G50" s="456">
        <f t="shared" si="17"/>
        <v>22.244985673352435</v>
      </c>
      <c r="H50" s="340">
        <f>12+637</f>
        <v>649</v>
      </c>
      <c r="I50" s="899" t="str">
        <f>TEXT('MYP Assumptions'!E63,"0.00%")&amp;", no rate change"</f>
        <v>0.80%, no rate change</v>
      </c>
      <c r="J50" s="455"/>
      <c r="K50" s="456">
        <f t="shared" si="18"/>
        <v>-0.14329738058551617</v>
      </c>
      <c r="L50" s="340">
        <f>32+524</f>
        <v>556</v>
      </c>
      <c r="M50" s="899" t="str">
        <f>TEXT('MYP Assumptions'!F63,"0.00%")&amp;", no rate change"</f>
        <v>0.80%, no rate change</v>
      </c>
      <c r="O50" s="456">
        <f t="shared" si="19"/>
        <v>1.9784172661870502E-2</v>
      </c>
      <c r="P50" s="340">
        <f>ROUND((P41+P30)*LEFT(Q50,5),0)</f>
        <v>567</v>
      </c>
      <c r="Q50" s="899" t="str">
        <f>TEXT('MYP Assumptions'!G63,"0.00%")&amp;", no rate change"</f>
        <v>0.80%, no rate change</v>
      </c>
      <c r="R50" s="592"/>
      <c r="S50" s="2238">
        <f t="shared" si="20"/>
        <v>1.9400352733686066E-2</v>
      </c>
      <c r="T50" s="340">
        <f>ROUND((T41+T30)*LEFT(U50,5),0)</f>
        <v>578</v>
      </c>
      <c r="U50" s="953" t="str">
        <f>TEXT('MYP Assumptions'!H63,"0.00%")&amp;", no rate change"</f>
        <v>0.80%, no rate change</v>
      </c>
      <c r="V50" s="952"/>
      <c r="W50" s="2241">
        <f t="shared" si="21"/>
        <v>2.0761245674740483E-2</v>
      </c>
      <c r="X50" s="340">
        <f>ROUND((X41+X30)*LEFT(Y50,5),0)</f>
        <v>590</v>
      </c>
      <c r="Y50" s="953" t="str">
        <f>TEXT('MYP Assumptions'!I63,"0.00%")&amp;", no rate change"</f>
        <v>0.80%, no rate change</v>
      </c>
      <c r="AA50" s="456">
        <f t="shared" si="22"/>
        <v>-1</v>
      </c>
      <c r="AB50" s="340">
        <f>ROUND((AB41+AB30)*LEFT(AC50,5),0)</f>
        <v>0</v>
      </c>
      <c r="AC50" s="953" t="str">
        <f>TEXT('MYP Assumptions'!J63,"0.00%")&amp;", no rate change"</f>
        <v>0.00%, no rate change</v>
      </c>
    </row>
    <row r="51" spans="1:29" s="457" customFormat="1" x14ac:dyDescent="0.25">
      <c r="A51" s="2227"/>
      <c r="B51" s="2441" t="s">
        <v>469</v>
      </c>
      <c r="C51" s="2451" t="s">
        <v>470</v>
      </c>
      <c r="D51" s="340">
        <v>0</v>
      </c>
      <c r="E51" s="2386"/>
      <c r="F51" s="340"/>
      <c r="G51" s="456" t="str">
        <f t="shared" ref="G51" si="23">IF(D51=0,"0.00%",(H51-D51)/D51)</f>
        <v>0.00%</v>
      </c>
      <c r="H51" s="340">
        <v>0</v>
      </c>
      <c r="I51" s="899"/>
      <c r="J51" s="455"/>
      <c r="K51" s="456" t="str">
        <f t="shared" ref="K51" si="24">IF(H51=0,"0.00%",(L51-H51)/H51)</f>
        <v>0.00%</v>
      </c>
      <c r="L51" s="340">
        <f>H51</f>
        <v>0</v>
      </c>
      <c r="M51" s="899"/>
      <c r="O51" s="456" t="str">
        <f t="shared" ref="O51" si="25">IF(L51=0,"0.00%",(P51-L51)/L51)</f>
        <v>0.00%</v>
      </c>
      <c r="P51" s="340">
        <f>L51</f>
        <v>0</v>
      </c>
      <c r="Q51" s="899"/>
      <c r="R51" s="592"/>
      <c r="S51" s="2238" t="str">
        <f t="shared" ref="S51" si="26">IF(P51=0,"0.00%",(T51-P51)/P51)</f>
        <v>0.00%</v>
      </c>
      <c r="T51" s="340">
        <f>P51</f>
        <v>0</v>
      </c>
      <c r="U51" s="953" t="s">
        <v>165</v>
      </c>
      <c r="V51" s="952"/>
      <c r="W51" s="2241" t="str">
        <f t="shared" ref="W51" si="27">IF(T51=0,"0.00%",(X51-T51)/T51)</f>
        <v>0.00%</v>
      </c>
      <c r="X51" s="340">
        <f>T51</f>
        <v>0</v>
      </c>
      <c r="Y51" s="953" t="s">
        <v>165</v>
      </c>
      <c r="AA51" s="456" t="str">
        <f t="shared" ref="AA51" si="28">IF(X51=0,"0.00%",(AB51-X51)/X51)</f>
        <v>0.00%</v>
      </c>
      <c r="AB51" s="340">
        <f>X51</f>
        <v>0</v>
      </c>
      <c r="AC51" s="953" t="s">
        <v>165</v>
      </c>
    </row>
    <row r="52" spans="1:29" s="457" customFormat="1" x14ac:dyDescent="0.25">
      <c r="A52" s="2227"/>
      <c r="B52" s="2441" t="s">
        <v>91</v>
      </c>
      <c r="C52" s="2451" t="s">
        <v>93</v>
      </c>
      <c r="D52" s="340">
        <v>563.01</v>
      </c>
      <c r="E52" s="2386"/>
      <c r="F52" s="340"/>
      <c r="G52" s="456">
        <f t="shared" ref="G52" si="29">IF(D52=0,"0.00%",(H52-D52)/D52)</f>
        <v>-1</v>
      </c>
      <c r="H52" s="340">
        <v>0</v>
      </c>
      <c r="I52" s="899" t="s">
        <v>165</v>
      </c>
      <c r="J52" s="455"/>
      <c r="K52" s="456" t="str">
        <f t="shared" ref="K52" si="30">IF(H52=0,"0.00%",(L52-H52)/H52)</f>
        <v>0.00%</v>
      </c>
      <c r="L52" s="340">
        <f>H52</f>
        <v>0</v>
      </c>
      <c r="M52" s="899" t="s">
        <v>165</v>
      </c>
      <c r="O52" s="456" t="str">
        <f t="shared" ref="O52" si="31">IF(L52=0,"0.00%",(P52-L52)/L52)</f>
        <v>0.00%</v>
      </c>
      <c r="P52" s="340">
        <f>L52</f>
        <v>0</v>
      </c>
      <c r="Q52" s="899" t="s">
        <v>165</v>
      </c>
      <c r="R52" s="592"/>
      <c r="S52" s="2238" t="str">
        <f t="shared" ref="S52" si="32">IF(P52=0,"0.00%",(T52-P52)/P52)</f>
        <v>0.00%</v>
      </c>
      <c r="T52" s="340">
        <f>P52</f>
        <v>0</v>
      </c>
      <c r="U52" s="953" t="s">
        <v>165</v>
      </c>
      <c r="V52" s="952"/>
      <c r="W52" s="2241"/>
      <c r="X52" s="340"/>
      <c r="Y52" s="953"/>
      <c r="AA52" s="456"/>
      <c r="AB52" s="340"/>
      <c r="AC52" s="953"/>
    </row>
    <row r="53" spans="1:29" s="457" customFormat="1" x14ac:dyDescent="0.25">
      <c r="A53" s="2228"/>
      <c r="B53" s="2385"/>
      <c r="C53" s="2215"/>
      <c r="D53" s="458">
        <f>SUM(D44:D52)</f>
        <v>20105.049999999992</v>
      </c>
      <c r="E53" s="2386"/>
      <c r="F53" s="340"/>
      <c r="G53" s="456">
        <f t="shared" si="17"/>
        <v>0.19029795996528281</v>
      </c>
      <c r="H53" s="458">
        <f>SUM(H44:H52)</f>
        <v>23931</v>
      </c>
      <c r="I53" s="2316">
        <f>+H53-D53</f>
        <v>3825.950000000008</v>
      </c>
      <c r="J53" s="459"/>
      <c r="K53" s="456">
        <f t="shared" si="18"/>
        <v>2.6283899544523839E-2</v>
      </c>
      <c r="L53" s="458">
        <f>SUM(L44:L52)</f>
        <v>24560</v>
      </c>
      <c r="M53" s="2316">
        <f>+L53-H53</f>
        <v>629</v>
      </c>
      <c r="O53" s="456">
        <f t="shared" si="19"/>
        <v>0.10537459283387622</v>
      </c>
      <c r="P53" s="458">
        <f>SUM(P44:P52)</f>
        <v>27148</v>
      </c>
      <c r="Q53" s="2316">
        <f>+P53-L53</f>
        <v>2588</v>
      </c>
      <c r="R53" s="592"/>
      <c r="S53" s="2238">
        <f t="shared" si="20"/>
        <v>9.6692205687343449E-2</v>
      </c>
      <c r="T53" s="458">
        <f>SUM(T44:T52)</f>
        <v>29773</v>
      </c>
      <c r="U53" s="2344"/>
      <c r="V53" s="952"/>
      <c r="W53" s="2241">
        <f t="shared" si="21"/>
        <v>5.2799516340308335E-2</v>
      </c>
      <c r="X53" s="458">
        <f>SUM(X44:X52)</f>
        <v>31345</v>
      </c>
      <c r="Y53" s="2344"/>
      <c r="AA53" s="456" t="e">
        <f t="shared" si="22"/>
        <v>#VALUE!</v>
      </c>
      <c r="AB53" s="458" t="e">
        <f>SUM(AB44:AB52)</f>
        <v>#VALUE!</v>
      </c>
      <c r="AC53" s="2344"/>
    </row>
    <row r="54" spans="1:29" s="457" customFormat="1" x14ac:dyDescent="0.25">
      <c r="A54" s="2229"/>
      <c r="B54" s="2385"/>
      <c r="C54" s="2215"/>
      <c r="D54" s="340"/>
      <c r="E54" s="2386"/>
      <c r="F54" s="340"/>
      <c r="G54" s="2338"/>
      <c r="H54" s="340"/>
      <c r="I54" s="897"/>
      <c r="J54" s="455"/>
      <c r="K54" s="1668"/>
      <c r="L54" s="340"/>
      <c r="M54" s="901"/>
      <c r="O54" s="1668"/>
      <c r="P54" s="340"/>
      <c r="Q54" s="901"/>
      <c r="R54" s="592"/>
      <c r="S54" s="2341"/>
      <c r="T54" s="340"/>
      <c r="U54" s="2344"/>
      <c r="V54" s="952"/>
      <c r="W54" s="2343"/>
      <c r="X54" s="340"/>
      <c r="Y54" s="2344"/>
      <c r="AA54" s="1668"/>
      <c r="AB54" s="340"/>
      <c r="AC54" s="2344"/>
    </row>
    <row r="55" spans="1:29" s="457" customFormat="1" x14ac:dyDescent="0.25">
      <c r="A55" s="2228"/>
      <c r="B55" s="2337" t="s">
        <v>26</v>
      </c>
      <c r="C55" s="2215"/>
      <c r="D55" s="458">
        <f>SUM(D53,D41,D30)</f>
        <v>78290.36</v>
      </c>
      <c r="E55" s="2386"/>
      <c r="F55" s="340"/>
      <c r="G55" s="456">
        <f>IF(D55=0,"0.00%",(H55-D55)/D55)</f>
        <v>0.1198058100639721</v>
      </c>
      <c r="H55" s="458">
        <f>SUM(H53,H41,H30)</f>
        <v>87670</v>
      </c>
      <c r="I55" s="2316">
        <f>+H55-D55</f>
        <v>9379.64</v>
      </c>
      <c r="J55" s="459"/>
      <c r="K55" s="456">
        <f>IF(H55=0,"0.00%",(L55-H55)/H55)</f>
        <v>7.265883426485685E-2</v>
      </c>
      <c r="L55" s="458">
        <f>SUM(L53,L41,L30)</f>
        <v>94040</v>
      </c>
      <c r="M55" s="2316">
        <f>+L55-H55</f>
        <v>6370</v>
      </c>
      <c r="O55" s="456">
        <f>IF(L55=0,"0.00%",(P55-L55)/L55)</f>
        <v>4.2301148447469163E-2</v>
      </c>
      <c r="P55" s="458">
        <f>SUM(P53,P41,P30)</f>
        <v>98018</v>
      </c>
      <c r="Q55" s="2316">
        <f>+P55-L55</f>
        <v>3978</v>
      </c>
      <c r="R55" s="592"/>
      <c r="S55" s="2238">
        <f>IF(P55=0,"0.00%",(T55-P55)/P55)</f>
        <v>4.1247525964618746E-2</v>
      </c>
      <c r="T55" s="458">
        <f>SUM(T53,T41,T30)</f>
        <v>102061</v>
      </c>
      <c r="U55" s="2344"/>
      <c r="V55" s="952"/>
      <c r="W55" s="2241">
        <f>IF(T55=0,"0.00%",(X55-T55)/T55)</f>
        <v>2.9570550945023075E-2</v>
      </c>
      <c r="X55" s="458">
        <f>SUM(X53,X41,X30)</f>
        <v>105079</v>
      </c>
      <c r="Y55" s="2344"/>
      <c r="AA55" s="456" t="e">
        <f>IF(X55=0,"0.00%",(AB55-X55)/X55)</f>
        <v>#VALUE!</v>
      </c>
      <c r="AB55" s="458" t="e">
        <f>SUM(AB53,AB41,AB30)</f>
        <v>#VALUE!</v>
      </c>
      <c r="AC55" s="2344"/>
    </row>
    <row r="56" spans="1:29" s="457" customFormat="1" x14ac:dyDescent="0.25">
      <c r="A56" s="2230"/>
      <c r="B56" s="2345"/>
      <c r="C56" s="2215"/>
      <c r="D56" s="340"/>
      <c r="E56" s="2386"/>
      <c r="F56" s="340"/>
      <c r="G56" s="2338"/>
      <c r="H56" s="340"/>
      <c r="I56" s="897"/>
      <c r="J56" s="455"/>
      <c r="K56" s="1668"/>
      <c r="L56" s="340"/>
      <c r="M56" s="901"/>
      <c r="O56" s="1668"/>
      <c r="P56" s="340"/>
      <c r="Q56" s="901"/>
      <c r="R56" s="592"/>
      <c r="S56" s="2341"/>
      <c r="T56" s="340"/>
      <c r="U56" s="2344"/>
      <c r="V56" s="952"/>
      <c r="W56" s="2343"/>
      <c r="X56" s="340"/>
      <c r="Y56" s="2344"/>
      <c r="AA56" s="1668"/>
      <c r="AB56" s="340"/>
      <c r="AC56" s="2344"/>
    </row>
    <row r="57" spans="1:29" s="457" customFormat="1" hidden="1" x14ac:dyDescent="0.25">
      <c r="A57" s="2227"/>
      <c r="B57" s="2345"/>
      <c r="C57" s="2215"/>
      <c r="D57" s="340"/>
      <c r="E57" s="2386"/>
      <c r="F57" s="340"/>
      <c r="G57" s="2338"/>
      <c r="H57" s="340"/>
      <c r="I57" s="897"/>
      <c r="J57" s="455"/>
      <c r="K57" s="1668"/>
      <c r="L57" s="340"/>
      <c r="M57" s="901"/>
      <c r="O57" s="1668"/>
      <c r="P57" s="340"/>
      <c r="Q57" s="901"/>
      <c r="R57" s="592"/>
      <c r="S57" s="2341"/>
      <c r="T57" s="340"/>
      <c r="U57" s="2344"/>
      <c r="V57" s="952"/>
      <c r="W57" s="2343"/>
      <c r="X57" s="340"/>
      <c r="Y57" s="2344"/>
      <c r="AA57" s="1668"/>
      <c r="AB57" s="340"/>
      <c r="AC57" s="2344"/>
    </row>
    <row r="58" spans="1:29" s="457" customFormat="1" hidden="1" x14ac:dyDescent="0.25">
      <c r="A58" s="2230"/>
      <c r="B58" s="2440" t="s">
        <v>25</v>
      </c>
      <c r="C58" s="2225"/>
      <c r="D58" s="340"/>
      <c r="E58" s="2386"/>
      <c r="F58" s="340"/>
      <c r="G58" s="2338"/>
      <c r="H58" s="340"/>
      <c r="I58" s="897"/>
      <c r="J58" s="455"/>
      <c r="K58" s="1668"/>
      <c r="L58" s="340"/>
      <c r="M58" s="901"/>
      <c r="O58" s="1668"/>
      <c r="P58" s="340"/>
      <c r="Q58" s="901"/>
      <c r="R58" s="592"/>
      <c r="S58" s="2341"/>
      <c r="T58" s="340"/>
      <c r="U58" s="2344"/>
      <c r="V58" s="952"/>
      <c r="W58" s="2343"/>
      <c r="X58" s="340"/>
      <c r="Y58" s="2344"/>
      <c r="AA58" s="1668"/>
      <c r="AB58" s="340"/>
      <c r="AC58" s="2344"/>
    </row>
    <row r="59" spans="1:29" s="457" customFormat="1" hidden="1" x14ac:dyDescent="0.25">
      <c r="A59" s="2227"/>
      <c r="B59" s="2385">
        <v>4310</v>
      </c>
      <c r="C59" s="2215" t="s">
        <v>23</v>
      </c>
      <c r="D59" s="340">
        <v>0</v>
      </c>
      <c r="E59" s="2386"/>
      <c r="F59" s="340"/>
      <c r="G59" s="456" t="str">
        <f t="shared" ref="G59:G66" si="33">IF(D59=0,"0.00%",(H59-D59)/D59)</f>
        <v>0.00%</v>
      </c>
      <c r="H59" s="340">
        <f t="shared" ref="H59:H65" si="34">ROUND(D59*(LEFT(I59,5)+1),0)</f>
        <v>0</v>
      </c>
      <c r="I59" s="899" t="str">
        <f>TEXT('MYP Assumptions'!E78,"0.00%")&amp;", CPI"</f>
        <v>3.37%, CPI</v>
      </c>
      <c r="J59" s="455"/>
      <c r="K59" s="456" t="str">
        <f t="shared" ref="K59:K66" si="35">IF(H59=0,"0.00%",(L59-H59)/H59)</f>
        <v>0.00%</v>
      </c>
      <c r="L59" s="340">
        <f>ROUND(H59*(LEFT(M59,5)+1),0)</f>
        <v>0</v>
      </c>
      <c r="M59" s="899" t="str">
        <f>TEXT('MYP Assumptions'!F78,"0.00%")&amp;", CPI"</f>
        <v>3.58%, CPI</v>
      </c>
      <c r="O59" s="456" t="str">
        <f t="shared" ref="O59:O66" si="36">IF(L59=0,"0.00%",(P59-L59)/L59)</f>
        <v>0.00%</v>
      </c>
      <c r="P59" s="340">
        <f>ROUND(L59*(LEFT(Q59,5)+1),0)</f>
        <v>0</v>
      </c>
      <c r="Q59" s="899" t="str">
        <f>TEXT('MYP Assumptions'!G78,"0.00%")&amp;", CPI"</f>
        <v>3.36%, CPI</v>
      </c>
      <c r="R59" s="592"/>
      <c r="S59" s="2238" t="str">
        <f t="shared" ref="S59:S66" si="37">IF(P59=0,"0.00%",(T59-P59)/P59)</f>
        <v>0.00%</v>
      </c>
      <c r="T59" s="340">
        <f>ROUND(P59*(LEFT(U59,5)+1),0)</f>
        <v>0</v>
      </c>
      <c r="U59" s="953" t="str">
        <f>TEXT('MYP Assumptions'!H78,"0.00%")&amp;", CPI"</f>
        <v>3.23%, CPI</v>
      </c>
      <c r="V59" s="952"/>
      <c r="W59" s="2241" t="str">
        <f t="shared" ref="W59:W66" si="38">IF(T59=0,"0.00%",(X59-T59)/T59)</f>
        <v>0.00%</v>
      </c>
      <c r="X59" s="340">
        <f>ROUND(T59*(LEFT(Y59,5)+1),0)</f>
        <v>0</v>
      </c>
      <c r="Y59" s="953" t="str">
        <f>TEXT('MYP Assumptions'!I78,"0.00%")&amp;", CPI"</f>
        <v>2.73%, CPI</v>
      </c>
      <c r="AA59" s="456" t="str">
        <f t="shared" ref="AA59:AA66" si="39">IF(X59=0,"0.00%",(AB59-X59)/X59)</f>
        <v>0.00%</v>
      </c>
      <c r="AB59" s="340">
        <f>ROUND(X59*(LEFT(AC59,5)+1),0)</f>
        <v>0</v>
      </c>
      <c r="AC59" s="953" t="str">
        <f>TEXT('MYP Assumptions'!J78,"0.00%")&amp;", CPI"</f>
        <v>2.73%, CPI</v>
      </c>
    </row>
    <row r="60" spans="1:29" s="457" customFormat="1" hidden="1" x14ac:dyDescent="0.25">
      <c r="A60" s="2227"/>
      <c r="B60" s="2385">
        <v>4311</v>
      </c>
      <c r="C60" s="2215" t="s">
        <v>96</v>
      </c>
      <c r="D60" s="340">
        <v>0</v>
      </c>
      <c r="E60" s="2386"/>
      <c r="F60" s="340"/>
      <c r="G60" s="456" t="str">
        <f t="shared" si="33"/>
        <v>0.00%</v>
      </c>
      <c r="H60" s="340">
        <f t="shared" si="34"/>
        <v>0</v>
      </c>
      <c r="I60" s="899" t="str">
        <f>TEXT('MYP Assumptions'!E78,"0.00%")&amp;", CPI"</f>
        <v>3.37%, CPI</v>
      </c>
      <c r="J60" s="455"/>
      <c r="K60" s="456" t="str">
        <f t="shared" si="35"/>
        <v>0.00%</v>
      </c>
      <c r="L60" s="340">
        <f t="shared" ref="L60:L62" si="40">ROUND(H60*(LEFT(M60,5)+1),0)</f>
        <v>0</v>
      </c>
      <c r="M60" s="899" t="str">
        <f>TEXT('MYP Assumptions'!F78,"0.00%")&amp;", CPI"</f>
        <v>3.58%, CPI</v>
      </c>
      <c r="O60" s="456" t="str">
        <f t="shared" si="36"/>
        <v>0.00%</v>
      </c>
      <c r="P60" s="340">
        <f t="shared" ref="P60:P61" si="41">ROUND(L60*(LEFT(Q60,5)+1),0)</f>
        <v>0</v>
      </c>
      <c r="Q60" s="899" t="str">
        <f>TEXT('MYP Assumptions'!G78,"0.00%")&amp;", CPI"</f>
        <v>3.36%, CPI</v>
      </c>
      <c r="R60" s="592"/>
      <c r="S60" s="2238" t="str">
        <f t="shared" si="37"/>
        <v>0.00%</v>
      </c>
      <c r="T60" s="340">
        <f t="shared" ref="T60:T65" si="42">ROUND(P60*(LEFT(U60,5)+1),0)</f>
        <v>0</v>
      </c>
      <c r="U60" s="953" t="str">
        <f>TEXT('MYP Assumptions'!H78,"0.00%")&amp;", CPI"</f>
        <v>3.23%, CPI</v>
      </c>
      <c r="V60" s="952"/>
      <c r="W60" s="2241" t="str">
        <f t="shared" si="38"/>
        <v>0.00%</v>
      </c>
      <c r="X60" s="340">
        <f t="shared" ref="X60:X65" si="43">ROUND(T60*(LEFT(Y60,5)+1),0)</f>
        <v>0</v>
      </c>
      <c r="Y60" s="953" t="str">
        <f>TEXT('MYP Assumptions'!I78,"0.00%")&amp;", CPI"</f>
        <v>2.73%, CPI</v>
      </c>
      <c r="AA60" s="456" t="str">
        <f t="shared" si="39"/>
        <v>0.00%</v>
      </c>
      <c r="AB60" s="340">
        <f t="shared" ref="AB60:AB65" si="44">ROUND(X60*(LEFT(AC60,5)+1),0)</f>
        <v>0</v>
      </c>
      <c r="AC60" s="953" t="str">
        <f>TEXT('MYP Assumptions'!J78,"0.00%")&amp;", CPI"</f>
        <v>2.73%, CPI</v>
      </c>
    </row>
    <row r="61" spans="1:29" s="457" customFormat="1" hidden="1" x14ac:dyDescent="0.25">
      <c r="A61" s="2227"/>
      <c r="B61" s="2385">
        <v>4344</v>
      </c>
      <c r="C61" s="2215" t="s">
        <v>97</v>
      </c>
      <c r="D61" s="340">
        <v>0</v>
      </c>
      <c r="E61" s="2386"/>
      <c r="F61" s="340"/>
      <c r="G61" s="456" t="str">
        <f t="shared" si="33"/>
        <v>0.00%</v>
      </c>
      <c r="H61" s="340">
        <f t="shared" si="34"/>
        <v>0</v>
      </c>
      <c r="I61" s="899" t="str">
        <f>TEXT('MYP Assumptions'!E78,"0.00%")&amp;", CPI"</f>
        <v>3.37%, CPI</v>
      </c>
      <c r="J61" s="455"/>
      <c r="K61" s="456" t="str">
        <f t="shared" si="35"/>
        <v>0.00%</v>
      </c>
      <c r="L61" s="340">
        <f t="shared" si="40"/>
        <v>0</v>
      </c>
      <c r="M61" s="899" t="str">
        <f>TEXT('MYP Assumptions'!F78,"0.00%")&amp;", CPI"</f>
        <v>3.58%, CPI</v>
      </c>
      <c r="O61" s="456" t="str">
        <f t="shared" si="36"/>
        <v>0.00%</v>
      </c>
      <c r="P61" s="340">
        <f t="shared" si="41"/>
        <v>0</v>
      </c>
      <c r="Q61" s="899" t="str">
        <f>TEXT('MYP Assumptions'!G78,"0.00%")&amp;", CPI"</f>
        <v>3.36%, CPI</v>
      </c>
      <c r="R61" s="592"/>
      <c r="S61" s="2238" t="str">
        <f t="shared" si="37"/>
        <v>0.00%</v>
      </c>
      <c r="T61" s="340">
        <f t="shared" si="42"/>
        <v>0</v>
      </c>
      <c r="U61" s="953" t="str">
        <f>TEXT('MYP Assumptions'!H78,"0.00%")&amp;", CPI"</f>
        <v>3.23%, CPI</v>
      </c>
      <c r="V61" s="952"/>
      <c r="W61" s="2241" t="str">
        <f t="shared" si="38"/>
        <v>0.00%</v>
      </c>
      <c r="X61" s="340">
        <f t="shared" si="43"/>
        <v>0</v>
      </c>
      <c r="Y61" s="953" t="str">
        <f>TEXT('MYP Assumptions'!I78,"0.00%")&amp;", CPI"</f>
        <v>2.73%, CPI</v>
      </c>
      <c r="AA61" s="456" t="str">
        <f t="shared" si="39"/>
        <v>0.00%</v>
      </c>
      <c r="AB61" s="340">
        <f t="shared" si="44"/>
        <v>0</v>
      </c>
      <c r="AC61" s="953" t="str">
        <f>TEXT('MYP Assumptions'!J78,"0.00%")&amp;", CPI"</f>
        <v>2.73%, CPI</v>
      </c>
    </row>
    <row r="62" spans="1:29" s="457" customFormat="1" hidden="1" x14ac:dyDescent="0.25">
      <c r="A62" s="2227"/>
      <c r="B62" s="2385">
        <v>4353</v>
      </c>
      <c r="C62" s="2215" t="s">
        <v>21</v>
      </c>
      <c r="D62" s="340">
        <v>0</v>
      </c>
      <c r="E62" s="2386"/>
      <c r="F62" s="340"/>
      <c r="G62" s="456" t="str">
        <f t="shared" si="33"/>
        <v>0.00%</v>
      </c>
      <c r="H62" s="340">
        <f t="shared" si="34"/>
        <v>0</v>
      </c>
      <c r="I62" s="899" t="str">
        <f>TEXT('MYP Assumptions'!E78,"0.00%")&amp;", CPI"</f>
        <v>3.37%, CPI</v>
      </c>
      <c r="J62" s="455"/>
      <c r="K62" s="456" t="str">
        <f t="shared" si="35"/>
        <v>0.00%</v>
      </c>
      <c r="L62" s="340">
        <f t="shared" si="40"/>
        <v>0</v>
      </c>
      <c r="M62" s="899" t="str">
        <f>TEXT('MYP Assumptions'!F78,"0.00%")&amp;", CPI"</f>
        <v>3.58%, CPI</v>
      </c>
      <c r="O62" s="456" t="str">
        <f t="shared" si="36"/>
        <v>0.00%</v>
      </c>
      <c r="P62" s="340">
        <f t="shared" ref="P62:P65" si="45">ROUND(L62*(LEFT(Q62,5)+1),0)</f>
        <v>0</v>
      </c>
      <c r="Q62" s="899" t="str">
        <f>TEXT('MYP Assumptions'!G78,"0.00%")&amp;", CPI"</f>
        <v>3.36%, CPI</v>
      </c>
      <c r="R62" s="592"/>
      <c r="S62" s="2238" t="str">
        <f t="shared" si="37"/>
        <v>0.00%</v>
      </c>
      <c r="T62" s="340">
        <f t="shared" si="42"/>
        <v>0</v>
      </c>
      <c r="U62" s="953" t="str">
        <f>TEXT('MYP Assumptions'!H78,"0.00%")&amp;", CPI"</f>
        <v>3.23%, CPI</v>
      </c>
      <c r="V62" s="952"/>
      <c r="W62" s="2241" t="str">
        <f t="shared" si="38"/>
        <v>0.00%</v>
      </c>
      <c r="X62" s="340">
        <f t="shared" si="43"/>
        <v>0</v>
      </c>
      <c r="Y62" s="953" t="str">
        <f>TEXT('MYP Assumptions'!I78,"0.00%")&amp;", CPI"</f>
        <v>2.73%, CPI</v>
      </c>
      <c r="AA62" s="456" t="str">
        <f t="shared" si="39"/>
        <v>0.00%</v>
      </c>
      <c r="AB62" s="340">
        <f t="shared" si="44"/>
        <v>0</v>
      </c>
      <c r="AC62" s="953" t="str">
        <f>TEXT('MYP Assumptions'!J78,"0.00%")&amp;", CPI"</f>
        <v>2.73%, CPI</v>
      </c>
    </row>
    <row r="63" spans="1:29" s="457" customFormat="1" hidden="1" x14ac:dyDescent="0.25">
      <c r="A63" s="2227"/>
      <c r="B63" s="2385">
        <v>4400</v>
      </c>
      <c r="C63" s="2215" t="s">
        <v>19</v>
      </c>
      <c r="D63" s="340">
        <v>0</v>
      </c>
      <c r="E63" s="2386"/>
      <c r="F63" s="340"/>
      <c r="G63" s="456" t="str">
        <f t="shared" si="33"/>
        <v>0.00%</v>
      </c>
      <c r="H63" s="340">
        <f t="shared" si="34"/>
        <v>0</v>
      </c>
      <c r="I63" s="899" t="str">
        <f>TEXT('MYP Assumptions'!E78,"0.00%")&amp;", CPI"</f>
        <v>3.37%, CPI</v>
      </c>
      <c r="J63" s="455"/>
      <c r="K63" s="456" t="str">
        <f t="shared" si="35"/>
        <v>0.00%</v>
      </c>
      <c r="L63" s="340">
        <f t="shared" ref="L63:L65" si="46">ROUND(H63*(LEFT(M63,5)+1),0)</f>
        <v>0</v>
      </c>
      <c r="M63" s="899" t="str">
        <f>TEXT('MYP Assumptions'!F78,"0.00%")&amp;", CPI"</f>
        <v>3.58%, CPI</v>
      </c>
      <c r="O63" s="456" t="str">
        <f t="shared" si="36"/>
        <v>0.00%</v>
      </c>
      <c r="P63" s="340">
        <f t="shared" si="45"/>
        <v>0</v>
      </c>
      <c r="Q63" s="899" t="str">
        <f>TEXT('MYP Assumptions'!G78,"0.00%")&amp;", CPI"</f>
        <v>3.36%, CPI</v>
      </c>
      <c r="R63" s="592"/>
      <c r="S63" s="2238" t="str">
        <f t="shared" si="37"/>
        <v>0.00%</v>
      </c>
      <c r="T63" s="340">
        <f t="shared" si="42"/>
        <v>0</v>
      </c>
      <c r="U63" s="953" t="str">
        <f>TEXT('MYP Assumptions'!H78,"0.00%")&amp;", CPI"</f>
        <v>3.23%, CPI</v>
      </c>
      <c r="V63" s="952"/>
      <c r="W63" s="2241" t="str">
        <f t="shared" si="38"/>
        <v>0.00%</v>
      </c>
      <c r="X63" s="340">
        <f t="shared" si="43"/>
        <v>0</v>
      </c>
      <c r="Y63" s="953" t="str">
        <f>TEXT('MYP Assumptions'!I78,"0.00%")&amp;", CPI"</f>
        <v>2.73%, CPI</v>
      </c>
      <c r="AA63" s="456" t="str">
        <f t="shared" si="39"/>
        <v>0.00%</v>
      </c>
      <c r="AB63" s="340">
        <f t="shared" si="44"/>
        <v>0</v>
      </c>
      <c r="AC63" s="953" t="str">
        <f>TEXT('MYP Assumptions'!J78,"0.00%")&amp;", CPI"</f>
        <v>2.73%, CPI</v>
      </c>
    </row>
    <row r="64" spans="1:29" s="457" customFormat="1" hidden="1" x14ac:dyDescent="0.25">
      <c r="A64" s="2227"/>
      <c r="B64" s="2385">
        <v>4000</v>
      </c>
      <c r="C64" s="2215"/>
      <c r="D64" s="340">
        <v>0</v>
      </c>
      <c r="E64" s="2386"/>
      <c r="F64" s="340"/>
      <c r="G64" s="456" t="str">
        <f t="shared" si="33"/>
        <v>0.00%</v>
      </c>
      <c r="H64" s="340">
        <f t="shared" si="34"/>
        <v>0</v>
      </c>
      <c r="I64" s="899" t="str">
        <f>TEXT('MYP Assumptions'!E78,"0.00%")&amp;", CPI"</f>
        <v>3.37%, CPI</v>
      </c>
      <c r="J64" s="455"/>
      <c r="K64" s="456" t="str">
        <f t="shared" si="35"/>
        <v>0.00%</v>
      </c>
      <c r="L64" s="340">
        <f t="shared" si="46"/>
        <v>0</v>
      </c>
      <c r="M64" s="899" t="str">
        <f>TEXT('MYP Assumptions'!F78,"0.00%")&amp;", CPI"</f>
        <v>3.58%, CPI</v>
      </c>
      <c r="O64" s="456" t="str">
        <f t="shared" si="36"/>
        <v>0.00%</v>
      </c>
      <c r="P64" s="340">
        <f t="shared" si="45"/>
        <v>0</v>
      </c>
      <c r="Q64" s="899" t="str">
        <f>TEXT('MYP Assumptions'!G78,"0.00%")&amp;", CPI"</f>
        <v>3.36%, CPI</v>
      </c>
      <c r="R64" s="592"/>
      <c r="S64" s="2238" t="str">
        <f t="shared" si="37"/>
        <v>0.00%</v>
      </c>
      <c r="T64" s="340">
        <f t="shared" si="42"/>
        <v>0</v>
      </c>
      <c r="U64" s="953" t="str">
        <f>TEXT('MYP Assumptions'!H78,"0.00%")&amp;", CPI"</f>
        <v>3.23%, CPI</v>
      </c>
      <c r="V64" s="952"/>
      <c r="W64" s="2241" t="str">
        <f t="shared" si="38"/>
        <v>0.00%</v>
      </c>
      <c r="X64" s="340">
        <f t="shared" si="43"/>
        <v>0</v>
      </c>
      <c r="Y64" s="953" t="str">
        <f>TEXT('MYP Assumptions'!I78,"0.00%")&amp;", CPI"</f>
        <v>2.73%, CPI</v>
      </c>
      <c r="AA64" s="456" t="str">
        <f t="shared" si="39"/>
        <v>0.00%</v>
      </c>
      <c r="AB64" s="340">
        <f t="shared" si="44"/>
        <v>0</v>
      </c>
      <c r="AC64" s="953" t="str">
        <f>TEXT('MYP Assumptions'!J78,"0.00%")&amp;", CPI"</f>
        <v>2.73%, CPI</v>
      </c>
    </row>
    <row r="65" spans="1:29" s="457" customFormat="1" hidden="1" x14ac:dyDescent="0.25">
      <c r="A65" s="2227"/>
      <c r="B65" s="2385">
        <v>4000</v>
      </c>
      <c r="C65" s="2349"/>
      <c r="D65" s="340">
        <v>0</v>
      </c>
      <c r="E65" s="2386"/>
      <c r="F65" s="340"/>
      <c r="G65" s="456" t="str">
        <f t="shared" si="33"/>
        <v>0.00%</v>
      </c>
      <c r="H65" s="340">
        <f t="shared" si="34"/>
        <v>0</v>
      </c>
      <c r="I65" s="899" t="str">
        <f>TEXT('MYP Assumptions'!E78,"0.00%")&amp;", CPI"</f>
        <v>3.37%, CPI</v>
      </c>
      <c r="J65" s="455"/>
      <c r="K65" s="456" t="str">
        <f t="shared" si="35"/>
        <v>0.00%</v>
      </c>
      <c r="L65" s="340">
        <f t="shared" si="46"/>
        <v>0</v>
      </c>
      <c r="M65" s="899" t="str">
        <f>TEXT('MYP Assumptions'!F78,"0.00%")&amp;", CPI"</f>
        <v>3.58%, CPI</v>
      </c>
      <c r="O65" s="456" t="str">
        <f t="shared" si="36"/>
        <v>0.00%</v>
      </c>
      <c r="P65" s="340">
        <f t="shared" si="45"/>
        <v>0</v>
      </c>
      <c r="Q65" s="899" t="str">
        <f>TEXT('MYP Assumptions'!G78,"0.00%")&amp;", CPI"</f>
        <v>3.36%, CPI</v>
      </c>
      <c r="R65" s="592"/>
      <c r="S65" s="2238" t="str">
        <f t="shared" si="37"/>
        <v>0.00%</v>
      </c>
      <c r="T65" s="340">
        <f t="shared" si="42"/>
        <v>0</v>
      </c>
      <c r="U65" s="953" t="str">
        <f>TEXT('MYP Assumptions'!H78,"0.00%")&amp;", CPI"</f>
        <v>3.23%, CPI</v>
      </c>
      <c r="V65" s="952"/>
      <c r="W65" s="2241" t="str">
        <f t="shared" si="38"/>
        <v>0.00%</v>
      </c>
      <c r="X65" s="340">
        <f t="shared" si="43"/>
        <v>0</v>
      </c>
      <c r="Y65" s="953" t="str">
        <f>TEXT('MYP Assumptions'!I78,"0.00%")&amp;", CPI"</f>
        <v>2.73%, CPI</v>
      </c>
      <c r="AA65" s="456" t="str">
        <f t="shared" si="39"/>
        <v>0.00%</v>
      </c>
      <c r="AB65" s="340">
        <f t="shared" si="44"/>
        <v>0</v>
      </c>
      <c r="AC65" s="953" t="str">
        <f>TEXT('MYP Assumptions'!J78,"0.00%")&amp;", CPI"</f>
        <v>2.73%, CPI</v>
      </c>
    </row>
    <row r="66" spans="1:29" s="457" customFormat="1" hidden="1" x14ac:dyDescent="0.25">
      <c r="A66" s="2228"/>
      <c r="B66" s="2215"/>
      <c r="C66" s="2215"/>
      <c r="D66" s="458">
        <f>SUM(D59:D65)</f>
        <v>0</v>
      </c>
      <c r="E66" s="2386"/>
      <c r="F66" s="340"/>
      <c r="G66" s="456" t="str">
        <f t="shared" si="33"/>
        <v>0.00%</v>
      </c>
      <c r="H66" s="458">
        <f>SUM(H59:H65)</f>
        <v>0</v>
      </c>
      <c r="I66" s="898"/>
      <c r="J66" s="459"/>
      <c r="K66" s="456" t="str">
        <f t="shared" si="35"/>
        <v>0.00%</v>
      </c>
      <c r="L66" s="458">
        <f>SUM(L59:L65)</f>
        <v>0</v>
      </c>
      <c r="M66" s="901"/>
      <c r="O66" s="456" t="str">
        <f t="shared" si="36"/>
        <v>0.00%</v>
      </c>
      <c r="P66" s="458">
        <f>SUM(P59:P65)</f>
        <v>0</v>
      </c>
      <c r="Q66" s="901"/>
      <c r="R66" s="592"/>
      <c r="S66" s="2238" t="str">
        <f t="shared" si="37"/>
        <v>0.00%</v>
      </c>
      <c r="T66" s="458">
        <f>SUM(T59:T65)</f>
        <v>0</v>
      </c>
      <c r="U66" s="2344"/>
      <c r="V66" s="952"/>
      <c r="W66" s="2241" t="str">
        <f t="shared" si="38"/>
        <v>0.00%</v>
      </c>
      <c r="X66" s="458">
        <f>SUM(X59:X65)</f>
        <v>0</v>
      </c>
      <c r="Y66" s="2344"/>
      <c r="AA66" s="456" t="str">
        <f t="shared" si="39"/>
        <v>0.00%</v>
      </c>
      <c r="AB66" s="458">
        <f>SUM(AB59:AB65)</f>
        <v>0</v>
      </c>
      <c r="AC66" s="2344"/>
    </row>
    <row r="67" spans="1:29" s="457" customFormat="1" hidden="1" x14ac:dyDescent="0.25">
      <c r="A67" s="2227"/>
      <c r="B67" s="2345"/>
      <c r="C67" s="2215"/>
      <c r="D67" s="340"/>
      <c r="E67" s="2386"/>
      <c r="F67" s="340"/>
      <c r="G67" s="2338"/>
      <c r="H67" s="340"/>
      <c r="I67" s="897"/>
      <c r="J67" s="455"/>
      <c r="K67" s="1668"/>
      <c r="L67" s="340"/>
      <c r="M67" s="901"/>
      <c r="O67" s="1668"/>
      <c r="P67" s="340"/>
      <c r="Q67" s="901"/>
      <c r="R67" s="592"/>
      <c r="S67" s="2341"/>
      <c r="T67" s="340"/>
      <c r="U67" s="2344"/>
      <c r="V67" s="952"/>
      <c r="W67" s="2343"/>
      <c r="X67" s="340"/>
      <c r="Y67" s="2344"/>
      <c r="AA67" s="1668"/>
      <c r="AB67" s="340"/>
      <c r="AC67" s="2344"/>
    </row>
    <row r="68" spans="1:29" s="461" customFormat="1" x14ac:dyDescent="0.25">
      <c r="A68" s="2225"/>
      <c r="B68" s="2337" t="s">
        <v>16</v>
      </c>
      <c r="C68" s="2225"/>
      <c r="D68" s="460"/>
      <c r="E68" s="868"/>
      <c r="F68" s="460"/>
      <c r="G68" s="2389"/>
      <c r="H68" s="460"/>
      <c r="I68" s="900"/>
      <c r="K68" s="1669"/>
      <c r="L68" s="460"/>
      <c r="M68" s="902"/>
      <c r="O68" s="1669"/>
      <c r="P68" s="460"/>
      <c r="Q68" s="902"/>
      <c r="S68" s="1669"/>
      <c r="U68" s="2392"/>
      <c r="V68" s="2381"/>
      <c r="W68" s="2382"/>
      <c r="Y68" s="2392"/>
      <c r="AA68" s="1669"/>
      <c r="AC68" s="2392"/>
    </row>
    <row r="69" spans="1:29" s="457" customFormat="1" x14ac:dyDescent="0.25">
      <c r="A69" s="2227"/>
      <c r="B69" s="2385">
        <v>5813</v>
      </c>
      <c r="C69" s="2215" t="s">
        <v>6</v>
      </c>
      <c r="D69" s="340">
        <v>131738.57</v>
      </c>
      <c r="E69" s="2386" t="s">
        <v>659</v>
      </c>
      <c r="F69" s="340"/>
      <c r="G69" s="456">
        <f t="shared" ref="G69:G74" si="47">IF(D69=0,"0.00%",(H69-D69)/D69)</f>
        <v>5.9732164999210163E-2</v>
      </c>
      <c r="H69" s="340">
        <v>139607.6</v>
      </c>
      <c r="I69" s="899"/>
      <c r="J69" s="455"/>
      <c r="K69" s="456">
        <f t="shared" ref="K69:K82" si="48">IF(H69=0,"0.00%",(L69-H69)/H69)</f>
        <v>-5.7422375286159247E-2</v>
      </c>
      <c r="L69" s="340">
        <v>131591</v>
      </c>
      <c r="M69" s="899"/>
      <c r="O69" s="456">
        <f t="shared" ref="O69:O82" si="49">IF(L69=0,"0.00%",(P69-L69)/L69)</f>
        <v>-3.0230030929166887E-2</v>
      </c>
      <c r="P69" s="340">
        <v>127613</v>
      </c>
      <c r="Q69" s="899"/>
      <c r="R69" s="592"/>
      <c r="S69" s="2238">
        <f t="shared" ref="S69:S82" si="50">IF(P69=0,"0.00%",(T69-P69)/P69)</f>
        <v>-3.1681725216083E-2</v>
      </c>
      <c r="T69" s="340">
        <v>123570</v>
      </c>
      <c r="U69" s="953"/>
      <c r="V69" s="952"/>
      <c r="W69" s="2241">
        <f t="shared" ref="W69:W82" si="51">IF(T69=0,"0.00%",(X69-T69)/T69)</f>
        <v>2.7296269321032612E-2</v>
      </c>
      <c r="X69" s="340">
        <f>ROUND(T69*(LEFT(Y69,5)+1),0)</f>
        <v>126943</v>
      </c>
      <c r="Y69" s="953" t="str">
        <f>TEXT('MYP Assumptions'!I78,"0.00%")&amp;", CPI"</f>
        <v>2.73%, CPI</v>
      </c>
      <c r="AA69" s="456">
        <f t="shared" ref="AA69:AA82" si="52">IF(X69=0,"0.00%",(AB69-X69)/X69)</f>
        <v>2.730359295116706E-2</v>
      </c>
      <c r="AB69" s="340">
        <f>ROUND(X69*(LEFT(AC69,5)+1),0)</f>
        <v>130409</v>
      </c>
      <c r="AC69" s="953" t="str">
        <f>TEXT('MYP Assumptions'!J78,"0.00%")&amp;", CPI"</f>
        <v>2.73%, CPI</v>
      </c>
    </row>
    <row r="70" spans="1:29" s="457" customFormat="1" hidden="1" x14ac:dyDescent="0.25">
      <c r="A70" s="2227"/>
      <c r="B70" s="2385"/>
      <c r="C70" s="2215"/>
      <c r="D70" s="340">
        <v>0</v>
      </c>
      <c r="E70" s="2386"/>
      <c r="F70" s="340"/>
      <c r="G70" s="456" t="str">
        <f t="shared" si="47"/>
        <v>0.00%</v>
      </c>
      <c r="H70" s="340">
        <f>ROUND(D70*(LEFT(I70,5)+1),0)</f>
        <v>0</v>
      </c>
      <c r="I70" s="899" t="str">
        <f>TEXT('MYP Assumptions'!E78,"0.00%")&amp;", CPI"</f>
        <v>3.37%, CPI</v>
      </c>
      <c r="J70" s="455"/>
      <c r="K70" s="456" t="str">
        <f t="shared" si="48"/>
        <v>0.00%</v>
      </c>
      <c r="L70" s="340">
        <f t="shared" ref="L70:L81" si="53">ROUND(H70*(LEFT(M70,5)+1),0)</f>
        <v>0</v>
      </c>
      <c r="M70" s="899" t="str">
        <f>TEXT('MYP Assumptions'!F78,"0.00%")&amp;", CPI"</f>
        <v>3.58%, CPI</v>
      </c>
      <c r="O70" s="456" t="str">
        <f t="shared" si="49"/>
        <v>0.00%</v>
      </c>
      <c r="P70" s="340">
        <f t="shared" ref="P70:P81" si="54">ROUND(L70*(LEFT(Q70,5)+1),0)</f>
        <v>0</v>
      </c>
      <c r="Q70" s="899" t="str">
        <f>TEXT('MYP Assumptions'!G78,"0.00%")&amp;", CPI"</f>
        <v>3.36%, CPI</v>
      </c>
      <c r="R70" s="592"/>
      <c r="S70" s="2238" t="str">
        <f t="shared" si="50"/>
        <v>0.00%</v>
      </c>
      <c r="T70" s="340">
        <f t="shared" ref="T70:T81" si="55">ROUND(P70*(LEFT(U70,5)+1),0)</f>
        <v>0</v>
      </c>
      <c r="U70" s="953" t="str">
        <f>TEXT('MYP Assumptions'!H78,"0.00%")&amp;", CPI"</f>
        <v>3.23%, CPI</v>
      </c>
      <c r="V70" s="952"/>
      <c r="W70" s="2241" t="str">
        <f t="shared" si="51"/>
        <v>0.00%</v>
      </c>
      <c r="X70" s="340">
        <f t="shared" ref="X70:X81" si="56">ROUND(T70*(LEFT(Y70,5)+1),0)</f>
        <v>0</v>
      </c>
      <c r="Y70" s="953" t="str">
        <f>TEXT('MYP Assumptions'!I78,"0.00%")&amp;", CPI"</f>
        <v>2.73%, CPI</v>
      </c>
      <c r="AA70" s="456" t="str">
        <f t="shared" si="52"/>
        <v>0.00%</v>
      </c>
      <c r="AB70" s="340">
        <f t="shared" ref="AB70:AB81" si="57">ROUND(X70*(LEFT(AC70,5)+1),0)</f>
        <v>0</v>
      </c>
      <c r="AC70" s="953" t="str">
        <f>TEXT('MYP Assumptions'!J78,"0.00%")&amp;", CPI"</f>
        <v>2.73%, CPI</v>
      </c>
    </row>
    <row r="71" spans="1:29" s="457" customFormat="1" hidden="1" x14ac:dyDescent="0.25">
      <c r="A71" s="2227"/>
      <c r="B71" s="2385"/>
      <c r="C71" s="2215"/>
      <c r="D71" s="340">
        <v>0</v>
      </c>
      <c r="E71" s="2386"/>
      <c r="F71" s="340"/>
      <c r="G71" s="456" t="str">
        <f t="shared" si="47"/>
        <v>0.00%</v>
      </c>
      <c r="H71" s="340">
        <f t="shared" ref="H71:H76" si="58">ROUND(D71*(LEFT(I71,5)+1),0)</f>
        <v>0</v>
      </c>
      <c r="I71" s="899" t="str">
        <f>TEXT('MYP Assumptions'!E78,"0.00%")&amp;", CPI"</f>
        <v>3.37%, CPI</v>
      </c>
      <c r="J71" s="455"/>
      <c r="K71" s="456" t="str">
        <f t="shared" si="48"/>
        <v>0.00%</v>
      </c>
      <c r="L71" s="340">
        <f t="shared" si="53"/>
        <v>0</v>
      </c>
      <c r="M71" s="899" t="str">
        <f>TEXT('MYP Assumptions'!F78,"0.00%")&amp;", CPI"</f>
        <v>3.58%, CPI</v>
      </c>
      <c r="O71" s="456" t="str">
        <f t="shared" si="49"/>
        <v>0.00%</v>
      </c>
      <c r="P71" s="340">
        <f t="shared" si="54"/>
        <v>0</v>
      </c>
      <c r="Q71" s="899" t="str">
        <f>TEXT('MYP Assumptions'!G78,"0.00%")&amp;", CPI"</f>
        <v>3.36%, CPI</v>
      </c>
      <c r="R71" s="592"/>
      <c r="S71" s="2238" t="str">
        <f t="shared" si="50"/>
        <v>0.00%</v>
      </c>
      <c r="T71" s="340">
        <f t="shared" si="55"/>
        <v>0</v>
      </c>
      <c r="U71" s="953" t="str">
        <f>TEXT('MYP Assumptions'!H78,"0.00%")&amp;", CPI"</f>
        <v>3.23%, CPI</v>
      </c>
      <c r="V71" s="952"/>
      <c r="W71" s="2241" t="str">
        <f t="shared" si="51"/>
        <v>0.00%</v>
      </c>
      <c r="X71" s="340">
        <f t="shared" si="56"/>
        <v>0</v>
      </c>
      <c r="Y71" s="953" t="str">
        <f>TEXT('MYP Assumptions'!I78,"0.00%")&amp;", CPI"</f>
        <v>2.73%, CPI</v>
      </c>
      <c r="AA71" s="456" t="str">
        <f t="shared" si="52"/>
        <v>0.00%</v>
      </c>
      <c r="AB71" s="340">
        <f t="shared" si="57"/>
        <v>0</v>
      </c>
      <c r="AC71" s="953" t="str">
        <f>TEXT('MYP Assumptions'!J78,"0.00%")&amp;", CPI"</f>
        <v>2.73%, CPI</v>
      </c>
    </row>
    <row r="72" spans="1:29" s="457" customFormat="1" hidden="1" x14ac:dyDescent="0.25">
      <c r="A72" s="2227"/>
      <c r="B72" s="2385"/>
      <c r="C72" s="2215"/>
      <c r="D72" s="340">
        <v>0</v>
      </c>
      <c r="E72" s="2386"/>
      <c r="F72" s="340"/>
      <c r="G72" s="456" t="str">
        <f t="shared" si="47"/>
        <v>0.00%</v>
      </c>
      <c r="H72" s="340">
        <f t="shared" si="58"/>
        <v>0</v>
      </c>
      <c r="I72" s="899" t="str">
        <f>TEXT('MYP Assumptions'!E78,"0.00%")&amp;", CPI"</f>
        <v>3.37%, CPI</v>
      </c>
      <c r="J72" s="455"/>
      <c r="K72" s="456" t="str">
        <f t="shared" si="48"/>
        <v>0.00%</v>
      </c>
      <c r="L72" s="340">
        <f t="shared" si="53"/>
        <v>0</v>
      </c>
      <c r="M72" s="899" t="str">
        <f>TEXT('MYP Assumptions'!F78,"0.00%")&amp;", CPI"</f>
        <v>3.58%, CPI</v>
      </c>
      <c r="O72" s="456" t="str">
        <f t="shared" si="49"/>
        <v>0.00%</v>
      </c>
      <c r="P72" s="340">
        <f t="shared" si="54"/>
        <v>0</v>
      </c>
      <c r="Q72" s="899" t="str">
        <f>TEXT('MYP Assumptions'!G78,"0.00%")&amp;", CPI"</f>
        <v>3.36%, CPI</v>
      </c>
      <c r="R72" s="592"/>
      <c r="S72" s="2238" t="str">
        <f t="shared" si="50"/>
        <v>0.00%</v>
      </c>
      <c r="T72" s="340">
        <f t="shared" si="55"/>
        <v>0</v>
      </c>
      <c r="U72" s="953" t="str">
        <f>TEXT('MYP Assumptions'!H78,"0.00%")&amp;", CPI"</f>
        <v>3.23%, CPI</v>
      </c>
      <c r="V72" s="952"/>
      <c r="W72" s="2241" t="str">
        <f t="shared" si="51"/>
        <v>0.00%</v>
      </c>
      <c r="X72" s="340">
        <f t="shared" si="56"/>
        <v>0</v>
      </c>
      <c r="Y72" s="953" t="str">
        <f>TEXT('MYP Assumptions'!I78,"0.00%")&amp;", CPI"</f>
        <v>2.73%, CPI</v>
      </c>
      <c r="AA72" s="456" t="str">
        <f t="shared" si="52"/>
        <v>0.00%</v>
      </c>
      <c r="AB72" s="340">
        <f t="shared" si="57"/>
        <v>0</v>
      </c>
      <c r="AC72" s="953" t="str">
        <f>TEXT('MYP Assumptions'!J78,"0.00%")&amp;", CPI"</f>
        <v>2.73%, CPI</v>
      </c>
    </row>
    <row r="73" spans="1:29" s="457" customFormat="1" hidden="1" x14ac:dyDescent="0.25">
      <c r="A73" s="2227"/>
      <c r="B73" s="2385"/>
      <c r="C73" s="2215"/>
      <c r="D73" s="340">
        <v>0</v>
      </c>
      <c r="E73" s="2386"/>
      <c r="F73" s="340"/>
      <c r="G73" s="456" t="str">
        <f t="shared" si="47"/>
        <v>0.00%</v>
      </c>
      <c r="H73" s="340">
        <f t="shared" si="58"/>
        <v>0</v>
      </c>
      <c r="I73" s="899" t="str">
        <f>TEXT('MYP Assumptions'!E78,"0.00%")&amp;", CPI"</f>
        <v>3.37%, CPI</v>
      </c>
      <c r="J73" s="455"/>
      <c r="K73" s="456" t="str">
        <f t="shared" si="48"/>
        <v>0.00%</v>
      </c>
      <c r="L73" s="340">
        <f t="shared" si="53"/>
        <v>0</v>
      </c>
      <c r="M73" s="899" t="str">
        <f>TEXT('MYP Assumptions'!F78,"0.00%")&amp;", CPI"</f>
        <v>3.58%, CPI</v>
      </c>
      <c r="O73" s="456" t="str">
        <f t="shared" si="49"/>
        <v>0.00%</v>
      </c>
      <c r="P73" s="340">
        <f t="shared" si="54"/>
        <v>0</v>
      </c>
      <c r="Q73" s="899" t="str">
        <f>TEXT('MYP Assumptions'!G78,"0.00%")&amp;", CPI"</f>
        <v>3.36%, CPI</v>
      </c>
      <c r="R73" s="592"/>
      <c r="S73" s="2238" t="str">
        <f t="shared" si="50"/>
        <v>0.00%</v>
      </c>
      <c r="T73" s="340">
        <f t="shared" si="55"/>
        <v>0</v>
      </c>
      <c r="U73" s="953" t="str">
        <f>TEXT('MYP Assumptions'!H78,"0.00%")&amp;", CPI"</f>
        <v>3.23%, CPI</v>
      </c>
      <c r="V73" s="952"/>
      <c r="W73" s="2241" t="str">
        <f t="shared" si="51"/>
        <v>0.00%</v>
      </c>
      <c r="X73" s="340">
        <f t="shared" si="56"/>
        <v>0</v>
      </c>
      <c r="Y73" s="953" t="str">
        <f>TEXT('MYP Assumptions'!I78,"0.00%")&amp;", CPI"</f>
        <v>2.73%, CPI</v>
      </c>
      <c r="AA73" s="456" t="str">
        <f t="shared" si="52"/>
        <v>0.00%</v>
      </c>
      <c r="AB73" s="340">
        <f t="shared" si="57"/>
        <v>0</v>
      </c>
      <c r="AC73" s="953" t="str">
        <f>TEXT('MYP Assumptions'!J78,"0.00%")&amp;", CPI"</f>
        <v>2.73%, CPI</v>
      </c>
    </row>
    <row r="74" spans="1:29" s="457" customFormat="1" hidden="1" x14ac:dyDescent="0.25">
      <c r="A74" s="2227"/>
      <c r="B74" s="2385"/>
      <c r="C74" s="2215"/>
      <c r="D74" s="340">
        <v>0</v>
      </c>
      <c r="E74" s="2386"/>
      <c r="F74" s="340"/>
      <c r="G74" s="456" t="str">
        <f t="shared" si="47"/>
        <v>0.00%</v>
      </c>
      <c r="H74" s="340">
        <f t="shared" si="58"/>
        <v>0</v>
      </c>
      <c r="I74" s="899" t="str">
        <f>TEXT('MYP Assumptions'!E78,"0.00%")&amp;", CPI"</f>
        <v>3.37%, CPI</v>
      </c>
      <c r="J74" s="455"/>
      <c r="K74" s="456" t="str">
        <f t="shared" si="48"/>
        <v>0.00%</v>
      </c>
      <c r="L74" s="340">
        <f t="shared" si="53"/>
        <v>0</v>
      </c>
      <c r="M74" s="899" t="str">
        <f>TEXT('MYP Assumptions'!F78,"0.00%")&amp;", CPI"</f>
        <v>3.58%, CPI</v>
      </c>
      <c r="O74" s="456" t="str">
        <f t="shared" si="49"/>
        <v>0.00%</v>
      </c>
      <c r="P74" s="340">
        <f t="shared" si="54"/>
        <v>0</v>
      </c>
      <c r="Q74" s="899" t="str">
        <f>TEXT('MYP Assumptions'!G78,"0.00%")&amp;", CPI"</f>
        <v>3.36%, CPI</v>
      </c>
      <c r="R74" s="592"/>
      <c r="S74" s="2238" t="str">
        <f t="shared" si="50"/>
        <v>0.00%</v>
      </c>
      <c r="T74" s="340">
        <f t="shared" si="55"/>
        <v>0</v>
      </c>
      <c r="U74" s="953" t="str">
        <f>TEXT('MYP Assumptions'!H78,"0.00%")&amp;", CPI"</f>
        <v>3.23%, CPI</v>
      </c>
      <c r="V74" s="952"/>
      <c r="W74" s="2241" t="str">
        <f t="shared" si="51"/>
        <v>0.00%</v>
      </c>
      <c r="X74" s="340">
        <f t="shared" si="56"/>
        <v>0</v>
      </c>
      <c r="Y74" s="953" t="str">
        <f>TEXT('MYP Assumptions'!I78,"0.00%")&amp;", CPI"</f>
        <v>2.73%, CPI</v>
      </c>
      <c r="AA74" s="456" t="str">
        <f t="shared" si="52"/>
        <v>0.00%</v>
      </c>
      <c r="AB74" s="340">
        <f t="shared" si="57"/>
        <v>0</v>
      </c>
      <c r="AC74" s="953" t="str">
        <f>TEXT('MYP Assumptions'!J78,"0.00%")&amp;", CPI"</f>
        <v>2.73%, CPI</v>
      </c>
    </row>
    <row r="75" spans="1:29" s="457" customFormat="1" hidden="1" x14ac:dyDescent="0.25">
      <c r="A75" s="2227"/>
      <c r="B75" s="2385"/>
      <c r="C75" s="2215"/>
      <c r="D75" s="340">
        <v>0</v>
      </c>
      <c r="E75" s="2386"/>
      <c r="F75" s="340"/>
      <c r="G75" s="456" t="str">
        <f>IF(D75=0,"0.00%",(H75-D75)/D75)</f>
        <v>0.00%</v>
      </c>
      <c r="H75" s="340">
        <f t="shared" si="58"/>
        <v>0</v>
      </c>
      <c r="I75" s="899" t="str">
        <f>TEXT('MYP Assumptions'!E78,"0.00%")&amp;", CPI"</f>
        <v>3.37%, CPI</v>
      </c>
      <c r="J75" s="455"/>
      <c r="K75" s="456" t="str">
        <f t="shared" si="48"/>
        <v>0.00%</v>
      </c>
      <c r="L75" s="340">
        <f t="shared" si="53"/>
        <v>0</v>
      </c>
      <c r="M75" s="899" t="str">
        <f>TEXT('MYP Assumptions'!F78,"0.00%")&amp;", CPI"</f>
        <v>3.58%, CPI</v>
      </c>
      <c r="O75" s="456" t="str">
        <f t="shared" si="49"/>
        <v>0.00%</v>
      </c>
      <c r="P75" s="340">
        <f t="shared" si="54"/>
        <v>0</v>
      </c>
      <c r="Q75" s="899" t="str">
        <f>TEXT('MYP Assumptions'!G78,"0.00%")&amp;", CPI"</f>
        <v>3.36%, CPI</v>
      </c>
      <c r="R75" s="592"/>
      <c r="S75" s="2238" t="str">
        <f t="shared" si="50"/>
        <v>0.00%</v>
      </c>
      <c r="T75" s="340">
        <f t="shared" si="55"/>
        <v>0</v>
      </c>
      <c r="U75" s="953" t="str">
        <f>TEXT('MYP Assumptions'!H78,"0.00%")&amp;", CPI"</f>
        <v>3.23%, CPI</v>
      </c>
      <c r="V75" s="952"/>
      <c r="W75" s="2241" t="str">
        <f t="shared" si="51"/>
        <v>0.00%</v>
      </c>
      <c r="X75" s="340">
        <f t="shared" si="56"/>
        <v>0</v>
      </c>
      <c r="Y75" s="953" t="str">
        <f>TEXT('MYP Assumptions'!I78,"0.00%")&amp;", CPI"</f>
        <v>2.73%, CPI</v>
      </c>
      <c r="AA75" s="456" t="str">
        <f t="shared" si="52"/>
        <v>0.00%</v>
      </c>
      <c r="AB75" s="340">
        <f t="shared" si="57"/>
        <v>0</v>
      </c>
      <c r="AC75" s="953" t="str">
        <f>TEXT('MYP Assumptions'!J78,"0.00%")&amp;", CPI"</f>
        <v>2.73%, CPI</v>
      </c>
    </row>
    <row r="76" spans="1:29" s="457" customFormat="1" hidden="1" x14ac:dyDescent="0.25">
      <c r="A76" s="2227"/>
      <c r="B76" s="2385"/>
      <c r="C76" s="2215"/>
      <c r="D76" s="340">
        <v>0</v>
      </c>
      <c r="E76" s="2386"/>
      <c r="F76" s="340"/>
      <c r="G76" s="456" t="str">
        <f t="shared" ref="G76:G82" si="59">IF(D76=0,"0.00%",(H76-D76)/D76)</f>
        <v>0.00%</v>
      </c>
      <c r="H76" s="340">
        <f t="shared" si="58"/>
        <v>0</v>
      </c>
      <c r="I76" s="899" t="str">
        <f>TEXT('MYP Assumptions'!E78,"0.00%")&amp;", CPI"</f>
        <v>3.37%, CPI</v>
      </c>
      <c r="J76" s="455"/>
      <c r="K76" s="456" t="str">
        <f t="shared" si="48"/>
        <v>0.00%</v>
      </c>
      <c r="L76" s="340">
        <f t="shared" si="53"/>
        <v>0</v>
      </c>
      <c r="M76" s="899" t="str">
        <f>TEXT('MYP Assumptions'!F78,"0.00%")&amp;", CPI"</f>
        <v>3.58%, CPI</v>
      </c>
      <c r="O76" s="456" t="str">
        <f t="shared" si="49"/>
        <v>0.00%</v>
      </c>
      <c r="P76" s="340">
        <f t="shared" si="54"/>
        <v>0</v>
      </c>
      <c r="Q76" s="899" t="str">
        <f>TEXT('MYP Assumptions'!G78,"0.00%")&amp;", CPI"</f>
        <v>3.36%, CPI</v>
      </c>
      <c r="R76" s="592"/>
      <c r="S76" s="2238" t="str">
        <f t="shared" si="50"/>
        <v>0.00%</v>
      </c>
      <c r="T76" s="340">
        <f t="shared" si="55"/>
        <v>0</v>
      </c>
      <c r="U76" s="953" t="str">
        <f>TEXT('MYP Assumptions'!H78,"0.00%")&amp;", CPI"</f>
        <v>3.23%, CPI</v>
      </c>
      <c r="V76" s="952"/>
      <c r="W76" s="2241" t="str">
        <f t="shared" si="51"/>
        <v>0.00%</v>
      </c>
      <c r="X76" s="340">
        <f t="shared" si="56"/>
        <v>0</v>
      </c>
      <c r="Y76" s="953" t="str">
        <f>TEXT('MYP Assumptions'!I78,"0.00%")&amp;", CPI"</f>
        <v>2.73%, CPI</v>
      </c>
      <c r="AA76" s="456" t="str">
        <f t="shared" si="52"/>
        <v>0.00%</v>
      </c>
      <c r="AB76" s="340">
        <f t="shared" si="57"/>
        <v>0</v>
      </c>
      <c r="AC76" s="953" t="str">
        <f>TEXT('MYP Assumptions'!J78,"0.00%")&amp;", CPI"</f>
        <v>2.73%, CPI</v>
      </c>
    </row>
    <row r="77" spans="1:29" s="457" customFormat="1" hidden="1" x14ac:dyDescent="0.25">
      <c r="A77" s="2227"/>
      <c r="B77" s="2385"/>
      <c r="C77" s="2215"/>
      <c r="D77" s="340">
        <v>0</v>
      </c>
      <c r="E77" s="2386"/>
      <c r="F77" s="340"/>
      <c r="G77" s="456" t="str">
        <f t="shared" si="59"/>
        <v>0.00%</v>
      </c>
      <c r="H77" s="340">
        <f>ROUND(D77*(LEFT(I77,5)+1),0)</f>
        <v>0</v>
      </c>
      <c r="I77" s="899" t="str">
        <f>TEXT('MYP Assumptions'!E78,"0.00%")&amp;", CPI"</f>
        <v>3.37%, CPI</v>
      </c>
      <c r="J77" s="455"/>
      <c r="K77" s="456" t="str">
        <f t="shared" si="48"/>
        <v>0.00%</v>
      </c>
      <c r="L77" s="340">
        <f t="shared" si="53"/>
        <v>0</v>
      </c>
      <c r="M77" s="899" t="str">
        <f>TEXT('MYP Assumptions'!F78,"0.00%")&amp;", CPI"</f>
        <v>3.58%, CPI</v>
      </c>
      <c r="O77" s="456" t="str">
        <f t="shared" si="49"/>
        <v>0.00%</v>
      </c>
      <c r="P77" s="340">
        <f t="shared" si="54"/>
        <v>0</v>
      </c>
      <c r="Q77" s="899" t="str">
        <f>TEXT('MYP Assumptions'!G78,"0.00%")&amp;", CPI"</f>
        <v>3.36%, CPI</v>
      </c>
      <c r="R77" s="592"/>
      <c r="S77" s="2238" t="str">
        <f t="shared" si="50"/>
        <v>0.00%</v>
      </c>
      <c r="T77" s="340">
        <f t="shared" si="55"/>
        <v>0</v>
      </c>
      <c r="U77" s="953" t="str">
        <f>TEXT('MYP Assumptions'!H78,"0.00%")&amp;", CPI"</f>
        <v>3.23%, CPI</v>
      </c>
      <c r="V77" s="952"/>
      <c r="W77" s="2241" t="str">
        <f t="shared" si="51"/>
        <v>0.00%</v>
      </c>
      <c r="X77" s="340">
        <f t="shared" si="56"/>
        <v>0</v>
      </c>
      <c r="Y77" s="953" t="str">
        <f>TEXT('MYP Assumptions'!I78,"0.00%")&amp;", CPI"</f>
        <v>2.73%, CPI</v>
      </c>
      <c r="AA77" s="456" t="str">
        <f t="shared" si="52"/>
        <v>0.00%</v>
      </c>
      <c r="AB77" s="340">
        <f t="shared" si="57"/>
        <v>0</v>
      </c>
      <c r="AC77" s="953" t="str">
        <f>TEXT('MYP Assumptions'!J78,"0.00%")&amp;", CPI"</f>
        <v>2.73%, CPI</v>
      </c>
    </row>
    <row r="78" spans="1:29" s="457" customFormat="1" hidden="1" x14ac:dyDescent="0.25">
      <c r="A78" s="2227"/>
      <c r="B78" s="2385"/>
      <c r="C78" s="2215"/>
      <c r="D78" s="340">
        <v>0</v>
      </c>
      <c r="E78" s="2386"/>
      <c r="F78" s="340"/>
      <c r="G78" s="456" t="str">
        <f t="shared" si="59"/>
        <v>0.00%</v>
      </c>
      <c r="H78" s="340">
        <f>ROUND(D78*(LEFT(I78,5)+1),0)</f>
        <v>0</v>
      </c>
      <c r="I78" s="899" t="str">
        <f>TEXT('MYP Assumptions'!E78,"0.00%")&amp;", CPI"</f>
        <v>3.37%, CPI</v>
      </c>
      <c r="J78" s="455"/>
      <c r="K78" s="456" t="str">
        <f t="shared" si="48"/>
        <v>0.00%</v>
      </c>
      <c r="L78" s="340">
        <f t="shared" si="53"/>
        <v>0</v>
      </c>
      <c r="M78" s="899" t="str">
        <f>TEXT('MYP Assumptions'!F78,"0.00%")&amp;", CPI"</f>
        <v>3.58%, CPI</v>
      </c>
      <c r="O78" s="456" t="str">
        <f t="shared" si="49"/>
        <v>0.00%</v>
      </c>
      <c r="P78" s="340">
        <f t="shared" si="54"/>
        <v>0</v>
      </c>
      <c r="Q78" s="899" t="str">
        <f>TEXT('MYP Assumptions'!G78,"0.00%")&amp;", CPI"</f>
        <v>3.36%, CPI</v>
      </c>
      <c r="R78" s="592"/>
      <c r="S78" s="2238" t="str">
        <f t="shared" si="50"/>
        <v>0.00%</v>
      </c>
      <c r="T78" s="340">
        <f t="shared" si="55"/>
        <v>0</v>
      </c>
      <c r="U78" s="953" t="str">
        <f>TEXT('MYP Assumptions'!H78,"0.00%")&amp;", CPI"</f>
        <v>3.23%, CPI</v>
      </c>
      <c r="V78" s="952"/>
      <c r="W78" s="2241" t="str">
        <f t="shared" si="51"/>
        <v>0.00%</v>
      </c>
      <c r="X78" s="340">
        <f t="shared" si="56"/>
        <v>0</v>
      </c>
      <c r="Y78" s="953" t="str">
        <f>TEXT('MYP Assumptions'!I78,"0.00%")&amp;", CPI"</f>
        <v>2.73%, CPI</v>
      </c>
      <c r="AA78" s="456" t="str">
        <f t="shared" si="52"/>
        <v>0.00%</v>
      </c>
      <c r="AB78" s="340">
        <f t="shared" si="57"/>
        <v>0</v>
      </c>
      <c r="AC78" s="953" t="str">
        <f>TEXT('MYP Assumptions'!J78,"0.00%")&amp;", CPI"</f>
        <v>2.73%, CPI</v>
      </c>
    </row>
    <row r="79" spans="1:29" s="457" customFormat="1" hidden="1" x14ac:dyDescent="0.25">
      <c r="A79" s="2227"/>
      <c r="B79" s="2385"/>
      <c r="C79" s="2215"/>
      <c r="D79" s="340">
        <v>0</v>
      </c>
      <c r="E79" s="2386"/>
      <c r="F79" s="340"/>
      <c r="G79" s="456" t="str">
        <f t="shared" si="59"/>
        <v>0.00%</v>
      </c>
      <c r="H79" s="340">
        <f>ROUND(D79*(LEFT(I79,5)+1),0)</f>
        <v>0</v>
      </c>
      <c r="I79" s="899" t="str">
        <f>TEXT('MYP Assumptions'!E78,"0.00%")&amp;", CPI"</f>
        <v>3.37%, CPI</v>
      </c>
      <c r="J79" s="455"/>
      <c r="K79" s="456" t="str">
        <f t="shared" si="48"/>
        <v>0.00%</v>
      </c>
      <c r="L79" s="340">
        <f t="shared" si="53"/>
        <v>0</v>
      </c>
      <c r="M79" s="899" t="str">
        <f>TEXT('MYP Assumptions'!F78,"0.00%")&amp;", CPI"</f>
        <v>3.58%, CPI</v>
      </c>
      <c r="O79" s="456" t="str">
        <f t="shared" si="49"/>
        <v>0.00%</v>
      </c>
      <c r="P79" s="340">
        <f t="shared" si="54"/>
        <v>0</v>
      </c>
      <c r="Q79" s="899" t="str">
        <f>TEXT('MYP Assumptions'!G78,"0.00%")&amp;", CPI"</f>
        <v>3.36%, CPI</v>
      </c>
      <c r="R79" s="592"/>
      <c r="S79" s="2238" t="str">
        <f t="shared" si="50"/>
        <v>0.00%</v>
      </c>
      <c r="T79" s="340">
        <f t="shared" si="55"/>
        <v>0</v>
      </c>
      <c r="U79" s="953" t="str">
        <f>TEXT('MYP Assumptions'!H78,"0.00%")&amp;", CPI"</f>
        <v>3.23%, CPI</v>
      </c>
      <c r="V79" s="952"/>
      <c r="W79" s="2241" t="str">
        <f t="shared" si="51"/>
        <v>0.00%</v>
      </c>
      <c r="X79" s="340">
        <f t="shared" si="56"/>
        <v>0</v>
      </c>
      <c r="Y79" s="953" t="str">
        <f>TEXT('MYP Assumptions'!I78,"0.00%")&amp;", CPI"</f>
        <v>2.73%, CPI</v>
      </c>
      <c r="AA79" s="456" t="str">
        <f t="shared" si="52"/>
        <v>0.00%</v>
      </c>
      <c r="AB79" s="340">
        <f t="shared" si="57"/>
        <v>0</v>
      </c>
      <c r="AC79" s="953" t="str">
        <f>TEXT('MYP Assumptions'!J78,"0.00%")&amp;", CPI"</f>
        <v>2.73%, CPI</v>
      </c>
    </row>
    <row r="80" spans="1:29" s="457" customFormat="1" hidden="1" x14ac:dyDescent="0.25">
      <c r="A80" s="2227"/>
      <c r="B80" s="2385"/>
      <c r="C80" s="2215"/>
      <c r="D80" s="340">
        <v>0</v>
      </c>
      <c r="E80" s="2386"/>
      <c r="F80" s="340"/>
      <c r="G80" s="456" t="str">
        <f t="shared" si="59"/>
        <v>0.00%</v>
      </c>
      <c r="H80" s="340">
        <f>ROUND(D80*(LEFT(I80,5)+1),0)</f>
        <v>0</v>
      </c>
      <c r="I80" s="899" t="str">
        <f>TEXT('MYP Assumptions'!E78,"0.00%")&amp;", CPI"</f>
        <v>3.37%, CPI</v>
      </c>
      <c r="J80" s="455"/>
      <c r="K80" s="456" t="str">
        <f t="shared" si="48"/>
        <v>0.00%</v>
      </c>
      <c r="L80" s="340">
        <f t="shared" si="53"/>
        <v>0</v>
      </c>
      <c r="M80" s="899" t="str">
        <f>TEXT('MYP Assumptions'!F78,"0.00%")&amp;", CPI"</f>
        <v>3.58%, CPI</v>
      </c>
      <c r="O80" s="456" t="str">
        <f t="shared" si="49"/>
        <v>0.00%</v>
      </c>
      <c r="P80" s="340">
        <f t="shared" si="54"/>
        <v>0</v>
      </c>
      <c r="Q80" s="899" t="str">
        <f>TEXT('MYP Assumptions'!G78,"0.00%")&amp;", CPI"</f>
        <v>3.36%, CPI</v>
      </c>
      <c r="R80" s="592"/>
      <c r="S80" s="2238" t="str">
        <f t="shared" si="50"/>
        <v>0.00%</v>
      </c>
      <c r="T80" s="340">
        <f t="shared" si="55"/>
        <v>0</v>
      </c>
      <c r="U80" s="953" t="str">
        <f>TEXT('MYP Assumptions'!H78,"0.00%")&amp;", CPI"</f>
        <v>3.23%, CPI</v>
      </c>
      <c r="V80" s="952"/>
      <c r="W80" s="2241" t="str">
        <f t="shared" si="51"/>
        <v>0.00%</v>
      </c>
      <c r="X80" s="340">
        <f t="shared" si="56"/>
        <v>0</v>
      </c>
      <c r="Y80" s="953" t="str">
        <f>TEXT('MYP Assumptions'!I78,"0.00%")&amp;", CPI"</f>
        <v>2.73%, CPI</v>
      </c>
      <c r="AA80" s="456" t="str">
        <f t="shared" si="52"/>
        <v>0.00%</v>
      </c>
      <c r="AB80" s="340">
        <f t="shared" si="57"/>
        <v>0</v>
      </c>
      <c r="AC80" s="953" t="str">
        <f>TEXT('MYP Assumptions'!J78,"0.00%")&amp;", CPI"</f>
        <v>2.73%, CPI</v>
      </c>
    </row>
    <row r="81" spans="1:29" s="457" customFormat="1" hidden="1" x14ac:dyDescent="0.25">
      <c r="A81" s="2227"/>
      <c r="B81" s="2385"/>
      <c r="C81" s="2215"/>
      <c r="D81" s="340">
        <f>'18-19 Budget RS 3010-ALL'!AF80</f>
        <v>0</v>
      </c>
      <c r="E81" s="2386"/>
      <c r="F81" s="340"/>
      <c r="G81" s="456" t="str">
        <f t="shared" si="59"/>
        <v>0.00%</v>
      </c>
      <c r="H81" s="340">
        <f>ROUND(D81*(LEFT(I81,5)+1),0)</f>
        <v>0</v>
      </c>
      <c r="I81" s="899" t="str">
        <f>TEXT('MYP Assumptions'!E78,"0.00%")&amp;", CPI"</f>
        <v>3.37%, CPI</v>
      </c>
      <c r="J81" s="455"/>
      <c r="K81" s="456" t="str">
        <f t="shared" si="48"/>
        <v>0.00%</v>
      </c>
      <c r="L81" s="340">
        <f t="shared" si="53"/>
        <v>0</v>
      </c>
      <c r="M81" s="899" t="str">
        <f>TEXT('MYP Assumptions'!F78,"0.00%")&amp;", CPI"</f>
        <v>3.58%, CPI</v>
      </c>
      <c r="O81" s="456" t="str">
        <f t="shared" si="49"/>
        <v>0.00%</v>
      </c>
      <c r="P81" s="340">
        <f t="shared" si="54"/>
        <v>0</v>
      </c>
      <c r="Q81" s="899" t="str">
        <f>TEXT('MYP Assumptions'!G78,"0.00%")&amp;", CPI"</f>
        <v>3.36%, CPI</v>
      </c>
      <c r="R81" s="592"/>
      <c r="S81" s="2238" t="str">
        <f t="shared" si="50"/>
        <v>0.00%</v>
      </c>
      <c r="T81" s="340">
        <f t="shared" si="55"/>
        <v>0</v>
      </c>
      <c r="U81" s="953" t="str">
        <f>TEXT('MYP Assumptions'!H78,"0.00%")&amp;", CPI"</f>
        <v>3.23%, CPI</v>
      </c>
      <c r="V81" s="952"/>
      <c r="W81" s="2241" t="str">
        <f t="shared" si="51"/>
        <v>0.00%</v>
      </c>
      <c r="X81" s="340">
        <f t="shared" si="56"/>
        <v>0</v>
      </c>
      <c r="Y81" s="953" t="str">
        <f>TEXT('MYP Assumptions'!I78,"0.00%")&amp;", CPI"</f>
        <v>2.73%, CPI</v>
      </c>
      <c r="AA81" s="456" t="str">
        <f t="shared" si="52"/>
        <v>0.00%</v>
      </c>
      <c r="AB81" s="340">
        <f t="shared" si="57"/>
        <v>0</v>
      </c>
      <c r="AC81" s="953" t="str">
        <f>TEXT('MYP Assumptions'!J78,"0.00%")&amp;", CPI"</f>
        <v>2.73%, CPI</v>
      </c>
    </row>
    <row r="82" spans="1:29" s="457" customFormat="1" x14ac:dyDescent="0.25">
      <c r="A82" s="2228"/>
      <c r="B82" s="2345"/>
      <c r="C82" s="2215"/>
      <c r="D82" s="458">
        <f>SUM(D69:D81)</f>
        <v>131738.57</v>
      </c>
      <c r="E82" s="2386"/>
      <c r="F82" s="340"/>
      <c r="G82" s="456">
        <f t="shared" si="59"/>
        <v>5.9732164999210163E-2</v>
      </c>
      <c r="H82" s="458">
        <f>SUM(H69:H81)</f>
        <v>139607.6</v>
      </c>
      <c r="I82" s="2316">
        <f>+H82-D82</f>
        <v>7869.0299999999988</v>
      </c>
      <c r="J82" s="459"/>
      <c r="K82" s="456">
        <f t="shared" si="48"/>
        <v>-5.7422375286159247E-2</v>
      </c>
      <c r="L82" s="458">
        <f>SUM(L69:L81)</f>
        <v>131591</v>
      </c>
      <c r="M82" s="2316">
        <f>+L82-H82</f>
        <v>-8016.6000000000058</v>
      </c>
      <c r="O82" s="456">
        <f t="shared" si="49"/>
        <v>-3.0230030929166887E-2</v>
      </c>
      <c r="P82" s="458">
        <f>SUM(P69:P81)</f>
        <v>127613</v>
      </c>
      <c r="Q82" s="2316">
        <f>+P82-L82</f>
        <v>-3978</v>
      </c>
      <c r="R82" s="592"/>
      <c r="S82" s="2238">
        <f t="shared" si="50"/>
        <v>-3.1681725216083E-2</v>
      </c>
      <c r="T82" s="458">
        <f>SUM(T69:T81)</f>
        <v>123570</v>
      </c>
      <c r="U82" s="2344"/>
      <c r="V82" s="952"/>
      <c r="W82" s="2241">
        <f t="shared" si="51"/>
        <v>2.7296269321032612E-2</v>
      </c>
      <c r="X82" s="458">
        <f>SUM(X69:X81)</f>
        <v>126943</v>
      </c>
      <c r="Y82" s="2344"/>
      <c r="AA82" s="456">
        <f t="shared" si="52"/>
        <v>2.730359295116706E-2</v>
      </c>
      <c r="AB82" s="458">
        <f>SUM(AB69:AB81)</f>
        <v>130409</v>
      </c>
      <c r="AC82" s="2344"/>
    </row>
    <row r="83" spans="1:29" s="457" customFormat="1" x14ac:dyDescent="0.25">
      <c r="A83" s="2227"/>
      <c r="B83" s="2337"/>
      <c r="C83" s="2215"/>
      <c r="D83" s="340"/>
      <c r="E83" s="2386"/>
      <c r="F83" s="340"/>
      <c r="G83" s="456"/>
      <c r="H83" s="340"/>
      <c r="I83" s="897"/>
      <c r="J83" s="455"/>
      <c r="K83" s="1668"/>
      <c r="L83" s="340"/>
      <c r="M83" s="901"/>
      <c r="O83" s="1668"/>
      <c r="P83" s="340"/>
      <c r="Q83" s="901"/>
      <c r="R83" s="592"/>
      <c r="S83" s="2341"/>
      <c r="T83" s="340"/>
      <c r="U83" s="2344"/>
      <c r="V83" s="952"/>
      <c r="W83" s="2343"/>
      <c r="X83" s="340"/>
      <c r="Y83" s="2344"/>
      <c r="AA83" s="1668"/>
      <c r="AB83" s="340"/>
      <c r="AC83" s="2344"/>
    </row>
    <row r="84" spans="1:29" s="457" customFormat="1" x14ac:dyDescent="0.25">
      <c r="A84" s="2227"/>
      <c r="B84" s="2345"/>
      <c r="C84" s="2215"/>
      <c r="D84" s="340"/>
      <c r="E84" s="2386"/>
      <c r="F84" s="340"/>
      <c r="G84" s="2338"/>
      <c r="H84" s="340"/>
      <c r="I84" s="897"/>
      <c r="J84" s="455"/>
      <c r="K84" s="1668"/>
      <c r="L84" s="340"/>
      <c r="M84" s="901"/>
      <c r="O84" s="1668"/>
      <c r="P84" s="340"/>
      <c r="Q84" s="901"/>
      <c r="R84" s="592"/>
      <c r="S84" s="2341"/>
      <c r="T84" s="340"/>
      <c r="U84" s="2344"/>
      <c r="V84" s="952"/>
      <c r="W84" s="2343"/>
      <c r="X84" s="340"/>
      <c r="Y84" s="2344"/>
      <c r="AA84" s="1668"/>
      <c r="AB84" s="340"/>
      <c r="AC84" s="2344"/>
    </row>
    <row r="85" spans="1:29" s="457" customFormat="1" x14ac:dyDescent="0.25">
      <c r="A85" s="2228"/>
      <c r="B85" s="2337" t="s">
        <v>0</v>
      </c>
      <c r="C85" s="2215"/>
      <c r="D85" s="458">
        <f>SUM(D82,D66,D55,D13)</f>
        <v>217800</v>
      </c>
      <c r="E85" s="2386"/>
      <c r="F85" s="340"/>
      <c r="G85" s="456">
        <f>IF(D85=0,"0.00%",(H85-D85)/D85)</f>
        <v>9.2000000000000026E-2</v>
      </c>
      <c r="H85" s="458">
        <f>SUM(H82,H66,H55,H13)</f>
        <v>237837.6</v>
      </c>
      <c r="I85" s="2316">
        <f>+H85-D85</f>
        <v>20037.600000000006</v>
      </c>
      <c r="J85" s="459"/>
      <c r="K85" s="456">
        <f>IF(H85=0,"0.00%",(L85-H85)/H85)</f>
        <v>1.6818198636135717E-6</v>
      </c>
      <c r="L85" s="458">
        <f>SUM(L82,L66,L55,L13)</f>
        <v>237838</v>
      </c>
      <c r="M85" s="2316">
        <f>+L85-H85</f>
        <v>0.39999999999417923</v>
      </c>
      <c r="O85" s="456">
        <f>IF(L85=0,"0.00%",(P85-L85)/L85)</f>
        <v>0</v>
      </c>
      <c r="P85" s="458">
        <f>SUM(P82,P66,P55,P13)</f>
        <v>237838</v>
      </c>
      <c r="Q85" s="2316">
        <f>+P85-L85</f>
        <v>0</v>
      </c>
      <c r="R85" s="592"/>
      <c r="S85" s="2238">
        <f>IF(P85=0,"0.00%",(T85-P85)/P85)</f>
        <v>0</v>
      </c>
      <c r="T85" s="458">
        <f>SUM(T82,T66,T55,T13)</f>
        <v>237838</v>
      </c>
      <c r="U85" s="2344"/>
      <c r="V85" s="952"/>
      <c r="W85" s="2241">
        <f>IF(T85=0,"0.00%",(X85-T85)/T85)</f>
        <v>1.1226128709457698E-2</v>
      </c>
      <c r="X85" s="458">
        <f>SUM(X82,X66,X55,X13)</f>
        <v>240508</v>
      </c>
      <c r="Y85" s="2344"/>
      <c r="AA85" s="456" t="e">
        <f>IF(X85=0,"0.00%",(AB85-X85)/X85)</f>
        <v>#VALUE!</v>
      </c>
      <c r="AB85" s="458" t="e">
        <f>SUM(AB82,AB66,AB55,AB13)</f>
        <v>#VALUE!</v>
      </c>
      <c r="AC85" s="2344"/>
    </row>
    <row r="86" spans="1:29" s="457" customFormat="1" x14ac:dyDescent="0.25">
      <c r="A86" s="2227"/>
      <c r="B86" s="2345"/>
      <c r="C86" s="2215"/>
      <c r="D86" s="340"/>
      <c r="E86" s="2386"/>
      <c r="F86" s="340"/>
      <c r="G86" s="2338"/>
      <c r="H86" s="340"/>
      <c r="I86" s="897"/>
      <c r="J86" s="455"/>
      <c r="K86" s="1668"/>
      <c r="L86" s="340"/>
      <c r="M86" s="901"/>
      <c r="O86" s="1668"/>
      <c r="P86" s="340"/>
      <c r="Q86" s="901"/>
      <c r="R86" s="592"/>
      <c r="S86" s="2341"/>
      <c r="T86" s="340"/>
      <c r="U86" s="2344"/>
      <c r="V86" s="952"/>
      <c r="W86" s="2343"/>
      <c r="X86" s="340"/>
      <c r="Y86" s="2344"/>
      <c r="AA86" s="1668"/>
      <c r="AB86" s="340"/>
      <c r="AC86" s="2344"/>
    </row>
    <row r="87" spans="1:29" s="457" customFormat="1" x14ac:dyDescent="0.25">
      <c r="A87" s="2227"/>
      <c r="B87" s="2337" t="s">
        <v>138</v>
      </c>
      <c r="C87" s="2215"/>
      <c r="D87" s="833">
        <f>D11-D85</f>
        <v>0</v>
      </c>
      <c r="E87" s="1656"/>
      <c r="G87" s="456" t="str">
        <f>IF(D87=0,"0.00%",(H87-D87)/D87)</f>
        <v>0.00%</v>
      </c>
      <c r="H87" s="833">
        <f>H11-H85</f>
        <v>0</v>
      </c>
      <c r="I87" s="897"/>
      <c r="J87" s="455"/>
      <c r="K87" s="456" t="str">
        <f>IF(H87=0,"0.00%",(L87-H87)/H87)</f>
        <v>0.00%</v>
      </c>
      <c r="L87" s="833">
        <f>L11-L85</f>
        <v>0</v>
      </c>
      <c r="M87" s="901"/>
      <c r="O87" s="456" t="str">
        <f>IF(L87=0,"0.00%",(P87-L87)/L87)</f>
        <v>0.00%</v>
      </c>
      <c r="P87" s="833">
        <f>P11-P85</f>
        <v>0</v>
      </c>
      <c r="Q87" s="901"/>
      <c r="R87" s="592"/>
      <c r="S87" s="2238" t="str">
        <f>IF(P87=0,"0.00%",(T87-P87)/P87)</f>
        <v>0.00%</v>
      </c>
      <c r="T87" s="833">
        <f>T11-T85</f>
        <v>0</v>
      </c>
      <c r="U87" s="2344"/>
      <c r="V87" s="952"/>
      <c r="W87" s="2241" t="str">
        <f>IF(T87=0,"0.00%",(X87-T87)/T87)</f>
        <v>0.00%</v>
      </c>
      <c r="X87" s="833">
        <f>X11-X85</f>
        <v>-2670</v>
      </c>
      <c r="Y87" s="2344"/>
      <c r="AA87" s="456" t="e">
        <f>IF(X87=0,"0.00%",(AB87-X87)/X87)</f>
        <v>#VALUE!</v>
      </c>
      <c r="AB87" s="833" t="e">
        <f>AB11-AB85</f>
        <v>#VALUE!</v>
      </c>
      <c r="AC87" s="2344"/>
    </row>
    <row r="88" spans="1:29" s="457" customFormat="1" x14ac:dyDescent="0.25">
      <c r="A88" s="2215"/>
      <c r="B88" s="2337"/>
      <c r="C88" s="2345"/>
      <c r="D88" s="833"/>
      <c r="E88" s="1656"/>
      <c r="G88" s="2338"/>
      <c r="H88" s="833"/>
      <c r="I88" s="897"/>
      <c r="J88" s="455"/>
      <c r="K88" s="1668"/>
      <c r="L88" s="833"/>
      <c r="M88" s="901"/>
      <c r="O88" s="1668"/>
      <c r="P88" s="833"/>
      <c r="Q88" s="901"/>
      <c r="R88" s="592"/>
      <c r="S88" s="2341"/>
      <c r="T88" s="2356"/>
      <c r="U88" s="2344"/>
      <c r="V88" s="952"/>
      <c r="W88" s="2343"/>
      <c r="X88" s="2356"/>
      <c r="Y88" s="2344"/>
      <c r="AA88" s="1668"/>
      <c r="AB88" s="2356"/>
      <c r="AC88" s="2344"/>
    </row>
    <row r="89" spans="1:29" s="457" customFormat="1" x14ac:dyDescent="0.25">
      <c r="A89" s="2215"/>
      <c r="B89" s="2337" t="s">
        <v>136</v>
      </c>
      <c r="C89" s="2394"/>
      <c r="D89" s="833">
        <f>D7+D87</f>
        <v>0</v>
      </c>
      <c r="E89" s="1656"/>
      <c r="G89" s="456" t="str">
        <f>IF(D89=0,"0.00%",(H89-D89)/D89)</f>
        <v>0.00%</v>
      </c>
      <c r="H89" s="833">
        <f>H7+H87</f>
        <v>0</v>
      </c>
      <c r="I89" s="897"/>
      <c r="J89" s="455"/>
      <c r="K89" s="456" t="str">
        <f>IF(H89=0,"0.00%",(L89-H89)/H89)</f>
        <v>0.00%</v>
      </c>
      <c r="L89" s="833">
        <f>L7+L87</f>
        <v>0</v>
      </c>
      <c r="M89" s="901"/>
      <c r="O89" s="456" t="str">
        <f>IF(L89=0,"0.00%",(P89-L89)/L89)</f>
        <v>0.00%</v>
      </c>
      <c r="P89" s="833">
        <f>P7+P87</f>
        <v>0</v>
      </c>
      <c r="Q89" s="901"/>
      <c r="R89" s="592"/>
      <c r="S89" s="2238" t="str">
        <f>IF(P89=0,"0.00%",(T89-P89)/P89)</f>
        <v>0.00%</v>
      </c>
      <c r="T89" s="2367">
        <f>T7+T87</f>
        <v>0</v>
      </c>
      <c r="U89" s="2344"/>
      <c r="V89" s="952"/>
      <c r="W89" s="2241" t="str">
        <f>IF(T89=0,"0.00%",(X89-T89)/T89)</f>
        <v>0.00%</v>
      </c>
      <c r="X89" s="2367">
        <f>X7+X87</f>
        <v>-2670</v>
      </c>
      <c r="Y89" s="2344"/>
      <c r="AA89" s="456" t="e">
        <f>IF(X89=0,"0.00%",(AB89-X89)/X89)</f>
        <v>#VALUE!</v>
      </c>
      <c r="AB89" s="2367" t="e">
        <f>AB7+AB87</f>
        <v>#VALUE!</v>
      </c>
      <c r="AC89" s="2344"/>
    </row>
    <row r="90" spans="1:29" s="457" customFormat="1" x14ac:dyDescent="0.25">
      <c r="A90" s="2215"/>
      <c r="B90" s="2345"/>
      <c r="C90" s="2225"/>
      <c r="D90" s="340"/>
      <c r="E90" s="1656"/>
      <c r="G90" s="2355"/>
      <c r="H90" s="459"/>
      <c r="I90" s="898"/>
      <c r="J90" s="459"/>
      <c r="K90" s="1668"/>
      <c r="L90" s="459"/>
      <c r="M90" s="901"/>
      <c r="O90" s="1668"/>
      <c r="P90" s="459"/>
      <c r="Q90" s="901"/>
      <c r="R90" s="592"/>
      <c r="S90" s="2341"/>
      <c r="T90" s="459"/>
      <c r="U90" s="2344"/>
      <c r="V90" s="952"/>
      <c r="W90" s="2343"/>
      <c r="X90" s="459"/>
      <c r="Y90" s="2344"/>
      <c r="AA90" s="1668"/>
      <c r="AB90" s="459"/>
      <c r="AC90" s="2344"/>
    </row>
    <row r="91" spans="1:29" s="457" customFormat="1" x14ac:dyDescent="0.25">
      <c r="A91" s="2215"/>
      <c r="B91" s="2345"/>
      <c r="C91" s="2230"/>
      <c r="D91" s="340"/>
      <c r="E91" s="1656"/>
      <c r="G91" s="2355"/>
      <c r="H91" s="455"/>
      <c r="I91" s="897"/>
      <c r="J91" s="455"/>
      <c r="K91" s="1668"/>
      <c r="L91" s="340"/>
      <c r="M91" s="901"/>
      <c r="O91" s="1668"/>
      <c r="P91" s="340"/>
      <c r="Q91" s="901"/>
      <c r="R91" s="592"/>
      <c r="S91" s="2341"/>
      <c r="T91" s="340"/>
      <c r="U91" s="2344"/>
      <c r="V91" s="952"/>
      <c r="W91" s="2343"/>
      <c r="X91" s="340"/>
      <c r="Y91" s="2344"/>
      <c r="AA91" s="1668"/>
      <c r="AB91" s="340"/>
      <c r="AC91" s="2344"/>
    </row>
    <row r="92" spans="1:29" s="457" customFormat="1" x14ac:dyDescent="0.25">
      <c r="A92" s="2215"/>
      <c r="B92" s="2345"/>
      <c r="C92" s="2230"/>
      <c r="D92" s="340"/>
      <c r="E92" s="1656"/>
      <c r="G92" s="2355"/>
      <c r="H92" s="455"/>
      <c r="I92" s="897"/>
      <c r="J92" s="455"/>
      <c r="K92" s="1668"/>
      <c r="L92" s="340"/>
      <c r="M92" s="901"/>
      <c r="O92" s="1668"/>
      <c r="P92" s="340"/>
      <c r="Q92" s="901"/>
      <c r="R92" s="592"/>
      <c r="S92" s="2341"/>
      <c r="T92" s="340"/>
      <c r="U92" s="2344"/>
      <c r="V92" s="952"/>
      <c r="W92" s="2343"/>
      <c r="X92" s="340"/>
      <c r="Y92" s="2344"/>
      <c r="AA92" s="1668"/>
      <c r="AB92" s="340"/>
      <c r="AC92" s="2344"/>
    </row>
    <row r="93" spans="1:29" s="457" customFormat="1" x14ac:dyDescent="0.25">
      <c r="A93" s="2215"/>
      <c r="B93" s="2345"/>
      <c r="C93" s="2230"/>
      <c r="D93" s="340"/>
      <c r="E93" s="1656"/>
      <c r="G93" s="2355"/>
      <c r="H93" s="455"/>
      <c r="I93" s="897"/>
      <c r="J93" s="455"/>
      <c r="K93" s="1668"/>
      <c r="L93" s="340"/>
      <c r="M93" s="901"/>
      <c r="O93" s="1668"/>
      <c r="P93" s="340"/>
      <c r="Q93" s="901"/>
      <c r="R93" s="592"/>
      <c r="S93" s="2341"/>
      <c r="T93" s="340"/>
      <c r="U93" s="2344"/>
      <c r="V93" s="952"/>
      <c r="W93" s="2343"/>
      <c r="X93" s="340"/>
      <c r="Y93" s="2344"/>
      <c r="AA93" s="1668"/>
      <c r="AB93" s="340"/>
      <c r="AC93" s="2344"/>
    </row>
    <row r="94" spans="1:29" s="457" customFormat="1" x14ac:dyDescent="0.25">
      <c r="A94" s="2215"/>
      <c r="B94" s="2345"/>
      <c r="C94" s="2230"/>
      <c r="D94" s="340"/>
      <c r="E94" s="1656"/>
      <c r="G94" s="2355"/>
      <c r="H94" s="455"/>
      <c r="I94" s="897"/>
      <c r="J94" s="455"/>
      <c r="K94" s="1668"/>
      <c r="L94" s="340"/>
      <c r="M94" s="901"/>
      <c r="O94" s="1668"/>
      <c r="P94" s="340"/>
      <c r="Q94" s="901"/>
      <c r="R94" s="592"/>
      <c r="S94" s="2341"/>
      <c r="T94" s="340"/>
      <c r="U94" s="2344"/>
      <c r="V94" s="952"/>
      <c r="W94" s="2343"/>
      <c r="X94" s="340"/>
      <c r="Y94" s="2344"/>
      <c r="AA94" s="1668"/>
      <c r="AB94" s="340"/>
      <c r="AC94" s="2344"/>
    </row>
    <row r="95" spans="1:29" s="2402" customFormat="1" ht="11.25" x14ac:dyDescent="0.2">
      <c r="A95" s="2232"/>
      <c r="B95" s="2395"/>
      <c r="C95" s="2396" t="s">
        <v>221</v>
      </c>
      <c r="D95" s="2397">
        <f>+D82+D66+D53+D41+D30</f>
        <v>210028.93</v>
      </c>
      <c r="E95" s="2363"/>
      <c r="G95" s="2399" t="s">
        <v>221</v>
      </c>
      <c r="H95" s="2397">
        <f>+H82+H66+H53+H41+H30</f>
        <v>227277.6</v>
      </c>
      <c r="I95" s="2400"/>
      <c r="J95" s="607"/>
      <c r="K95" s="2399" t="s">
        <v>221</v>
      </c>
      <c r="L95" s="2397">
        <f>+L82+L66+L53+L41+L30</f>
        <v>225631</v>
      </c>
      <c r="M95" s="2404"/>
      <c r="O95" s="2399" t="s">
        <v>221</v>
      </c>
      <c r="P95" s="2397">
        <f>+P82+P66+P53+P41+P30</f>
        <v>225631</v>
      </c>
      <c r="Q95" s="2404"/>
      <c r="R95" s="608"/>
      <c r="S95" s="2405" t="s">
        <v>221</v>
      </c>
      <c r="T95" s="2397">
        <f>+T82+T66+T53+T41+T30</f>
        <v>225631</v>
      </c>
      <c r="U95" s="2409"/>
      <c r="V95" s="2407"/>
      <c r="W95" s="2408" t="s">
        <v>221</v>
      </c>
      <c r="X95" s="2397">
        <f>+X82+X66+X53+X41+X30</f>
        <v>232022</v>
      </c>
      <c r="Y95" s="2409"/>
      <c r="AA95" s="2399" t="s">
        <v>221</v>
      </c>
      <c r="AB95" s="2397" t="e">
        <f>+AB82+AB66+AB53+AB41+AB30</f>
        <v>#VALUE!</v>
      </c>
      <c r="AC95" s="2409"/>
    </row>
    <row r="96" spans="1:29" s="2402" customFormat="1" ht="11.25" x14ac:dyDescent="0.2">
      <c r="A96" s="2233"/>
      <c r="B96" s="2395"/>
      <c r="C96" s="2411" t="s">
        <v>222</v>
      </c>
      <c r="D96" s="2412">
        <f>+D13</f>
        <v>7771.07</v>
      </c>
      <c r="E96" s="2419"/>
      <c r="F96" s="2410"/>
      <c r="G96" s="2415" t="s">
        <v>222</v>
      </c>
      <c r="H96" s="2412">
        <f>+H13</f>
        <v>10560</v>
      </c>
      <c r="I96" s="2398"/>
      <c r="J96" s="608"/>
      <c r="K96" s="2415" t="s">
        <v>222</v>
      </c>
      <c r="L96" s="2412">
        <f>+L13</f>
        <v>12207</v>
      </c>
      <c r="M96" s="2404"/>
      <c r="O96" s="2415" t="s">
        <v>222</v>
      </c>
      <c r="P96" s="2412">
        <f>+P13</f>
        <v>12207</v>
      </c>
      <c r="Q96" s="2363"/>
      <c r="R96" s="608"/>
      <c r="S96" s="2416" t="s">
        <v>222</v>
      </c>
      <c r="T96" s="2412">
        <f>+T13</f>
        <v>12207</v>
      </c>
      <c r="V96" s="2407"/>
      <c r="W96" s="2417" t="s">
        <v>222</v>
      </c>
      <c r="X96" s="2412">
        <f>+X13</f>
        <v>8486</v>
      </c>
      <c r="AA96" s="2415" t="s">
        <v>222</v>
      </c>
      <c r="AB96" s="2412">
        <f>+AB13</f>
        <v>62814</v>
      </c>
    </row>
    <row r="97" spans="1:28" s="2402" customFormat="1" ht="11.25" x14ac:dyDescent="0.2">
      <c r="A97" s="2233"/>
      <c r="B97" s="2395"/>
      <c r="C97" s="2411"/>
      <c r="D97" s="2418">
        <f>+D95+D96</f>
        <v>217800</v>
      </c>
      <c r="E97" s="2419"/>
      <c r="F97" s="2410"/>
      <c r="G97" s="2415"/>
      <c r="H97" s="2418">
        <f>+H95+H96</f>
        <v>237837.6</v>
      </c>
      <c r="I97" s="2398"/>
      <c r="J97" s="608"/>
      <c r="K97" s="2415"/>
      <c r="L97" s="2418">
        <f>+L95+L96</f>
        <v>237838</v>
      </c>
      <c r="M97" s="2363"/>
      <c r="O97" s="2415"/>
      <c r="P97" s="2418">
        <f>+P95+P96</f>
        <v>237838</v>
      </c>
      <c r="Q97" s="2363"/>
      <c r="R97" s="608"/>
      <c r="S97" s="2416"/>
      <c r="T97" s="2418">
        <f>+T95+T96</f>
        <v>237838</v>
      </c>
      <c r="V97" s="2407"/>
      <c r="W97" s="2417"/>
      <c r="X97" s="2418">
        <f>+X95+X96</f>
        <v>240508</v>
      </c>
      <c r="AA97" s="2415"/>
      <c r="AB97" s="2418" t="e">
        <f>+AB95+AB96</f>
        <v>#VALUE!</v>
      </c>
    </row>
    <row r="98" spans="1:28" s="457" customFormat="1" ht="15" customHeight="1" x14ac:dyDescent="0.25">
      <c r="A98" s="2227"/>
      <c r="B98" s="2422"/>
      <c r="C98" s="2422"/>
      <c r="D98" s="459">
        <f>+D85-D97</f>
        <v>0</v>
      </c>
      <c r="E98" s="2386"/>
      <c r="F98" s="340"/>
      <c r="G98" s="2447"/>
      <c r="H98" s="459">
        <f>+H85-H97</f>
        <v>0</v>
      </c>
      <c r="I98" s="2339"/>
      <c r="J98" s="592"/>
      <c r="K98" s="2447"/>
      <c r="L98" s="459">
        <f>+L85-L97</f>
        <v>0</v>
      </c>
      <c r="M98" s="1656"/>
      <c r="O98" s="2447"/>
      <c r="P98" s="459">
        <f>+P85-P97</f>
        <v>0</v>
      </c>
      <c r="Q98" s="1656"/>
      <c r="R98" s="592"/>
      <c r="S98" s="2447"/>
      <c r="T98" s="459">
        <f>+T85-T97</f>
        <v>0</v>
      </c>
      <c r="V98" s="952"/>
      <c r="W98" s="2448"/>
      <c r="X98" s="459">
        <f>+X85-X97</f>
        <v>0</v>
      </c>
      <c r="AA98" s="2447"/>
      <c r="AB98" s="459" t="e">
        <f>+AB85-AB97</f>
        <v>#VALUE!</v>
      </c>
    </row>
    <row r="99" spans="1:28" s="457" customFormat="1" x14ac:dyDescent="0.25">
      <c r="A99" s="2227"/>
      <c r="B99" s="2422"/>
      <c r="C99" s="2422"/>
      <c r="D99" s="455"/>
      <c r="E99" s="2386"/>
      <c r="F99" s="340"/>
      <c r="G99" s="2338"/>
      <c r="H99" s="2424"/>
      <c r="I99" s="2339"/>
      <c r="J99" s="592"/>
      <c r="K99" s="1668"/>
      <c r="L99" s="2370"/>
      <c r="M99" s="1656"/>
      <c r="O99" s="1668"/>
      <c r="P99" s="340"/>
      <c r="Q99" s="1656"/>
      <c r="R99" s="592"/>
      <c r="S99" s="2341"/>
      <c r="V99" s="952"/>
      <c r="W99" s="2343"/>
      <c r="AA99" s="1668"/>
    </row>
    <row r="100" spans="1:28" s="457" customFormat="1" x14ac:dyDescent="0.25">
      <c r="A100" s="2227"/>
      <c r="B100" s="2394"/>
      <c r="C100" s="2230"/>
      <c r="D100" s="342"/>
      <c r="E100" s="2386"/>
      <c r="F100" s="340"/>
      <c r="G100" s="2338"/>
      <c r="H100" s="2424"/>
      <c r="I100" s="2339"/>
      <c r="J100" s="592"/>
      <c r="K100" s="1668"/>
      <c r="L100" s="2370"/>
      <c r="M100" s="1656"/>
      <c r="O100" s="1668"/>
      <c r="P100" s="340"/>
      <c r="Q100" s="1656"/>
      <c r="R100" s="592"/>
      <c r="S100" s="2341"/>
      <c r="V100" s="952"/>
      <c r="W100" s="2343"/>
      <c r="AA100" s="1668"/>
    </row>
    <row r="101" spans="1:28" s="457" customFormat="1" x14ac:dyDescent="0.25">
      <c r="A101" s="2215"/>
      <c r="B101" s="2394"/>
      <c r="C101" s="2230"/>
      <c r="D101" s="455"/>
      <c r="E101" s="1656"/>
      <c r="G101" s="2338"/>
      <c r="H101" s="2424"/>
      <c r="I101" s="2339"/>
      <c r="J101" s="592"/>
      <c r="K101" s="1668"/>
      <c r="L101" s="2370"/>
      <c r="M101" s="1656"/>
      <c r="O101" s="1668"/>
      <c r="P101" s="340"/>
      <c r="Q101" s="1656"/>
      <c r="R101" s="592"/>
      <c r="S101" s="2341"/>
      <c r="V101" s="952"/>
      <c r="W101" s="2343"/>
      <c r="AA101" s="1668"/>
    </row>
    <row r="102" spans="1:28" s="457" customFormat="1" x14ac:dyDescent="0.25">
      <c r="A102" s="2215"/>
      <c r="B102" s="2394"/>
      <c r="C102" s="2230"/>
      <c r="D102" s="455"/>
      <c r="E102" s="1656"/>
      <c r="G102" s="2338"/>
      <c r="H102" s="2424"/>
      <c r="I102" s="2339"/>
      <c r="J102" s="592"/>
      <c r="K102" s="1668"/>
      <c r="L102" s="2370"/>
      <c r="M102" s="1656"/>
      <c r="O102" s="1668"/>
      <c r="P102" s="340"/>
      <c r="Q102" s="1656"/>
      <c r="R102" s="592"/>
      <c r="S102" s="2341"/>
      <c r="V102" s="952"/>
      <c r="W102" s="2343"/>
      <c r="AA102" s="1668"/>
    </row>
    <row r="103" spans="1:28" s="457" customFormat="1" ht="15" customHeight="1" x14ac:dyDescent="0.25">
      <c r="A103" s="2215"/>
      <c r="B103" s="2394"/>
      <c r="C103" s="2230"/>
      <c r="D103" s="455"/>
      <c r="E103" s="1656"/>
      <c r="G103" s="2338"/>
      <c r="H103" s="2424"/>
      <c r="I103" s="2339"/>
      <c r="J103" s="592"/>
      <c r="K103" s="1668"/>
      <c r="L103" s="2370"/>
      <c r="M103" s="1656"/>
      <c r="O103" s="1668"/>
      <c r="P103" s="340"/>
      <c r="Q103" s="1656"/>
      <c r="R103" s="592"/>
      <c r="S103" s="2341"/>
      <c r="V103" s="952"/>
      <c r="W103" s="2343"/>
      <c r="AA103" s="1668"/>
    </row>
    <row r="104" spans="1:28" s="457" customFormat="1" x14ac:dyDescent="0.25">
      <c r="A104" s="2215"/>
      <c r="B104" s="2394"/>
      <c r="C104" s="2230"/>
      <c r="D104" s="455"/>
      <c r="E104" s="1656"/>
      <c r="G104" s="2338"/>
      <c r="H104" s="2424"/>
      <c r="I104" s="2339"/>
      <c r="J104" s="592"/>
      <c r="K104" s="1668"/>
      <c r="L104" s="2370"/>
      <c r="M104" s="1656"/>
      <c r="O104" s="1668"/>
      <c r="P104" s="340"/>
      <c r="Q104" s="1656"/>
      <c r="R104" s="592"/>
      <c r="S104" s="2341"/>
      <c r="V104" s="952"/>
      <c r="W104" s="2343"/>
      <c r="AA104" s="1668"/>
    </row>
    <row r="105" spans="1:28" s="457" customFormat="1" x14ac:dyDescent="0.25">
      <c r="A105" s="2215"/>
      <c r="B105" s="2394"/>
      <c r="C105" s="2230"/>
      <c r="D105" s="455"/>
      <c r="E105" s="1656"/>
      <c r="G105" s="2338"/>
      <c r="H105" s="2424"/>
      <c r="I105" s="2339"/>
      <c r="J105" s="592"/>
      <c r="K105" s="1668"/>
      <c r="L105" s="2370"/>
      <c r="M105" s="1656"/>
      <c r="O105" s="1668"/>
      <c r="P105" s="340"/>
      <c r="Q105" s="1656"/>
      <c r="R105" s="592"/>
      <c r="S105" s="2341"/>
      <c r="V105" s="952"/>
      <c r="W105" s="2343"/>
      <c r="AA105" s="1668"/>
    </row>
    <row r="106" spans="1:28" s="457" customFormat="1" ht="15" customHeight="1" x14ac:dyDescent="0.25">
      <c r="A106" s="2215"/>
      <c r="B106" s="2570"/>
      <c r="C106" s="2570"/>
      <c r="D106" s="455"/>
      <c r="E106" s="1656"/>
      <c r="G106" s="2338"/>
      <c r="H106" s="2424"/>
      <c r="I106" s="2339"/>
      <c r="J106" s="592"/>
      <c r="K106" s="1668"/>
      <c r="L106" s="2370"/>
      <c r="M106" s="1656"/>
      <c r="O106" s="1668"/>
      <c r="P106" s="340"/>
      <c r="Q106" s="1656"/>
      <c r="R106" s="592"/>
      <c r="S106" s="2341"/>
      <c r="V106" s="952"/>
      <c r="W106" s="2343"/>
      <c r="AA106" s="1668"/>
    </row>
    <row r="107" spans="1:28" s="457" customFormat="1" x14ac:dyDescent="0.25">
      <c r="A107" s="2215"/>
      <c r="B107" s="2570"/>
      <c r="C107" s="2570"/>
      <c r="D107" s="455"/>
      <c r="E107" s="1656"/>
      <c r="G107" s="2338"/>
      <c r="H107" s="2424"/>
      <c r="I107" s="2339"/>
      <c r="J107" s="592"/>
      <c r="K107" s="1668"/>
      <c r="L107" s="2370"/>
      <c r="M107" s="1656"/>
      <c r="O107" s="1668"/>
      <c r="P107" s="340"/>
      <c r="Q107" s="1656"/>
      <c r="R107" s="592"/>
      <c r="S107" s="2341"/>
      <c r="V107" s="952"/>
      <c r="W107" s="2343"/>
      <c r="AA107" s="1668"/>
    </row>
    <row r="108" spans="1:28" s="457" customFormat="1" x14ac:dyDescent="0.25">
      <c r="A108" s="2215"/>
      <c r="B108" s="2394"/>
      <c r="C108" s="2230"/>
      <c r="D108" s="460"/>
      <c r="E108" s="1656"/>
      <c r="G108" s="2338"/>
      <c r="H108" s="2424"/>
      <c r="I108" s="2339"/>
      <c r="J108" s="592"/>
      <c r="K108" s="1668"/>
      <c r="L108" s="2370"/>
      <c r="M108" s="1656"/>
      <c r="O108" s="1668"/>
      <c r="P108" s="340"/>
      <c r="Q108" s="1656"/>
      <c r="R108" s="592"/>
      <c r="S108" s="2341"/>
      <c r="V108" s="952"/>
      <c r="W108" s="2343"/>
      <c r="AA108" s="1668"/>
    </row>
    <row r="109" spans="1:28" s="457" customFormat="1" x14ac:dyDescent="0.25">
      <c r="A109" s="2215"/>
      <c r="B109" s="2394"/>
      <c r="C109" s="2230"/>
      <c r="D109" s="455"/>
      <c r="E109" s="1656"/>
      <c r="G109" s="2338"/>
      <c r="H109" s="2424"/>
      <c r="I109" s="2339"/>
      <c r="J109" s="592"/>
      <c r="K109" s="1668"/>
      <c r="L109" s="2370"/>
      <c r="M109" s="1656"/>
      <c r="O109" s="1668"/>
      <c r="P109" s="340"/>
      <c r="Q109" s="1656"/>
      <c r="R109" s="592"/>
      <c r="S109" s="2341"/>
      <c r="V109" s="952"/>
      <c r="W109" s="2343"/>
      <c r="AA109" s="1668"/>
    </row>
    <row r="110" spans="1:28" s="457" customFormat="1" x14ac:dyDescent="0.25">
      <c r="A110" s="2215"/>
      <c r="B110" s="2394"/>
      <c r="C110" s="2230"/>
      <c r="D110" s="455"/>
      <c r="E110" s="1656"/>
      <c r="G110" s="2338"/>
      <c r="H110" s="2424"/>
      <c r="I110" s="2339"/>
      <c r="J110" s="592"/>
      <c r="K110" s="1668"/>
      <c r="L110" s="2370"/>
      <c r="M110" s="1656"/>
      <c r="O110" s="1668"/>
      <c r="P110" s="340"/>
      <c r="Q110" s="1656"/>
      <c r="R110" s="592"/>
      <c r="S110" s="2341"/>
      <c r="V110" s="952"/>
      <c r="W110" s="2343"/>
      <c r="AA110" s="1668"/>
    </row>
    <row r="111" spans="1:28" s="457" customFormat="1" ht="28.5" customHeight="1" x14ac:dyDescent="0.25">
      <c r="A111" s="2215"/>
      <c r="B111" s="2394"/>
      <c r="C111" s="2230"/>
      <c r="D111" s="342"/>
      <c r="E111" s="1656"/>
      <c r="G111" s="2338"/>
      <c r="H111" s="2424"/>
      <c r="I111" s="2339"/>
      <c r="J111" s="592"/>
      <c r="K111" s="1668"/>
      <c r="L111" s="2370"/>
      <c r="M111" s="1656"/>
      <c r="O111" s="1668"/>
      <c r="P111" s="340"/>
      <c r="Q111" s="1656"/>
      <c r="R111" s="592"/>
      <c r="S111" s="2341"/>
      <c r="V111" s="952"/>
      <c r="W111" s="2343"/>
      <c r="AA111" s="1668"/>
    </row>
    <row r="112" spans="1:28" s="457" customFormat="1" x14ac:dyDescent="0.25">
      <c r="A112" s="2215"/>
      <c r="B112" s="2394"/>
      <c r="C112" s="2230"/>
      <c r="D112" s="455"/>
      <c r="E112" s="1656"/>
      <c r="G112" s="2338"/>
      <c r="H112" s="2424"/>
      <c r="I112" s="2339"/>
      <c r="J112" s="592"/>
      <c r="K112" s="1668"/>
      <c r="L112" s="2370"/>
      <c r="M112" s="1656"/>
      <c r="O112" s="1668"/>
      <c r="P112" s="340"/>
      <c r="Q112" s="1656"/>
      <c r="R112" s="592"/>
      <c r="S112" s="2341"/>
      <c r="V112" s="952"/>
      <c r="W112" s="2343"/>
      <c r="AA112" s="1668"/>
    </row>
    <row r="113" spans="1:27" s="457" customFormat="1" x14ac:dyDescent="0.25">
      <c r="A113" s="2215"/>
      <c r="B113" s="2394"/>
      <c r="C113" s="2230"/>
      <c r="D113" s="455"/>
      <c r="E113" s="1656"/>
      <c r="G113" s="2338"/>
      <c r="H113" s="2424"/>
      <c r="I113" s="2339"/>
      <c r="J113" s="592"/>
      <c r="K113" s="1668"/>
      <c r="L113" s="2370"/>
      <c r="M113" s="1656"/>
      <c r="O113" s="1668"/>
      <c r="P113" s="340"/>
      <c r="Q113" s="1656"/>
      <c r="R113" s="592"/>
      <c r="S113" s="2341"/>
      <c r="V113" s="952"/>
      <c r="W113" s="2343"/>
      <c r="AA113" s="1668"/>
    </row>
    <row r="114" spans="1:27" s="457" customFormat="1" x14ac:dyDescent="0.25">
      <c r="A114" s="2215"/>
      <c r="B114" s="2394"/>
      <c r="C114" s="2230"/>
      <c r="D114" s="455"/>
      <c r="E114" s="1656"/>
      <c r="G114" s="2338"/>
      <c r="H114" s="2424"/>
      <c r="I114" s="2339"/>
      <c r="J114" s="592"/>
      <c r="K114" s="1668"/>
      <c r="L114" s="2370"/>
      <c r="M114" s="1656"/>
      <c r="O114" s="1668"/>
      <c r="P114" s="340"/>
      <c r="Q114" s="1656"/>
      <c r="R114" s="592"/>
      <c r="S114" s="2341"/>
      <c r="V114" s="952"/>
      <c r="W114" s="2343"/>
      <c r="AA114" s="1668"/>
    </row>
    <row r="115" spans="1:27" s="457" customFormat="1" x14ac:dyDescent="0.25">
      <c r="A115" s="2215"/>
      <c r="B115" s="2394"/>
      <c r="C115" s="2230"/>
      <c r="D115" s="455"/>
      <c r="E115" s="1656"/>
      <c r="G115" s="2338"/>
      <c r="H115" s="2424"/>
      <c r="I115" s="2339"/>
      <c r="J115" s="592"/>
      <c r="K115" s="1668"/>
      <c r="L115" s="2370"/>
      <c r="M115" s="1656"/>
      <c r="O115" s="1668"/>
      <c r="P115" s="340"/>
      <c r="Q115" s="1656"/>
      <c r="R115" s="592"/>
      <c r="S115" s="2341"/>
      <c r="V115" s="952"/>
      <c r="W115" s="2343"/>
      <c r="AA115" s="1668"/>
    </row>
    <row r="116" spans="1:27" s="457" customFormat="1" x14ac:dyDescent="0.25">
      <c r="A116" s="2215"/>
      <c r="B116" s="2394"/>
      <c r="C116" s="2230"/>
      <c r="D116" s="455"/>
      <c r="E116" s="1656"/>
      <c r="G116" s="2338"/>
      <c r="H116" s="2424"/>
      <c r="I116" s="2339"/>
      <c r="J116" s="592"/>
      <c r="K116" s="1668"/>
      <c r="L116" s="2370"/>
      <c r="M116" s="1656"/>
      <c r="O116" s="1668"/>
      <c r="P116" s="340"/>
      <c r="Q116" s="1656"/>
      <c r="R116" s="592"/>
      <c r="S116" s="2341"/>
      <c r="V116" s="952"/>
      <c r="W116" s="2343"/>
      <c r="AA116" s="1668"/>
    </row>
    <row r="117" spans="1:27" s="457" customFormat="1" x14ac:dyDescent="0.25">
      <c r="A117" s="2215"/>
      <c r="B117" s="2394"/>
      <c r="C117" s="2230"/>
      <c r="D117" s="455"/>
      <c r="E117" s="1656"/>
      <c r="G117" s="2338"/>
      <c r="H117" s="2424"/>
      <c r="I117" s="2339"/>
      <c r="J117" s="592"/>
      <c r="K117" s="1668"/>
      <c r="L117" s="2370"/>
      <c r="M117" s="1656"/>
      <c r="O117" s="1668"/>
      <c r="P117" s="340"/>
      <c r="Q117" s="1656"/>
      <c r="R117" s="592"/>
      <c r="S117" s="2341"/>
      <c r="V117" s="952"/>
      <c r="W117" s="2343"/>
      <c r="AA117" s="1668"/>
    </row>
    <row r="118" spans="1:27" s="457" customFormat="1" x14ac:dyDescent="0.25">
      <c r="A118" s="2215"/>
      <c r="B118" s="2394"/>
      <c r="C118" s="2230"/>
      <c r="D118" s="455"/>
      <c r="E118" s="1656"/>
      <c r="G118" s="2338"/>
      <c r="H118" s="2424"/>
      <c r="I118" s="2339"/>
      <c r="J118" s="592"/>
      <c r="K118" s="1668"/>
      <c r="L118" s="2370"/>
      <c r="M118" s="1656"/>
      <c r="O118" s="1668"/>
      <c r="P118" s="340"/>
      <c r="Q118" s="1656"/>
      <c r="R118" s="592"/>
      <c r="S118" s="2341"/>
      <c r="V118" s="952"/>
      <c r="W118" s="2343"/>
      <c r="AA118" s="1668"/>
    </row>
    <row r="119" spans="1:27" s="457" customFormat="1" x14ac:dyDescent="0.25">
      <c r="A119" s="2215"/>
      <c r="B119" s="2394"/>
      <c r="C119" s="2230"/>
      <c r="D119" s="455"/>
      <c r="E119" s="1656"/>
      <c r="G119" s="2338"/>
      <c r="H119" s="2424"/>
      <c r="I119" s="2339"/>
      <c r="J119" s="592"/>
      <c r="K119" s="1668"/>
      <c r="L119" s="2370"/>
      <c r="M119" s="1656"/>
      <c r="O119" s="1668"/>
      <c r="P119" s="340"/>
      <c r="Q119" s="1656"/>
      <c r="R119" s="592"/>
      <c r="S119" s="2341"/>
      <c r="V119" s="952"/>
      <c r="W119" s="2343"/>
      <c r="AA119" s="1668"/>
    </row>
    <row r="120" spans="1:27" s="457" customFormat="1" x14ac:dyDescent="0.25">
      <c r="A120" s="2215"/>
      <c r="B120" s="2394"/>
      <c r="C120" s="2230"/>
      <c r="D120" s="455"/>
      <c r="E120" s="1656"/>
      <c r="G120" s="2338"/>
      <c r="H120" s="2424"/>
      <c r="I120" s="2339"/>
      <c r="J120" s="592"/>
      <c r="K120" s="1668"/>
      <c r="L120" s="2370"/>
      <c r="M120" s="1656"/>
      <c r="O120" s="1668"/>
      <c r="P120" s="340"/>
      <c r="Q120" s="1656"/>
      <c r="R120" s="592"/>
      <c r="S120" s="2341"/>
      <c r="V120" s="952"/>
      <c r="W120" s="2343"/>
      <c r="AA120" s="1668"/>
    </row>
    <row r="121" spans="1:27" s="457" customFormat="1" x14ac:dyDescent="0.25">
      <c r="A121" s="2215"/>
      <c r="B121" s="2394"/>
      <c r="C121" s="2230"/>
      <c r="D121" s="455"/>
      <c r="E121" s="1656"/>
      <c r="G121" s="2338"/>
      <c r="H121" s="2424"/>
      <c r="I121" s="2339"/>
      <c r="J121" s="592"/>
      <c r="K121" s="1668"/>
      <c r="L121" s="2370"/>
      <c r="M121" s="1656"/>
      <c r="O121" s="1668"/>
      <c r="P121" s="340"/>
      <c r="Q121" s="1656"/>
      <c r="R121" s="592"/>
      <c r="S121" s="2341"/>
      <c r="V121" s="952"/>
      <c r="W121" s="2343"/>
      <c r="AA121" s="1668"/>
    </row>
    <row r="122" spans="1:27" s="457" customFormat="1" x14ac:dyDescent="0.25">
      <c r="A122" s="2215"/>
      <c r="B122" s="2394"/>
      <c r="C122" s="2230"/>
      <c r="D122" s="455"/>
      <c r="E122" s="1656"/>
      <c r="G122" s="2338"/>
      <c r="H122" s="2424"/>
      <c r="I122" s="2339"/>
      <c r="J122" s="592"/>
      <c r="K122" s="1668"/>
      <c r="L122" s="2370"/>
      <c r="M122" s="1656"/>
      <c r="O122" s="1668"/>
      <c r="P122" s="340"/>
      <c r="Q122" s="1656"/>
      <c r="R122" s="592"/>
      <c r="S122" s="2341"/>
      <c r="V122" s="952"/>
      <c r="W122" s="2343"/>
      <c r="AA122" s="1668"/>
    </row>
    <row r="123" spans="1:27" s="457" customFormat="1" x14ac:dyDescent="0.25">
      <c r="A123" s="2215"/>
      <c r="B123" s="2394"/>
      <c r="C123" s="2230"/>
      <c r="D123" s="455"/>
      <c r="E123" s="1656"/>
      <c r="G123" s="2338"/>
      <c r="H123" s="2424"/>
      <c r="I123" s="2339"/>
      <c r="J123" s="592"/>
      <c r="K123" s="1668"/>
      <c r="L123" s="2370"/>
      <c r="M123" s="1656"/>
      <c r="O123" s="1668"/>
      <c r="P123" s="340"/>
      <c r="Q123" s="1656"/>
      <c r="R123" s="592"/>
      <c r="S123" s="2341"/>
      <c r="V123" s="952"/>
      <c r="W123" s="2343"/>
      <c r="AA123" s="1668"/>
    </row>
    <row r="124" spans="1:27" s="457" customFormat="1" x14ac:dyDescent="0.25">
      <c r="A124" s="2215"/>
      <c r="B124" s="2394"/>
      <c r="C124" s="2230"/>
      <c r="D124" s="455"/>
      <c r="E124" s="1656"/>
      <c r="G124" s="2338"/>
      <c r="H124" s="2424"/>
      <c r="I124" s="2339"/>
      <c r="J124" s="592"/>
      <c r="K124" s="1668"/>
      <c r="L124" s="2370"/>
      <c r="M124" s="1656"/>
      <c r="O124" s="1668"/>
      <c r="P124" s="340"/>
      <c r="Q124" s="1656"/>
      <c r="R124" s="592"/>
      <c r="S124" s="2341"/>
      <c r="V124" s="952"/>
      <c r="W124" s="2343"/>
      <c r="AA124" s="1668"/>
    </row>
    <row r="125" spans="1:27" s="457" customFormat="1" x14ac:dyDescent="0.25">
      <c r="A125" s="2215"/>
      <c r="B125" s="2394"/>
      <c r="C125" s="2230"/>
      <c r="D125" s="455"/>
      <c r="E125" s="1656"/>
      <c r="G125" s="2338"/>
      <c r="H125" s="2424"/>
      <c r="I125" s="2339"/>
      <c r="J125" s="592"/>
      <c r="K125" s="1668"/>
      <c r="L125" s="2370"/>
      <c r="M125" s="1656"/>
      <c r="O125" s="1668"/>
      <c r="P125" s="340"/>
      <c r="Q125" s="1656"/>
      <c r="R125" s="592"/>
      <c r="S125" s="2341"/>
      <c r="V125" s="952"/>
      <c r="W125" s="2343"/>
      <c r="AA125" s="1668"/>
    </row>
    <row r="126" spans="1:27" s="457" customFormat="1" x14ac:dyDescent="0.25">
      <c r="A126" s="2215"/>
      <c r="B126" s="2394"/>
      <c r="C126" s="2230"/>
      <c r="D126" s="455"/>
      <c r="E126" s="1656"/>
      <c r="G126" s="2338"/>
      <c r="H126" s="2424"/>
      <c r="I126" s="2339"/>
      <c r="J126" s="592"/>
      <c r="K126" s="1668"/>
      <c r="L126" s="2370"/>
      <c r="M126" s="1656"/>
      <c r="O126" s="1668"/>
      <c r="P126" s="340"/>
      <c r="Q126" s="1656"/>
      <c r="R126" s="592"/>
      <c r="S126" s="2341"/>
      <c r="V126" s="952"/>
      <c r="W126" s="2343"/>
      <c r="AA126" s="1668"/>
    </row>
    <row r="127" spans="1:27" s="457" customFormat="1" x14ac:dyDescent="0.25">
      <c r="A127" s="2215"/>
      <c r="B127" s="2345"/>
      <c r="C127" s="2215"/>
      <c r="D127" s="340"/>
      <c r="E127" s="1656"/>
      <c r="G127" s="2338"/>
      <c r="H127" s="2424"/>
      <c r="I127" s="2339"/>
      <c r="J127" s="592"/>
      <c r="K127" s="1668"/>
      <c r="L127" s="2370"/>
      <c r="M127" s="1656"/>
      <c r="O127" s="1668"/>
      <c r="P127" s="340"/>
      <c r="Q127" s="1656"/>
      <c r="R127" s="592"/>
      <c r="S127" s="2341"/>
      <c r="V127" s="952"/>
      <c r="W127" s="2343"/>
      <c r="AA127" s="1668"/>
    </row>
    <row r="128" spans="1:27" s="457" customFormat="1" x14ac:dyDescent="0.25">
      <c r="A128" s="2215"/>
      <c r="B128" s="2345"/>
      <c r="C128" s="2215"/>
      <c r="D128" s="340"/>
      <c r="E128" s="1656"/>
      <c r="G128" s="2338"/>
      <c r="H128" s="2424"/>
      <c r="I128" s="2339"/>
      <c r="J128" s="592"/>
      <c r="K128" s="1668"/>
      <c r="L128" s="2370"/>
      <c r="M128" s="1656"/>
      <c r="O128" s="1668"/>
      <c r="P128" s="340"/>
      <c r="Q128" s="1656"/>
      <c r="R128" s="592"/>
      <c r="S128" s="2341"/>
      <c r="V128" s="952"/>
      <c r="W128" s="2343"/>
      <c r="AA128" s="1668"/>
    </row>
    <row r="129" spans="1:27" s="457" customFormat="1" x14ac:dyDescent="0.25">
      <c r="A129" s="2215"/>
      <c r="B129" s="2345"/>
      <c r="C129" s="2215"/>
      <c r="D129" s="340"/>
      <c r="E129" s="1656"/>
      <c r="G129" s="2338"/>
      <c r="H129" s="2424"/>
      <c r="I129" s="2339"/>
      <c r="J129" s="592"/>
      <c r="K129" s="1668"/>
      <c r="L129" s="2370"/>
      <c r="M129" s="1656"/>
      <c r="O129" s="1668"/>
      <c r="P129" s="340"/>
      <c r="Q129" s="1656"/>
      <c r="R129" s="592"/>
      <c r="S129" s="2341"/>
      <c r="V129" s="952"/>
      <c r="W129" s="2343"/>
      <c r="AA129" s="1668"/>
    </row>
    <row r="130" spans="1:27" s="457" customFormat="1" x14ac:dyDescent="0.25">
      <c r="A130" s="2215"/>
      <c r="B130" s="2345"/>
      <c r="C130" s="2215"/>
      <c r="D130" s="340"/>
      <c r="E130" s="1656"/>
      <c r="G130" s="2338"/>
      <c r="H130" s="2424"/>
      <c r="I130" s="2339"/>
      <c r="J130" s="592"/>
      <c r="K130" s="1668"/>
      <c r="L130" s="2370"/>
      <c r="M130" s="1656"/>
      <c r="O130" s="1668"/>
      <c r="P130" s="340"/>
      <c r="Q130" s="1656"/>
      <c r="R130" s="592"/>
      <c r="S130" s="2341"/>
      <c r="V130" s="952"/>
      <c r="W130" s="2343"/>
      <c r="AA130" s="1668"/>
    </row>
    <row r="131" spans="1:27" s="457" customFormat="1" x14ac:dyDescent="0.25">
      <c r="A131" s="2215"/>
      <c r="B131" s="2345"/>
      <c r="C131" s="2215"/>
      <c r="D131" s="340"/>
      <c r="E131" s="1656"/>
      <c r="G131" s="2338"/>
      <c r="H131" s="2424"/>
      <c r="I131" s="2339"/>
      <c r="J131" s="592"/>
      <c r="K131" s="1668"/>
      <c r="L131" s="2370"/>
      <c r="M131" s="1656"/>
      <c r="O131" s="1668"/>
      <c r="P131" s="340"/>
      <c r="Q131" s="1656"/>
      <c r="R131" s="592"/>
      <c r="S131" s="2341"/>
      <c r="V131" s="952"/>
      <c r="W131" s="2343"/>
      <c r="AA131" s="1668"/>
    </row>
  </sheetData>
  <sheetProtection password="E247" sheet="1" objects="1" scenarios="1"/>
  <mergeCells count="1">
    <mergeCell ref="B106:C107"/>
  </mergeCells>
  <pageMargins left="0.25" right="0.25" top="0.5" bottom="0.5" header="0.25" footer="0.25"/>
  <pageSetup paperSize="5" orientation="portrait" r:id="rId1"/>
  <headerFooter>
    <oddHeader>&amp;L&amp;F</oddHeader>
    <oddFooter>&amp;R&amp;A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C131"/>
  <sheetViews>
    <sheetView zoomScaleNormal="100" workbookViewId="0">
      <pane xSplit="3" ySplit="6" topLeftCell="H7" activePane="bottomRight" state="frozen"/>
      <selection activeCell="H7" sqref="H7"/>
      <selection pane="topRight" activeCell="H7" sqref="H7"/>
      <selection pane="bottomLeft" activeCell="H7" sqref="H7"/>
      <selection pane="bottomRight" activeCell="H7" sqref="H7"/>
    </sheetView>
  </sheetViews>
  <sheetFormatPr defaultRowHeight="15" x14ac:dyDescent="0.25"/>
  <cols>
    <col min="1" max="1" width="1.7109375" style="2213" customWidth="1"/>
    <col min="2" max="2" width="8.5703125" style="2172" customWidth="1"/>
    <col min="3" max="3" width="18.28515625" style="2176" customWidth="1"/>
    <col min="4" max="4" width="16" style="2" hidden="1" customWidth="1"/>
    <col min="5" max="5" width="17.7109375" style="844" hidden="1" customWidth="1"/>
    <col min="6" max="6" width="6" style="39" hidden="1" customWidth="1"/>
    <col min="7" max="7" width="9.7109375" style="52" hidden="1" customWidth="1"/>
    <col min="8" max="8" width="13.85546875" style="121" bestFit="1" customWidth="1"/>
    <col min="9" max="9" width="26" style="853" hidden="1" customWidth="1"/>
    <col min="10" max="10" width="5.7109375" style="59" hidden="1" customWidth="1"/>
    <col min="11" max="11" width="10.5703125" style="333" hidden="1" customWidth="1"/>
    <col min="12" max="12" width="14" style="122" bestFit="1" customWidth="1"/>
    <col min="13" max="13" width="26" style="844" hidden="1" customWidth="1"/>
    <col min="14" max="14" width="5.7109375" style="39" hidden="1" customWidth="1"/>
    <col min="15" max="15" width="9.42578125" style="333" hidden="1" customWidth="1"/>
    <col min="16" max="16" width="14" style="2" bestFit="1" customWidth="1"/>
    <col min="17" max="17" width="24.85546875" style="844" hidden="1" customWidth="1"/>
    <col min="18" max="18" width="5.28515625" style="51" hidden="1" customWidth="1"/>
    <col min="19" max="19" width="9.42578125" style="338" hidden="1" customWidth="1"/>
    <col min="20" max="20" width="14" style="39" customWidth="1"/>
    <col min="21" max="21" width="24.85546875" style="39" hidden="1" customWidth="1"/>
    <col min="22" max="22" width="5.7109375" style="109" customWidth="1"/>
    <col min="23" max="23" width="9.42578125" style="2244" hidden="1" customWidth="1"/>
    <col min="24" max="24" width="14" style="39" hidden="1" customWidth="1"/>
    <col min="25" max="25" width="24.85546875" style="39" hidden="1" customWidth="1"/>
    <col min="26" max="26" width="5.7109375" style="39" hidden="1" customWidth="1"/>
    <col min="27" max="27" width="9.42578125" style="333" hidden="1" customWidth="1"/>
    <col min="28" max="28" width="14" style="39" hidden="1" customWidth="1"/>
    <col min="29" max="29" width="24.85546875" style="39" hidden="1" customWidth="1"/>
    <col min="30" max="16384" width="9.140625" style="39"/>
  </cols>
  <sheetData>
    <row r="1" spans="1:29" x14ac:dyDescent="0.25">
      <c r="B1" s="2172" t="s">
        <v>61</v>
      </c>
      <c r="C1" s="2178" t="s">
        <v>267</v>
      </c>
      <c r="D1" s="933"/>
      <c r="E1" s="842"/>
      <c r="F1" s="98"/>
      <c r="G1" s="325"/>
      <c r="H1" s="934"/>
      <c r="I1" s="842"/>
      <c r="K1" s="338"/>
      <c r="L1" s="121"/>
      <c r="M1" s="842"/>
      <c r="N1" s="51"/>
      <c r="O1" s="338"/>
      <c r="P1" s="121"/>
      <c r="Q1" s="842"/>
      <c r="T1" s="86">
        <v>0</v>
      </c>
      <c r="U1" s="98"/>
      <c r="X1" s="86">
        <v>0</v>
      </c>
      <c r="Y1" s="98"/>
      <c r="AB1" s="86">
        <v>0</v>
      </c>
      <c r="AC1" s="98"/>
    </row>
    <row r="2" spans="1:29" ht="17.25" x14ac:dyDescent="0.4">
      <c r="B2" s="2173" t="s">
        <v>59</v>
      </c>
      <c r="C2" s="2177">
        <v>6230</v>
      </c>
      <c r="D2" s="934"/>
      <c r="E2" s="842"/>
      <c r="F2" s="98"/>
      <c r="G2" s="1663"/>
      <c r="H2" s="934"/>
      <c r="I2" s="842"/>
      <c r="K2" s="338"/>
      <c r="L2" s="87"/>
      <c r="M2" s="842"/>
      <c r="N2" s="51"/>
      <c r="O2" s="338"/>
      <c r="P2" s="87"/>
      <c r="Q2" s="842"/>
      <c r="T2" s="87">
        <v>0</v>
      </c>
      <c r="U2" s="98"/>
      <c r="X2" s="87">
        <v>0</v>
      </c>
      <c r="Y2" s="98"/>
      <c r="AB2" s="87">
        <v>0</v>
      </c>
      <c r="AC2" s="98"/>
    </row>
    <row r="3" spans="1:29" x14ac:dyDescent="0.25">
      <c r="D3" s="935"/>
      <c r="E3" s="852"/>
      <c r="F3" s="936"/>
      <c r="G3" s="1664"/>
      <c r="H3" s="935"/>
      <c r="I3" s="852"/>
      <c r="K3" s="338"/>
      <c r="L3" s="121"/>
      <c r="M3" s="853"/>
      <c r="N3" s="51"/>
      <c r="O3" s="338"/>
      <c r="P3" s="121"/>
      <c r="Q3" s="853"/>
      <c r="T3" s="86">
        <f>SUM(T1:T2)</f>
        <v>0</v>
      </c>
      <c r="U3" s="51"/>
      <c r="X3" s="86">
        <f>SUM(X1:X2)</f>
        <v>0</v>
      </c>
      <c r="Y3" s="51"/>
      <c r="AB3" s="86">
        <f>SUM(AB1:AB2)</f>
        <v>0</v>
      </c>
      <c r="AC3" s="51"/>
    </row>
    <row r="4" spans="1:29" x14ac:dyDescent="0.25">
      <c r="D4" s="36"/>
      <c r="E4" s="853"/>
      <c r="F4" s="51"/>
      <c r="G4" s="330"/>
      <c r="K4" s="338"/>
      <c r="L4" s="121"/>
      <c r="M4" s="853"/>
      <c r="N4" s="51"/>
      <c r="O4" s="338"/>
      <c r="P4" s="121"/>
      <c r="Q4" s="853"/>
      <c r="T4" s="86"/>
      <c r="U4" s="51"/>
      <c r="X4" s="86"/>
      <c r="Y4" s="51"/>
      <c r="AB4" s="86"/>
      <c r="AC4" s="51"/>
    </row>
    <row r="5" spans="1:29" ht="15.75" x14ac:dyDescent="0.25">
      <c r="B5" s="2174" t="s">
        <v>56</v>
      </c>
      <c r="P5" s="122"/>
      <c r="T5" s="73"/>
      <c r="X5" s="73"/>
      <c r="AB5" s="73"/>
    </row>
    <row r="6" spans="1:29" s="89" customFormat="1" ht="15.75" x14ac:dyDescent="0.25">
      <c r="A6" s="2214"/>
      <c r="B6" s="2175"/>
      <c r="C6" s="2175"/>
      <c r="D6" s="243" t="s">
        <v>55</v>
      </c>
      <c r="E6" s="845"/>
      <c r="G6" s="327"/>
      <c r="H6" s="282" t="str">
        <f>LEFT(D6,4)+1&amp;"-"&amp;RIGHT(D6,4)+1</f>
        <v>2017-2018</v>
      </c>
      <c r="I6" s="854"/>
      <c r="J6" s="93"/>
      <c r="K6" s="334"/>
      <c r="L6" s="123" t="str">
        <f>LEFT(H6,4)+1&amp;"-"&amp;RIGHT(H6,4)+1</f>
        <v>2018-2019</v>
      </c>
      <c r="M6" s="888"/>
      <c r="N6" s="96"/>
      <c r="O6" s="337"/>
      <c r="P6" s="123" t="str">
        <f>LEFT(L6,4)+1&amp;"-"&amp;RIGHT(L6,4)+1</f>
        <v>2019-2020</v>
      </c>
      <c r="Q6" s="888"/>
      <c r="R6" s="2237"/>
      <c r="S6" s="2242"/>
      <c r="T6" s="95" t="str">
        <f>LEFT(P6,4)+1&amp;"-"&amp;RIGHT(P6,4)+1</f>
        <v>2020-2021</v>
      </c>
      <c r="U6" s="95"/>
      <c r="V6" s="110"/>
      <c r="W6" s="2245"/>
      <c r="X6" s="95" t="str">
        <f>LEFT(T6,4)+1&amp;"-"&amp;RIGHT(T6,4)+1</f>
        <v>2021-2022</v>
      </c>
      <c r="Y6" s="95"/>
      <c r="Z6" s="96"/>
      <c r="AA6" s="337"/>
      <c r="AB6" s="95" t="str">
        <f>LEFT(X6,4)+1&amp;"-"&amp;RIGHT(X6,4)+1</f>
        <v>2022-2023</v>
      </c>
      <c r="AC6" s="95"/>
    </row>
    <row r="7" spans="1:29" s="457" customFormat="1" x14ac:dyDescent="0.25">
      <c r="A7" s="2215"/>
      <c r="B7" s="2337" t="s">
        <v>54</v>
      </c>
      <c r="C7" s="2215"/>
      <c r="D7" s="340">
        <v>-228093.64</v>
      </c>
      <c r="E7" s="1656"/>
      <c r="G7" s="2338"/>
      <c r="H7" s="340">
        <f>D89</f>
        <v>-221149.14</v>
      </c>
      <c r="I7" s="1656"/>
      <c r="J7" s="599"/>
      <c r="K7" s="1668"/>
      <c r="L7" s="340">
        <f>H89</f>
        <v>164234.85999999999</v>
      </c>
      <c r="M7" s="1656"/>
      <c r="O7" s="1668"/>
      <c r="P7" s="340">
        <f>L89</f>
        <v>0.85999999998603016</v>
      </c>
      <c r="Q7" s="1656"/>
      <c r="R7" s="592"/>
      <c r="S7" s="2341"/>
      <c r="T7" s="340">
        <f>P89</f>
        <v>0.85999999998603016</v>
      </c>
      <c r="V7" s="952"/>
      <c r="W7" s="2343"/>
      <c r="X7" s="340">
        <f>T89</f>
        <v>0.85999999998603016</v>
      </c>
      <c r="AA7" s="1668"/>
      <c r="AB7" s="340">
        <f>X89</f>
        <v>0.85999999998603016</v>
      </c>
    </row>
    <row r="8" spans="1:29" s="457" customFormat="1" x14ac:dyDescent="0.25">
      <c r="A8" s="2215"/>
      <c r="B8" s="2345"/>
      <c r="C8" s="2215"/>
      <c r="D8" s="340"/>
      <c r="E8" s="1656"/>
      <c r="G8" s="2338"/>
      <c r="H8" s="340"/>
      <c r="I8" s="1656"/>
      <c r="J8" s="592"/>
      <c r="K8" s="1668"/>
      <c r="L8" s="340"/>
      <c r="M8" s="1656"/>
      <c r="O8" s="1668"/>
      <c r="P8" s="340"/>
      <c r="Q8" s="1656"/>
      <c r="R8" s="592"/>
      <c r="S8" s="2341"/>
      <c r="V8" s="952"/>
      <c r="W8" s="2343"/>
      <c r="AA8" s="1668"/>
    </row>
    <row r="9" spans="1:29" s="457" customFormat="1" x14ac:dyDescent="0.25">
      <c r="A9" s="2215"/>
      <c r="B9" s="2345" t="s">
        <v>52</v>
      </c>
      <c r="C9" s="2215" t="s">
        <v>53</v>
      </c>
      <c r="D9" s="340">
        <v>466860</v>
      </c>
      <c r="E9" s="1656" t="s">
        <v>457</v>
      </c>
      <c r="G9" s="456">
        <f>IF(D9=0,"0.00%",(H9-D9)/D9)</f>
        <v>-5.4568821488240583E-2</v>
      </c>
      <c r="H9" s="833">
        <v>441384</v>
      </c>
      <c r="I9" s="1656" t="s">
        <v>458</v>
      </c>
      <c r="J9" s="342"/>
      <c r="K9" s="456">
        <f>IF(H9=0,"0.00%",(L9-H9)/H9)</f>
        <v>-1</v>
      </c>
      <c r="L9" s="833">
        <f>L3</f>
        <v>0</v>
      </c>
      <c r="M9" s="1656"/>
      <c r="O9" s="456" t="str">
        <f>IF(L9=0,"0.00%",(P9-L9)/L9)</f>
        <v>0.00%</v>
      </c>
      <c r="P9" s="833">
        <f>P3</f>
        <v>0</v>
      </c>
      <c r="Q9" s="1656"/>
      <c r="R9" s="592"/>
      <c r="S9" s="2238" t="str">
        <f>IF(P9=0,"0.00%",(T9-P9)/P9)</f>
        <v>0.00%</v>
      </c>
      <c r="T9" s="833">
        <f>T3</f>
        <v>0</v>
      </c>
      <c r="V9" s="952"/>
      <c r="W9" s="2241" t="str">
        <f>IF(T9=0,"0.00%",(X9-T9)/T9)</f>
        <v>0.00%</v>
      </c>
      <c r="X9" s="833">
        <f>X3</f>
        <v>0</v>
      </c>
      <c r="AA9" s="456" t="str">
        <f>IF(X9=0,"0.00%",(AB9-X9)/X9)</f>
        <v>0.00%</v>
      </c>
      <c r="AB9" s="833">
        <f>AB3</f>
        <v>0</v>
      </c>
    </row>
    <row r="10" spans="1:29" s="457" customFormat="1" x14ac:dyDescent="0.25">
      <c r="A10" s="2215"/>
      <c r="B10" s="2345"/>
      <c r="C10" s="2215" t="s">
        <v>51</v>
      </c>
      <c r="D10" s="340">
        <v>0</v>
      </c>
      <c r="E10" s="1656"/>
      <c r="G10" s="456" t="str">
        <f t="shared" ref="G10:G15" si="0">IF(D10=0,"0.00%",(H10-D10)/D10)</f>
        <v>0.00%</v>
      </c>
      <c r="H10" s="833">
        <v>0</v>
      </c>
      <c r="I10" s="1656"/>
      <c r="J10" s="342"/>
      <c r="K10" s="456" t="str">
        <f>IF(H10=0,"0.00%",(L10-H10)/H10)</f>
        <v>0.00%</v>
      </c>
      <c r="L10" s="833">
        <f>-H2</f>
        <v>0</v>
      </c>
      <c r="M10" s="1656"/>
      <c r="O10" s="456" t="str">
        <f>IF(L10=0,"0.00%",(P10-L10)/L10)</f>
        <v>0.00%</v>
      </c>
      <c r="P10" s="833">
        <f>-L2</f>
        <v>0</v>
      </c>
      <c r="Q10" s="1656"/>
      <c r="R10" s="592"/>
      <c r="S10" s="2238" t="str">
        <f>IF(P10=0,"0.00%",(T10-P10)/P10)</f>
        <v>0.00%</v>
      </c>
      <c r="T10" s="833">
        <f>-P2</f>
        <v>0</v>
      </c>
      <c r="V10" s="952"/>
      <c r="W10" s="2241" t="str">
        <f>IF(T10=0,"0.00%",(X10-T10)/T10)</f>
        <v>0.00%</v>
      </c>
      <c r="X10" s="833">
        <f>-T2</f>
        <v>0</v>
      </c>
      <c r="AA10" s="456" t="str">
        <f>IF(X10=0,"0.00%",(AB10-X10)/X10)</f>
        <v>0.00%</v>
      </c>
      <c r="AB10" s="833">
        <f>-X2</f>
        <v>0</v>
      </c>
    </row>
    <row r="11" spans="1:29" s="457" customFormat="1" x14ac:dyDescent="0.25">
      <c r="A11" s="2215"/>
      <c r="B11" s="2337" t="s">
        <v>137</v>
      </c>
      <c r="C11" s="2215"/>
      <c r="D11" s="458">
        <f>SUM(D9:D10)</f>
        <v>466860</v>
      </c>
      <c r="E11" s="1656"/>
      <c r="G11" s="456">
        <f t="shared" si="0"/>
        <v>-5.4568821488240583E-2</v>
      </c>
      <c r="H11" s="458">
        <f>SUM(H9:H10)</f>
        <v>441384</v>
      </c>
      <c r="I11" s="1656"/>
      <c r="J11" s="601"/>
      <c r="K11" s="456">
        <f>IF(H11=0,"0.00%",(L11-H11)/H11)</f>
        <v>-1</v>
      </c>
      <c r="L11" s="458">
        <f>SUM(L9:L10)</f>
        <v>0</v>
      </c>
      <c r="M11" s="1656"/>
      <c r="O11" s="456" t="str">
        <f>IF(L11=0,"0.00%",(P11-L11)/L11)</f>
        <v>0.00%</v>
      </c>
      <c r="P11" s="458">
        <f>SUM(P9:P10)</f>
        <v>0</v>
      </c>
      <c r="Q11" s="1656"/>
      <c r="R11" s="592"/>
      <c r="S11" s="2238" t="str">
        <f>IF(P11=0,"0.00%",(T11-P11)/P11)</f>
        <v>0.00%</v>
      </c>
      <c r="T11" s="2353">
        <f>SUM(T9:T10)</f>
        <v>0</v>
      </c>
      <c r="V11" s="952"/>
      <c r="W11" s="2241" t="str">
        <f>IF(T11=0,"0.00%",(X11-T11)/T11)</f>
        <v>0.00%</v>
      </c>
      <c r="X11" s="2353">
        <f>SUM(X9:X10)</f>
        <v>0</v>
      </c>
      <c r="AA11" s="456" t="str">
        <f>IF(X11=0,"0.00%",(AB11-X11)/X11)</f>
        <v>0.00%</v>
      </c>
      <c r="AB11" s="2353">
        <f>SUM(AB9:AB10)</f>
        <v>0</v>
      </c>
    </row>
    <row r="12" spans="1:29" s="457" customFormat="1" x14ac:dyDescent="0.25">
      <c r="A12" s="2215"/>
      <c r="B12" s="2345"/>
      <c r="C12" s="2215"/>
      <c r="D12" s="340"/>
      <c r="E12" s="1656"/>
      <c r="G12" s="2338"/>
      <c r="H12" s="833"/>
      <c r="I12" s="1656"/>
      <c r="J12" s="602"/>
      <c r="K12" s="2338"/>
      <c r="L12" s="833"/>
      <c r="M12" s="1656"/>
      <c r="O12" s="2338"/>
      <c r="P12" s="833"/>
      <c r="Q12" s="1656"/>
      <c r="R12" s="592"/>
      <c r="S12" s="2355"/>
      <c r="T12" s="2356"/>
      <c r="V12" s="952"/>
      <c r="W12" s="2357"/>
      <c r="X12" s="2356"/>
      <c r="AA12" s="2338"/>
      <c r="AB12" s="2356"/>
    </row>
    <row r="13" spans="1:29" s="457" customFormat="1" x14ac:dyDescent="0.25">
      <c r="A13" s="2215"/>
      <c r="B13" s="2345"/>
      <c r="C13" s="2358" t="s">
        <v>64</v>
      </c>
      <c r="D13" s="2359">
        <f>ROUND(D11-(D11/(1+F13)),0)</f>
        <v>0</v>
      </c>
      <c r="E13" s="1656"/>
      <c r="F13" s="2338">
        <v>0</v>
      </c>
      <c r="G13" s="456" t="str">
        <f t="shared" si="0"/>
        <v>0.00%</v>
      </c>
      <c r="H13" s="2359">
        <f>ROUND(H11-(H11/(1+F13)),0)</f>
        <v>0</v>
      </c>
      <c r="I13" s="1656"/>
      <c r="J13" s="603"/>
      <c r="K13" s="456" t="str">
        <f>IF(H13=0,"0.00%",(L13-H13)/H13)</f>
        <v>0.00%</v>
      </c>
      <c r="L13" s="2359">
        <f>ROUND(L11-(L11/(1+F13)),0)</f>
        <v>0</v>
      </c>
      <c r="M13" s="1656"/>
      <c r="O13" s="456" t="str">
        <f>IF(L13=0,"0.00%",(P13-L13)/L13)</f>
        <v>0.00%</v>
      </c>
      <c r="P13" s="2359">
        <f>ROUND(P11-(P11/(1+F13)),0)</f>
        <v>0</v>
      </c>
      <c r="Q13" s="1656"/>
      <c r="R13" s="592"/>
      <c r="S13" s="2238" t="str">
        <f>IF(P13=0,"0.00%",(T13-P13)/P13)</f>
        <v>0.00%</v>
      </c>
      <c r="T13" s="2362">
        <f>ROUND(T11-(T11/(1+F13)),0)</f>
        <v>0</v>
      </c>
      <c r="V13" s="952"/>
      <c r="W13" s="2241" t="str">
        <f>IF(T13=0,"0.00%",(X13-T13)/T13)</f>
        <v>0.00%</v>
      </c>
      <c r="X13" s="2362">
        <f>ROUND(X11-(X11/(1+F13)),0)</f>
        <v>0</v>
      </c>
      <c r="AA13" s="456" t="str">
        <f>IF(X13=0,"0.00%",(AB13-X13)/X13)</f>
        <v>0.00%</v>
      </c>
      <c r="AB13" s="2362">
        <f>ROUND(AB11-(AB11/(1+G13)),0)</f>
        <v>0</v>
      </c>
    </row>
    <row r="14" spans="1:29" s="457" customFormat="1" x14ac:dyDescent="0.25">
      <c r="A14" s="2215"/>
      <c r="B14" s="2345"/>
      <c r="C14" s="2215"/>
      <c r="D14" s="340"/>
      <c r="E14" s="1656"/>
      <c r="G14" s="2338"/>
      <c r="H14" s="833"/>
      <c r="I14" s="1656"/>
      <c r="J14" s="602"/>
      <c r="K14" s="2338"/>
      <c r="L14" s="833"/>
      <c r="M14" s="1656"/>
      <c r="O14" s="2338"/>
      <c r="P14" s="833"/>
      <c r="Q14" s="1656"/>
      <c r="R14" s="592"/>
      <c r="S14" s="2355"/>
      <c r="T14" s="2356"/>
      <c r="V14" s="952"/>
      <c r="W14" s="2357"/>
      <c r="X14" s="2356"/>
      <c r="AA14" s="2338"/>
      <c r="AB14" s="2356"/>
    </row>
    <row r="15" spans="1:29" s="457" customFormat="1" x14ac:dyDescent="0.25">
      <c r="A15" s="2215"/>
      <c r="B15" s="2337" t="s">
        <v>50</v>
      </c>
      <c r="C15" s="2215"/>
      <c r="D15" s="1866">
        <f>D11-D13+D7</f>
        <v>238766.36</v>
      </c>
      <c r="E15" s="1656"/>
      <c r="G15" s="456">
        <f t="shared" si="0"/>
        <v>-7.7613529812156121E-2</v>
      </c>
      <c r="H15" s="1866">
        <f>H11-H13+H7</f>
        <v>220234.86</v>
      </c>
      <c r="I15" s="1656"/>
      <c r="J15" s="601"/>
      <c r="K15" s="456">
        <f>IF(H15=0,"0.00%",(L15-H15)/H15)</f>
        <v>-0.25427400548668816</v>
      </c>
      <c r="L15" s="1866">
        <f>L11-L13+L7</f>
        <v>164234.85999999999</v>
      </c>
      <c r="M15" s="1656"/>
      <c r="O15" s="456">
        <f>IF(L15=0,"0.00%",(P15-L15)/L15)</f>
        <v>-0.9999947635964741</v>
      </c>
      <c r="P15" s="1866">
        <f>P11-P13+P7</f>
        <v>0.85999999998603016</v>
      </c>
      <c r="Q15" s="1656"/>
      <c r="R15" s="592"/>
      <c r="S15" s="2238">
        <f>IF(P15=0,"0.00%",(T15-P15)/P15)</f>
        <v>0</v>
      </c>
      <c r="T15" s="2460">
        <f>T11-T13+T7</f>
        <v>0.85999999998603016</v>
      </c>
      <c r="V15" s="952"/>
      <c r="W15" s="2241">
        <f>IF(T15=0,"0.00%",(X15-T15)/T15)</f>
        <v>0</v>
      </c>
      <c r="X15" s="2460">
        <f>X11-X13+X7</f>
        <v>0.85999999998603016</v>
      </c>
      <c r="AA15" s="456">
        <f>IF(X15=0,"0.00%",(AB15-X15)/X15)</f>
        <v>0</v>
      </c>
      <c r="AB15" s="2460">
        <f>AB11-AB13+AB7</f>
        <v>0.85999999998603016</v>
      </c>
    </row>
    <row r="16" spans="1:29" s="457" customFormat="1" x14ac:dyDescent="0.25">
      <c r="A16" s="2215"/>
      <c r="B16" s="2345"/>
      <c r="C16" s="2215"/>
      <c r="D16" s="340"/>
      <c r="E16" s="1656"/>
      <c r="G16" s="2338"/>
      <c r="H16" s="833"/>
      <c r="I16" s="1656"/>
      <c r="J16" s="601"/>
      <c r="K16" s="1668"/>
      <c r="L16" s="833"/>
      <c r="M16" s="1656"/>
      <c r="O16" s="1668"/>
      <c r="P16" s="833"/>
      <c r="Q16" s="1656"/>
      <c r="R16" s="592"/>
      <c r="S16" s="2341"/>
      <c r="T16" s="2367"/>
      <c r="V16" s="952"/>
      <c r="W16" s="2343"/>
      <c r="X16" s="2367"/>
      <c r="AA16" s="1668"/>
      <c r="AB16" s="2367"/>
    </row>
    <row r="17" spans="1:29" s="457" customFormat="1" x14ac:dyDescent="0.25">
      <c r="A17" s="2215"/>
      <c r="B17" s="2345"/>
      <c r="C17" s="2345"/>
      <c r="D17" s="340"/>
      <c r="E17" s="1656"/>
      <c r="G17" s="2338"/>
      <c r="H17" s="833"/>
      <c r="I17" s="1656"/>
      <c r="J17" s="602"/>
      <c r="K17" s="1668"/>
      <c r="L17" s="833"/>
      <c r="M17" s="1656"/>
      <c r="O17" s="1668"/>
      <c r="P17" s="833"/>
      <c r="Q17" s="1656"/>
      <c r="R17" s="592"/>
      <c r="S17" s="2341"/>
      <c r="T17" s="2356"/>
      <c r="V17" s="952"/>
      <c r="W17" s="2343"/>
      <c r="X17" s="2356"/>
      <c r="AA17" s="1668"/>
      <c r="AB17" s="2356"/>
    </row>
    <row r="18" spans="1:29" s="457" customFormat="1" x14ac:dyDescent="0.25">
      <c r="A18" s="2223"/>
      <c r="B18" s="2345"/>
      <c r="C18" s="2215"/>
      <c r="D18" s="459" t="s">
        <v>807</v>
      </c>
      <c r="E18" s="1867"/>
      <c r="F18" s="2433"/>
      <c r="G18" s="2338"/>
      <c r="H18" s="459" t="s">
        <v>176</v>
      </c>
      <c r="I18" s="1867"/>
      <c r="J18" s="604"/>
      <c r="K18" s="1668"/>
      <c r="L18" s="2370"/>
      <c r="M18" s="1867"/>
      <c r="O18" s="1668"/>
      <c r="P18" s="340"/>
      <c r="Q18" s="1867"/>
      <c r="R18" s="592"/>
      <c r="S18" s="2341"/>
      <c r="U18" s="2433"/>
      <c r="V18" s="952"/>
      <c r="W18" s="2343"/>
      <c r="Y18" s="2433"/>
      <c r="AA18" s="1668"/>
      <c r="AC18" s="2433"/>
    </row>
    <row r="19" spans="1:29" s="457" customFormat="1" ht="17.25" x14ac:dyDescent="0.4">
      <c r="A19" s="2224"/>
      <c r="B19" s="2345"/>
      <c r="C19" s="2215"/>
      <c r="D19" s="2435" t="s">
        <v>808</v>
      </c>
      <c r="E19" s="2434"/>
      <c r="F19" s="2436"/>
      <c r="G19" s="2338"/>
      <c r="H19" s="2435" t="s">
        <v>48</v>
      </c>
      <c r="I19" s="2371">
        <v>0.02</v>
      </c>
      <c r="J19" s="459"/>
      <c r="K19" s="1668"/>
      <c r="L19" s="2372" t="s">
        <v>48</v>
      </c>
      <c r="M19" s="2371">
        <v>0.02</v>
      </c>
      <c r="O19" s="1668"/>
      <c r="P19" s="2372" t="s">
        <v>48</v>
      </c>
      <c r="Q19" s="2374">
        <v>0.02</v>
      </c>
      <c r="R19" s="592"/>
      <c r="S19" s="2341"/>
      <c r="T19" s="2372" t="s">
        <v>48</v>
      </c>
      <c r="U19" s="2374">
        <v>0.02</v>
      </c>
      <c r="V19" s="952"/>
      <c r="W19" s="2343"/>
      <c r="X19" s="2372" t="s">
        <v>48</v>
      </c>
      <c r="Y19" s="2374">
        <v>0.02</v>
      </c>
      <c r="AA19" s="1668"/>
      <c r="AB19" s="2372" t="s">
        <v>48</v>
      </c>
      <c r="AC19" s="2374">
        <v>0.02</v>
      </c>
    </row>
    <row r="20" spans="1:29" s="2378" customFormat="1" hidden="1" x14ac:dyDescent="0.25">
      <c r="A20" s="2225"/>
      <c r="B20" s="2337" t="s">
        <v>46</v>
      </c>
      <c r="C20" s="2358"/>
      <c r="D20" s="1866"/>
      <c r="E20" s="2375"/>
      <c r="F20" s="1866"/>
      <c r="G20" s="2376"/>
      <c r="H20" s="1866"/>
      <c r="I20" s="868"/>
      <c r="J20" s="460"/>
      <c r="K20" s="606"/>
      <c r="L20" s="1866"/>
      <c r="M20" s="2379"/>
      <c r="O20" s="606"/>
      <c r="P20" s="1866"/>
      <c r="Q20" s="2379"/>
      <c r="R20" s="461"/>
      <c r="S20" s="1669"/>
      <c r="T20" s="1866"/>
      <c r="U20" s="2383"/>
      <c r="V20" s="2381"/>
      <c r="W20" s="2382"/>
      <c r="X20" s="1866"/>
      <c r="Y20" s="2383"/>
      <c r="AA20" s="606"/>
      <c r="AB20" s="1866"/>
      <c r="AC20" s="2383"/>
    </row>
    <row r="21" spans="1:29" s="457" customFormat="1" hidden="1" x14ac:dyDescent="0.25">
      <c r="A21" s="2226"/>
      <c r="B21" s="2385"/>
      <c r="C21" s="2215"/>
      <c r="D21" s="340">
        <v>0</v>
      </c>
      <c r="E21" s="2386"/>
      <c r="F21" s="340"/>
      <c r="G21" s="456" t="str">
        <f t="shared" ref="G21:G30" si="1">IF(D21=0,"0.00%",(H21-D21)/D21)</f>
        <v>0.00%</v>
      </c>
      <c r="H21" s="340">
        <f t="shared" ref="H21:H27" si="2">ROUND(D21*(1+$I$19),0)</f>
        <v>0</v>
      </c>
      <c r="I21" s="899" t="str">
        <f t="shared" ref="I21:I28" si="3">TEXT($I$19,"0.0%")&amp;" = Est. S &amp; C"</f>
        <v>2.0% = Est. S &amp; C</v>
      </c>
      <c r="J21" s="455"/>
      <c r="K21" s="456" t="str">
        <f t="shared" ref="K21:K27" si="4">IF(H21=0,"0.00%",(L21-H21)/H21)</f>
        <v>0.00%</v>
      </c>
      <c r="L21" s="340">
        <f>ROUND(H21*(1+M19),0)</f>
        <v>0</v>
      </c>
      <c r="M21" s="897" t="str">
        <f>TEXT(M19,"0.0%")&amp;" = Est. S &amp; C"</f>
        <v>2.0% = Est. S &amp; C</v>
      </c>
      <c r="O21" s="456" t="str">
        <f t="shared" ref="O21:O27" si="5">IF(L21=0,"0.00%",(P21-L21)/L21)</f>
        <v>0.00%</v>
      </c>
      <c r="P21" s="340">
        <f>ROUND(L21*(1+Q19),0)</f>
        <v>0</v>
      </c>
      <c r="Q21" s="897" t="str">
        <f>TEXT(Q19,"0.0%")&amp;" = Est. S &amp; C"</f>
        <v>2.0% = Est. S &amp; C</v>
      </c>
      <c r="R21" s="592"/>
      <c r="S21" s="2238" t="str">
        <f t="shared" ref="S21:S27" si="6">IF(P21=0,"0.00%",(T21-P21)/P21)</f>
        <v>0.00%</v>
      </c>
      <c r="T21" s="340">
        <f>ROUND(P21*(1+U19),0)</f>
        <v>0</v>
      </c>
      <c r="U21" s="455" t="str">
        <f>TEXT(U19,"0.0%")&amp;" = Est. S &amp; C"</f>
        <v>2.0% = Est. S &amp; C</v>
      </c>
      <c r="V21" s="952"/>
      <c r="W21" s="2241" t="str">
        <f t="shared" ref="W21:W27" si="7">IF(T21=0,"0.00%",(X21-T21)/T21)</f>
        <v>0.00%</v>
      </c>
      <c r="X21" s="340">
        <f>ROUND(T21*(1+Y19),0)</f>
        <v>0</v>
      </c>
      <c r="Y21" s="455" t="str">
        <f>TEXT(Y19,"0.0%")&amp;" = Est. S &amp; C"</f>
        <v>2.0% = Est. S &amp; C</v>
      </c>
      <c r="AA21" s="456" t="str">
        <f t="shared" ref="AA21:AA27" si="8">IF(X21=0,"0.00%",(AB21-X21)/X21)</f>
        <v>0.00%</v>
      </c>
      <c r="AB21" s="340">
        <f>ROUND(X21*(1+AC19),0)</f>
        <v>0</v>
      </c>
      <c r="AC21" s="455" t="str">
        <f>TEXT(AC19,"0.0%")&amp;" = Est. S &amp; C"</f>
        <v>2.0% = Est. S &amp; C</v>
      </c>
    </row>
    <row r="22" spans="1:29" s="457" customFormat="1" hidden="1" x14ac:dyDescent="0.25">
      <c r="A22" s="2227"/>
      <c r="B22" s="2385"/>
      <c r="C22" s="2215"/>
      <c r="D22" s="340">
        <v>0</v>
      </c>
      <c r="E22" s="2386"/>
      <c r="F22" s="340"/>
      <c r="G22" s="456" t="str">
        <f t="shared" si="1"/>
        <v>0.00%</v>
      </c>
      <c r="H22" s="340">
        <f t="shared" si="2"/>
        <v>0</v>
      </c>
      <c r="I22" s="897" t="str">
        <f t="shared" si="3"/>
        <v>2.0% = Est. S &amp; C</v>
      </c>
      <c r="J22" s="455"/>
      <c r="K22" s="456" t="str">
        <f t="shared" si="4"/>
        <v>0.00%</v>
      </c>
      <c r="L22" s="340">
        <f>ROUND(H22*(1+M19),0)</f>
        <v>0</v>
      </c>
      <c r="M22" s="897" t="str">
        <f>TEXT(M19,"0.0%")&amp;" = Est. S &amp; C"</f>
        <v>2.0% = Est. S &amp; C</v>
      </c>
      <c r="O22" s="456" t="str">
        <f t="shared" si="5"/>
        <v>0.00%</v>
      </c>
      <c r="P22" s="340">
        <f>ROUND(L22*(1+Q19),0)</f>
        <v>0</v>
      </c>
      <c r="Q22" s="897" t="str">
        <f>TEXT(Q19,"0.0%")&amp;" = Est. S &amp; C"</f>
        <v>2.0% = Est. S &amp; C</v>
      </c>
      <c r="R22" s="592"/>
      <c r="S22" s="2238" t="str">
        <f t="shared" si="6"/>
        <v>0.00%</v>
      </c>
      <c r="T22" s="340">
        <f>ROUND(P22*(1+U19),0)</f>
        <v>0</v>
      </c>
      <c r="U22" s="455" t="str">
        <f>TEXT(U19,"0.0%")&amp;" = Est. S &amp; C"</f>
        <v>2.0% = Est. S &amp; C</v>
      </c>
      <c r="V22" s="952"/>
      <c r="W22" s="2241" t="str">
        <f t="shared" si="7"/>
        <v>0.00%</v>
      </c>
      <c r="X22" s="340">
        <f>ROUND(T22*(1+Y19),0)</f>
        <v>0</v>
      </c>
      <c r="Y22" s="455" t="str">
        <f>TEXT(Y19,"0.0%")&amp;" = Est. S &amp; C"</f>
        <v>2.0% = Est. S &amp; C</v>
      </c>
      <c r="AA22" s="456" t="str">
        <f t="shared" si="8"/>
        <v>0.00%</v>
      </c>
      <c r="AB22" s="340">
        <f>ROUND(X22*(1+AC19),0)</f>
        <v>0</v>
      </c>
      <c r="AC22" s="455" t="str">
        <f>TEXT(AC19,"0.0%")&amp;" = Est. S &amp; C"</f>
        <v>2.0% = Est. S &amp; C</v>
      </c>
    </row>
    <row r="23" spans="1:29" s="457" customFormat="1" hidden="1" x14ac:dyDescent="0.25">
      <c r="A23" s="2227"/>
      <c r="B23" s="2385"/>
      <c r="C23" s="2215"/>
      <c r="D23" s="340">
        <v>0</v>
      </c>
      <c r="E23" s="2386"/>
      <c r="F23" s="340"/>
      <c r="G23" s="456" t="str">
        <f t="shared" si="1"/>
        <v>0.00%</v>
      </c>
      <c r="H23" s="340">
        <f t="shared" si="2"/>
        <v>0</v>
      </c>
      <c r="I23" s="897" t="str">
        <f t="shared" si="3"/>
        <v>2.0% = Est. S &amp; C</v>
      </c>
      <c r="J23" s="455"/>
      <c r="K23" s="456" t="str">
        <f t="shared" si="4"/>
        <v>0.00%</v>
      </c>
      <c r="L23" s="340">
        <f>ROUND(H23*(1+M19),0)</f>
        <v>0</v>
      </c>
      <c r="M23" s="897" t="str">
        <f>TEXT(M19,"0.0%")&amp;" = Est. S &amp; C"</f>
        <v>2.0% = Est. S &amp; C</v>
      </c>
      <c r="O23" s="456" t="str">
        <f t="shared" si="5"/>
        <v>0.00%</v>
      </c>
      <c r="P23" s="340">
        <f>ROUND(L23*(1+Q19),0)</f>
        <v>0</v>
      </c>
      <c r="Q23" s="897" t="str">
        <f>TEXT(Q19,"0.0%")&amp;" = Est. S &amp; C"</f>
        <v>2.0% = Est. S &amp; C</v>
      </c>
      <c r="R23" s="592"/>
      <c r="S23" s="2238" t="str">
        <f t="shared" si="6"/>
        <v>0.00%</v>
      </c>
      <c r="T23" s="340">
        <f>ROUND(P23*(1+U19),0)</f>
        <v>0</v>
      </c>
      <c r="U23" s="455" t="str">
        <f>TEXT(U19,"0.0%")&amp;" = Est. S &amp; C"</f>
        <v>2.0% = Est. S &amp; C</v>
      </c>
      <c r="V23" s="952"/>
      <c r="W23" s="2241" t="str">
        <f t="shared" si="7"/>
        <v>0.00%</v>
      </c>
      <c r="X23" s="340">
        <f>ROUND(T23*(1+Y19),0)</f>
        <v>0</v>
      </c>
      <c r="Y23" s="455" t="str">
        <f>TEXT(Y19,"0.0%")&amp;" = Est. S &amp; C"</f>
        <v>2.0% = Est. S &amp; C</v>
      </c>
      <c r="AA23" s="456" t="str">
        <f t="shared" si="8"/>
        <v>0.00%</v>
      </c>
      <c r="AB23" s="340">
        <f>ROUND(X23*(1+AC19),0)</f>
        <v>0</v>
      </c>
      <c r="AC23" s="455" t="str">
        <f>TEXT(AC19,"0.0%")&amp;" = Est. S &amp; C"</f>
        <v>2.0% = Est. S &amp; C</v>
      </c>
    </row>
    <row r="24" spans="1:29" s="457" customFormat="1" hidden="1" x14ac:dyDescent="0.25">
      <c r="A24" s="2227"/>
      <c r="B24" s="2385"/>
      <c r="C24" s="2215"/>
      <c r="D24" s="340">
        <v>0</v>
      </c>
      <c r="E24" s="2386"/>
      <c r="F24" s="340"/>
      <c r="G24" s="456" t="str">
        <f t="shared" si="1"/>
        <v>0.00%</v>
      </c>
      <c r="H24" s="340">
        <f t="shared" si="2"/>
        <v>0</v>
      </c>
      <c r="I24" s="897" t="str">
        <f t="shared" si="3"/>
        <v>2.0% = Est. S &amp; C</v>
      </c>
      <c r="J24" s="455"/>
      <c r="K24" s="456" t="str">
        <f t="shared" si="4"/>
        <v>0.00%</v>
      </c>
      <c r="L24" s="340">
        <f>ROUND(H24*(1+M19),0)</f>
        <v>0</v>
      </c>
      <c r="M24" s="897" t="str">
        <f>TEXT(M19,"0.0%")&amp;" = Est. S &amp; C"</f>
        <v>2.0% = Est. S &amp; C</v>
      </c>
      <c r="O24" s="456" t="str">
        <f t="shared" si="5"/>
        <v>0.00%</v>
      </c>
      <c r="P24" s="340">
        <f>ROUND(L24*(1+Q19),0)</f>
        <v>0</v>
      </c>
      <c r="Q24" s="897" t="str">
        <f>TEXT(Q19,"0.0%")&amp;" = Est. S &amp; C"</f>
        <v>2.0% = Est. S &amp; C</v>
      </c>
      <c r="R24" s="592"/>
      <c r="S24" s="2238" t="str">
        <f t="shared" si="6"/>
        <v>0.00%</v>
      </c>
      <c r="T24" s="340">
        <f>ROUND(P24*(1+U19),0)</f>
        <v>0</v>
      </c>
      <c r="U24" s="455" t="str">
        <f>TEXT(U19,"0.0%")&amp;" = Est. S &amp; C"</f>
        <v>2.0% = Est. S &amp; C</v>
      </c>
      <c r="V24" s="952"/>
      <c r="W24" s="2241" t="str">
        <f t="shared" si="7"/>
        <v>0.00%</v>
      </c>
      <c r="X24" s="340">
        <f>ROUND(T24*(1+Y19),0)</f>
        <v>0</v>
      </c>
      <c r="Y24" s="455" t="str">
        <f>TEXT(Y19,"0.0%")&amp;" = Est. S &amp; C"</f>
        <v>2.0% = Est. S &amp; C</v>
      </c>
      <c r="AA24" s="456" t="str">
        <f t="shared" si="8"/>
        <v>0.00%</v>
      </c>
      <c r="AB24" s="340">
        <f>ROUND(X24*(1+AC19),0)</f>
        <v>0</v>
      </c>
      <c r="AC24" s="455" t="str">
        <f>TEXT(AC19,"0.0%")&amp;" = Est. S &amp; C"</f>
        <v>2.0% = Est. S &amp; C</v>
      </c>
    </row>
    <row r="25" spans="1:29" s="457" customFormat="1" hidden="1" x14ac:dyDescent="0.25">
      <c r="A25" s="2227"/>
      <c r="B25" s="2385"/>
      <c r="C25" s="2215"/>
      <c r="D25" s="340">
        <v>0</v>
      </c>
      <c r="E25" s="2386"/>
      <c r="F25" s="340"/>
      <c r="G25" s="456" t="str">
        <f t="shared" si="1"/>
        <v>0.00%</v>
      </c>
      <c r="H25" s="340">
        <f t="shared" si="2"/>
        <v>0</v>
      </c>
      <c r="I25" s="897" t="str">
        <f t="shared" si="3"/>
        <v>2.0% = Est. S &amp; C</v>
      </c>
      <c r="J25" s="455"/>
      <c r="K25" s="456" t="str">
        <f t="shared" si="4"/>
        <v>0.00%</v>
      </c>
      <c r="L25" s="340">
        <f>ROUND(H25*(1+M19),0)</f>
        <v>0</v>
      </c>
      <c r="M25" s="897" t="str">
        <f>TEXT(M19,"0.0%")&amp;" = Est. S &amp; C"</f>
        <v>2.0% = Est. S &amp; C</v>
      </c>
      <c r="O25" s="456" t="str">
        <f t="shared" si="5"/>
        <v>0.00%</v>
      </c>
      <c r="P25" s="340">
        <f>ROUND(L25*(1+Q19),0)</f>
        <v>0</v>
      </c>
      <c r="Q25" s="897" t="str">
        <f>TEXT(Q19,"0.0%")&amp;" = Est. S &amp; C"</f>
        <v>2.0% = Est. S &amp; C</v>
      </c>
      <c r="R25" s="592"/>
      <c r="S25" s="2238" t="str">
        <f t="shared" si="6"/>
        <v>0.00%</v>
      </c>
      <c r="T25" s="340">
        <f>ROUND(P25*(1+U19),0)</f>
        <v>0</v>
      </c>
      <c r="U25" s="455" t="str">
        <f>TEXT(U19,"0.0%")&amp;" = Est. S &amp; C"</f>
        <v>2.0% = Est. S &amp; C</v>
      </c>
      <c r="V25" s="952"/>
      <c r="W25" s="2241" t="str">
        <f t="shared" si="7"/>
        <v>0.00%</v>
      </c>
      <c r="X25" s="340">
        <f>ROUND(T25*(1+Y19),0)</f>
        <v>0</v>
      </c>
      <c r="Y25" s="455" t="str">
        <f>TEXT(Y19,"0.0%")&amp;" = Est. S &amp; C"</f>
        <v>2.0% = Est. S &amp; C</v>
      </c>
      <c r="AA25" s="456" t="str">
        <f t="shared" si="8"/>
        <v>0.00%</v>
      </c>
      <c r="AB25" s="340">
        <f>ROUND(X25*(1+AC19),0)</f>
        <v>0</v>
      </c>
      <c r="AC25" s="455" t="str">
        <f>TEXT(AC19,"0.0%")&amp;" = Est. S &amp; C"</f>
        <v>2.0% = Est. S &amp; C</v>
      </c>
    </row>
    <row r="26" spans="1:29" s="457" customFormat="1" hidden="1" x14ac:dyDescent="0.25">
      <c r="A26" s="2227"/>
      <c r="B26" s="2385"/>
      <c r="C26" s="2215"/>
      <c r="D26" s="340">
        <v>0</v>
      </c>
      <c r="E26" s="2386"/>
      <c r="F26" s="340"/>
      <c r="G26" s="456" t="str">
        <f t="shared" si="1"/>
        <v>0.00%</v>
      </c>
      <c r="H26" s="340">
        <f t="shared" si="2"/>
        <v>0</v>
      </c>
      <c r="I26" s="897" t="str">
        <f t="shared" si="3"/>
        <v>2.0% = Est. S &amp; C</v>
      </c>
      <c r="J26" s="455"/>
      <c r="K26" s="456" t="str">
        <f t="shared" si="4"/>
        <v>0.00%</v>
      </c>
      <c r="L26" s="340">
        <f>ROUND(H26*(1+M19),0)</f>
        <v>0</v>
      </c>
      <c r="M26" s="2341" t="str">
        <f>TEXT(M19,"0.0%")&amp;" = Est. S &amp; C"</f>
        <v>2.0% = Est. S &amp; C</v>
      </c>
      <c r="O26" s="456" t="str">
        <f t="shared" si="5"/>
        <v>0.00%</v>
      </c>
      <c r="P26" s="340">
        <f>ROUND(L26*(1+Q19),0)</f>
        <v>0</v>
      </c>
      <c r="Q26" s="897" t="str">
        <f>TEXT(Q19,"0.0%")&amp;" = Est. S &amp; C"</f>
        <v>2.0% = Est. S &amp; C</v>
      </c>
      <c r="R26" s="592"/>
      <c r="S26" s="2238" t="str">
        <f t="shared" si="6"/>
        <v>0.00%</v>
      </c>
      <c r="T26" s="340">
        <f>ROUND(P26*(1+U19),0)</f>
        <v>0</v>
      </c>
      <c r="U26" s="455" t="str">
        <f>TEXT(U19,"0.0%")&amp;" = Est. S &amp; C"</f>
        <v>2.0% = Est. S &amp; C</v>
      </c>
      <c r="V26" s="952"/>
      <c r="W26" s="2241" t="str">
        <f t="shared" si="7"/>
        <v>0.00%</v>
      </c>
      <c r="X26" s="340">
        <f>ROUND(T26*(1+Y19),0)</f>
        <v>0</v>
      </c>
      <c r="Y26" s="455" t="str">
        <f>TEXT(Y19,"0.0%")&amp;" = Est. S &amp; C"</f>
        <v>2.0% = Est. S &amp; C</v>
      </c>
      <c r="AA26" s="456" t="str">
        <f t="shared" si="8"/>
        <v>0.00%</v>
      </c>
      <c r="AB26" s="340">
        <f>ROUND(X26*(1+AC19),0)</f>
        <v>0</v>
      </c>
      <c r="AC26" s="455" t="str">
        <f>TEXT(AC19,"0.0%")&amp;" = Est. S &amp; C"</f>
        <v>2.0% = Est. S &amp; C</v>
      </c>
    </row>
    <row r="27" spans="1:29" s="457" customFormat="1" hidden="1" x14ac:dyDescent="0.25">
      <c r="A27" s="2227"/>
      <c r="B27" s="2385"/>
      <c r="C27" s="2215"/>
      <c r="D27" s="340">
        <v>0</v>
      </c>
      <c r="E27" s="2386"/>
      <c r="F27" s="340"/>
      <c r="G27" s="456" t="str">
        <f t="shared" si="1"/>
        <v>0.00%</v>
      </c>
      <c r="H27" s="340">
        <f t="shared" si="2"/>
        <v>0</v>
      </c>
      <c r="I27" s="897" t="str">
        <f t="shared" si="3"/>
        <v>2.0% = Est. S &amp; C</v>
      </c>
      <c r="J27" s="455"/>
      <c r="K27" s="456" t="str">
        <f t="shared" si="4"/>
        <v>0.00%</v>
      </c>
      <c r="L27" s="340">
        <f>ROUND(H27*(1+M19),0)</f>
        <v>0</v>
      </c>
      <c r="M27" s="897" t="str">
        <f>TEXT(M19,"0.0%")&amp;" = Est. S &amp; C"</f>
        <v>2.0% = Est. S &amp; C</v>
      </c>
      <c r="O27" s="456" t="str">
        <f t="shared" si="5"/>
        <v>0.00%</v>
      </c>
      <c r="P27" s="340">
        <f>ROUND(L27*(1+Q19),0)</f>
        <v>0</v>
      </c>
      <c r="Q27" s="897" t="str">
        <f>TEXT(Q19,"0.0%")&amp;" = Est. S &amp; C"</f>
        <v>2.0% = Est. S &amp; C</v>
      </c>
      <c r="R27" s="592"/>
      <c r="S27" s="2238" t="str">
        <f t="shared" si="6"/>
        <v>0.00%</v>
      </c>
      <c r="T27" s="340">
        <f>ROUND(P27*(1+U19),0)</f>
        <v>0</v>
      </c>
      <c r="U27" s="455" t="str">
        <f>TEXT(U19,"0.0%")&amp;" = Est. S &amp; C"</f>
        <v>2.0% = Est. S &amp; C</v>
      </c>
      <c r="V27" s="952"/>
      <c r="W27" s="2241" t="str">
        <f t="shared" si="7"/>
        <v>0.00%</v>
      </c>
      <c r="X27" s="340">
        <f>ROUND(T27*(1+Y19),0)</f>
        <v>0</v>
      </c>
      <c r="Y27" s="455" t="str">
        <f>TEXT(Y19,"0.0%")&amp;" = Est. S &amp; C"</f>
        <v>2.0% = Est. S &amp; C</v>
      </c>
      <c r="AA27" s="456" t="str">
        <f t="shared" si="8"/>
        <v>0.00%</v>
      </c>
      <c r="AB27" s="340">
        <f>ROUND(X27*(1+AC19),0)</f>
        <v>0</v>
      </c>
      <c r="AC27" s="455" t="str">
        <f>TEXT(AC19,"0.0%")&amp;" = Est. S &amp; C"</f>
        <v>2.0% = Est. S &amp; C</v>
      </c>
    </row>
    <row r="28" spans="1:29" s="457" customFormat="1" hidden="1" x14ac:dyDescent="0.25">
      <c r="A28" s="2227"/>
      <c r="B28" s="2385"/>
      <c r="C28" s="2215"/>
      <c r="D28" s="340">
        <v>0</v>
      </c>
      <c r="E28" s="2386"/>
      <c r="F28" s="340"/>
      <c r="G28" s="456" t="str">
        <f>IF(D28=0,"0.00%",(H28-D28)/D28)</f>
        <v>0.00%</v>
      </c>
      <c r="H28" s="340">
        <f>ROUND(D28*(1+$I$19),0)</f>
        <v>0</v>
      </c>
      <c r="I28" s="897" t="str">
        <f t="shared" si="3"/>
        <v>2.0% = Est. S &amp; C</v>
      </c>
      <c r="J28" s="455"/>
      <c r="K28" s="456" t="str">
        <f>IF(H28=0,"0.00%",(L28-H28)/H28)</f>
        <v>0.00%</v>
      </c>
      <c r="L28" s="340">
        <f>ROUND(H28*(1+M20),0)</f>
        <v>0</v>
      </c>
      <c r="M28" s="897" t="str">
        <f>TEXT(M20,"0.0%")&amp;" = Est. S &amp; C"</f>
        <v>0.0% = Est. S &amp; C</v>
      </c>
      <c r="O28" s="456" t="str">
        <f>IF(L28=0,"0.00%",(P28-L28)/L28)</f>
        <v>0.00%</v>
      </c>
      <c r="P28" s="340">
        <f>ROUND(L28*(1+Q20),0)</f>
        <v>0</v>
      </c>
      <c r="Q28" s="897" t="str">
        <f>TEXT(Q20,"0.0%")&amp;" = Est. S &amp; C"</f>
        <v>0.0% = Est. S &amp; C</v>
      </c>
      <c r="R28" s="592"/>
      <c r="S28" s="2238" t="str">
        <f>IF(P28=0,"0.00%",(T28-P28)/P28)</f>
        <v>0.00%</v>
      </c>
      <c r="T28" s="340">
        <f>ROUND(P28*(1+U20),0)</f>
        <v>0</v>
      </c>
      <c r="U28" s="455" t="str">
        <f>TEXT(U20,"0.0%")&amp;" = Est. S &amp; C"</f>
        <v>0.0% = Est. S &amp; C</v>
      </c>
      <c r="V28" s="952"/>
      <c r="W28" s="2241" t="str">
        <f>IF(T28=0,"0.00%",(X28-T28)/T28)</f>
        <v>0.00%</v>
      </c>
      <c r="X28" s="340">
        <f>ROUND(T28*(1+Y20),0)</f>
        <v>0</v>
      </c>
      <c r="Y28" s="455" t="str">
        <f>TEXT(Y20,"0.0%")&amp;" = Est. S &amp; C"</f>
        <v>0.0% = Est. S &amp; C</v>
      </c>
      <c r="AA28" s="456" t="str">
        <f>IF(X28=0,"0.00%",(AB28-X28)/X28)</f>
        <v>0.00%</v>
      </c>
      <c r="AB28" s="340">
        <f>ROUND(X28*(1+AC20),0)</f>
        <v>0</v>
      </c>
      <c r="AC28" s="455" t="str">
        <f>TEXT(AC20,"0.0%")&amp;" = Est. S &amp; C"</f>
        <v>0.0% = Est. S &amp; C</v>
      </c>
    </row>
    <row r="29" spans="1:29" s="457" customFormat="1" ht="6" hidden="1" customHeight="1" x14ac:dyDescent="0.25">
      <c r="A29" s="2227"/>
      <c r="B29" s="2385"/>
      <c r="C29" s="2215"/>
      <c r="D29" s="340"/>
      <c r="E29" s="2386"/>
      <c r="F29" s="340"/>
      <c r="G29" s="456"/>
      <c r="H29" s="340"/>
      <c r="I29" s="897"/>
      <c r="J29" s="455"/>
      <c r="K29" s="1668"/>
      <c r="L29" s="340"/>
      <c r="M29" s="901"/>
      <c r="O29" s="1668"/>
      <c r="P29" s="340"/>
      <c r="Q29" s="901"/>
      <c r="R29" s="592"/>
      <c r="S29" s="2341"/>
      <c r="T29" s="340"/>
      <c r="U29" s="2344"/>
      <c r="V29" s="952"/>
      <c r="W29" s="2343"/>
      <c r="X29" s="340"/>
      <c r="Y29" s="2344"/>
      <c r="AA29" s="1668"/>
      <c r="AB29" s="340"/>
      <c r="AC29" s="2344"/>
    </row>
    <row r="30" spans="1:29" s="457" customFormat="1" hidden="1" x14ac:dyDescent="0.25">
      <c r="A30" s="2228"/>
      <c r="B30" s="2385"/>
      <c r="C30" s="2215"/>
      <c r="D30" s="458">
        <f>SUM(D21:D29)</f>
        <v>0</v>
      </c>
      <c r="E30" s="2386"/>
      <c r="F30" s="340"/>
      <c r="G30" s="456" t="str">
        <f t="shared" si="1"/>
        <v>0.00%</v>
      </c>
      <c r="H30" s="458">
        <f>SUM(H21:H29)</f>
        <v>0</v>
      </c>
      <c r="I30" s="898"/>
      <c r="J30" s="459"/>
      <c r="K30" s="456" t="str">
        <f>IF(H30=0,"0.00%",(L30-H30)/H30)</f>
        <v>0.00%</v>
      </c>
      <c r="L30" s="458">
        <f>SUM(L21:L29)</f>
        <v>0</v>
      </c>
      <c r="M30" s="901"/>
      <c r="O30" s="456" t="str">
        <f>IF(L30=0,"0.00%",(P30-L30)/L30)</f>
        <v>0.00%</v>
      </c>
      <c r="P30" s="458">
        <f>SUM(P21:P29)</f>
        <v>0</v>
      </c>
      <c r="Q30" s="901"/>
      <c r="R30" s="592"/>
      <c r="S30" s="2238" t="str">
        <f>IF(P30=0,"0.00%",(T30-P30)/P30)</f>
        <v>0.00%</v>
      </c>
      <c r="T30" s="458">
        <f>SUM(T21:T29)</f>
        <v>0</v>
      </c>
      <c r="U30" s="2344"/>
      <c r="V30" s="952"/>
      <c r="W30" s="2241" t="str">
        <f>IF(T30=0,"0.00%",(X30-T30)/T30)</f>
        <v>0.00%</v>
      </c>
      <c r="X30" s="458">
        <f>SUM(X21:X29)</f>
        <v>0</v>
      </c>
      <c r="Y30" s="2344"/>
      <c r="AA30" s="456" t="str">
        <f>IF(X30=0,"0.00%",(AB30-X30)/X30)</f>
        <v>0.00%</v>
      </c>
      <c r="AB30" s="458">
        <f>SUM(AB21:AB29)</f>
        <v>0</v>
      </c>
      <c r="AC30" s="2344"/>
    </row>
    <row r="31" spans="1:29" s="457" customFormat="1" hidden="1" x14ac:dyDescent="0.25">
      <c r="A31" s="2227"/>
      <c r="B31" s="2345"/>
      <c r="C31" s="2215"/>
      <c r="D31" s="340"/>
      <c r="E31" s="2386"/>
      <c r="F31" s="340"/>
      <c r="G31" s="2338"/>
      <c r="H31" s="340"/>
      <c r="I31" s="899"/>
      <c r="J31" s="455"/>
      <c r="K31" s="1668"/>
      <c r="L31" s="340"/>
      <c r="M31" s="2388"/>
      <c r="O31" s="1668"/>
      <c r="P31" s="340"/>
      <c r="Q31" s="2388"/>
      <c r="R31" s="592"/>
      <c r="S31" s="2341"/>
      <c r="T31" s="340"/>
      <c r="U31" s="2344"/>
      <c r="V31" s="952"/>
      <c r="W31" s="2343"/>
      <c r="X31" s="340"/>
      <c r="Y31" s="2344"/>
      <c r="AA31" s="1668"/>
      <c r="AB31" s="340"/>
      <c r="AC31" s="2344"/>
    </row>
    <row r="32" spans="1:29" s="461" customFormat="1" hidden="1" x14ac:dyDescent="0.25">
      <c r="A32" s="2225"/>
      <c r="B32" s="2440" t="s">
        <v>35</v>
      </c>
      <c r="C32" s="2225"/>
      <c r="D32" s="460"/>
      <c r="E32" s="868"/>
      <c r="F32" s="460"/>
      <c r="G32" s="2389"/>
      <c r="H32" s="460"/>
      <c r="I32" s="868"/>
      <c r="J32" s="460"/>
      <c r="K32" s="1669"/>
      <c r="L32" s="460"/>
      <c r="M32" s="902"/>
      <c r="O32" s="1669"/>
      <c r="P32" s="460"/>
      <c r="Q32" s="902"/>
      <c r="S32" s="1669"/>
      <c r="T32" s="460"/>
      <c r="U32" s="2392"/>
      <c r="V32" s="2381"/>
      <c r="W32" s="2382"/>
      <c r="X32" s="460"/>
      <c r="Y32" s="2392"/>
      <c r="AA32" s="1669"/>
      <c r="AB32" s="460"/>
      <c r="AC32" s="2392"/>
    </row>
    <row r="33" spans="1:29" s="457" customFormat="1" hidden="1" x14ac:dyDescent="0.25">
      <c r="A33" s="2227"/>
      <c r="B33" s="2385"/>
      <c r="C33" s="2215"/>
      <c r="D33" s="340">
        <v>0</v>
      </c>
      <c r="E33" s="2386"/>
      <c r="F33" s="340"/>
      <c r="G33" s="456" t="str">
        <f t="shared" ref="G33:G39" si="9">IF(D33=0,"0.00%",(H33-D33)/D33)</f>
        <v>0.00%</v>
      </c>
      <c r="H33" s="340">
        <f t="shared" ref="H33:H39" si="10">ROUND(D33*(1+$I$19),0)</f>
        <v>0</v>
      </c>
      <c r="I33" s="897" t="str">
        <f t="shared" ref="I33:I39" si="11">TEXT($I$19,"0.0%")&amp;" = Est. S &amp; C"</f>
        <v>2.0% = Est. S &amp; C</v>
      </c>
      <c r="J33" s="455"/>
      <c r="K33" s="456" t="str">
        <f t="shared" ref="K33:K39" si="12">IF(H33=0,"0.00%",(L33-H33)/H33)</f>
        <v>0.00%</v>
      </c>
      <c r="L33" s="340">
        <f>ROUND(H33*(1+M19),0)</f>
        <v>0</v>
      </c>
      <c r="M33" s="897" t="str">
        <f>TEXT(M19,"0.0%")&amp;" = Est. S &amp; C"</f>
        <v>2.0% = Est. S &amp; C</v>
      </c>
      <c r="O33" s="456" t="str">
        <f t="shared" ref="O33:O39" si="13">IF(L33=0,"0.00%",(P33-L33)/L33)</f>
        <v>0.00%</v>
      </c>
      <c r="P33" s="340">
        <f>ROUND(L33*(1+Q19),0)</f>
        <v>0</v>
      </c>
      <c r="Q33" s="897" t="str">
        <f>TEXT(Q19,"0.0%")&amp;" = Est. S &amp; C"</f>
        <v>2.0% = Est. S &amp; C</v>
      </c>
      <c r="R33" s="592"/>
      <c r="S33" s="2238" t="str">
        <f t="shared" ref="S33:S39" si="14">IF(P33=0,"0.00%",(T33-P33)/P33)</f>
        <v>0.00%</v>
      </c>
      <c r="T33" s="340">
        <f>ROUND(P33*(1+U19),0)</f>
        <v>0</v>
      </c>
      <c r="U33" s="455" t="str">
        <f>TEXT(U19,"0.0%")&amp;" = Est. S &amp; C"</f>
        <v>2.0% = Est. S &amp; C</v>
      </c>
      <c r="V33" s="952"/>
      <c r="W33" s="2241" t="str">
        <f t="shared" ref="W33:W39" si="15">IF(T33=0,"0.00%",(X33-T33)/T33)</f>
        <v>0.00%</v>
      </c>
      <c r="X33" s="340">
        <f>ROUND(T33*(1+Y19),0)</f>
        <v>0</v>
      </c>
      <c r="Y33" s="455" t="str">
        <f>TEXT(Y19,"0.0%")&amp;" = Est. S &amp; C"</f>
        <v>2.0% = Est. S &amp; C</v>
      </c>
      <c r="AA33" s="456" t="str">
        <f t="shared" ref="AA33:AA39" si="16">IF(X33=0,"0.00%",(AB33-X33)/X33)</f>
        <v>0.00%</v>
      </c>
      <c r="AB33" s="340">
        <f>ROUND(X33*(1+AC19),0)</f>
        <v>0</v>
      </c>
      <c r="AC33" s="455" t="str">
        <f>TEXT(AC19,"0.0%")&amp;" = Est. S &amp; C"</f>
        <v>2.0% = Est. S &amp; C</v>
      </c>
    </row>
    <row r="34" spans="1:29" s="457" customFormat="1" hidden="1" x14ac:dyDescent="0.25">
      <c r="A34" s="2227"/>
      <c r="B34" s="2385"/>
      <c r="C34" s="2215"/>
      <c r="D34" s="340">
        <v>0</v>
      </c>
      <c r="E34" s="2386"/>
      <c r="F34" s="340"/>
      <c r="G34" s="456" t="str">
        <f t="shared" si="9"/>
        <v>0.00%</v>
      </c>
      <c r="H34" s="340">
        <f t="shared" si="10"/>
        <v>0</v>
      </c>
      <c r="I34" s="897" t="str">
        <f t="shared" si="11"/>
        <v>2.0% = Est. S &amp; C</v>
      </c>
      <c r="J34" s="455"/>
      <c r="K34" s="456" t="str">
        <f t="shared" si="12"/>
        <v>0.00%</v>
      </c>
      <c r="L34" s="340">
        <f>ROUND(H34*(1+M19),0)</f>
        <v>0</v>
      </c>
      <c r="M34" s="897" t="str">
        <f>TEXT(M19,"0.0%")&amp;" = Est. S &amp; C"</f>
        <v>2.0% = Est. S &amp; C</v>
      </c>
      <c r="O34" s="456" t="str">
        <f t="shared" si="13"/>
        <v>0.00%</v>
      </c>
      <c r="P34" s="340">
        <f>ROUND(L34*(1+Q19),0)</f>
        <v>0</v>
      </c>
      <c r="Q34" s="897" t="str">
        <f>TEXT(Q19,"0.0%")&amp;" = Est. S &amp; C"</f>
        <v>2.0% = Est. S &amp; C</v>
      </c>
      <c r="R34" s="592"/>
      <c r="S34" s="2238" t="str">
        <f t="shared" si="14"/>
        <v>0.00%</v>
      </c>
      <c r="T34" s="340">
        <f>ROUND(P34*(1+U19),0)</f>
        <v>0</v>
      </c>
      <c r="U34" s="455" t="str">
        <f>TEXT(U19,"0.0%")&amp;" = Est. S &amp; C"</f>
        <v>2.0% = Est. S &amp; C</v>
      </c>
      <c r="V34" s="952"/>
      <c r="W34" s="2241" t="str">
        <f t="shared" si="15"/>
        <v>0.00%</v>
      </c>
      <c r="X34" s="340">
        <f>ROUND(T34*(1+Y19),0)</f>
        <v>0</v>
      </c>
      <c r="Y34" s="455" t="str">
        <f>TEXT(Y19,"0.0%")&amp;" = Est. S &amp; C"</f>
        <v>2.0% = Est. S &amp; C</v>
      </c>
      <c r="AA34" s="456" t="str">
        <f t="shared" si="16"/>
        <v>0.00%</v>
      </c>
      <c r="AB34" s="340">
        <f>ROUND(X34*(1+AC19),0)</f>
        <v>0</v>
      </c>
      <c r="AC34" s="455" t="str">
        <f>TEXT(AC19,"0.0%")&amp;" = Est. S &amp; C"</f>
        <v>2.0% = Est. S &amp; C</v>
      </c>
    </row>
    <row r="35" spans="1:29" s="457" customFormat="1" hidden="1" x14ac:dyDescent="0.25">
      <c r="A35" s="2227"/>
      <c r="B35" s="2385"/>
      <c r="C35" s="2215"/>
      <c r="D35" s="340">
        <v>0</v>
      </c>
      <c r="E35" s="2386"/>
      <c r="F35" s="340"/>
      <c r="G35" s="456" t="str">
        <f t="shared" si="9"/>
        <v>0.00%</v>
      </c>
      <c r="H35" s="340">
        <f t="shared" si="10"/>
        <v>0</v>
      </c>
      <c r="I35" s="897" t="str">
        <f t="shared" si="11"/>
        <v>2.0% = Est. S &amp; C</v>
      </c>
      <c r="J35" s="455"/>
      <c r="K35" s="456" t="str">
        <f t="shared" si="12"/>
        <v>0.00%</v>
      </c>
      <c r="L35" s="340">
        <f>ROUND(H35*(1+M19),0)</f>
        <v>0</v>
      </c>
      <c r="M35" s="897" t="str">
        <f>TEXT(M19,"0.0%")&amp;" = Est. S &amp; C"</f>
        <v>2.0% = Est. S &amp; C</v>
      </c>
      <c r="O35" s="456" t="str">
        <f t="shared" si="13"/>
        <v>0.00%</v>
      </c>
      <c r="P35" s="340">
        <f>ROUND(L35*(1+Q19),0)</f>
        <v>0</v>
      </c>
      <c r="Q35" s="897" t="str">
        <f>TEXT(Q19,"0.0%")&amp;" = Est. S &amp; C"</f>
        <v>2.0% = Est. S &amp; C</v>
      </c>
      <c r="R35" s="592"/>
      <c r="S35" s="2238" t="str">
        <f t="shared" si="14"/>
        <v>0.00%</v>
      </c>
      <c r="T35" s="340">
        <f>ROUND(P35*(1+U19),0)</f>
        <v>0</v>
      </c>
      <c r="U35" s="455" t="str">
        <f>TEXT(U19,"0.0%")&amp;" = Est. S &amp; C"</f>
        <v>2.0% = Est. S &amp; C</v>
      </c>
      <c r="V35" s="952"/>
      <c r="W35" s="2241" t="str">
        <f t="shared" si="15"/>
        <v>0.00%</v>
      </c>
      <c r="X35" s="340">
        <f>ROUND(T35*(1+Y19),0)</f>
        <v>0</v>
      </c>
      <c r="Y35" s="455" t="str">
        <f>TEXT(Y19,"0.0%")&amp;" = Est. S &amp; C"</f>
        <v>2.0% = Est. S &amp; C</v>
      </c>
      <c r="AA35" s="456" t="str">
        <f t="shared" si="16"/>
        <v>0.00%</v>
      </c>
      <c r="AB35" s="340">
        <f>ROUND(X35*(1+AC19),0)</f>
        <v>0</v>
      </c>
      <c r="AC35" s="455" t="str">
        <f>TEXT(AC19,"0.0%")&amp;" = Est. S &amp; C"</f>
        <v>2.0% = Est. S &amp; C</v>
      </c>
    </row>
    <row r="36" spans="1:29" s="457" customFormat="1" hidden="1" x14ac:dyDescent="0.25">
      <c r="A36" s="2227"/>
      <c r="B36" s="2385"/>
      <c r="C36" s="2215"/>
      <c r="D36" s="340">
        <v>0</v>
      </c>
      <c r="E36" s="2386"/>
      <c r="F36" s="340"/>
      <c r="G36" s="456" t="str">
        <f t="shared" si="9"/>
        <v>0.00%</v>
      </c>
      <c r="H36" s="340">
        <f t="shared" si="10"/>
        <v>0</v>
      </c>
      <c r="I36" s="897" t="str">
        <f t="shared" si="11"/>
        <v>2.0% = Est. S &amp; C</v>
      </c>
      <c r="J36" s="455"/>
      <c r="K36" s="456" t="str">
        <f t="shared" si="12"/>
        <v>0.00%</v>
      </c>
      <c r="L36" s="340">
        <f>ROUND(H36*(1+M19),0)</f>
        <v>0</v>
      </c>
      <c r="M36" s="897" t="str">
        <f>TEXT(M19,"0.0%")&amp;" = Est. S &amp; C"</f>
        <v>2.0% = Est. S &amp; C</v>
      </c>
      <c r="O36" s="456" t="str">
        <f t="shared" si="13"/>
        <v>0.00%</v>
      </c>
      <c r="P36" s="340">
        <f>ROUND(L36*(1+Q19),0)</f>
        <v>0</v>
      </c>
      <c r="Q36" s="897" t="str">
        <f>TEXT(Q19,"0.0%")&amp;" = Est. S &amp; C"</f>
        <v>2.0% = Est. S &amp; C</v>
      </c>
      <c r="R36" s="592"/>
      <c r="S36" s="2238" t="str">
        <f t="shared" si="14"/>
        <v>0.00%</v>
      </c>
      <c r="T36" s="340">
        <f>ROUND(P36*(1+U19),0)</f>
        <v>0</v>
      </c>
      <c r="U36" s="455" t="str">
        <f>TEXT(U19,"0.0%")&amp;" = Est. S &amp; C"</f>
        <v>2.0% = Est. S &amp; C</v>
      </c>
      <c r="V36" s="952"/>
      <c r="W36" s="2241" t="str">
        <f t="shared" si="15"/>
        <v>0.00%</v>
      </c>
      <c r="X36" s="340">
        <f>ROUND(T36*(1+Y19),0)</f>
        <v>0</v>
      </c>
      <c r="Y36" s="455" t="str">
        <f>TEXT(Y19,"0.0%")&amp;" = Est. S &amp; C"</f>
        <v>2.0% = Est. S &amp; C</v>
      </c>
      <c r="AA36" s="456" t="str">
        <f t="shared" si="16"/>
        <v>0.00%</v>
      </c>
      <c r="AB36" s="340">
        <f>ROUND(X36*(1+AC19),0)</f>
        <v>0</v>
      </c>
      <c r="AC36" s="455" t="str">
        <f>TEXT(AC19,"0.0%")&amp;" = Est. S &amp; C"</f>
        <v>2.0% = Est. S &amp; C</v>
      </c>
    </row>
    <row r="37" spans="1:29" s="457" customFormat="1" hidden="1" x14ac:dyDescent="0.25">
      <c r="A37" s="2227"/>
      <c r="B37" s="2385"/>
      <c r="C37" s="2215"/>
      <c r="D37" s="340">
        <v>0</v>
      </c>
      <c r="E37" s="2386"/>
      <c r="F37" s="340"/>
      <c r="G37" s="456" t="str">
        <f t="shared" si="9"/>
        <v>0.00%</v>
      </c>
      <c r="H37" s="340">
        <f t="shared" si="10"/>
        <v>0</v>
      </c>
      <c r="I37" s="897" t="str">
        <f t="shared" si="11"/>
        <v>2.0% = Est. S &amp; C</v>
      </c>
      <c r="J37" s="455"/>
      <c r="K37" s="456" t="str">
        <f t="shared" si="12"/>
        <v>0.00%</v>
      </c>
      <c r="L37" s="340">
        <f>ROUND(H37*(1+M19),0)</f>
        <v>0</v>
      </c>
      <c r="M37" s="897" t="str">
        <f>TEXT(M19,"0.0%")&amp;" = Est. S &amp; C"</f>
        <v>2.0% = Est. S &amp; C</v>
      </c>
      <c r="O37" s="456" t="str">
        <f t="shared" si="13"/>
        <v>0.00%</v>
      </c>
      <c r="P37" s="340">
        <f>ROUND(L37*(1+Q19),0)</f>
        <v>0</v>
      </c>
      <c r="Q37" s="897" t="str">
        <f>TEXT(Q19,"0.0%")&amp;" = Est. S &amp; C"</f>
        <v>2.0% = Est. S &amp; C</v>
      </c>
      <c r="R37" s="592"/>
      <c r="S37" s="2238" t="str">
        <f t="shared" si="14"/>
        <v>0.00%</v>
      </c>
      <c r="T37" s="340">
        <f>ROUND(P37*(1+U19),0)</f>
        <v>0</v>
      </c>
      <c r="U37" s="455" t="str">
        <f>TEXT(U19,"0.0%")&amp;" = Est. S &amp; C"</f>
        <v>2.0% = Est. S &amp; C</v>
      </c>
      <c r="V37" s="952"/>
      <c r="W37" s="2241" t="str">
        <f t="shared" si="15"/>
        <v>0.00%</v>
      </c>
      <c r="X37" s="340">
        <f>ROUND(T37*(1+Y19),0)</f>
        <v>0</v>
      </c>
      <c r="Y37" s="455" t="str">
        <f>TEXT(Y19,"0.0%")&amp;" = Est. S &amp; C"</f>
        <v>2.0% = Est. S &amp; C</v>
      </c>
      <c r="AA37" s="456" t="str">
        <f t="shared" si="16"/>
        <v>0.00%</v>
      </c>
      <c r="AB37" s="340">
        <f>ROUND(X37*(1+AC19),0)</f>
        <v>0</v>
      </c>
      <c r="AC37" s="455" t="str">
        <f>TEXT(AC19,"0.0%")&amp;" = Est. S &amp; C"</f>
        <v>2.0% = Est. S &amp; C</v>
      </c>
    </row>
    <row r="38" spans="1:29" s="457" customFormat="1" hidden="1" x14ac:dyDescent="0.25">
      <c r="A38" s="2227"/>
      <c r="B38" s="2385"/>
      <c r="C38" s="2215"/>
      <c r="D38" s="340">
        <v>0</v>
      </c>
      <c r="E38" s="2386"/>
      <c r="F38" s="340"/>
      <c r="G38" s="456" t="str">
        <f t="shared" si="9"/>
        <v>0.00%</v>
      </c>
      <c r="H38" s="340">
        <f t="shared" si="10"/>
        <v>0</v>
      </c>
      <c r="I38" s="897" t="str">
        <f t="shared" si="11"/>
        <v>2.0% = Est. S &amp; C</v>
      </c>
      <c r="J38" s="455"/>
      <c r="K38" s="456" t="str">
        <f t="shared" si="12"/>
        <v>0.00%</v>
      </c>
      <c r="L38" s="340">
        <f>ROUND(H38*(1+M19),0)</f>
        <v>0</v>
      </c>
      <c r="M38" s="897" t="str">
        <f>TEXT(M19,"0.0%")&amp;" = Est. S &amp; C"</f>
        <v>2.0% = Est. S &amp; C</v>
      </c>
      <c r="O38" s="456" t="str">
        <f t="shared" si="13"/>
        <v>0.00%</v>
      </c>
      <c r="P38" s="340">
        <f>ROUND(L38*(1+Q19),0)</f>
        <v>0</v>
      </c>
      <c r="Q38" s="897" t="str">
        <f>TEXT(Q19,"0.0%")&amp;" = Est. S &amp; C"</f>
        <v>2.0% = Est. S &amp; C</v>
      </c>
      <c r="R38" s="592"/>
      <c r="S38" s="2238" t="str">
        <f t="shared" si="14"/>
        <v>0.00%</v>
      </c>
      <c r="T38" s="340">
        <f>ROUND(P38*(1+U19),0)</f>
        <v>0</v>
      </c>
      <c r="U38" s="455" t="str">
        <f>TEXT(U19,"0.0%")&amp;" = Est. S &amp; C"</f>
        <v>2.0% = Est. S &amp; C</v>
      </c>
      <c r="V38" s="952"/>
      <c r="W38" s="2241" t="str">
        <f t="shared" si="15"/>
        <v>0.00%</v>
      </c>
      <c r="X38" s="340">
        <f>ROUND(T38*(1+Y19),0)</f>
        <v>0</v>
      </c>
      <c r="Y38" s="455" t="str">
        <f>TEXT(Y19,"0.0%")&amp;" = Est. S &amp; C"</f>
        <v>2.0% = Est. S &amp; C</v>
      </c>
      <c r="AA38" s="456" t="str">
        <f t="shared" si="16"/>
        <v>0.00%</v>
      </c>
      <c r="AB38" s="340">
        <f>ROUND(X38*(1+AC19),0)</f>
        <v>0</v>
      </c>
      <c r="AC38" s="455" t="str">
        <f>TEXT(AC19,"0.0%")&amp;" = Est. S &amp; C"</f>
        <v>2.0% = Est. S &amp; C</v>
      </c>
    </row>
    <row r="39" spans="1:29" s="457" customFormat="1" hidden="1" x14ac:dyDescent="0.25">
      <c r="A39" s="2227"/>
      <c r="B39" s="2385"/>
      <c r="C39" s="2215"/>
      <c r="D39" s="340">
        <v>0</v>
      </c>
      <c r="E39" s="2386"/>
      <c r="F39" s="340"/>
      <c r="G39" s="456" t="str">
        <f t="shared" si="9"/>
        <v>0.00%</v>
      </c>
      <c r="H39" s="340">
        <f t="shared" si="10"/>
        <v>0</v>
      </c>
      <c r="I39" s="897" t="str">
        <f t="shared" si="11"/>
        <v>2.0% = Est. S &amp; C</v>
      </c>
      <c r="J39" s="455"/>
      <c r="K39" s="456" t="str">
        <f t="shared" si="12"/>
        <v>0.00%</v>
      </c>
      <c r="L39" s="340">
        <f>ROUND(H39*(1+M19),0)</f>
        <v>0</v>
      </c>
      <c r="M39" s="897" t="str">
        <f>TEXT(M19,"0.0%")&amp;" = Est. S &amp; C"</f>
        <v>2.0% = Est. S &amp; C</v>
      </c>
      <c r="O39" s="456" t="str">
        <f t="shared" si="13"/>
        <v>0.00%</v>
      </c>
      <c r="P39" s="340">
        <f>ROUND(L39*(1+Q19),0)</f>
        <v>0</v>
      </c>
      <c r="Q39" s="897" t="str">
        <f>TEXT(Q19,"0.0%")&amp;" = Est. S &amp; C"</f>
        <v>2.0% = Est. S &amp; C</v>
      </c>
      <c r="R39" s="592"/>
      <c r="S39" s="2238" t="str">
        <f t="shared" si="14"/>
        <v>0.00%</v>
      </c>
      <c r="T39" s="340">
        <f>ROUND(P39*(1+U19),0)</f>
        <v>0</v>
      </c>
      <c r="U39" s="455" t="str">
        <f>TEXT(U19,"0.0%")&amp;" = Est. S &amp; C"</f>
        <v>2.0% = Est. S &amp; C</v>
      </c>
      <c r="V39" s="952"/>
      <c r="W39" s="2241" t="str">
        <f t="shared" si="15"/>
        <v>0.00%</v>
      </c>
      <c r="X39" s="340">
        <f>ROUND(T39*(1+Y19),0)</f>
        <v>0</v>
      </c>
      <c r="Y39" s="455" t="str">
        <f>TEXT(Y19,"0.0%")&amp;" = Est. S &amp; C"</f>
        <v>2.0% = Est. S &amp; C</v>
      </c>
      <c r="AA39" s="456" t="str">
        <f t="shared" si="16"/>
        <v>0.00%</v>
      </c>
      <c r="AB39" s="340">
        <f>ROUND(X39*(1+AC19),0)</f>
        <v>0</v>
      </c>
      <c r="AC39" s="455" t="str">
        <f>TEXT(AC19,"0.0%")&amp;" = Est. S &amp; C"</f>
        <v>2.0% = Est. S &amp; C</v>
      </c>
    </row>
    <row r="40" spans="1:29" s="457" customFormat="1" ht="6" hidden="1" customHeight="1" x14ac:dyDescent="0.25">
      <c r="A40" s="2227"/>
      <c r="B40" s="2385"/>
      <c r="C40" s="2215"/>
      <c r="D40" s="340"/>
      <c r="E40" s="2386"/>
      <c r="F40" s="340"/>
      <c r="G40" s="2338"/>
      <c r="H40" s="340"/>
      <c r="I40" s="897"/>
      <c r="J40" s="455"/>
      <c r="K40" s="1668"/>
      <c r="L40" s="340"/>
      <c r="M40" s="901"/>
      <c r="O40" s="1668"/>
      <c r="P40" s="340"/>
      <c r="Q40" s="901"/>
      <c r="R40" s="592"/>
      <c r="S40" s="2341"/>
      <c r="T40" s="340"/>
      <c r="U40" s="2344"/>
      <c r="V40" s="952"/>
      <c r="W40" s="2343"/>
      <c r="X40" s="340"/>
      <c r="Y40" s="2344"/>
      <c r="AA40" s="1668"/>
      <c r="AB40" s="340"/>
      <c r="AC40" s="2344"/>
    </row>
    <row r="41" spans="1:29" s="457" customFormat="1" hidden="1" x14ac:dyDescent="0.25">
      <c r="A41" s="2228"/>
      <c r="B41" s="2385"/>
      <c r="C41" s="2215"/>
      <c r="D41" s="458">
        <f>SUM(D33:D40)</f>
        <v>0</v>
      </c>
      <c r="E41" s="2386"/>
      <c r="F41" s="340"/>
      <c r="G41" s="456" t="str">
        <f>IF(D41=0,"0.00%",(H41-D41)/D41)</f>
        <v>0.00%</v>
      </c>
      <c r="H41" s="458">
        <f>SUM(H33:H40)</f>
        <v>0</v>
      </c>
      <c r="I41" s="898"/>
      <c r="J41" s="459"/>
      <c r="K41" s="456" t="str">
        <f>IF(H41=0,"0.00%",(L41-H41)/H41)</f>
        <v>0.00%</v>
      </c>
      <c r="L41" s="458">
        <f>SUM(L33:L40)</f>
        <v>0</v>
      </c>
      <c r="M41" s="901"/>
      <c r="O41" s="456" t="str">
        <f>IF(L41=0,"0.00%",(P41-L41)/L41)</f>
        <v>0.00%</v>
      </c>
      <c r="P41" s="458">
        <f>SUM(P33:P40)</f>
        <v>0</v>
      </c>
      <c r="Q41" s="901"/>
      <c r="R41" s="592"/>
      <c r="S41" s="2238" t="str">
        <f>IF(P41=0,"0.00%",(T41-P41)/P41)</f>
        <v>0.00%</v>
      </c>
      <c r="T41" s="458">
        <f>SUM(T33:T40)</f>
        <v>0</v>
      </c>
      <c r="U41" s="2344"/>
      <c r="V41" s="952"/>
      <c r="W41" s="2241" t="str">
        <f>IF(T41=0,"0.00%",(X41-T41)/T41)</f>
        <v>0.00%</v>
      </c>
      <c r="X41" s="458">
        <f>SUM(X33:X40)</f>
        <v>0</v>
      </c>
      <c r="Y41" s="2344"/>
      <c r="AA41" s="456" t="str">
        <f>IF(X41=0,"0.00%",(AB41-X41)/X41)</f>
        <v>0.00%</v>
      </c>
      <c r="AB41" s="458">
        <f>SUM(AB33:AB40)</f>
        <v>0</v>
      </c>
      <c r="AC41" s="2344"/>
    </row>
    <row r="42" spans="1:29" s="457" customFormat="1" hidden="1" x14ac:dyDescent="0.25">
      <c r="A42" s="2227"/>
      <c r="B42" s="2345" t="s">
        <v>28</v>
      </c>
      <c r="C42" s="2215"/>
      <c r="D42" s="340"/>
      <c r="E42" s="2386"/>
      <c r="F42" s="340"/>
      <c r="G42" s="2338"/>
      <c r="H42" s="340"/>
      <c r="I42" s="897"/>
      <c r="J42" s="455"/>
      <c r="K42" s="1668"/>
      <c r="L42" s="340"/>
      <c r="M42" s="901"/>
      <c r="O42" s="1668"/>
      <c r="P42" s="340"/>
      <c r="Q42" s="901"/>
      <c r="R42" s="592"/>
      <c r="S42" s="2341"/>
      <c r="T42" s="340"/>
      <c r="U42" s="2344"/>
      <c r="V42" s="952"/>
      <c r="W42" s="2343"/>
      <c r="X42" s="340"/>
      <c r="Y42" s="2344"/>
      <c r="AA42" s="1668"/>
      <c r="AB42" s="340"/>
      <c r="AC42" s="2344"/>
    </row>
    <row r="43" spans="1:29" s="457" customFormat="1" hidden="1" x14ac:dyDescent="0.25">
      <c r="A43" s="2229"/>
      <c r="B43" s="2337" t="s">
        <v>27</v>
      </c>
      <c r="C43" s="2215"/>
      <c r="D43" s="340"/>
      <c r="E43" s="2386"/>
      <c r="F43" s="340"/>
      <c r="G43" s="2338"/>
      <c r="H43" s="340"/>
      <c r="I43" s="897"/>
      <c r="J43" s="455"/>
      <c r="K43" s="1668"/>
      <c r="L43" s="340"/>
      <c r="M43" s="901"/>
      <c r="O43" s="1668"/>
      <c r="P43" s="340"/>
      <c r="Q43" s="901"/>
      <c r="R43" s="592"/>
      <c r="S43" s="2341"/>
      <c r="T43" s="340"/>
      <c r="U43" s="2344"/>
      <c r="V43" s="952"/>
      <c r="W43" s="2343"/>
      <c r="X43" s="340"/>
      <c r="Y43" s="2344"/>
      <c r="AA43" s="1668"/>
      <c r="AB43" s="340"/>
      <c r="AC43" s="2344"/>
    </row>
    <row r="44" spans="1:29" s="457" customFormat="1" hidden="1" x14ac:dyDescent="0.25">
      <c r="A44" s="2227"/>
      <c r="B44" s="2385" t="s">
        <v>83</v>
      </c>
      <c r="C44" s="2215" t="s">
        <v>76</v>
      </c>
      <c r="D44" s="340">
        <v>0</v>
      </c>
      <c r="E44" s="899" t="str">
        <f>TEXT('MYP Assumptions'!$D$57,"0.00%")&amp;", STRS rate"</f>
        <v>12.58%, STRS rate</v>
      </c>
      <c r="F44" s="340"/>
      <c r="G44" s="456" t="str">
        <f t="shared" ref="G44:G53" si="17">IF(D44=0,"0.00%",(H44-D44)/D44)</f>
        <v>0.00%</v>
      </c>
      <c r="H44" s="340">
        <f>ROUND(H30*LEFT(I44,6),0)</f>
        <v>0</v>
      </c>
      <c r="I44" s="899" t="str">
        <f>TEXT('MYP Assumptions'!E57,"0.00%")&amp;", projected STRS rate"</f>
        <v>14.43%, projected STRS rate</v>
      </c>
      <c r="J44" s="455"/>
      <c r="K44" s="456" t="str">
        <f t="shared" ref="K44:K53" si="18">IF(H44=0,"0.00%",(L44-H44)/H44)</f>
        <v>0.00%</v>
      </c>
      <c r="L44" s="340">
        <f>ROUND(L30*LEFT(M44,6),0)</f>
        <v>0</v>
      </c>
      <c r="M44" s="899" t="str">
        <f>TEXT('MYP Assumptions'!F57,"0.00%")&amp;", projected STRS rate"</f>
        <v>16.28%, projected STRS rate</v>
      </c>
      <c r="O44" s="456" t="str">
        <f t="shared" ref="O44:O53" si="19">IF(L44=0,"0.00%",(P44-L44)/L44)</f>
        <v>0.00%</v>
      </c>
      <c r="P44" s="340">
        <f>ROUND(P30*LEFT(Q44,6),0)</f>
        <v>0</v>
      </c>
      <c r="Q44" s="899" t="str">
        <f>TEXT('MYP Assumptions'!G57,"0.00%")&amp;", projected STRS rate"</f>
        <v>18.13%, projected STRS rate</v>
      </c>
      <c r="R44" s="592"/>
      <c r="S44" s="2238" t="str">
        <f t="shared" ref="S44:S53" si="20">IF(P44=0,"0.00%",(T44-P44)/P44)</f>
        <v>0.00%</v>
      </c>
      <c r="T44" s="340">
        <f>ROUND(T30*LEFT(U44,6),0)</f>
        <v>0</v>
      </c>
      <c r="U44" s="953" t="str">
        <f>TEXT('MYP Assumptions'!H57,"0.00%")&amp;", projected STRS rate"</f>
        <v>19.10%, projected STRS rate</v>
      </c>
      <c r="V44" s="952"/>
      <c r="W44" s="2241" t="str">
        <f t="shared" ref="W44:W53" si="21">IF(T44=0,"0.00%",(X44-T44)/T44)</f>
        <v>0.00%</v>
      </c>
      <c r="X44" s="340">
        <f>ROUND(X30*LEFT(Y44,6),0)</f>
        <v>0</v>
      </c>
      <c r="Y44" s="953" t="str">
        <f>TEXT('MYP Assumptions'!I57,"0.00%")&amp;", projected STRS rate"</f>
        <v>19.10%, projected STRS rate</v>
      </c>
      <c r="AA44" s="456" t="str">
        <f t="shared" ref="AA44:AA53" si="22">IF(X44=0,"0.00%",(AB44-X44)/X44)</f>
        <v>0.00%</v>
      </c>
      <c r="AB44" s="340" t="e">
        <f>ROUND(AB30*LEFT(AC44,6),0)</f>
        <v>#VALUE!</v>
      </c>
      <c r="AC44" s="953" t="str">
        <f>TEXT('MYP Assumptions'!J57,"0.00%")&amp;", projected STRS rate"</f>
        <v>0.00%, projected STRS rate</v>
      </c>
    </row>
    <row r="45" spans="1:29" s="457" customFormat="1" hidden="1" x14ac:dyDescent="0.25">
      <c r="A45" s="2227"/>
      <c r="B45" s="2385" t="s">
        <v>84</v>
      </c>
      <c r="C45" s="2215" t="s">
        <v>77</v>
      </c>
      <c r="D45" s="340">
        <v>0</v>
      </c>
      <c r="E45" s="899" t="str">
        <f>TEXT('MYP Assumptions'!$D$58,"0.00%")&amp;", PERS rate"</f>
        <v>13.89%, PERS rate</v>
      </c>
      <c r="F45" s="340"/>
      <c r="G45" s="456" t="str">
        <f t="shared" si="17"/>
        <v>0.00%</v>
      </c>
      <c r="H45" s="340">
        <f>ROUND(H41*LEFT(I45,6),0)</f>
        <v>0</v>
      </c>
      <c r="I45" s="899" t="str">
        <f>TEXT('MYP Assumptions'!E58,"0.00%")&amp;", projected PERS rate"</f>
        <v>15.53%, projected PERS rate</v>
      </c>
      <c r="J45" s="455"/>
      <c r="K45" s="456" t="str">
        <f t="shared" si="18"/>
        <v>0.00%</v>
      </c>
      <c r="L45" s="340">
        <f>ROUND(L41*LEFT(M45,6),0)</f>
        <v>0</v>
      </c>
      <c r="M45" s="899" t="str">
        <f>TEXT('MYP Assumptions'!F58,"0.00%")&amp;", projected PERS rate"</f>
        <v>18.06%, projected PERS rate</v>
      </c>
      <c r="O45" s="456" t="str">
        <f t="shared" si="19"/>
        <v>0.00%</v>
      </c>
      <c r="P45" s="340">
        <f>ROUND(P41*LEFT(Q45,6),0)</f>
        <v>0</v>
      </c>
      <c r="Q45" s="899" t="str">
        <f>TEXT('MYP Assumptions'!G58,"0.00%")&amp;", projected PERS rate"</f>
        <v>20.80%, projected PERS rate</v>
      </c>
      <c r="R45" s="592"/>
      <c r="S45" s="2238" t="str">
        <f t="shared" si="20"/>
        <v>0.00%</v>
      </c>
      <c r="T45" s="340">
        <f>ROUND(T41*LEFT(U45,6),0)</f>
        <v>0</v>
      </c>
      <c r="U45" s="953" t="str">
        <f>TEXT('MYP Assumptions'!H58,"0.00%")&amp;", projected PERS rate"</f>
        <v>23.50%, projected PERS rate</v>
      </c>
      <c r="V45" s="952"/>
      <c r="W45" s="2241" t="str">
        <f t="shared" si="21"/>
        <v>0.00%</v>
      </c>
      <c r="X45" s="340">
        <f>ROUND(X41*LEFT(Y45,6),0)</f>
        <v>0</v>
      </c>
      <c r="Y45" s="953" t="str">
        <f>TEXT('MYP Assumptions'!I58,"0.00%")&amp;", projected PERS rate"</f>
        <v>24.60%, projected PERS rate</v>
      </c>
      <c r="AA45" s="456" t="str">
        <f t="shared" si="22"/>
        <v>0.00%</v>
      </c>
      <c r="AB45" s="340" t="e">
        <f>ROUND(AB41*LEFT(AC45,6),0)</f>
        <v>#VALUE!</v>
      </c>
      <c r="AC45" s="953" t="str">
        <f>TEXT('MYP Assumptions'!J58,"0.00%")&amp;", projected PERS rate"</f>
        <v>0.00%, projected PERS rate</v>
      </c>
    </row>
    <row r="46" spans="1:29" s="457" customFormat="1" hidden="1" x14ac:dyDescent="0.25">
      <c r="A46" s="2227"/>
      <c r="B46" s="2385" t="s">
        <v>85</v>
      </c>
      <c r="C46" s="2215" t="s">
        <v>78</v>
      </c>
      <c r="D46" s="340">
        <v>0</v>
      </c>
      <c r="E46" s="899" t="str">
        <f>TEXT('MYP Assumptions'!$D$60,"0.00%")&amp;", SS rate"</f>
        <v>6.20%, SS rate</v>
      </c>
      <c r="F46" s="340"/>
      <c r="G46" s="456" t="str">
        <f t="shared" si="17"/>
        <v>0.00%</v>
      </c>
      <c r="H46" s="340">
        <f>ROUND(H41*LEFT(I46,5),0)</f>
        <v>0</v>
      </c>
      <c r="I46" s="899" t="str">
        <f>TEXT('MYP Assumptions'!E60,"0.00%")&amp;", no rate change"</f>
        <v>6.20%, no rate change</v>
      </c>
      <c r="J46" s="455"/>
      <c r="K46" s="456" t="str">
        <f t="shared" si="18"/>
        <v>0.00%</v>
      </c>
      <c r="L46" s="340">
        <f>ROUND(L41*LEFT(M46,5),0)</f>
        <v>0</v>
      </c>
      <c r="M46" s="899" t="str">
        <f>TEXT('MYP Assumptions'!F60,"0.00%")&amp;", no rate change"</f>
        <v>6.20%, no rate change</v>
      </c>
      <c r="O46" s="456" t="str">
        <f t="shared" si="19"/>
        <v>0.00%</v>
      </c>
      <c r="P46" s="340">
        <f>ROUND(P41*LEFT(Q46,5),0)</f>
        <v>0</v>
      </c>
      <c r="Q46" s="899" t="str">
        <f>TEXT('MYP Assumptions'!G60,"0.00%")&amp;", no rate change"</f>
        <v>6.20%, no rate change</v>
      </c>
      <c r="R46" s="592"/>
      <c r="S46" s="2238" t="str">
        <f t="shared" si="20"/>
        <v>0.00%</v>
      </c>
      <c r="T46" s="340">
        <f>ROUND(T41*LEFT(U46,5),0)</f>
        <v>0</v>
      </c>
      <c r="U46" s="953" t="str">
        <f>TEXT('MYP Assumptions'!H60,"0.00%")&amp;", no rate change"</f>
        <v>6.20%, no rate change</v>
      </c>
      <c r="V46" s="952"/>
      <c r="W46" s="2241" t="str">
        <f t="shared" si="21"/>
        <v>0.00%</v>
      </c>
      <c r="X46" s="340">
        <f>ROUND(X41*LEFT(Y46,5),0)</f>
        <v>0</v>
      </c>
      <c r="Y46" s="953" t="str">
        <f>TEXT('MYP Assumptions'!I60,"0.00%")&amp;", no rate change"</f>
        <v>6.20%, no rate change</v>
      </c>
      <c r="AA46" s="456" t="str">
        <f t="shared" si="22"/>
        <v>0.00%</v>
      </c>
      <c r="AB46" s="340">
        <f>ROUND(AB41*LEFT(AC46,5),0)</f>
        <v>0</v>
      </c>
      <c r="AC46" s="953" t="str">
        <f>TEXT('MYP Assumptions'!J60,"0.00%")&amp;", no rate change"</f>
        <v>0.00%, no rate change</v>
      </c>
    </row>
    <row r="47" spans="1:29" s="457" customFormat="1" hidden="1" x14ac:dyDescent="0.25">
      <c r="A47" s="2227"/>
      <c r="B47" s="2385" t="s">
        <v>86</v>
      </c>
      <c r="C47" s="2215" t="s">
        <v>79</v>
      </c>
      <c r="D47" s="340">
        <v>0</v>
      </c>
      <c r="E47" s="899" t="str">
        <f>TEXT('MYP Assumptions'!$D$61,"0.00%")&amp;", Medicare rate"</f>
        <v>1.45%, Medicare rate</v>
      </c>
      <c r="F47" s="340"/>
      <c r="G47" s="456" t="str">
        <f t="shared" si="17"/>
        <v>0.00%</v>
      </c>
      <c r="H47" s="340">
        <f>ROUND((H41+H30)*LEFT(I47,5),0)</f>
        <v>0</v>
      </c>
      <c r="I47" s="899" t="str">
        <f>TEXT('MYP Assumptions'!E61,"0.00%")&amp;", no rate change"</f>
        <v>1.45%, no rate change</v>
      </c>
      <c r="J47" s="455"/>
      <c r="K47" s="456" t="str">
        <f t="shared" si="18"/>
        <v>0.00%</v>
      </c>
      <c r="L47" s="340">
        <f>ROUND((L41+L30)*LEFT(M47,5),0)</f>
        <v>0</v>
      </c>
      <c r="M47" s="899" t="str">
        <f>TEXT('MYP Assumptions'!F61,"0.00%")&amp;", no rate change"</f>
        <v>1.45%, no rate change</v>
      </c>
      <c r="O47" s="456" t="str">
        <f t="shared" si="19"/>
        <v>0.00%</v>
      </c>
      <c r="P47" s="340">
        <f>ROUND((P41+P30)*LEFT(Q47,5),0)</f>
        <v>0</v>
      </c>
      <c r="Q47" s="899" t="str">
        <f>TEXT('MYP Assumptions'!G61,"0.00%")&amp;", no rate change"</f>
        <v>1.45%, no rate change</v>
      </c>
      <c r="R47" s="592"/>
      <c r="S47" s="2238" t="str">
        <f t="shared" si="20"/>
        <v>0.00%</v>
      </c>
      <c r="T47" s="340">
        <f>ROUND((T41+T30)*LEFT(U47,5),0)</f>
        <v>0</v>
      </c>
      <c r="U47" s="953" t="str">
        <f>TEXT('MYP Assumptions'!H61,"0.00%")&amp;", no rate change"</f>
        <v>1.45%, no rate change</v>
      </c>
      <c r="V47" s="952"/>
      <c r="W47" s="2241" t="str">
        <f t="shared" si="21"/>
        <v>0.00%</v>
      </c>
      <c r="X47" s="340">
        <f>ROUND((X41+X30)*LEFT(Y47,5),0)</f>
        <v>0</v>
      </c>
      <c r="Y47" s="953" t="str">
        <f>TEXT('MYP Assumptions'!I61,"0.00%")&amp;", no rate change"</f>
        <v>1.45%, no rate change</v>
      </c>
      <c r="AA47" s="456" t="str">
        <f t="shared" si="22"/>
        <v>0.00%</v>
      </c>
      <c r="AB47" s="340">
        <f>ROUND((AB41+AB30)*LEFT(AC47,5),0)</f>
        <v>0</v>
      </c>
      <c r="AC47" s="953" t="str">
        <f>TEXT('MYP Assumptions'!J61,"0.00%")&amp;", no rate change"</f>
        <v>0.00%, no rate change</v>
      </c>
    </row>
    <row r="48" spans="1:29" s="457" customFormat="1" hidden="1" x14ac:dyDescent="0.25">
      <c r="A48" s="2227"/>
      <c r="B48" s="2385" t="s">
        <v>87</v>
      </c>
      <c r="C48" s="2215" t="s">
        <v>80</v>
      </c>
      <c r="D48" s="340">
        <v>0</v>
      </c>
      <c r="E48" s="899"/>
      <c r="F48" s="340"/>
      <c r="G48" s="456" t="str">
        <f t="shared" si="17"/>
        <v>0.00%</v>
      </c>
      <c r="H48" s="340">
        <f>ROUND((D48)*(LEFT(I48,5)+1),0)</f>
        <v>0</v>
      </c>
      <c r="I48" s="899" t="str">
        <f>TEXT('MYP Assumptions'!$I$68,"0.00%")&amp;", projected increase"</f>
        <v>5.00%, projected increase</v>
      </c>
      <c r="J48" s="455"/>
      <c r="K48" s="456" t="str">
        <f t="shared" si="18"/>
        <v>0.00%</v>
      </c>
      <c r="L48" s="340">
        <f>ROUND((H48)*(LEFT(M48,5)+1),0)</f>
        <v>0</v>
      </c>
      <c r="M48" s="899" t="str">
        <f>TEXT('MYP Assumptions'!$I$68,"0.00%")&amp;", projected increase"</f>
        <v>5.00%, projected increase</v>
      </c>
      <c r="O48" s="456" t="str">
        <f t="shared" si="19"/>
        <v>0.00%</v>
      </c>
      <c r="P48" s="340">
        <f>ROUND((L48)*(LEFT(Q48,5)+1),0)</f>
        <v>0</v>
      </c>
      <c r="Q48" s="899" t="str">
        <f>TEXT('MYP Assumptions'!$I$68,"0.00%")&amp;", projected increase"</f>
        <v>5.00%, projected increase</v>
      </c>
      <c r="R48" s="592"/>
      <c r="S48" s="2238" t="str">
        <f t="shared" si="20"/>
        <v>0.00%</v>
      </c>
      <c r="T48" s="340">
        <f>ROUND((P48)*(LEFT(U48,5)+1),0)</f>
        <v>0</v>
      </c>
      <c r="U48" s="953" t="str">
        <f>TEXT('MYP Assumptions'!$I$68,"0.00%")&amp;", projected increase"</f>
        <v>5.00%, projected increase</v>
      </c>
      <c r="V48" s="952"/>
      <c r="W48" s="2241" t="str">
        <f t="shared" si="21"/>
        <v>0.00%</v>
      </c>
      <c r="X48" s="340">
        <f>ROUND((T48)*(LEFT(Y48,5)+1),0)</f>
        <v>0</v>
      </c>
      <c r="Y48" s="953" t="str">
        <f>TEXT('MYP Assumptions'!$I$68,"0.00%")&amp;", projected increase"</f>
        <v>5.00%, projected increase</v>
      </c>
      <c r="AA48" s="456" t="str">
        <f t="shared" si="22"/>
        <v>0.00%</v>
      </c>
      <c r="AB48" s="340">
        <f>ROUND((X48)*(LEFT(AC48,5)+1),0)</f>
        <v>0</v>
      </c>
      <c r="AC48" s="953" t="str">
        <f>TEXT('MYP Assumptions'!$I$68,"0.00%")&amp;", projected increase"</f>
        <v>5.00%, projected increase</v>
      </c>
    </row>
    <row r="49" spans="1:29" s="457" customFormat="1" hidden="1" x14ac:dyDescent="0.25">
      <c r="A49" s="2227"/>
      <c r="B49" s="2385" t="s">
        <v>88</v>
      </c>
      <c r="C49" s="2215" t="s">
        <v>81</v>
      </c>
      <c r="D49" s="340">
        <v>0</v>
      </c>
      <c r="E49" s="899" t="str">
        <f>TEXT('MYP Assumptions'!$D$62,"0.00%")&amp;", SUI rate"</f>
        <v>0.05%, SUI rate</v>
      </c>
      <c r="F49" s="340"/>
      <c r="G49" s="456" t="str">
        <f t="shared" si="17"/>
        <v>0.00%</v>
      </c>
      <c r="H49" s="340">
        <f>ROUND((H41+H30)*LEFT(I49,5),0)</f>
        <v>0</v>
      </c>
      <c r="I49" s="899" t="str">
        <f>TEXT('MYP Assumptions'!E62,"0.00%")&amp;", no rate change"</f>
        <v>0.05%, no rate change</v>
      </c>
      <c r="J49" s="455"/>
      <c r="K49" s="456" t="str">
        <f t="shared" si="18"/>
        <v>0.00%</v>
      </c>
      <c r="L49" s="340">
        <f>ROUND((L41+L30)*LEFT(M49,5),0)</f>
        <v>0</v>
      </c>
      <c r="M49" s="899" t="str">
        <f>TEXT('MYP Assumptions'!F62,"0.00%")&amp;", no rate change"</f>
        <v>0.05%, no rate change</v>
      </c>
      <c r="O49" s="456" t="str">
        <f t="shared" si="19"/>
        <v>0.00%</v>
      </c>
      <c r="P49" s="340">
        <f>ROUND((P41+P30)*LEFT(Q49,5),0)</f>
        <v>0</v>
      </c>
      <c r="Q49" s="899" t="str">
        <f>TEXT('MYP Assumptions'!G62,"0.00%")&amp;", no rate change"</f>
        <v>0.05%, no rate change</v>
      </c>
      <c r="R49" s="592"/>
      <c r="S49" s="2238" t="str">
        <f t="shared" si="20"/>
        <v>0.00%</v>
      </c>
      <c r="T49" s="340">
        <f>ROUND((T41+T30)*LEFT(U49,5),0)</f>
        <v>0</v>
      </c>
      <c r="U49" s="953" t="str">
        <f>TEXT('MYP Assumptions'!H62,"0.00%")&amp;", no rate change"</f>
        <v>0.05%, no rate change</v>
      </c>
      <c r="V49" s="952"/>
      <c r="W49" s="2241" t="str">
        <f t="shared" si="21"/>
        <v>0.00%</v>
      </c>
      <c r="X49" s="340">
        <f>ROUND((X41+X30)*LEFT(Y49,5),0)</f>
        <v>0</v>
      </c>
      <c r="Y49" s="953" t="str">
        <f>TEXT('MYP Assumptions'!I62,"0.00%")&amp;", no rate change"</f>
        <v>0.05%, no rate change</v>
      </c>
      <c r="AA49" s="456" t="str">
        <f t="shared" si="22"/>
        <v>0.00%</v>
      </c>
      <c r="AB49" s="340">
        <f>ROUND((AB41+AB30)*LEFT(AC49,5),0)</f>
        <v>0</v>
      </c>
      <c r="AC49" s="953" t="str">
        <f>TEXT('MYP Assumptions'!J62,"0.00%")&amp;", no rate change"</f>
        <v>0.00%, no rate change</v>
      </c>
    </row>
    <row r="50" spans="1:29" s="457" customFormat="1" hidden="1" x14ac:dyDescent="0.25">
      <c r="A50" s="2227"/>
      <c r="B50" s="2385" t="s">
        <v>89</v>
      </c>
      <c r="C50" s="2215" t="s">
        <v>82</v>
      </c>
      <c r="D50" s="340">
        <v>0</v>
      </c>
      <c r="E50" s="899" t="str">
        <f>TEXT('MYP Assumptions'!$D$63,"0.00%")&amp;", W/C rate"</f>
        <v>1.10%, W/C rate</v>
      </c>
      <c r="F50" s="340"/>
      <c r="G50" s="456" t="str">
        <f t="shared" si="17"/>
        <v>0.00%</v>
      </c>
      <c r="H50" s="340">
        <f>ROUND((H41+H30)*LEFT(I50,5),0)</f>
        <v>0</v>
      </c>
      <c r="I50" s="899" t="str">
        <f>TEXT('MYP Assumptions'!E63,"0.00%")&amp;", no rate change"</f>
        <v>0.80%, no rate change</v>
      </c>
      <c r="J50" s="455"/>
      <c r="K50" s="456" t="str">
        <f t="shared" si="18"/>
        <v>0.00%</v>
      </c>
      <c r="L50" s="340">
        <f>ROUND((L41+L30)*LEFT(M50,5),0)</f>
        <v>0</v>
      </c>
      <c r="M50" s="899" t="str">
        <f>TEXT('MYP Assumptions'!F63,"0.00%")&amp;", no rate change"</f>
        <v>0.80%, no rate change</v>
      </c>
      <c r="O50" s="456" t="str">
        <f t="shared" si="19"/>
        <v>0.00%</v>
      </c>
      <c r="P50" s="340">
        <f>ROUND((P41+P30)*LEFT(Q50,5),0)</f>
        <v>0</v>
      </c>
      <c r="Q50" s="899" t="str">
        <f>TEXT('MYP Assumptions'!G63,"0.00%")&amp;", no rate change"</f>
        <v>0.80%, no rate change</v>
      </c>
      <c r="R50" s="592"/>
      <c r="S50" s="2238" t="str">
        <f t="shared" si="20"/>
        <v>0.00%</v>
      </c>
      <c r="T50" s="340">
        <f>ROUND((T41+T30)*LEFT(U50,5),0)</f>
        <v>0</v>
      </c>
      <c r="U50" s="953" t="str">
        <f>TEXT('MYP Assumptions'!H63,"0.00%")&amp;", no rate change"</f>
        <v>0.80%, no rate change</v>
      </c>
      <c r="V50" s="952"/>
      <c r="W50" s="2241" t="str">
        <f t="shared" si="21"/>
        <v>0.00%</v>
      </c>
      <c r="X50" s="340">
        <f>ROUND((X41+X30)*LEFT(Y50,5),0)</f>
        <v>0</v>
      </c>
      <c r="Y50" s="953" t="str">
        <f>TEXT('MYP Assumptions'!I63,"0.00%")&amp;", no rate change"</f>
        <v>0.80%, no rate change</v>
      </c>
      <c r="AA50" s="456" t="str">
        <f t="shared" si="22"/>
        <v>0.00%</v>
      </c>
      <c r="AB50" s="340">
        <f>ROUND((AB41+AB30)*LEFT(AC50,5),0)</f>
        <v>0</v>
      </c>
      <c r="AC50" s="953" t="str">
        <f>TEXT('MYP Assumptions'!J63,"0.00%")&amp;", no rate change"</f>
        <v>0.00%, no rate change</v>
      </c>
    </row>
    <row r="51" spans="1:29" s="457" customFormat="1" hidden="1" x14ac:dyDescent="0.25">
      <c r="A51" s="2227"/>
      <c r="B51" s="2385" t="s">
        <v>90</v>
      </c>
      <c r="C51" s="2215" t="s">
        <v>92</v>
      </c>
      <c r="D51" s="340">
        <v>0</v>
      </c>
      <c r="E51" s="2386"/>
      <c r="F51" s="340"/>
      <c r="G51" s="456" t="str">
        <f t="shared" si="17"/>
        <v>0.00%</v>
      </c>
      <c r="H51" s="340">
        <f>D51</f>
        <v>0</v>
      </c>
      <c r="I51" s="899" t="s">
        <v>165</v>
      </c>
      <c r="J51" s="455"/>
      <c r="K51" s="456" t="str">
        <f t="shared" si="18"/>
        <v>0.00%</v>
      </c>
      <c r="L51" s="340">
        <f>H51</f>
        <v>0</v>
      </c>
      <c r="M51" s="899" t="s">
        <v>165</v>
      </c>
      <c r="O51" s="456" t="str">
        <f t="shared" si="19"/>
        <v>0.00%</v>
      </c>
      <c r="P51" s="340">
        <f>L51</f>
        <v>0</v>
      </c>
      <c r="Q51" s="899" t="s">
        <v>165</v>
      </c>
      <c r="R51" s="592"/>
      <c r="S51" s="2238" t="str">
        <f t="shared" si="20"/>
        <v>0.00%</v>
      </c>
      <c r="T51" s="340">
        <f>P51</f>
        <v>0</v>
      </c>
      <c r="U51" s="953" t="s">
        <v>165</v>
      </c>
      <c r="V51" s="952"/>
      <c r="W51" s="2241" t="str">
        <f t="shared" si="21"/>
        <v>0.00%</v>
      </c>
      <c r="X51" s="340">
        <f>T51</f>
        <v>0</v>
      </c>
      <c r="Y51" s="953" t="s">
        <v>165</v>
      </c>
      <c r="AA51" s="456" t="str">
        <f t="shared" si="22"/>
        <v>0.00%</v>
      </c>
      <c r="AB51" s="340">
        <f>X51</f>
        <v>0</v>
      </c>
      <c r="AC51" s="953" t="s">
        <v>165</v>
      </c>
    </row>
    <row r="52" spans="1:29" s="457" customFormat="1" hidden="1" x14ac:dyDescent="0.25">
      <c r="A52" s="2227"/>
      <c r="B52" s="2385" t="s">
        <v>91</v>
      </c>
      <c r="C52" s="2215" t="s">
        <v>93</v>
      </c>
      <c r="D52" s="340">
        <v>0</v>
      </c>
      <c r="E52" s="2386"/>
      <c r="F52" s="340"/>
      <c r="G52" s="456" t="str">
        <f t="shared" si="17"/>
        <v>0.00%</v>
      </c>
      <c r="H52" s="340">
        <f>D52</f>
        <v>0</v>
      </c>
      <c r="I52" s="899" t="s">
        <v>165</v>
      </c>
      <c r="J52" s="455"/>
      <c r="K52" s="456" t="str">
        <f t="shared" si="18"/>
        <v>0.00%</v>
      </c>
      <c r="L52" s="340">
        <f>H52</f>
        <v>0</v>
      </c>
      <c r="M52" s="899" t="s">
        <v>165</v>
      </c>
      <c r="O52" s="456" t="str">
        <f t="shared" si="19"/>
        <v>0.00%</v>
      </c>
      <c r="P52" s="340">
        <f>L52</f>
        <v>0</v>
      </c>
      <c r="Q52" s="899" t="s">
        <v>165</v>
      </c>
      <c r="R52" s="592"/>
      <c r="S52" s="2238" t="str">
        <f t="shared" si="20"/>
        <v>0.00%</v>
      </c>
      <c r="T52" s="340">
        <f>P52</f>
        <v>0</v>
      </c>
      <c r="U52" s="953" t="s">
        <v>165</v>
      </c>
      <c r="V52" s="952"/>
      <c r="W52" s="2241" t="str">
        <f t="shared" si="21"/>
        <v>0.00%</v>
      </c>
      <c r="X52" s="340">
        <f>T52</f>
        <v>0</v>
      </c>
      <c r="Y52" s="953" t="s">
        <v>165</v>
      </c>
      <c r="AA52" s="456" t="str">
        <f t="shared" si="22"/>
        <v>0.00%</v>
      </c>
      <c r="AB52" s="340">
        <f>X52</f>
        <v>0</v>
      </c>
      <c r="AC52" s="953" t="s">
        <v>165</v>
      </c>
    </row>
    <row r="53" spans="1:29" s="457" customFormat="1" hidden="1" x14ac:dyDescent="0.25">
      <c r="A53" s="2228"/>
      <c r="B53" s="2385"/>
      <c r="C53" s="2215"/>
      <c r="D53" s="458">
        <f>SUM(D44:D52)</f>
        <v>0</v>
      </c>
      <c r="E53" s="2386"/>
      <c r="F53" s="340"/>
      <c r="G53" s="456" t="str">
        <f t="shared" si="17"/>
        <v>0.00%</v>
      </c>
      <c r="H53" s="458">
        <f>SUM(H44:H52)</f>
        <v>0</v>
      </c>
      <c r="I53" s="898"/>
      <c r="J53" s="459"/>
      <c r="K53" s="456" t="str">
        <f t="shared" si="18"/>
        <v>0.00%</v>
      </c>
      <c r="L53" s="458">
        <f>SUM(L44:L52)</f>
        <v>0</v>
      </c>
      <c r="M53" s="901"/>
      <c r="O53" s="456" t="str">
        <f t="shared" si="19"/>
        <v>0.00%</v>
      </c>
      <c r="P53" s="458">
        <f>SUM(P44:P52)</f>
        <v>0</v>
      </c>
      <c r="Q53" s="901"/>
      <c r="R53" s="592"/>
      <c r="S53" s="2238" t="str">
        <f t="shared" si="20"/>
        <v>0.00%</v>
      </c>
      <c r="T53" s="458">
        <f>SUM(T44:T52)</f>
        <v>0</v>
      </c>
      <c r="U53" s="2344"/>
      <c r="V53" s="952"/>
      <c r="W53" s="2241" t="str">
        <f t="shared" si="21"/>
        <v>0.00%</v>
      </c>
      <c r="X53" s="458">
        <f>SUM(X44:X52)</f>
        <v>0</v>
      </c>
      <c r="Y53" s="2344"/>
      <c r="AA53" s="456" t="str">
        <f t="shared" si="22"/>
        <v>0.00%</v>
      </c>
      <c r="AB53" s="458" t="e">
        <f>SUM(AB44:AB52)</f>
        <v>#VALUE!</v>
      </c>
      <c r="AC53" s="2344"/>
    </row>
    <row r="54" spans="1:29" s="457" customFormat="1" hidden="1" x14ac:dyDescent="0.25">
      <c r="A54" s="2229"/>
      <c r="B54" s="2385"/>
      <c r="C54" s="2215"/>
      <c r="D54" s="340"/>
      <c r="E54" s="2386"/>
      <c r="F54" s="340"/>
      <c r="G54" s="2338"/>
      <c r="H54" s="340"/>
      <c r="I54" s="897"/>
      <c r="J54" s="455"/>
      <c r="K54" s="1668"/>
      <c r="L54" s="340"/>
      <c r="M54" s="901"/>
      <c r="O54" s="1668"/>
      <c r="P54" s="340"/>
      <c r="Q54" s="901"/>
      <c r="R54" s="592"/>
      <c r="S54" s="2341"/>
      <c r="T54" s="340"/>
      <c r="U54" s="2344"/>
      <c r="V54" s="952"/>
      <c r="W54" s="2343"/>
      <c r="X54" s="340"/>
      <c r="Y54" s="2344"/>
      <c r="AA54" s="1668"/>
      <c r="AB54" s="340"/>
      <c r="AC54" s="2344"/>
    </row>
    <row r="55" spans="1:29" s="457" customFormat="1" hidden="1" x14ac:dyDescent="0.25">
      <c r="A55" s="2228"/>
      <c r="B55" s="2337" t="s">
        <v>26</v>
      </c>
      <c r="C55" s="2215"/>
      <c r="D55" s="458">
        <f>SUM(D53,D41,D30)</f>
        <v>0</v>
      </c>
      <c r="E55" s="2386"/>
      <c r="F55" s="340"/>
      <c r="G55" s="456" t="str">
        <f>IF(D55=0,"0.00%",(H55-D55)/D55)</f>
        <v>0.00%</v>
      </c>
      <c r="H55" s="458">
        <f>SUM(H53,H41,H30)</f>
        <v>0</v>
      </c>
      <c r="I55" s="898"/>
      <c r="J55" s="459"/>
      <c r="K55" s="456" t="str">
        <f>IF(H55=0,"0.00%",(L55-H55)/H55)</f>
        <v>0.00%</v>
      </c>
      <c r="L55" s="458">
        <f>SUM(L53,L41,L30)</f>
        <v>0</v>
      </c>
      <c r="M55" s="901"/>
      <c r="O55" s="456" t="str">
        <f>IF(L55=0,"0.00%",(P55-L55)/L55)</f>
        <v>0.00%</v>
      </c>
      <c r="P55" s="458">
        <f>SUM(P53,P41,P30)</f>
        <v>0</v>
      </c>
      <c r="Q55" s="901"/>
      <c r="R55" s="592"/>
      <c r="S55" s="2238" t="str">
        <f>IF(P55=0,"0.00%",(T55-P55)/P55)</f>
        <v>0.00%</v>
      </c>
      <c r="T55" s="458">
        <f>SUM(T53,T41,T30)</f>
        <v>0</v>
      </c>
      <c r="U55" s="2344"/>
      <c r="V55" s="952"/>
      <c r="W55" s="2241" t="str">
        <f>IF(T55=0,"0.00%",(X55-T55)/T55)</f>
        <v>0.00%</v>
      </c>
      <c r="X55" s="458">
        <f>SUM(X53,X41,X30)</f>
        <v>0</v>
      </c>
      <c r="Y55" s="2344"/>
      <c r="AA55" s="456" t="str">
        <f>IF(X55=0,"0.00%",(AB55-X55)/X55)</f>
        <v>0.00%</v>
      </c>
      <c r="AB55" s="458" t="e">
        <f>SUM(AB53,AB41,AB30)</f>
        <v>#VALUE!</v>
      </c>
      <c r="AC55" s="2344"/>
    </row>
    <row r="56" spans="1:29" s="457" customFormat="1" hidden="1" x14ac:dyDescent="0.25">
      <c r="A56" s="2230"/>
      <c r="B56" s="2345"/>
      <c r="C56" s="2215"/>
      <c r="D56" s="340"/>
      <c r="E56" s="2386"/>
      <c r="F56" s="340"/>
      <c r="G56" s="2338"/>
      <c r="H56" s="340"/>
      <c r="I56" s="897"/>
      <c r="J56" s="455"/>
      <c r="K56" s="1668"/>
      <c r="L56" s="340"/>
      <c r="M56" s="901"/>
      <c r="O56" s="1668"/>
      <c r="P56" s="340"/>
      <c r="Q56" s="901"/>
      <c r="R56" s="592"/>
      <c r="S56" s="2341"/>
      <c r="T56" s="340"/>
      <c r="U56" s="2344"/>
      <c r="V56" s="952"/>
      <c r="W56" s="2343"/>
      <c r="X56" s="340"/>
      <c r="Y56" s="2344"/>
      <c r="AA56" s="1668"/>
      <c r="AB56" s="340"/>
      <c r="AC56" s="2344"/>
    </row>
    <row r="57" spans="1:29" s="457" customFormat="1" hidden="1" x14ac:dyDescent="0.25">
      <c r="A57" s="2227"/>
      <c r="B57" s="2345"/>
      <c r="C57" s="2215"/>
      <c r="D57" s="340"/>
      <c r="E57" s="2386"/>
      <c r="F57" s="340"/>
      <c r="G57" s="2338"/>
      <c r="H57" s="340"/>
      <c r="I57" s="897"/>
      <c r="J57" s="455"/>
      <c r="K57" s="1668"/>
      <c r="L57" s="340"/>
      <c r="M57" s="901"/>
      <c r="O57" s="1668"/>
      <c r="P57" s="340"/>
      <c r="Q57" s="901"/>
      <c r="R57" s="592"/>
      <c r="S57" s="2341"/>
      <c r="T57" s="340"/>
      <c r="U57" s="2344"/>
      <c r="V57" s="952"/>
      <c r="W57" s="2343"/>
      <c r="X57" s="340"/>
      <c r="Y57" s="2344"/>
      <c r="AA57" s="1668"/>
      <c r="AB57" s="340"/>
      <c r="AC57" s="2344"/>
    </row>
    <row r="58" spans="1:29" s="457" customFormat="1" hidden="1" x14ac:dyDescent="0.25">
      <c r="A58" s="2230"/>
      <c r="B58" s="2440" t="s">
        <v>25</v>
      </c>
      <c r="C58" s="2225"/>
      <c r="D58" s="340"/>
      <c r="E58" s="2386"/>
      <c r="F58" s="340"/>
      <c r="G58" s="2338"/>
      <c r="H58" s="340"/>
      <c r="I58" s="897"/>
      <c r="J58" s="455"/>
      <c r="K58" s="1668"/>
      <c r="L58" s="340"/>
      <c r="M58" s="901"/>
      <c r="O58" s="1668"/>
      <c r="P58" s="340"/>
      <c r="Q58" s="901"/>
      <c r="R58" s="592"/>
      <c r="S58" s="2341"/>
      <c r="T58" s="340"/>
      <c r="U58" s="2344"/>
      <c r="V58" s="952"/>
      <c r="W58" s="2343"/>
      <c r="X58" s="340"/>
      <c r="Y58" s="2344"/>
      <c r="AA58" s="1668"/>
      <c r="AB58" s="340"/>
      <c r="AC58" s="2344"/>
    </row>
    <row r="59" spans="1:29" s="457" customFormat="1" hidden="1" x14ac:dyDescent="0.25">
      <c r="A59" s="2227"/>
      <c r="B59" s="2385"/>
      <c r="C59" s="2215"/>
      <c r="D59" s="340">
        <v>0</v>
      </c>
      <c r="E59" s="2386"/>
      <c r="F59" s="340"/>
      <c r="G59" s="456" t="str">
        <f t="shared" ref="G59:G66" si="23">IF(D59=0,"0.00%",(H59-D59)/D59)</f>
        <v>0.00%</v>
      </c>
      <c r="H59" s="340">
        <f t="shared" ref="H59:H65" si="24">ROUND(D59*(LEFT(I59,5)+1),0)</f>
        <v>0</v>
      </c>
      <c r="I59" s="899" t="str">
        <f>TEXT('MYP Assumptions'!E78,"0.00%")&amp;", CPI"</f>
        <v>3.37%, CPI</v>
      </c>
      <c r="J59" s="455"/>
      <c r="K59" s="456" t="str">
        <f t="shared" ref="K59:K66" si="25">IF(H59=0,"0.00%",(L59-H59)/H59)</f>
        <v>0.00%</v>
      </c>
      <c r="L59" s="340">
        <f>ROUND(H59*(LEFT(M59,5)+1),0)</f>
        <v>0</v>
      </c>
      <c r="M59" s="899" t="str">
        <f>TEXT('MYP Assumptions'!F78,"0.00%")&amp;", CPI"</f>
        <v>3.58%, CPI</v>
      </c>
      <c r="O59" s="456" t="str">
        <f t="shared" ref="O59:O66" si="26">IF(L59=0,"0.00%",(P59-L59)/L59)</f>
        <v>0.00%</v>
      </c>
      <c r="P59" s="340">
        <f>ROUND(L59*(LEFT(Q59,5)+1),0)</f>
        <v>0</v>
      </c>
      <c r="Q59" s="899" t="str">
        <f>TEXT('MYP Assumptions'!G78,"0.00%")&amp;", CPI"</f>
        <v>3.36%, CPI</v>
      </c>
      <c r="R59" s="592"/>
      <c r="S59" s="2238" t="str">
        <f t="shared" ref="S59:S66" si="27">IF(P59=0,"0.00%",(T59-P59)/P59)</f>
        <v>0.00%</v>
      </c>
      <c r="T59" s="340">
        <f>ROUND(P59*(LEFT(U59,5)+1),0)</f>
        <v>0</v>
      </c>
      <c r="U59" s="953" t="str">
        <f>TEXT('MYP Assumptions'!H78,"0.00%")&amp;", CPI"</f>
        <v>3.23%, CPI</v>
      </c>
      <c r="V59" s="952"/>
      <c r="W59" s="2241" t="str">
        <f t="shared" ref="W59:W66" si="28">IF(T59=0,"0.00%",(X59-T59)/T59)</f>
        <v>0.00%</v>
      </c>
      <c r="X59" s="340">
        <f>ROUND(T59*(LEFT(Y59,5)+1),0)</f>
        <v>0</v>
      </c>
      <c r="Y59" s="953" t="str">
        <f>TEXT('MYP Assumptions'!I78,"0.00%")&amp;", CPI"</f>
        <v>2.73%, CPI</v>
      </c>
      <c r="AA59" s="456" t="str">
        <f t="shared" ref="AA59:AA66" si="29">IF(X59=0,"0.00%",(AB59-X59)/X59)</f>
        <v>0.00%</v>
      </c>
      <c r="AB59" s="340">
        <f>ROUND(X59*(LEFT(AC59,5)+1),0)</f>
        <v>0</v>
      </c>
      <c r="AC59" s="953" t="str">
        <f>TEXT('MYP Assumptions'!J78,"0.00%")&amp;", CPI"</f>
        <v>2.73%, CPI</v>
      </c>
    </row>
    <row r="60" spans="1:29" s="457" customFormat="1" hidden="1" x14ac:dyDescent="0.25">
      <c r="A60" s="2227"/>
      <c r="B60" s="2385"/>
      <c r="C60" s="2215"/>
      <c r="D60" s="340">
        <v>0</v>
      </c>
      <c r="E60" s="2386"/>
      <c r="F60" s="340"/>
      <c r="G60" s="456" t="str">
        <f t="shared" si="23"/>
        <v>0.00%</v>
      </c>
      <c r="H60" s="340">
        <f t="shared" si="24"/>
        <v>0</v>
      </c>
      <c r="I60" s="899" t="str">
        <f>TEXT('MYP Assumptions'!E78,"0.00%")&amp;", CPI"</f>
        <v>3.37%, CPI</v>
      </c>
      <c r="J60" s="455"/>
      <c r="K60" s="456" t="str">
        <f t="shared" si="25"/>
        <v>0.00%</v>
      </c>
      <c r="L60" s="340">
        <f t="shared" ref="L60:L65" si="30">ROUND(H60*(LEFT(M60,5)+1),0)</f>
        <v>0</v>
      </c>
      <c r="M60" s="899" t="str">
        <f>TEXT('MYP Assumptions'!F78,"0.00%")&amp;", CPI"</f>
        <v>3.58%, CPI</v>
      </c>
      <c r="O60" s="456" t="str">
        <f t="shared" si="26"/>
        <v>0.00%</v>
      </c>
      <c r="P60" s="340">
        <f t="shared" ref="P60:P65" si="31">ROUND(L60*(LEFT(Q60,5)+1),0)</f>
        <v>0</v>
      </c>
      <c r="Q60" s="899" t="str">
        <f>TEXT('MYP Assumptions'!G78,"0.00%")&amp;", CPI"</f>
        <v>3.36%, CPI</v>
      </c>
      <c r="R60" s="592"/>
      <c r="S60" s="2238" t="str">
        <f t="shared" si="27"/>
        <v>0.00%</v>
      </c>
      <c r="T60" s="340">
        <f t="shared" ref="T60:T65" si="32">ROUND(P60*(LEFT(U60,5)+1),0)</f>
        <v>0</v>
      </c>
      <c r="U60" s="953" t="str">
        <f>TEXT('MYP Assumptions'!H78,"0.00%")&amp;", CPI"</f>
        <v>3.23%, CPI</v>
      </c>
      <c r="V60" s="952"/>
      <c r="W60" s="2241" t="str">
        <f t="shared" si="28"/>
        <v>0.00%</v>
      </c>
      <c r="X60" s="340">
        <f t="shared" ref="X60:X65" si="33">ROUND(T60*(LEFT(Y60,5)+1),0)</f>
        <v>0</v>
      </c>
      <c r="Y60" s="953" t="str">
        <f>TEXT('MYP Assumptions'!I78,"0.00%")&amp;", CPI"</f>
        <v>2.73%, CPI</v>
      </c>
      <c r="AA60" s="456" t="str">
        <f t="shared" si="29"/>
        <v>0.00%</v>
      </c>
      <c r="AB60" s="340">
        <f t="shared" ref="AB60:AB65" si="34">ROUND(X60*(LEFT(AC60,5)+1),0)</f>
        <v>0</v>
      </c>
      <c r="AC60" s="953" t="str">
        <f>TEXT('MYP Assumptions'!J78,"0.00%")&amp;", CPI"</f>
        <v>2.73%, CPI</v>
      </c>
    </row>
    <row r="61" spans="1:29" s="457" customFormat="1" hidden="1" x14ac:dyDescent="0.25">
      <c r="A61" s="2227"/>
      <c r="B61" s="2385"/>
      <c r="C61" s="2215"/>
      <c r="D61" s="340">
        <v>0</v>
      </c>
      <c r="E61" s="2386"/>
      <c r="F61" s="340"/>
      <c r="G61" s="456" t="str">
        <f t="shared" si="23"/>
        <v>0.00%</v>
      </c>
      <c r="H61" s="340">
        <f t="shared" si="24"/>
        <v>0</v>
      </c>
      <c r="I61" s="899" t="str">
        <f>TEXT('MYP Assumptions'!E78,"0.00%")&amp;", CPI"</f>
        <v>3.37%, CPI</v>
      </c>
      <c r="J61" s="455"/>
      <c r="K61" s="456" t="str">
        <f t="shared" si="25"/>
        <v>0.00%</v>
      </c>
      <c r="L61" s="340">
        <f t="shared" si="30"/>
        <v>0</v>
      </c>
      <c r="M61" s="899" t="str">
        <f>TEXT('MYP Assumptions'!F78,"0.00%")&amp;", CPI"</f>
        <v>3.58%, CPI</v>
      </c>
      <c r="O61" s="456" t="str">
        <f t="shared" si="26"/>
        <v>0.00%</v>
      </c>
      <c r="P61" s="340">
        <f t="shared" si="31"/>
        <v>0</v>
      </c>
      <c r="Q61" s="899" t="str">
        <f>TEXT('MYP Assumptions'!G78,"0.00%")&amp;", CPI"</f>
        <v>3.36%, CPI</v>
      </c>
      <c r="R61" s="592"/>
      <c r="S61" s="2238" t="str">
        <f t="shared" si="27"/>
        <v>0.00%</v>
      </c>
      <c r="T61" s="340">
        <f t="shared" si="32"/>
        <v>0</v>
      </c>
      <c r="U61" s="953" t="str">
        <f>TEXT('MYP Assumptions'!H78,"0.00%")&amp;", CPI"</f>
        <v>3.23%, CPI</v>
      </c>
      <c r="V61" s="952"/>
      <c r="W61" s="2241" t="str">
        <f t="shared" si="28"/>
        <v>0.00%</v>
      </c>
      <c r="X61" s="340">
        <f t="shared" si="33"/>
        <v>0</v>
      </c>
      <c r="Y61" s="953" t="str">
        <f>TEXT('MYP Assumptions'!I78,"0.00%")&amp;", CPI"</f>
        <v>2.73%, CPI</v>
      </c>
      <c r="AA61" s="456" t="str">
        <f t="shared" si="29"/>
        <v>0.00%</v>
      </c>
      <c r="AB61" s="340">
        <f t="shared" si="34"/>
        <v>0</v>
      </c>
      <c r="AC61" s="953" t="str">
        <f>TEXT('MYP Assumptions'!J78,"0.00%")&amp;", CPI"</f>
        <v>2.73%, CPI</v>
      </c>
    </row>
    <row r="62" spans="1:29" s="457" customFormat="1" hidden="1" x14ac:dyDescent="0.25">
      <c r="A62" s="2227"/>
      <c r="B62" s="2385"/>
      <c r="C62" s="2215"/>
      <c r="D62" s="340">
        <v>0</v>
      </c>
      <c r="E62" s="2386"/>
      <c r="F62" s="340"/>
      <c r="G62" s="456" t="str">
        <f t="shared" si="23"/>
        <v>0.00%</v>
      </c>
      <c r="H62" s="340">
        <f t="shared" si="24"/>
        <v>0</v>
      </c>
      <c r="I62" s="899" t="str">
        <f>TEXT('MYP Assumptions'!E78,"0.00%")&amp;", CPI"</f>
        <v>3.37%, CPI</v>
      </c>
      <c r="J62" s="455"/>
      <c r="K62" s="456" t="str">
        <f t="shared" si="25"/>
        <v>0.00%</v>
      </c>
      <c r="L62" s="340">
        <f t="shared" si="30"/>
        <v>0</v>
      </c>
      <c r="M62" s="899" t="str">
        <f>TEXT('MYP Assumptions'!F78,"0.00%")&amp;", CPI"</f>
        <v>3.58%, CPI</v>
      </c>
      <c r="O62" s="456" t="str">
        <f t="shared" si="26"/>
        <v>0.00%</v>
      </c>
      <c r="P62" s="340">
        <f t="shared" si="31"/>
        <v>0</v>
      </c>
      <c r="Q62" s="899" t="str">
        <f>TEXT('MYP Assumptions'!G78,"0.00%")&amp;", CPI"</f>
        <v>3.36%, CPI</v>
      </c>
      <c r="R62" s="592"/>
      <c r="S62" s="2238" t="str">
        <f t="shared" si="27"/>
        <v>0.00%</v>
      </c>
      <c r="T62" s="340">
        <f t="shared" si="32"/>
        <v>0</v>
      </c>
      <c r="U62" s="953" t="str">
        <f>TEXT('MYP Assumptions'!H78,"0.00%")&amp;", CPI"</f>
        <v>3.23%, CPI</v>
      </c>
      <c r="V62" s="952"/>
      <c r="W62" s="2241" t="str">
        <f t="shared" si="28"/>
        <v>0.00%</v>
      </c>
      <c r="X62" s="340">
        <f t="shared" si="33"/>
        <v>0</v>
      </c>
      <c r="Y62" s="953" t="str">
        <f>TEXT('MYP Assumptions'!I78,"0.00%")&amp;", CPI"</f>
        <v>2.73%, CPI</v>
      </c>
      <c r="AA62" s="456" t="str">
        <f t="shared" si="29"/>
        <v>0.00%</v>
      </c>
      <c r="AB62" s="340">
        <f t="shared" si="34"/>
        <v>0</v>
      </c>
      <c r="AC62" s="953" t="str">
        <f>TEXT('MYP Assumptions'!J78,"0.00%")&amp;", CPI"</f>
        <v>2.73%, CPI</v>
      </c>
    </row>
    <row r="63" spans="1:29" s="457" customFormat="1" hidden="1" x14ac:dyDescent="0.25">
      <c r="A63" s="2227"/>
      <c r="B63" s="2385"/>
      <c r="C63" s="2215"/>
      <c r="D63" s="340">
        <v>0</v>
      </c>
      <c r="E63" s="2386"/>
      <c r="F63" s="340"/>
      <c r="G63" s="456" t="str">
        <f t="shared" si="23"/>
        <v>0.00%</v>
      </c>
      <c r="H63" s="340">
        <f t="shared" si="24"/>
        <v>0</v>
      </c>
      <c r="I63" s="899" t="str">
        <f>TEXT('MYP Assumptions'!E78,"0.00%")&amp;", CPI"</f>
        <v>3.37%, CPI</v>
      </c>
      <c r="J63" s="455"/>
      <c r="K63" s="456" t="str">
        <f t="shared" si="25"/>
        <v>0.00%</v>
      </c>
      <c r="L63" s="340">
        <f t="shared" si="30"/>
        <v>0</v>
      </c>
      <c r="M63" s="899" t="str">
        <f>TEXT('MYP Assumptions'!F78,"0.00%")&amp;", CPI"</f>
        <v>3.58%, CPI</v>
      </c>
      <c r="O63" s="456" t="str">
        <f t="shared" si="26"/>
        <v>0.00%</v>
      </c>
      <c r="P63" s="340">
        <f t="shared" si="31"/>
        <v>0</v>
      </c>
      <c r="Q63" s="899" t="str">
        <f>TEXT('MYP Assumptions'!G78,"0.00%")&amp;", CPI"</f>
        <v>3.36%, CPI</v>
      </c>
      <c r="R63" s="592"/>
      <c r="S63" s="2238" t="str">
        <f t="shared" si="27"/>
        <v>0.00%</v>
      </c>
      <c r="T63" s="340">
        <f t="shared" si="32"/>
        <v>0</v>
      </c>
      <c r="U63" s="953" t="str">
        <f>TEXT('MYP Assumptions'!H78,"0.00%")&amp;", CPI"</f>
        <v>3.23%, CPI</v>
      </c>
      <c r="V63" s="952"/>
      <c r="W63" s="2241" t="str">
        <f t="shared" si="28"/>
        <v>0.00%</v>
      </c>
      <c r="X63" s="340">
        <f t="shared" si="33"/>
        <v>0</v>
      </c>
      <c r="Y63" s="953" t="str">
        <f>TEXT('MYP Assumptions'!I78,"0.00%")&amp;", CPI"</f>
        <v>2.73%, CPI</v>
      </c>
      <c r="AA63" s="456" t="str">
        <f t="shared" si="29"/>
        <v>0.00%</v>
      </c>
      <c r="AB63" s="340">
        <f t="shared" si="34"/>
        <v>0</v>
      </c>
      <c r="AC63" s="953" t="str">
        <f>TEXT('MYP Assumptions'!J78,"0.00%")&amp;", CPI"</f>
        <v>2.73%, CPI</v>
      </c>
    </row>
    <row r="64" spans="1:29" s="457" customFormat="1" hidden="1" x14ac:dyDescent="0.25">
      <c r="A64" s="2227"/>
      <c r="B64" s="2385"/>
      <c r="C64" s="2215"/>
      <c r="D64" s="340">
        <v>0</v>
      </c>
      <c r="E64" s="2386"/>
      <c r="F64" s="340"/>
      <c r="G64" s="456" t="str">
        <f t="shared" si="23"/>
        <v>0.00%</v>
      </c>
      <c r="H64" s="340">
        <f t="shared" si="24"/>
        <v>0</v>
      </c>
      <c r="I64" s="899" t="str">
        <f>TEXT('MYP Assumptions'!E78,"0.00%")&amp;", CPI"</f>
        <v>3.37%, CPI</v>
      </c>
      <c r="J64" s="455"/>
      <c r="K64" s="456" t="str">
        <f t="shared" si="25"/>
        <v>0.00%</v>
      </c>
      <c r="L64" s="340">
        <f t="shared" si="30"/>
        <v>0</v>
      </c>
      <c r="M64" s="899" t="str">
        <f>TEXT('MYP Assumptions'!F78,"0.00%")&amp;", CPI"</f>
        <v>3.58%, CPI</v>
      </c>
      <c r="O64" s="456" t="str">
        <f t="shared" si="26"/>
        <v>0.00%</v>
      </c>
      <c r="P64" s="340">
        <f t="shared" si="31"/>
        <v>0</v>
      </c>
      <c r="Q64" s="899" t="str">
        <f>TEXT('MYP Assumptions'!G78,"0.00%")&amp;", CPI"</f>
        <v>3.36%, CPI</v>
      </c>
      <c r="R64" s="592"/>
      <c r="S64" s="2238" t="str">
        <f t="shared" si="27"/>
        <v>0.00%</v>
      </c>
      <c r="T64" s="340">
        <f t="shared" si="32"/>
        <v>0</v>
      </c>
      <c r="U64" s="953" t="str">
        <f>TEXT('MYP Assumptions'!H78,"0.00%")&amp;", CPI"</f>
        <v>3.23%, CPI</v>
      </c>
      <c r="V64" s="952"/>
      <c r="W64" s="2241" t="str">
        <f t="shared" si="28"/>
        <v>0.00%</v>
      </c>
      <c r="X64" s="340">
        <f t="shared" si="33"/>
        <v>0</v>
      </c>
      <c r="Y64" s="953" t="str">
        <f>TEXT('MYP Assumptions'!I78,"0.00%")&amp;", CPI"</f>
        <v>2.73%, CPI</v>
      </c>
      <c r="AA64" s="456" t="str">
        <f t="shared" si="29"/>
        <v>0.00%</v>
      </c>
      <c r="AB64" s="340">
        <f t="shared" si="34"/>
        <v>0</v>
      </c>
      <c r="AC64" s="953" t="str">
        <f>TEXT('MYP Assumptions'!J78,"0.00%")&amp;", CPI"</f>
        <v>2.73%, CPI</v>
      </c>
    </row>
    <row r="65" spans="1:29" s="457" customFormat="1" hidden="1" x14ac:dyDescent="0.25">
      <c r="A65" s="2227"/>
      <c r="B65" s="2385"/>
      <c r="C65" s="2349"/>
      <c r="D65" s="340">
        <v>0</v>
      </c>
      <c r="E65" s="2386"/>
      <c r="F65" s="340"/>
      <c r="G65" s="456" t="str">
        <f t="shared" si="23"/>
        <v>0.00%</v>
      </c>
      <c r="H65" s="340">
        <f t="shared" si="24"/>
        <v>0</v>
      </c>
      <c r="I65" s="899" t="str">
        <f>TEXT('MYP Assumptions'!E78,"0.00%")&amp;", CPI"</f>
        <v>3.37%, CPI</v>
      </c>
      <c r="J65" s="455"/>
      <c r="K65" s="456" t="str">
        <f t="shared" si="25"/>
        <v>0.00%</v>
      </c>
      <c r="L65" s="340">
        <f t="shared" si="30"/>
        <v>0</v>
      </c>
      <c r="M65" s="899" t="str">
        <f>TEXT('MYP Assumptions'!F78,"0.00%")&amp;", CPI"</f>
        <v>3.58%, CPI</v>
      </c>
      <c r="O65" s="456" t="str">
        <f t="shared" si="26"/>
        <v>0.00%</v>
      </c>
      <c r="P65" s="340">
        <f t="shared" si="31"/>
        <v>0</v>
      </c>
      <c r="Q65" s="899" t="str">
        <f>TEXT('MYP Assumptions'!G78,"0.00%")&amp;", CPI"</f>
        <v>3.36%, CPI</v>
      </c>
      <c r="R65" s="592"/>
      <c r="S65" s="2238" t="str">
        <f t="shared" si="27"/>
        <v>0.00%</v>
      </c>
      <c r="T65" s="340">
        <f t="shared" si="32"/>
        <v>0</v>
      </c>
      <c r="U65" s="953" t="str">
        <f>TEXT('MYP Assumptions'!H78,"0.00%")&amp;", CPI"</f>
        <v>3.23%, CPI</v>
      </c>
      <c r="V65" s="952"/>
      <c r="W65" s="2241" t="str">
        <f t="shared" si="28"/>
        <v>0.00%</v>
      </c>
      <c r="X65" s="340">
        <f t="shared" si="33"/>
        <v>0</v>
      </c>
      <c r="Y65" s="953" t="str">
        <f>TEXT('MYP Assumptions'!I78,"0.00%")&amp;", CPI"</f>
        <v>2.73%, CPI</v>
      </c>
      <c r="AA65" s="456" t="str">
        <f t="shared" si="29"/>
        <v>0.00%</v>
      </c>
      <c r="AB65" s="340">
        <f t="shared" si="34"/>
        <v>0</v>
      </c>
      <c r="AC65" s="953" t="str">
        <f>TEXT('MYP Assumptions'!J78,"0.00%")&amp;", CPI"</f>
        <v>2.73%, CPI</v>
      </c>
    </row>
    <row r="66" spans="1:29" s="457" customFormat="1" hidden="1" x14ac:dyDescent="0.25">
      <c r="A66" s="2228"/>
      <c r="B66" s="2215"/>
      <c r="C66" s="2215"/>
      <c r="D66" s="458">
        <f>SUM(D59:D65)</f>
        <v>0</v>
      </c>
      <c r="E66" s="2386"/>
      <c r="F66" s="340"/>
      <c r="G66" s="456" t="str">
        <f t="shared" si="23"/>
        <v>0.00%</v>
      </c>
      <c r="H66" s="458">
        <f>SUM(H59:H65)</f>
        <v>0</v>
      </c>
      <c r="I66" s="898"/>
      <c r="J66" s="459"/>
      <c r="K66" s="456" t="str">
        <f t="shared" si="25"/>
        <v>0.00%</v>
      </c>
      <c r="L66" s="458">
        <f>SUM(L59:L65)</f>
        <v>0</v>
      </c>
      <c r="M66" s="901"/>
      <c r="O66" s="456" t="str">
        <f t="shared" si="26"/>
        <v>0.00%</v>
      </c>
      <c r="P66" s="458">
        <f>SUM(P59:P65)</f>
        <v>0</v>
      </c>
      <c r="Q66" s="901"/>
      <c r="R66" s="592"/>
      <c r="S66" s="2238" t="str">
        <f t="shared" si="27"/>
        <v>0.00%</v>
      </c>
      <c r="T66" s="458">
        <f>SUM(T59:T65)</f>
        <v>0</v>
      </c>
      <c r="U66" s="2344"/>
      <c r="V66" s="952"/>
      <c r="W66" s="2241" t="str">
        <f t="shared" si="28"/>
        <v>0.00%</v>
      </c>
      <c r="X66" s="458">
        <f>SUM(X59:X65)</f>
        <v>0</v>
      </c>
      <c r="Y66" s="2344"/>
      <c r="AA66" s="456" t="str">
        <f t="shared" si="29"/>
        <v>0.00%</v>
      </c>
      <c r="AB66" s="458">
        <f>SUM(AB59:AB65)</f>
        <v>0</v>
      </c>
      <c r="AC66" s="2344"/>
    </row>
    <row r="67" spans="1:29" s="457" customFormat="1" x14ac:dyDescent="0.25">
      <c r="A67" s="2227"/>
      <c r="B67" s="2345"/>
      <c r="C67" s="2215"/>
      <c r="D67" s="340"/>
      <c r="E67" s="2386"/>
      <c r="F67" s="340"/>
      <c r="G67" s="2338"/>
      <c r="H67" s="340"/>
      <c r="I67" s="897"/>
      <c r="J67" s="455"/>
      <c r="K67" s="1668"/>
      <c r="L67" s="340"/>
      <c r="M67" s="901"/>
      <c r="O67" s="1668"/>
      <c r="P67" s="340"/>
      <c r="Q67" s="901"/>
      <c r="R67" s="592"/>
      <c r="S67" s="2341"/>
      <c r="T67" s="340"/>
      <c r="U67" s="2344"/>
      <c r="V67" s="952"/>
      <c r="W67" s="2343"/>
      <c r="X67" s="340"/>
      <c r="Y67" s="2344"/>
      <c r="AA67" s="1668"/>
      <c r="AB67" s="340"/>
      <c r="AC67" s="2344"/>
    </row>
    <row r="68" spans="1:29" s="461" customFormat="1" x14ac:dyDescent="0.25">
      <c r="A68" s="2225"/>
      <c r="B68" s="2337" t="s">
        <v>16</v>
      </c>
      <c r="C68" s="2225"/>
      <c r="D68" s="460"/>
      <c r="E68" s="868"/>
      <c r="F68" s="460"/>
      <c r="G68" s="2389"/>
      <c r="H68" s="460"/>
      <c r="I68" s="900"/>
      <c r="K68" s="1669"/>
      <c r="L68" s="460"/>
      <c r="M68" s="902"/>
      <c r="O68" s="1669"/>
      <c r="P68" s="460"/>
      <c r="Q68" s="902"/>
      <c r="S68" s="1669"/>
      <c r="U68" s="2392"/>
      <c r="V68" s="2381"/>
      <c r="W68" s="2382"/>
      <c r="Y68" s="2392"/>
      <c r="AA68" s="1669"/>
      <c r="AC68" s="2392"/>
    </row>
    <row r="69" spans="1:29" s="457" customFormat="1" x14ac:dyDescent="0.25">
      <c r="A69" s="2227"/>
      <c r="B69" s="2385">
        <v>5814</v>
      </c>
      <c r="C69" s="2215" t="s">
        <v>4</v>
      </c>
      <c r="D69" s="340">
        <v>459915.5</v>
      </c>
      <c r="E69" s="2386" t="s">
        <v>268</v>
      </c>
      <c r="F69" s="340"/>
      <c r="G69" s="456">
        <f t="shared" ref="G69:G74" si="35">IF(D69=0,"0.00%",(H69-D69)/D69)</f>
        <v>-0.87823850250752589</v>
      </c>
      <c r="H69" s="340">
        <v>56000</v>
      </c>
      <c r="I69" s="899"/>
      <c r="J69" s="455"/>
      <c r="K69" s="456">
        <f t="shared" ref="K69:K82" si="36">IF(H69=0,"0.00%",(L69-H69)/H69)</f>
        <v>1.93275</v>
      </c>
      <c r="L69" s="340">
        <v>164234</v>
      </c>
      <c r="M69" s="899"/>
      <c r="O69" s="456">
        <f t="shared" ref="O69:O82" si="37">IF(L69=0,"0.00%",(P69-L69)/L69)</f>
        <v>-1</v>
      </c>
      <c r="P69" s="340">
        <v>0</v>
      </c>
      <c r="Q69" s="899"/>
      <c r="R69" s="592"/>
      <c r="S69" s="2238" t="str">
        <f t="shared" ref="S69:S82" si="38">IF(P69=0,"0.00%",(T69-P69)/P69)</f>
        <v>0.00%</v>
      </c>
      <c r="T69" s="340">
        <v>0</v>
      </c>
      <c r="U69" s="953"/>
      <c r="V69" s="952"/>
      <c r="W69" s="2241" t="str">
        <f t="shared" ref="W69:W82" si="39">IF(T69=0,"0.00%",(X69-T69)/T69)</f>
        <v>0.00%</v>
      </c>
      <c r="X69" s="340">
        <f>ROUND(T69*(LEFT(Y69,5)+1),0)</f>
        <v>0</v>
      </c>
      <c r="Y69" s="953" t="str">
        <f>TEXT('MYP Assumptions'!I78,"0.00%")&amp;", CPI"</f>
        <v>2.73%, CPI</v>
      </c>
      <c r="AA69" s="456" t="str">
        <f t="shared" ref="AA69:AA82" si="40">IF(X69=0,"0.00%",(AB69-X69)/X69)</f>
        <v>0.00%</v>
      </c>
      <c r="AB69" s="340">
        <f>ROUND(X69*(LEFT(AC69,5)+1),0)</f>
        <v>0</v>
      </c>
      <c r="AC69" s="953" t="str">
        <f>TEXT('MYP Assumptions'!J78,"0.00%")&amp;", CPI"</f>
        <v>2.73%, CPI</v>
      </c>
    </row>
    <row r="70" spans="1:29" s="457" customFormat="1" hidden="1" x14ac:dyDescent="0.25">
      <c r="A70" s="2227"/>
      <c r="B70" s="2385"/>
      <c r="C70" s="2215"/>
      <c r="D70" s="340">
        <v>0</v>
      </c>
      <c r="E70" s="2386"/>
      <c r="F70" s="340"/>
      <c r="G70" s="456" t="str">
        <f t="shared" si="35"/>
        <v>0.00%</v>
      </c>
      <c r="H70" s="340">
        <f>ROUND(D70*(LEFT(I70,5)+1),0)</f>
        <v>0</v>
      </c>
      <c r="I70" s="899" t="str">
        <f>TEXT('MYP Assumptions'!E78,"0.00%")&amp;", CPI"</f>
        <v>3.37%, CPI</v>
      </c>
      <c r="J70" s="455"/>
      <c r="K70" s="456" t="str">
        <f t="shared" si="36"/>
        <v>0.00%</v>
      </c>
      <c r="L70" s="340">
        <f t="shared" ref="L70:L81" si="41">ROUND(H70*(LEFT(M70,5)+1),0)</f>
        <v>0</v>
      </c>
      <c r="M70" s="899" t="str">
        <f>TEXT('MYP Assumptions'!F78,"0.00%")&amp;", CPI"</f>
        <v>3.58%, CPI</v>
      </c>
      <c r="O70" s="456" t="str">
        <f t="shared" si="37"/>
        <v>0.00%</v>
      </c>
      <c r="P70" s="340">
        <f t="shared" ref="P70:P81" si="42">ROUND(L70*(LEFT(Q70,5)+1),0)</f>
        <v>0</v>
      </c>
      <c r="Q70" s="899" t="str">
        <f>TEXT('MYP Assumptions'!G78,"0.00%")&amp;", CPI"</f>
        <v>3.36%, CPI</v>
      </c>
      <c r="R70" s="592"/>
      <c r="S70" s="2238" t="str">
        <f t="shared" si="38"/>
        <v>0.00%</v>
      </c>
      <c r="T70" s="340">
        <f t="shared" ref="T70:T81" si="43">ROUND(P70*(LEFT(U70,5)+1),0)</f>
        <v>0</v>
      </c>
      <c r="U70" s="953" t="str">
        <f>TEXT('MYP Assumptions'!H78,"0.00%")&amp;", CPI"</f>
        <v>3.23%, CPI</v>
      </c>
      <c r="V70" s="952"/>
      <c r="W70" s="2241" t="str">
        <f t="shared" si="39"/>
        <v>0.00%</v>
      </c>
      <c r="X70" s="340">
        <f t="shared" ref="X70:X81" si="44">ROUND(T70*(LEFT(Y70,5)+1),0)</f>
        <v>0</v>
      </c>
      <c r="Y70" s="953" t="str">
        <f>TEXT('MYP Assumptions'!I78,"0.00%")&amp;", CPI"</f>
        <v>2.73%, CPI</v>
      </c>
      <c r="AA70" s="456" t="str">
        <f t="shared" si="40"/>
        <v>0.00%</v>
      </c>
      <c r="AB70" s="340">
        <f t="shared" ref="AB70:AB81" si="45">ROUND(X70*(LEFT(AC70,5)+1),0)</f>
        <v>0</v>
      </c>
      <c r="AC70" s="953" t="str">
        <f>TEXT('MYP Assumptions'!J78,"0.00%")&amp;", CPI"</f>
        <v>2.73%, CPI</v>
      </c>
    </row>
    <row r="71" spans="1:29" s="457" customFormat="1" hidden="1" x14ac:dyDescent="0.25">
      <c r="A71" s="2227"/>
      <c r="B71" s="2385"/>
      <c r="C71" s="2215"/>
      <c r="D71" s="340">
        <v>0</v>
      </c>
      <c r="E71" s="2386"/>
      <c r="F71" s="340"/>
      <c r="G71" s="456" t="str">
        <f t="shared" si="35"/>
        <v>0.00%</v>
      </c>
      <c r="H71" s="340">
        <f t="shared" ref="H71:H76" si="46">ROUND(D71*(LEFT(I71,5)+1),0)</f>
        <v>0</v>
      </c>
      <c r="I71" s="899" t="str">
        <f>TEXT('MYP Assumptions'!E78,"0.00%")&amp;", CPI"</f>
        <v>3.37%, CPI</v>
      </c>
      <c r="J71" s="455"/>
      <c r="K71" s="456" t="str">
        <f t="shared" si="36"/>
        <v>0.00%</v>
      </c>
      <c r="L71" s="340">
        <f t="shared" si="41"/>
        <v>0</v>
      </c>
      <c r="M71" s="899" t="str">
        <f>TEXT('MYP Assumptions'!F78,"0.00%")&amp;", CPI"</f>
        <v>3.58%, CPI</v>
      </c>
      <c r="O71" s="456" t="str">
        <f t="shared" si="37"/>
        <v>0.00%</v>
      </c>
      <c r="P71" s="340">
        <f t="shared" si="42"/>
        <v>0</v>
      </c>
      <c r="Q71" s="899" t="str">
        <f>TEXT('MYP Assumptions'!G78,"0.00%")&amp;", CPI"</f>
        <v>3.36%, CPI</v>
      </c>
      <c r="R71" s="592"/>
      <c r="S71" s="2238" t="str">
        <f t="shared" si="38"/>
        <v>0.00%</v>
      </c>
      <c r="T71" s="340">
        <f t="shared" si="43"/>
        <v>0</v>
      </c>
      <c r="U71" s="953" t="str">
        <f>TEXT('MYP Assumptions'!H78,"0.00%")&amp;", CPI"</f>
        <v>3.23%, CPI</v>
      </c>
      <c r="V71" s="952"/>
      <c r="W71" s="2241" t="str">
        <f t="shared" si="39"/>
        <v>0.00%</v>
      </c>
      <c r="X71" s="340">
        <f t="shared" si="44"/>
        <v>0</v>
      </c>
      <c r="Y71" s="953" t="str">
        <f>TEXT('MYP Assumptions'!I78,"0.00%")&amp;", CPI"</f>
        <v>2.73%, CPI</v>
      </c>
      <c r="AA71" s="456" t="str">
        <f t="shared" si="40"/>
        <v>0.00%</v>
      </c>
      <c r="AB71" s="340">
        <f t="shared" si="45"/>
        <v>0</v>
      </c>
      <c r="AC71" s="953" t="str">
        <f>TEXT('MYP Assumptions'!J78,"0.00%")&amp;", CPI"</f>
        <v>2.73%, CPI</v>
      </c>
    </row>
    <row r="72" spans="1:29" s="457" customFormat="1" hidden="1" x14ac:dyDescent="0.25">
      <c r="A72" s="2227"/>
      <c r="B72" s="2385"/>
      <c r="C72" s="2215"/>
      <c r="D72" s="340">
        <v>0</v>
      </c>
      <c r="E72" s="2386"/>
      <c r="F72" s="340"/>
      <c r="G72" s="456" t="str">
        <f t="shared" si="35"/>
        <v>0.00%</v>
      </c>
      <c r="H72" s="340">
        <f t="shared" si="46"/>
        <v>0</v>
      </c>
      <c r="I72" s="899" t="str">
        <f>TEXT('MYP Assumptions'!E78,"0.00%")&amp;", CPI"</f>
        <v>3.37%, CPI</v>
      </c>
      <c r="J72" s="455"/>
      <c r="K72" s="456" t="str">
        <f t="shared" si="36"/>
        <v>0.00%</v>
      </c>
      <c r="L72" s="340">
        <f t="shared" si="41"/>
        <v>0</v>
      </c>
      <c r="M72" s="899" t="str">
        <f>TEXT('MYP Assumptions'!F78,"0.00%")&amp;", CPI"</f>
        <v>3.58%, CPI</v>
      </c>
      <c r="O72" s="456" t="str">
        <f t="shared" si="37"/>
        <v>0.00%</v>
      </c>
      <c r="P72" s="340">
        <f t="shared" si="42"/>
        <v>0</v>
      </c>
      <c r="Q72" s="899" t="str">
        <f>TEXT('MYP Assumptions'!G78,"0.00%")&amp;", CPI"</f>
        <v>3.36%, CPI</v>
      </c>
      <c r="R72" s="592"/>
      <c r="S72" s="2238" t="str">
        <f t="shared" si="38"/>
        <v>0.00%</v>
      </c>
      <c r="T72" s="340">
        <f t="shared" si="43"/>
        <v>0</v>
      </c>
      <c r="U72" s="953" t="str">
        <f>TEXT('MYP Assumptions'!H78,"0.00%")&amp;", CPI"</f>
        <v>3.23%, CPI</v>
      </c>
      <c r="V72" s="952"/>
      <c r="W72" s="2241" t="str">
        <f t="shared" si="39"/>
        <v>0.00%</v>
      </c>
      <c r="X72" s="340">
        <f t="shared" si="44"/>
        <v>0</v>
      </c>
      <c r="Y72" s="953" t="str">
        <f>TEXT('MYP Assumptions'!I78,"0.00%")&amp;", CPI"</f>
        <v>2.73%, CPI</v>
      </c>
      <c r="AA72" s="456" t="str">
        <f t="shared" si="40"/>
        <v>0.00%</v>
      </c>
      <c r="AB72" s="340">
        <f t="shared" si="45"/>
        <v>0</v>
      </c>
      <c r="AC72" s="953" t="str">
        <f>TEXT('MYP Assumptions'!J78,"0.00%")&amp;", CPI"</f>
        <v>2.73%, CPI</v>
      </c>
    </row>
    <row r="73" spans="1:29" s="457" customFormat="1" hidden="1" x14ac:dyDescent="0.25">
      <c r="A73" s="2227"/>
      <c r="B73" s="2385"/>
      <c r="C73" s="2215"/>
      <c r="D73" s="340">
        <v>0</v>
      </c>
      <c r="E73" s="2386"/>
      <c r="F73" s="340"/>
      <c r="G73" s="456" t="str">
        <f t="shared" si="35"/>
        <v>0.00%</v>
      </c>
      <c r="H73" s="340">
        <f t="shared" si="46"/>
        <v>0</v>
      </c>
      <c r="I73" s="899" t="str">
        <f>TEXT('MYP Assumptions'!E78,"0.00%")&amp;", CPI"</f>
        <v>3.37%, CPI</v>
      </c>
      <c r="J73" s="455"/>
      <c r="K73" s="456" t="str">
        <f t="shared" si="36"/>
        <v>0.00%</v>
      </c>
      <c r="L73" s="340">
        <f t="shared" si="41"/>
        <v>0</v>
      </c>
      <c r="M73" s="899" t="str">
        <f>TEXT('MYP Assumptions'!F78,"0.00%")&amp;", CPI"</f>
        <v>3.58%, CPI</v>
      </c>
      <c r="O73" s="456" t="str">
        <f t="shared" si="37"/>
        <v>0.00%</v>
      </c>
      <c r="P73" s="340">
        <f t="shared" si="42"/>
        <v>0</v>
      </c>
      <c r="Q73" s="899" t="str">
        <f>TEXT('MYP Assumptions'!G78,"0.00%")&amp;", CPI"</f>
        <v>3.36%, CPI</v>
      </c>
      <c r="R73" s="592"/>
      <c r="S73" s="2238" t="str">
        <f t="shared" si="38"/>
        <v>0.00%</v>
      </c>
      <c r="T73" s="340">
        <f t="shared" si="43"/>
        <v>0</v>
      </c>
      <c r="U73" s="953" t="str">
        <f>TEXT('MYP Assumptions'!H78,"0.00%")&amp;", CPI"</f>
        <v>3.23%, CPI</v>
      </c>
      <c r="V73" s="952"/>
      <c r="W73" s="2241" t="str">
        <f t="shared" si="39"/>
        <v>0.00%</v>
      </c>
      <c r="X73" s="340">
        <f t="shared" si="44"/>
        <v>0</v>
      </c>
      <c r="Y73" s="953" t="str">
        <f>TEXT('MYP Assumptions'!I78,"0.00%")&amp;", CPI"</f>
        <v>2.73%, CPI</v>
      </c>
      <c r="AA73" s="456" t="str">
        <f t="shared" si="40"/>
        <v>0.00%</v>
      </c>
      <c r="AB73" s="340">
        <f t="shared" si="45"/>
        <v>0</v>
      </c>
      <c r="AC73" s="953" t="str">
        <f>TEXT('MYP Assumptions'!J78,"0.00%")&amp;", CPI"</f>
        <v>2.73%, CPI</v>
      </c>
    </row>
    <row r="74" spans="1:29" s="457" customFormat="1" hidden="1" x14ac:dyDescent="0.25">
      <c r="A74" s="2227"/>
      <c r="B74" s="2385"/>
      <c r="C74" s="2215"/>
      <c r="D74" s="340">
        <v>0</v>
      </c>
      <c r="E74" s="2386"/>
      <c r="F74" s="340"/>
      <c r="G74" s="456" t="str">
        <f t="shared" si="35"/>
        <v>0.00%</v>
      </c>
      <c r="H74" s="340">
        <f t="shared" si="46"/>
        <v>0</v>
      </c>
      <c r="I74" s="899" t="str">
        <f>TEXT('MYP Assumptions'!E78,"0.00%")&amp;", CPI"</f>
        <v>3.37%, CPI</v>
      </c>
      <c r="J74" s="455"/>
      <c r="K74" s="456" t="str">
        <f t="shared" si="36"/>
        <v>0.00%</v>
      </c>
      <c r="L74" s="340">
        <f t="shared" si="41"/>
        <v>0</v>
      </c>
      <c r="M74" s="899" t="str">
        <f>TEXT('MYP Assumptions'!F78,"0.00%")&amp;", CPI"</f>
        <v>3.58%, CPI</v>
      </c>
      <c r="O74" s="456" t="str">
        <f t="shared" si="37"/>
        <v>0.00%</v>
      </c>
      <c r="P74" s="340">
        <f t="shared" si="42"/>
        <v>0</v>
      </c>
      <c r="Q74" s="899" t="str">
        <f>TEXT('MYP Assumptions'!G78,"0.00%")&amp;", CPI"</f>
        <v>3.36%, CPI</v>
      </c>
      <c r="R74" s="592"/>
      <c r="S74" s="2238" t="str">
        <f t="shared" si="38"/>
        <v>0.00%</v>
      </c>
      <c r="T74" s="340">
        <f t="shared" si="43"/>
        <v>0</v>
      </c>
      <c r="U74" s="953" t="str">
        <f>TEXT('MYP Assumptions'!H78,"0.00%")&amp;", CPI"</f>
        <v>3.23%, CPI</v>
      </c>
      <c r="V74" s="952"/>
      <c r="W74" s="2241" t="str">
        <f t="shared" si="39"/>
        <v>0.00%</v>
      </c>
      <c r="X74" s="340">
        <f t="shared" si="44"/>
        <v>0</v>
      </c>
      <c r="Y74" s="953" t="str">
        <f>TEXT('MYP Assumptions'!I78,"0.00%")&amp;", CPI"</f>
        <v>2.73%, CPI</v>
      </c>
      <c r="AA74" s="456" t="str">
        <f t="shared" si="40"/>
        <v>0.00%</v>
      </c>
      <c r="AB74" s="340">
        <f t="shared" si="45"/>
        <v>0</v>
      </c>
      <c r="AC74" s="953" t="str">
        <f>TEXT('MYP Assumptions'!J78,"0.00%")&amp;", CPI"</f>
        <v>2.73%, CPI</v>
      </c>
    </row>
    <row r="75" spans="1:29" s="457" customFormat="1" hidden="1" x14ac:dyDescent="0.25">
      <c r="A75" s="2227"/>
      <c r="B75" s="2385"/>
      <c r="C75" s="2215"/>
      <c r="D75" s="340">
        <v>0</v>
      </c>
      <c r="E75" s="2386"/>
      <c r="F75" s="340"/>
      <c r="G75" s="456" t="str">
        <f>IF(D75=0,"0.00%",(H75-D75)/D75)</f>
        <v>0.00%</v>
      </c>
      <c r="H75" s="340">
        <f t="shared" si="46"/>
        <v>0</v>
      </c>
      <c r="I75" s="899" t="str">
        <f>TEXT('MYP Assumptions'!E78,"0.00%")&amp;", CPI"</f>
        <v>3.37%, CPI</v>
      </c>
      <c r="J75" s="455"/>
      <c r="K75" s="456" t="str">
        <f t="shared" si="36"/>
        <v>0.00%</v>
      </c>
      <c r="L75" s="340">
        <f t="shared" si="41"/>
        <v>0</v>
      </c>
      <c r="M75" s="899" t="str">
        <f>TEXT('MYP Assumptions'!F78,"0.00%")&amp;", CPI"</f>
        <v>3.58%, CPI</v>
      </c>
      <c r="O75" s="456" t="str">
        <f t="shared" si="37"/>
        <v>0.00%</v>
      </c>
      <c r="P75" s="340">
        <f t="shared" si="42"/>
        <v>0</v>
      </c>
      <c r="Q75" s="899" t="str">
        <f>TEXT('MYP Assumptions'!G78,"0.00%")&amp;", CPI"</f>
        <v>3.36%, CPI</v>
      </c>
      <c r="R75" s="592"/>
      <c r="S75" s="2238" t="str">
        <f t="shared" si="38"/>
        <v>0.00%</v>
      </c>
      <c r="T75" s="340">
        <f t="shared" si="43"/>
        <v>0</v>
      </c>
      <c r="U75" s="953" t="str">
        <f>TEXT('MYP Assumptions'!H78,"0.00%")&amp;", CPI"</f>
        <v>3.23%, CPI</v>
      </c>
      <c r="V75" s="952"/>
      <c r="W75" s="2241" t="str">
        <f t="shared" si="39"/>
        <v>0.00%</v>
      </c>
      <c r="X75" s="340">
        <f t="shared" si="44"/>
        <v>0</v>
      </c>
      <c r="Y75" s="953" t="str">
        <f>TEXT('MYP Assumptions'!I78,"0.00%")&amp;", CPI"</f>
        <v>2.73%, CPI</v>
      </c>
      <c r="AA75" s="456" t="str">
        <f t="shared" si="40"/>
        <v>0.00%</v>
      </c>
      <c r="AB75" s="340">
        <f t="shared" si="45"/>
        <v>0</v>
      </c>
      <c r="AC75" s="953" t="str">
        <f>TEXT('MYP Assumptions'!J78,"0.00%")&amp;", CPI"</f>
        <v>2.73%, CPI</v>
      </c>
    </row>
    <row r="76" spans="1:29" s="457" customFormat="1" hidden="1" x14ac:dyDescent="0.25">
      <c r="A76" s="2227"/>
      <c r="B76" s="2385"/>
      <c r="C76" s="2215"/>
      <c r="D76" s="340">
        <v>0</v>
      </c>
      <c r="E76" s="2386"/>
      <c r="F76" s="340"/>
      <c r="G76" s="456" t="str">
        <f t="shared" ref="G76:G82" si="47">IF(D76=0,"0.00%",(H76-D76)/D76)</f>
        <v>0.00%</v>
      </c>
      <c r="H76" s="340">
        <f t="shared" si="46"/>
        <v>0</v>
      </c>
      <c r="I76" s="899" t="str">
        <f>TEXT('MYP Assumptions'!E78,"0.00%")&amp;", CPI"</f>
        <v>3.37%, CPI</v>
      </c>
      <c r="J76" s="455"/>
      <c r="K76" s="456" t="str">
        <f t="shared" si="36"/>
        <v>0.00%</v>
      </c>
      <c r="L76" s="340">
        <f t="shared" si="41"/>
        <v>0</v>
      </c>
      <c r="M76" s="899" t="str">
        <f>TEXT('MYP Assumptions'!F78,"0.00%")&amp;", CPI"</f>
        <v>3.58%, CPI</v>
      </c>
      <c r="O76" s="456" t="str">
        <f t="shared" si="37"/>
        <v>0.00%</v>
      </c>
      <c r="P76" s="340">
        <f t="shared" si="42"/>
        <v>0</v>
      </c>
      <c r="Q76" s="899" t="str">
        <f>TEXT('MYP Assumptions'!G78,"0.00%")&amp;", CPI"</f>
        <v>3.36%, CPI</v>
      </c>
      <c r="R76" s="592"/>
      <c r="S76" s="2238" t="str">
        <f t="shared" si="38"/>
        <v>0.00%</v>
      </c>
      <c r="T76" s="340">
        <f t="shared" si="43"/>
        <v>0</v>
      </c>
      <c r="U76" s="953" t="str">
        <f>TEXT('MYP Assumptions'!H78,"0.00%")&amp;", CPI"</f>
        <v>3.23%, CPI</v>
      </c>
      <c r="V76" s="952"/>
      <c r="W76" s="2241" t="str">
        <f t="shared" si="39"/>
        <v>0.00%</v>
      </c>
      <c r="X76" s="340">
        <f t="shared" si="44"/>
        <v>0</v>
      </c>
      <c r="Y76" s="953" t="str">
        <f>TEXT('MYP Assumptions'!I78,"0.00%")&amp;", CPI"</f>
        <v>2.73%, CPI</v>
      </c>
      <c r="AA76" s="456" t="str">
        <f t="shared" si="40"/>
        <v>0.00%</v>
      </c>
      <c r="AB76" s="340">
        <f t="shared" si="45"/>
        <v>0</v>
      </c>
      <c r="AC76" s="953" t="str">
        <f>TEXT('MYP Assumptions'!J78,"0.00%")&amp;", CPI"</f>
        <v>2.73%, CPI</v>
      </c>
    </row>
    <row r="77" spans="1:29" s="457" customFormat="1" hidden="1" x14ac:dyDescent="0.25">
      <c r="A77" s="2227"/>
      <c r="B77" s="2385"/>
      <c r="C77" s="2215"/>
      <c r="D77" s="340">
        <v>0</v>
      </c>
      <c r="E77" s="2386"/>
      <c r="F77" s="340"/>
      <c r="G77" s="456" t="str">
        <f t="shared" si="47"/>
        <v>0.00%</v>
      </c>
      <c r="H77" s="340">
        <f>ROUND(D77*(LEFT(I77,5)+1),0)</f>
        <v>0</v>
      </c>
      <c r="I77" s="899" t="str">
        <f>TEXT('MYP Assumptions'!E78,"0.00%")&amp;", CPI"</f>
        <v>3.37%, CPI</v>
      </c>
      <c r="J77" s="455"/>
      <c r="K77" s="456" t="str">
        <f t="shared" si="36"/>
        <v>0.00%</v>
      </c>
      <c r="L77" s="340">
        <f t="shared" si="41"/>
        <v>0</v>
      </c>
      <c r="M77" s="899" t="str">
        <f>TEXT('MYP Assumptions'!F78,"0.00%")&amp;", CPI"</f>
        <v>3.58%, CPI</v>
      </c>
      <c r="O77" s="456" t="str">
        <f t="shared" si="37"/>
        <v>0.00%</v>
      </c>
      <c r="P77" s="340">
        <f t="shared" si="42"/>
        <v>0</v>
      </c>
      <c r="Q77" s="899" t="str">
        <f>TEXT('MYP Assumptions'!G78,"0.00%")&amp;", CPI"</f>
        <v>3.36%, CPI</v>
      </c>
      <c r="R77" s="592"/>
      <c r="S77" s="2238" t="str">
        <f t="shared" si="38"/>
        <v>0.00%</v>
      </c>
      <c r="T77" s="340">
        <f t="shared" si="43"/>
        <v>0</v>
      </c>
      <c r="U77" s="953" t="str">
        <f>TEXT('MYP Assumptions'!H78,"0.00%")&amp;", CPI"</f>
        <v>3.23%, CPI</v>
      </c>
      <c r="V77" s="952"/>
      <c r="W77" s="2241" t="str">
        <f t="shared" si="39"/>
        <v>0.00%</v>
      </c>
      <c r="X77" s="340">
        <f t="shared" si="44"/>
        <v>0</v>
      </c>
      <c r="Y77" s="953" t="str">
        <f>TEXT('MYP Assumptions'!I78,"0.00%")&amp;", CPI"</f>
        <v>2.73%, CPI</v>
      </c>
      <c r="AA77" s="456" t="str">
        <f t="shared" si="40"/>
        <v>0.00%</v>
      </c>
      <c r="AB77" s="340">
        <f t="shared" si="45"/>
        <v>0</v>
      </c>
      <c r="AC77" s="953" t="str">
        <f>TEXT('MYP Assumptions'!J78,"0.00%")&amp;", CPI"</f>
        <v>2.73%, CPI</v>
      </c>
    </row>
    <row r="78" spans="1:29" s="457" customFormat="1" hidden="1" x14ac:dyDescent="0.25">
      <c r="A78" s="2227"/>
      <c r="B78" s="2385"/>
      <c r="C78" s="2215"/>
      <c r="D78" s="340">
        <v>0</v>
      </c>
      <c r="E78" s="2386"/>
      <c r="F78" s="340"/>
      <c r="G78" s="456" t="str">
        <f t="shared" si="47"/>
        <v>0.00%</v>
      </c>
      <c r="H78" s="340">
        <f>ROUND(D78*(LEFT(I78,5)+1),0)</f>
        <v>0</v>
      </c>
      <c r="I78" s="899" t="str">
        <f>TEXT('MYP Assumptions'!E78,"0.00%")&amp;", CPI"</f>
        <v>3.37%, CPI</v>
      </c>
      <c r="J78" s="455"/>
      <c r="K78" s="456" t="str">
        <f t="shared" si="36"/>
        <v>0.00%</v>
      </c>
      <c r="L78" s="340">
        <f t="shared" si="41"/>
        <v>0</v>
      </c>
      <c r="M78" s="899" t="str">
        <f>TEXT('MYP Assumptions'!F78,"0.00%")&amp;", CPI"</f>
        <v>3.58%, CPI</v>
      </c>
      <c r="O78" s="456" t="str">
        <f t="shared" si="37"/>
        <v>0.00%</v>
      </c>
      <c r="P78" s="340">
        <f t="shared" si="42"/>
        <v>0</v>
      </c>
      <c r="Q78" s="899" t="str">
        <f>TEXT('MYP Assumptions'!G78,"0.00%")&amp;", CPI"</f>
        <v>3.36%, CPI</v>
      </c>
      <c r="R78" s="592"/>
      <c r="S78" s="2238" t="str">
        <f t="shared" si="38"/>
        <v>0.00%</v>
      </c>
      <c r="T78" s="340">
        <f t="shared" si="43"/>
        <v>0</v>
      </c>
      <c r="U78" s="953" t="str">
        <f>TEXT('MYP Assumptions'!H78,"0.00%")&amp;", CPI"</f>
        <v>3.23%, CPI</v>
      </c>
      <c r="V78" s="952"/>
      <c r="W78" s="2241" t="str">
        <f t="shared" si="39"/>
        <v>0.00%</v>
      </c>
      <c r="X78" s="340">
        <f t="shared" si="44"/>
        <v>0</v>
      </c>
      <c r="Y78" s="953" t="str">
        <f>TEXT('MYP Assumptions'!I78,"0.00%")&amp;", CPI"</f>
        <v>2.73%, CPI</v>
      </c>
      <c r="AA78" s="456" t="str">
        <f t="shared" si="40"/>
        <v>0.00%</v>
      </c>
      <c r="AB78" s="340">
        <f t="shared" si="45"/>
        <v>0</v>
      </c>
      <c r="AC78" s="953" t="str">
        <f>TEXT('MYP Assumptions'!J78,"0.00%")&amp;", CPI"</f>
        <v>2.73%, CPI</v>
      </c>
    </row>
    <row r="79" spans="1:29" s="457" customFormat="1" hidden="1" x14ac:dyDescent="0.25">
      <c r="A79" s="2227"/>
      <c r="B79" s="2385"/>
      <c r="C79" s="2215"/>
      <c r="D79" s="340">
        <v>0</v>
      </c>
      <c r="E79" s="2386"/>
      <c r="F79" s="340"/>
      <c r="G79" s="456" t="str">
        <f t="shared" si="47"/>
        <v>0.00%</v>
      </c>
      <c r="H79" s="340">
        <f>ROUND(D79*(LEFT(I79,5)+1),0)</f>
        <v>0</v>
      </c>
      <c r="I79" s="899" t="str">
        <f>TEXT('MYP Assumptions'!E78,"0.00%")&amp;", CPI"</f>
        <v>3.37%, CPI</v>
      </c>
      <c r="J79" s="455"/>
      <c r="K79" s="456" t="str">
        <f t="shared" si="36"/>
        <v>0.00%</v>
      </c>
      <c r="L79" s="340">
        <f t="shared" si="41"/>
        <v>0</v>
      </c>
      <c r="M79" s="899" t="str">
        <f>TEXT('MYP Assumptions'!F78,"0.00%")&amp;", CPI"</f>
        <v>3.58%, CPI</v>
      </c>
      <c r="O79" s="456" t="str">
        <f t="shared" si="37"/>
        <v>0.00%</v>
      </c>
      <c r="P79" s="340">
        <f t="shared" si="42"/>
        <v>0</v>
      </c>
      <c r="Q79" s="899" t="str">
        <f>TEXT('MYP Assumptions'!G78,"0.00%")&amp;", CPI"</f>
        <v>3.36%, CPI</v>
      </c>
      <c r="R79" s="592"/>
      <c r="S79" s="2238" t="str">
        <f t="shared" si="38"/>
        <v>0.00%</v>
      </c>
      <c r="T79" s="340">
        <f t="shared" si="43"/>
        <v>0</v>
      </c>
      <c r="U79" s="953" t="str">
        <f>TEXT('MYP Assumptions'!H78,"0.00%")&amp;", CPI"</f>
        <v>3.23%, CPI</v>
      </c>
      <c r="V79" s="952"/>
      <c r="W79" s="2241" t="str">
        <f t="shared" si="39"/>
        <v>0.00%</v>
      </c>
      <c r="X79" s="340">
        <f t="shared" si="44"/>
        <v>0</v>
      </c>
      <c r="Y79" s="953" t="str">
        <f>TEXT('MYP Assumptions'!I78,"0.00%")&amp;", CPI"</f>
        <v>2.73%, CPI</v>
      </c>
      <c r="AA79" s="456" t="str">
        <f t="shared" si="40"/>
        <v>0.00%</v>
      </c>
      <c r="AB79" s="340">
        <f t="shared" si="45"/>
        <v>0</v>
      </c>
      <c r="AC79" s="953" t="str">
        <f>TEXT('MYP Assumptions'!J78,"0.00%")&amp;", CPI"</f>
        <v>2.73%, CPI</v>
      </c>
    </row>
    <row r="80" spans="1:29" s="457" customFormat="1" hidden="1" x14ac:dyDescent="0.25">
      <c r="A80" s="2227"/>
      <c r="B80" s="2385"/>
      <c r="C80" s="2215"/>
      <c r="D80" s="340">
        <v>0</v>
      </c>
      <c r="E80" s="2386"/>
      <c r="F80" s="340"/>
      <c r="G80" s="456" t="str">
        <f t="shared" si="47"/>
        <v>0.00%</v>
      </c>
      <c r="H80" s="340">
        <f>ROUND(D80*(LEFT(I80,5)+1),0)</f>
        <v>0</v>
      </c>
      <c r="I80" s="899" t="str">
        <f>TEXT('MYP Assumptions'!E78,"0.00%")&amp;", CPI"</f>
        <v>3.37%, CPI</v>
      </c>
      <c r="J80" s="455"/>
      <c r="K80" s="456" t="str">
        <f t="shared" si="36"/>
        <v>0.00%</v>
      </c>
      <c r="L80" s="340">
        <f t="shared" si="41"/>
        <v>0</v>
      </c>
      <c r="M80" s="899" t="str">
        <f>TEXT('MYP Assumptions'!F78,"0.00%")&amp;", CPI"</f>
        <v>3.58%, CPI</v>
      </c>
      <c r="O80" s="456" t="str">
        <f t="shared" si="37"/>
        <v>0.00%</v>
      </c>
      <c r="P80" s="340">
        <f t="shared" si="42"/>
        <v>0</v>
      </c>
      <c r="Q80" s="899" t="str">
        <f>TEXT('MYP Assumptions'!G78,"0.00%")&amp;", CPI"</f>
        <v>3.36%, CPI</v>
      </c>
      <c r="R80" s="592"/>
      <c r="S80" s="2238" t="str">
        <f t="shared" si="38"/>
        <v>0.00%</v>
      </c>
      <c r="T80" s="340">
        <f t="shared" si="43"/>
        <v>0</v>
      </c>
      <c r="U80" s="953" t="str">
        <f>TEXT('MYP Assumptions'!H78,"0.00%")&amp;", CPI"</f>
        <v>3.23%, CPI</v>
      </c>
      <c r="V80" s="952"/>
      <c r="W80" s="2241" t="str">
        <f t="shared" si="39"/>
        <v>0.00%</v>
      </c>
      <c r="X80" s="340">
        <f t="shared" si="44"/>
        <v>0</v>
      </c>
      <c r="Y80" s="953" t="str">
        <f>TEXT('MYP Assumptions'!I78,"0.00%")&amp;", CPI"</f>
        <v>2.73%, CPI</v>
      </c>
      <c r="AA80" s="456" t="str">
        <f t="shared" si="40"/>
        <v>0.00%</v>
      </c>
      <c r="AB80" s="340">
        <f t="shared" si="45"/>
        <v>0</v>
      </c>
      <c r="AC80" s="953" t="str">
        <f>TEXT('MYP Assumptions'!J78,"0.00%")&amp;", CPI"</f>
        <v>2.73%, CPI</v>
      </c>
    </row>
    <row r="81" spans="1:29" s="457" customFormat="1" hidden="1" x14ac:dyDescent="0.25">
      <c r="A81" s="2227"/>
      <c r="B81" s="2385"/>
      <c r="C81" s="2215"/>
      <c r="D81" s="340">
        <f>'18-19 Budget RS 3010-ALL'!AF80</f>
        <v>0</v>
      </c>
      <c r="E81" s="2386"/>
      <c r="F81" s="340"/>
      <c r="G81" s="456" t="str">
        <f t="shared" si="47"/>
        <v>0.00%</v>
      </c>
      <c r="H81" s="340">
        <f>ROUND(D81*(LEFT(I81,5)+1),0)</f>
        <v>0</v>
      </c>
      <c r="I81" s="899" t="str">
        <f>TEXT('MYP Assumptions'!E78,"0.00%")&amp;", CPI"</f>
        <v>3.37%, CPI</v>
      </c>
      <c r="J81" s="455"/>
      <c r="K81" s="456" t="str">
        <f t="shared" si="36"/>
        <v>0.00%</v>
      </c>
      <c r="L81" s="340">
        <f t="shared" si="41"/>
        <v>0</v>
      </c>
      <c r="M81" s="899" t="str">
        <f>TEXT('MYP Assumptions'!F78,"0.00%")&amp;", CPI"</f>
        <v>3.58%, CPI</v>
      </c>
      <c r="O81" s="456" t="str">
        <f t="shared" si="37"/>
        <v>0.00%</v>
      </c>
      <c r="P81" s="340">
        <f t="shared" si="42"/>
        <v>0</v>
      </c>
      <c r="Q81" s="899" t="str">
        <f>TEXT('MYP Assumptions'!G78,"0.00%")&amp;", CPI"</f>
        <v>3.36%, CPI</v>
      </c>
      <c r="R81" s="592"/>
      <c r="S81" s="2238" t="str">
        <f t="shared" si="38"/>
        <v>0.00%</v>
      </c>
      <c r="T81" s="340">
        <f t="shared" si="43"/>
        <v>0</v>
      </c>
      <c r="U81" s="953" t="str">
        <f>TEXT('MYP Assumptions'!H78,"0.00%")&amp;", CPI"</f>
        <v>3.23%, CPI</v>
      </c>
      <c r="V81" s="952"/>
      <c r="W81" s="2241" t="str">
        <f t="shared" si="39"/>
        <v>0.00%</v>
      </c>
      <c r="X81" s="340">
        <f t="shared" si="44"/>
        <v>0</v>
      </c>
      <c r="Y81" s="953" t="str">
        <f>TEXT('MYP Assumptions'!I78,"0.00%")&amp;", CPI"</f>
        <v>2.73%, CPI</v>
      </c>
      <c r="AA81" s="456" t="str">
        <f t="shared" si="40"/>
        <v>0.00%</v>
      </c>
      <c r="AB81" s="340">
        <f t="shared" si="45"/>
        <v>0</v>
      </c>
      <c r="AC81" s="953" t="str">
        <f>TEXT('MYP Assumptions'!J78,"0.00%")&amp;", CPI"</f>
        <v>2.73%, CPI</v>
      </c>
    </row>
    <row r="82" spans="1:29" s="457" customFormat="1" x14ac:dyDescent="0.25">
      <c r="A82" s="2228"/>
      <c r="B82" s="2345"/>
      <c r="C82" s="2215"/>
      <c r="D82" s="458">
        <f>SUM(D69:D81)</f>
        <v>459915.5</v>
      </c>
      <c r="E82" s="2386"/>
      <c r="F82" s="340"/>
      <c r="G82" s="456">
        <f t="shared" si="47"/>
        <v>-0.87823850250752589</v>
      </c>
      <c r="H82" s="458">
        <f>SUM(H69:H81)</f>
        <v>56000</v>
      </c>
      <c r="I82" s="898"/>
      <c r="J82" s="459"/>
      <c r="K82" s="456">
        <f t="shared" si="36"/>
        <v>1.93275</v>
      </c>
      <c r="L82" s="458">
        <f>SUM(L69:L81)</f>
        <v>164234</v>
      </c>
      <c r="M82" s="901"/>
      <c r="O82" s="456">
        <f t="shared" si="37"/>
        <v>-1</v>
      </c>
      <c r="P82" s="458">
        <f>SUM(P69:P81)</f>
        <v>0</v>
      </c>
      <c r="Q82" s="901"/>
      <c r="R82" s="592"/>
      <c r="S82" s="2238" t="str">
        <f t="shared" si="38"/>
        <v>0.00%</v>
      </c>
      <c r="T82" s="458">
        <f>SUM(T69:T81)</f>
        <v>0</v>
      </c>
      <c r="U82" s="2344"/>
      <c r="V82" s="952"/>
      <c r="W82" s="2241" t="str">
        <f t="shared" si="39"/>
        <v>0.00%</v>
      </c>
      <c r="X82" s="458">
        <f>SUM(X69:X81)</f>
        <v>0</v>
      </c>
      <c r="Y82" s="2344"/>
      <c r="AA82" s="456" t="str">
        <f t="shared" si="40"/>
        <v>0.00%</v>
      </c>
      <c r="AB82" s="458">
        <f>SUM(AB69:AB81)</f>
        <v>0</v>
      </c>
      <c r="AC82" s="2344"/>
    </row>
    <row r="83" spans="1:29" s="457" customFormat="1" x14ac:dyDescent="0.25">
      <c r="A83" s="2227"/>
      <c r="B83" s="2337"/>
      <c r="C83" s="2215"/>
      <c r="D83" s="340"/>
      <c r="E83" s="2386"/>
      <c r="F83" s="340"/>
      <c r="G83" s="456"/>
      <c r="H83" s="340"/>
      <c r="I83" s="897"/>
      <c r="J83" s="455"/>
      <c r="K83" s="1668"/>
      <c r="L83" s="340"/>
      <c r="M83" s="901"/>
      <c r="O83" s="1668"/>
      <c r="P83" s="340"/>
      <c r="Q83" s="901"/>
      <c r="R83" s="592"/>
      <c r="S83" s="2341"/>
      <c r="T83" s="340"/>
      <c r="U83" s="2344"/>
      <c r="V83" s="952"/>
      <c r="W83" s="2343"/>
      <c r="X83" s="340"/>
      <c r="Y83" s="2344"/>
      <c r="AA83" s="1668"/>
      <c r="AB83" s="340"/>
      <c r="AC83" s="2344"/>
    </row>
    <row r="84" spans="1:29" s="457" customFormat="1" x14ac:dyDescent="0.25">
      <c r="A84" s="2227"/>
      <c r="B84" s="2345"/>
      <c r="C84" s="2215"/>
      <c r="D84" s="340"/>
      <c r="E84" s="2386"/>
      <c r="F84" s="340"/>
      <c r="G84" s="2338"/>
      <c r="H84" s="340"/>
      <c r="I84" s="897"/>
      <c r="J84" s="455"/>
      <c r="K84" s="1668"/>
      <c r="L84" s="340"/>
      <c r="M84" s="901"/>
      <c r="O84" s="1668"/>
      <c r="P84" s="340"/>
      <c r="Q84" s="901"/>
      <c r="R84" s="592"/>
      <c r="S84" s="2341"/>
      <c r="T84" s="340"/>
      <c r="U84" s="2344"/>
      <c r="V84" s="952"/>
      <c r="W84" s="2343"/>
      <c r="X84" s="340"/>
      <c r="Y84" s="2344"/>
      <c r="AA84" s="1668"/>
      <c r="AB84" s="340"/>
      <c r="AC84" s="2344"/>
    </row>
    <row r="85" spans="1:29" s="457" customFormat="1" x14ac:dyDescent="0.25">
      <c r="A85" s="2228"/>
      <c r="B85" s="2337" t="s">
        <v>0</v>
      </c>
      <c r="C85" s="2215"/>
      <c r="D85" s="458">
        <f>SUM(D82,D66,D55,D13)</f>
        <v>459915.5</v>
      </c>
      <c r="E85" s="2386"/>
      <c r="F85" s="340"/>
      <c r="G85" s="456">
        <f>IF(D85=0,"0.00%",(H85-D85)/D85)</f>
        <v>-0.87823850250752589</v>
      </c>
      <c r="H85" s="458">
        <f>SUM(H82,H66,H55,H13)</f>
        <v>56000</v>
      </c>
      <c r="I85" s="898"/>
      <c r="J85" s="459"/>
      <c r="K85" s="456">
        <f>IF(H85=0,"0.00%",(L85-H85)/H85)</f>
        <v>1.93275</v>
      </c>
      <c r="L85" s="458">
        <f>SUM(L82,L66,L55,L13)</f>
        <v>164234</v>
      </c>
      <c r="M85" s="901"/>
      <c r="O85" s="456">
        <f>IF(L85=0,"0.00%",(P85-L85)/L85)</f>
        <v>-1</v>
      </c>
      <c r="P85" s="458">
        <f>SUM(P82,P66,P55,P13)</f>
        <v>0</v>
      </c>
      <c r="Q85" s="901"/>
      <c r="R85" s="592"/>
      <c r="S85" s="2238" t="str">
        <f>IF(P85=0,"0.00%",(T85-P85)/P85)</f>
        <v>0.00%</v>
      </c>
      <c r="T85" s="458">
        <f>SUM(T82,T66,T55,T13)</f>
        <v>0</v>
      </c>
      <c r="U85" s="2344"/>
      <c r="V85" s="952"/>
      <c r="W85" s="2241" t="str">
        <f>IF(T85=0,"0.00%",(X85-T85)/T85)</f>
        <v>0.00%</v>
      </c>
      <c r="X85" s="458">
        <f>SUM(X82,X66,X55,X13)</f>
        <v>0</v>
      </c>
      <c r="Y85" s="2344"/>
      <c r="AA85" s="456" t="str">
        <f>IF(X85=0,"0.00%",(AB85-X85)/X85)</f>
        <v>0.00%</v>
      </c>
      <c r="AB85" s="458" t="e">
        <f>SUM(AB82,AB66,AB55,AB13)</f>
        <v>#VALUE!</v>
      </c>
      <c r="AC85" s="2344"/>
    </row>
    <row r="86" spans="1:29" s="457" customFormat="1" x14ac:dyDescent="0.25">
      <c r="A86" s="2227"/>
      <c r="B86" s="2345"/>
      <c r="C86" s="2215"/>
      <c r="D86" s="340"/>
      <c r="E86" s="2386"/>
      <c r="F86" s="340"/>
      <c r="G86" s="2338"/>
      <c r="H86" s="340"/>
      <c r="I86" s="897"/>
      <c r="J86" s="455"/>
      <c r="K86" s="1668"/>
      <c r="L86" s="340"/>
      <c r="M86" s="901"/>
      <c r="O86" s="1668"/>
      <c r="P86" s="340"/>
      <c r="Q86" s="901"/>
      <c r="R86" s="592"/>
      <c r="S86" s="2341"/>
      <c r="T86" s="340"/>
      <c r="U86" s="2344"/>
      <c r="V86" s="952"/>
      <c r="W86" s="2343"/>
      <c r="X86" s="340"/>
      <c r="Y86" s="2344"/>
      <c r="AA86" s="1668"/>
      <c r="AB86" s="340"/>
      <c r="AC86" s="2344"/>
    </row>
    <row r="87" spans="1:29" s="457" customFormat="1" x14ac:dyDescent="0.25">
      <c r="A87" s="2227"/>
      <c r="B87" s="2337" t="s">
        <v>138</v>
      </c>
      <c r="C87" s="2215"/>
      <c r="D87" s="833">
        <f>+D11-D85</f>
        <v>6944.5</v>
      </c>
      <c r="E87" s="1656"/>
      <c r="G87" s="456">
        <f>IF(D87=0,"0.00%",(H87-D87)/D87)</f>
        <v>54.49485204118367</v>
      </c>
      <c r="H87" s="833">
        <f>H11-H85</f>
        <v>385384</v>
      </c>
      <c r="I87" s="897"/>
      <c r="J87" s="455"/>
      <c r="K87" s="456">
        <f>IF(H87=0,"0.00%",(L87-H87)/H87)</f>
        <v>-1.4261567683142009</v>
      </c>
      <c r="L87" s="833">
        <f>L11-L85</f>
        <v>-164234</v>
      </c>
      <c r="M87" s="901"/>
      <c r="O87" s="456">
        <f>IF(L87=0,"0.00%",(P87-L87)/L87)</f>
        <v>-1</v>
      </c>
      <c r="P87" s="833">
        <f>P11-P85</f>
        <v>0</v>
      </c>
      <c r="Q87" s="901"/>
      <c r="R87" s="592"/>
      <c r="S87" s="2238" t="str">
        <f>IF(P87=0,"0.00%",(T87-P87)/P87)</f>
        <v>0.00%</v>
      </c>
      <c r="T87" s="833">
        <f>T11-T85</f>
        <v>0</v>
      </c>
      <c r="U87" s="2344"/>
      <c r="V87" s="952"/>
      <c r="W87" s="2241" t="str">
        <f>IF(T87=0,"0.00%",(X87-T87)/T87)</f>
        <v>0.00%</v>
      </c>
      <c r="X87" s="833">
        <f>X11-X85</f>
        <v>0</v>
      </c>
      <c r="Y87" s="2344"/>
      <c r="AA87" s="456" t="str">
        <f>IF(X87=0,"0.00%",(AB87-X87)/X87)</f>
        <v>0.00%</v>
      </c>
      <c r="AB87" s="833" t="e">
        <f>AB11-AB85</f>
        <v>#VALUE!</v>
      </c>
      <c r="AC87" s="2344"/>
    </row>
    <row r="88" spans="1:29" s="457" customFormat="1" x14ac:dyDescent="0.25">
      <c r="A88" s="2215"/>
      <c r="B88" s="2337"/>
      <c r="C88" s="2345"/>
      <c r="D88" s="833"/>
      <c r="E88" s="1656"/>
      <c r="G88" s="2338"/>
      <c r="H88" s="833"/>
      <c r="I88" s="897"/>
      <c r="J88" s="455"/>
      <c r="K88" s="1668"/>
      <c r="L88" s="833"/>
      <c r="M88" s="901"/>
      <c r="O88" s="1668"/>
      <c r="P88" s="833"/>
      <c r="Q88" s="901"/>
      <c r="R88" s="592"/>
      <c r="S88" s="2341"/>
      <c r="T88" s="2356"/>
      <c r="U88" s="2344"/>
      <c r="V88" s="952"/>
      <c r="W88" s="2343"/>
      <c r="X88" s="2356"/>
      <c r="Y88" s="2344"/>
      <c r="AA88" s="1668"/>
      <c r="AB88" s="2356"/>
      <c r="AC88" s="2344"/>
    </row>
    <row r="89" spans="1:29" s="457" customFormat="1" x14ac:dyDescent="0.25">
      <c r="A89" s="2215"/>
      <c r="B89" s="2337" t="s">
        <v>136</v>
      </c>
      <c r="C89" s="2394"/>
      <c r="D89" s="833">
        <f>D7+D87</f>
        <v>-221149.14</v>
      </c>
      <c r="E89" s="1656"/>
      <c r="G89" s="456">
        <f>IF(D89=0,"0.00%",(H89-D89)/D89)</f>
        <v>-1.7426429964864434</v>
      </c>
      <c r="H89" s="833">
        <f>H7+H87</f>
        <v>164234.85999999999</v>
      </c>
      <c r="I89" s="897"/>
      <c r="J89" s="455"/>
      <c r="K89" s="456">
        <f>IF(H89=0,"0.00%",(L89-H89)/H89)</f>
        <v>-0.9999947635964741</v>
      </c>
      <c r="L89" s="833">
        <f>L7+L87</f>
        <v>0.85999999998603016</v>
      </c>
      <c r="M89" s="901"/>
      <c r="O89" s="456">
        <f>IF(L89=0,"0.00%",(P89-L89)/L89)</f>
        <v>0</v>
      </c>
      <c r="P89" s="833">
        <f>P7+P87</f>
        <v>0.85999999998603016</v>
      </c>
      <c r="Q89" s="901"/>
      <c r="R89" s="592"/>
      <c r="S89" s="2238">
        <f>IF(P89=0,"0.00%",(T89-P89)/P89)</f>
        <v>0</v>
      </c>
      <c r="T89" s="2367">
        <f>T7+T87</f>
        <v>0.85999999998603016</v>
      </c>
      <c r="U89" s="2344"/>
      <c r="V89" s="952"/>
      <c r="W89" s="2241">
        <f>IF(T89=0,"0.00%",(X89-T89)/T89)</f>
        <v>0</v>
      </c>
      <c r="X89" s="2367">
        <f>X7+X87</f>
        <v>0.85999999998603016</v>
      </c>
      <c r="Y89" s="2344"/>
      <c r="AA89" s="456" t="e">
        <f>IF(X89=0,"0.00%",(AB89-X89)/X89)</f>
        <v>#VALUE!</v>
      </c>
      <c r="AB89" s="2367" t="e">
        <f>AB7+AB87</f>
        <v>#VALUE!</v>
      </c>
      <c r="AC89" s="2344"/>
    </row>
    <row r="90" spans="1:29" s="457" customFormat="1" x14ac:dyDescent="0.25">
      <c r="A90" s="2215"/>
      <c r="B90" s="2345"/>
      <c r="C90" s="2225"/>
      <c r="D90" s="340"/>
      <c r="E90" s="1656"/>
      <c r="G90" s="2355"/>
      <c r="H90" s="459"/>
      <c r="I90" s="898"/>
      <c r="J90" s="459"/>
      <c r="K90" s="1668"/>
      <c r="L90" s="459"/>
      <c r="M90" s="901"/>
      <c r="O90" s="1668"/>
      <c r="P90" s="459"/>
      <c r="Q90" s="901"/>
      <c r="R90" s="592"/>
      <c r="S90" s="2341"/>
      <c r="T90" s="459"/>
      <c r="U90" s="2344"/>
      <c r="V90" s="952"/>
      <c r="W90" s="2343"/>
      <c r="X90" s="459"/>
      <c r="Y90" s="2344"/>
      <c r="AA90" s="1668"/>
      <c r="AB90" s="459"/>
      <c r="AC90" s="2344"/>
    </row>
    <row r="91" spans="1:29" s="457" customFormat="1" x14ac:dyDescent="0.25">
      <c r="A91" s="2215"/>
      <c r="B91" s="2345"/>
      <c r="C91" s="2230"/>
      <c r="D91" s="340"/>
      <c r="E91" s="1656"/>
      <c r="G91" s="2355"/>
      <c r="H91" s="455"/>
      <c r="I91" s="897"/>
      <c r="J91" s="455"/>
      <c r="K91" s="1668"/>
      <c r="L91" s="340"/>
      <c r="M91" s="901"/>
      <c r="O91" s="1668"/>
      <c r="P91" s="340"/>
      <c r="Q91" s="901"/>
      <c r="R91" s="592"/>
      <c r="S91" s="2341"/>
      <c r="T91" s="340"/>
      <c r="U91" s="2344"/>
      <c r="V91" s="952"/>
      <c r="W91" s="2343"/>
      <c r="X91" s="340"/>
      <c r="Y91" s="2344"/>
      <c r="AA91" s="1668"/>
      <c r="AB91" s="340"/>
      <c r="AC91" s="2344"/>
    </row>
    <row r="92" spans="1:29" s="457" customFormat="1" x14ac:dyDescent="0.25">
      <c r="A92" s="2215"/>
      <c r="B92" s="2345"/>
      <c r="C92" s="2230"/>
      <c r="D92" s="340"/>
      <c r="E92" s="1656"/>
      <c r="G92" s="2355"/>
      <c r="H92" s="455"/>
      <c r="I92" s="897"/>
      <c r="J92" s="455"/>
      <c r="K92" s="1668"/>
      <c r="L92" s="340"/>
      <c r="M92" s="901"/>
      <c r="O92" s="1668"/>
      <c r="P92" s="340"/>
      <c r="Q92" s="901"/>
      <c r="R92" s="592"/>
      <c r="S92" s="2341"/>
      <c r="T92" s="340"/>
      <c r="U92" s="2344"/>
      <c r="V92" s="952"/>
      <c r="W92" s="2343"/>
      <c r="X92" s="340"/>
      <c r="Y92" s="2344"/>
      <c r="AA92" s="1668"/>
      <c r="AB92" s="340"/>
      <c r="AC92" s="2344"/>
    </row>
    <row r="93" spans="1:29" s="457" customFormat="1" x14ac:dyDescent="0.25">
      <c r="A93" s="2215"/>
      <c r="B93" s="2345"/>
      <c r="C93" s="2230"/>
      <c r="D93" s="340"/>
      <c r="E93" s="1656"/>
      <c r="G93" s="2355"/>
      <c r="H93" s="455"/>
      <c r="I93" s="897"/>
      <c r="J93" s="455"/>
      <c r="K93" s="1668"/>
      <c r="L93" s="340"/>
      <c r="M93" s="901"/>
      <c r="O93" s="1668"/>
      <c r="P93" s="340"/>
      <c r="Q93" s="901"/>
      <c r="R93" s="592"/>
      <c r="S93" s="2341"/>
      <c r="T93" s="340"/>
      <c r="U93" s="2344"/>
      <c r="V93" s="952"/>
      <c r="W93" s="2343"/>
      <c r="X93" s="340"/>
      <c r="Y93" s="2344"/>
      <c r="AA93" s="1668"/>
      <c r="AB93" s="340"/>
      <c r="AC93" s="2344"/>
    </row>
    <row r="94" spans="1:29" s="457" customFormat="1" x14ac:dyDescent="0.25">
      <c r="A94" s="2215"/>
      <c r="B94" s="2345"/>
      <c r="C94" s="2230"/>
      <c r="D94" s="340"/>
      <c r="E94" s="1656"/>
      <c r="G94" s="2355"/>
      <c r="H94" s="455"/>
      <c r="I94" s="897"/>
      <c r="J94" s="455"/>
      <c r="K94" s="1668"/>
      <c r="L94" s="340"/>
      <c r="M94" s="901"/>
      <c r="O94" s="1668"/>
      <c r="P94" s="340"/>
      <c r="Q94" s="901"/>
      <c r="R94" s="592"/>
      <c r="S94" s="2341"/>
      <c r="T94" s="340"/>
      <c r="U94" s="2344"/>
      <c r="V94" s="952"/>
      <c r="W94" s="2343"/>
      <c r="X94" s="340"/>
      <c r="Y94" s="2344"/>
      <c r="AA94" s="1668"/>
      <c r="AB94" s="340"/>
      <c r="AC94" s="2344"/>
    </row>
    <row r="95" spans="1:29" s="2402" customFormat="1" ht="11.25" x14ac:dyDescent="0.2">
      <c r="A95" s="2232"/>
      <c r="B95" s="2395"/>
      <c r="C95" s="2396" t="s">
        <v>221</v>
      </c>
      <c r="D95" s="2397">
        <f>+D82+D66+D53+D41+D30</f>
        <v>459915.5</v>
      </c>
      <c r="E95" s="2363"/>
      <c r="G95" s="2399" t="s">
        <v>221</v>
      </c>
      <c r="H95" s="2397">
        <f>+H82+H66+H53+H41+H30</f>
        <v>56000</v>
      </c>
      <c r="I95" s="2400"/>
      <c r="J95" s="607"/>
      <c r="K95" s="2399" t="s">
        <v>221</v>
      </c>
      <c r="L95" s="2397">
        <f>+L82+L66+L53+L41+L30</f>
        <v>164234</v>
      </c>
      <c r="M95" s="2404"/>
      <c r="O95" s="2399" t="s">
        <v>221</v>
      </c>
      <c r="P95" s="2397">
        <f>+P82+P66+P53+P41+P30</f>
        <v>0</v>
      </c>
      <c r="Q95" s="2404"/>
      <c r="R95" s="608"/>
      <c r="S95" s="2405" t="s">
        <v>221</v>
      </c>
      <c r="T95" s="2397">
        <f>+T82+T66+T53+T41+T30</f>
        <v>0</v>
      </c>
      <c r="U95" s="2409"/>
      <c r="V95" s="2407"/>
      <c r="W95" s="2408" t="s">
        <v>221</v>
      </c>
      <c r="X95" s="2397">
        <f>+X82+X66+X53+X41+X30</f>
        <v>0</v>
      </c>
      <c r="Y95" s="2409"/>
      <c r="AA95" s="2399" t="s">
        <v>221</v>
      </c>
      <c r="AB95" s="2397" t="e">
        <f>+AB82+AB66+AB53+AB41+AB30</f>
        <v>#VALUE!</v>
      </c>
      <c r="AC95" s="2409"/>
    </row>
    <row r="96" spans="1:29" s="2402" customFormat="1" ht="11.25" x14ac:dyDescent="0.2">
      <c r="A96" s="2233"/>
      <c r="B96" s="2395"/>
      <c r="C96" s="2411" t="s">
        <v>222</v>
      </c>
      <c r="D96" s="2412">
        <f>+D13</f>
        <v>0</v>
      </c>
      <c r="E96" s="2419"/>
      <c r="F96" s="2410"/>
      <c r="G96" s="2415" t="s">
        <v>222</v>
      </c>
      <c r="H96" s="2412">
        <f>+H13</f>
        <v>0</v>
      </c>
      <c r="I96" s="2398"/>
      <c r="J96" s="608"/>
      <c r="K96" s="2415" t="s">
        <v>222</v>
      </c>
      <c r="L96" s="2412">
        <f>+L13</f>
        <v>0</v>
      </c>
      <c r="M96" s="2404"/>
      <c r="O96" s="2415" t="s">
        <v>222</v>
      </c>
      <c r="P96" s="2412">
        <f>+P13</f>
        <v>0</v>
      </c>
      <c r="Q96" s="2363"/>
      <c r="R96" s="608"/>
      <c r="S96" s="2416" t="s">
        <v>222</v>
      </c>
      <c r="T96" s="2412">
        <f>+T13</f>
        <v>0</v>
      </c>
      <c r="V96" s="2407"/>
      <c r="W96" s="2417" t="s">
        <v>222</v>
      </c>
      <c r="X96" s="2412">
        <f>+X13</f>
        <v>0</v>
      </c>
      <c r="AA96" s="2415" t="s">
        <v>222</v>
      </c>
      <c r="AB96" s="2412">
        <f>+AB13</f>
        <v>0</v>
      </c>
    </row>
    <row r="97" spans="1:28" s="2402" customFormat="1" ht="11.25" x14ac:dyDescent="0.2">
      <c r="A97" s="2233"/>
      <c r="B97" s="2395"/>
      <c r="C97" s="2411"/>
      <c r="D97" s="2418">
        <f>+D95+D96</f>
        <v>459915.5</v>
      </c>
      <c r="E97" s="2419"/>
      <c r="F97" s="2410"/>
      <c r="G97" s="2415"/>
      <c r="H97" s="2418">
        <f>+H95+H96</f>
        <v>56000</v>
      </c>
      <c r="I97" s="2398"/>
      <c r="J97" s="608"/>
      <c r="K97" s="2415"/>
      <c r="L97" s="2418">
        <f>+L95+L96</f>
        <v>164234</v>
      </c>
      <c r="M97" s="2363"/>
      <c r="O97" s="2415"/>
      <c r="P97" s="2418">
        <f>+P95+P96</f>
        <v>0</v>
      </c>
      <c r="Q97" s="2363"/>
      <c r="R97" s="608"/>
      <c r="S97" s="2416"/>
      <c r="T97" s="2418">
        <f>+T95+T96</f>
        <v>0</v>
      </c>
      <c r="V97" s="2407"/>
      <c r="W97" s="2417"/>
      <c r="X97" s="2418">
        <f>+X95+X96</f>
        <v>0</v>
      </c>
      <c r="AA97" s="2415"/>
      <c r="AB97" s="2418" t="e">
        <f>+AB95+AB96</f>
        <v>#VALUE!</v>
      </c>
    </row>
    <row r="98" spans="1:28" s="457" customFormat="1" ht="15" customHeight="1" x14ac:dyDescent="0.25">
      <c r="A98" s="2227"/>
      <c r="B98" s="2422"/>
      <c r="C98" s="2422"/>
      <c r="D98" s="459">
        <f>+D85-D97</f>
        <v>0</v>
      </c>
      <c r="E98" s="2386"/>
      <c r="F98" s="340"/>
      <c r="G98" s="2447"/>
      <c r="H98" s="459">
        <f>+H85-H97</f>
        <v>0</v>
      </c>
      <c r="I98" s="2339"/>
      <c r="J98" s="592"/>
      <c r="K98" s="2447"/>
      <c r="L98" s="459">
        <f>+L85-L97</f>
        <v>0</v>
      </c>
      <c r="M98" s="1656"/>
      <c r="O98" s="2447"/>
      <c r="P98" s="459">
        <f>+P85-P97</f>
        <v>0</v>
      </c>
      <c r="Q98" s="1656"/>
      <c r="R98" s="592"/>
      <c r="S98" s="2447"/>
      <c r="T98" s="459">
        <f>+T85-T97</f>
        <v>0</v>
      </c>
      <c r="V98" s="952"/>
      <c r="W98" s="2448"/>
      <c r="X98" s="459">
        <f>+X85-X97</f>
        <v>0</v>
      </c>
      <c r="AA98" s="2447"/>
      <c r="AB98" s="459" t="e">
        <f>+AB85-AB97</f>
        <v>#VALUE!</v>
      </c>
    </row>
    <row r="99" spans="1:28" s="457" customFormat="1" x14ac:dyDescent="0.25">
      <c r="A99" s="2227"/>
      <c r="B99" s="2422"/>
      <c r="C99" s="2422"/>
      <c r="D99" s="455"/>
      <c r="E99" s="2386"/>
      <c r="F99" s="340"/>
      <c r="G99" s="2338"/>
      <c r="H99" s="2424"/>
      <c r="I99" s="2339"/>
      <c r="J99" s="592"/>
      <c r="K99" s="1668"/>
      <c r="L99" s="2370"/>
      <c r="M99" s="1656"/>
      <c r="O99" s="1668"/>
      <c r="P99" s="340"/>
      <c r="Q99" s="1656"/>
      <c r="R99" s="592"/>
      <c r="S99" s="2341"/>
      <c r="V99" s="952"/>
      <c r="W99" s="2343"/>
      <c r="AA99" s="1668"/>
    </row>
    <row r="100" spans="1:28" s="457" customFormat="1" x14ac:dyDescent="0.25">
      <c r="A100" s="2227"/>
      <c r="B100" s="2394"/>
      <c r="C100" s="2230"/>
      <c r="D100" s="342"/>
      <c r="E100" s="2386"/>
      <c r="F100" s="340"/>
      <c r="G100" s="2338"/>
      <c r="H100" s="2424"/>
      <c r="I100" s="2339"/>
      <c r="J100" s="592"/>
      <c r="K100" s="1668"/>
      <c r="L100" s="2370"/>
      <c r="M100" s="1656"/>
      <c r="O100" s="1668"/>
      <c r="P100" s="340"/>
      <c r="Q100" s="1656"/>
      <c r="R100" s="592"/>
      <c r="S100" s="2341"/>
      <c r="V100" s="952"/>
      <c r="W100" s="2343"/>
      <c r="AA100" s="1668"/>
    </row>
    <row r="101" spans="1:28" s="457" customFormat="1" x14ac:dyDescent="0.25">
      <c r="A101" s="2215"/>
      <c r="B101" s="2394"/>
      <c r="C101" s="2230"/>
      <c r="D101" s="455"/>
      <c r="E101" s="1656"/>
      <c r="G101" s="2338"/>
      <c r="H101" s="2424"/>
      <c r="I101" s="2339"/>
      <c r="J101" s="592"/>
      <c r="K101" s="1668"/>
      <c r="L101" s="2370"/>
      <c r="M101" s="1656"/>
      <c r="O101" s="1668"/>
      <c r="P101" s="340"/>
      <c r="Q101" s="1656"/>
      <c r="R101" s="592"/>
      <c r="S101" s="2341"/>
      <c r="V101" s="952"/>
      <c r="W101" s="2343"/>
      <c r="AA101" s="1668"/>
    </row>
    <row r="102" spans="1:28" s="457" customFormat="1" x14ac:dyDescent="0.25">
      <c r="A102" s="2215"/>
      <c r="B102" s="2394"/>
      <c r="C102" s="2230"/>
      <c r="D102" s="455"/>
      <c r="E102" s="1656"/>
      <c r="G102" s="2338"/>
      <c r="H102" s="2424"/>
      <c r="I102" s="2339"/>
      <c r="J102" s="592"/>
      <c r="K102" s="1668"/>
      <c r="L102" s="2370"/>
      <c r="M102" s="1656"/>
      <c r="O102" s="1668"/>
      <c r="P102" s="340"/>
      <c r="Q102" s="1656"/>
      <c r="R102" s="592"/>
      <c r="S102" s="2341"/>
      <c r="V102" s="952"/>
      <c r="W102" s="2343"/>
      <c r="AA102" s="1668"/>
    </row>
    <row r="103" spans="1:28" s="457" customFormat="1" ht="15" customHeight="1" x14ac:dyDescent="0.25">
      <c r="A103" s="2215"/>
      <c r="B103" s="2394"/>
      <c r="C103" s="2230"/>
      <c r="D103" s="455"/>
      <c r="E103" s="1656"/>
      <c r="G103" s="2338"/>
      <c r="H103" s="2424"/>
      <c r="I103" s="2339"/>
      <c r="J103" s="592"/>
      <c r="K103" s="1668"/>
      <c r="L103" s="2370"/>
      <c r="M103" s="1656"/>
      <c r="O103" s="1668"/>
      <c r="P103" s="340"/>
      <c r="Q103" s="1656"/>
      <c r="R103" s="592"/>
      <c r="S103" s="2341"/>
      <c r="V103" s="952"/>
      <c r="W103" s="2343"/>
      <c r="AA103" s="1668"/>
    </row>
    <row r="104" spans="1:28" s="457" customFormat="1" x14ac:dyDescent="0.25">
      <c r="A104" s="2215"/>
      <c r="B104" s="2394"/>
      <c r="C104" s="2230"/>
      <c r="D104" s="455"/>
      <c r="E104" s="1656"/>
      <c r="G104" s="2338"/>
      <c r="H104" s="2424"/>
      <c r="I104" s="2339"/>
      <c r="J104" s="592"/>
      <c r="K104" s="1668"/>
      <c r="L104" s="2370"/>
      <c r="M104" s="1656"/>
      <c r="O104" s="1668"/>
      <c r="P104" s="340"/>
      <c r="Q104" s="1656"/>
      <c r="R104" s="592"/>
      <c r="S104" s="2341"/>
      <c r="V104" s="952"/>
      <c r="W104" s="2343"/>
      <c r="AA104" s="1668"/>
    </row>
    <row r="105" spans="1:28" s="457" customFormat="1" x14ac:dyDescent="0.25">
      <c r="A105" s="2215"/>
      <c r="B105" s="2394"/>
      <c r="C105" s="2230"/>
      <c r="D105" s="455"/>
      <c r="E105" s="1656"/>
      <c r="G105" s="2338"/>
      <c r="H105" s="2424"/>
      <c r="I105" s="2339"/>
      <c r="J105" s="592"/>
      <c r="K105" s="1668"/>
      <c r="L105" s="2370"/>
      <c r="M105" s="1656"/>
      <c r="O105" s="1668"/>
      <c r="P105" s="340"/>
      <c r="Q105" s="1656"/>
      <c r="R105" s="592"/>
      <c r="S105" s="2341"/>
      <c r="V105" s="952"/>
      <c r="W105" s="2343"/>
      <c r="AA105" s="1668"/>
    </row>
    <row r="106" spans="1:28" s="457" customFormat="1" ht="15" customHeight="1" x14ac:dyDescent="0.25">
      <c r="A106" s="2215"/>
      <c r="B106" s="2570"/>
      <c r="C106" s="2570"/>
      <c r="D106" s="455"/>
      <c r="E106" s="1656"/>
      <c r="G106" s="2338"/>
      <c r="H106" s="2424"/>
      <c r="I106" s="2339"/>
      <c r="J106" s="592"/>
      <c r="K106" s="1668"/>
      <c r="L106" s="2370"/>
      <c r="M106" s="1656"/>
      <c r="O106" s="1668"/>
      <c r="P106" s="340"/>
      <c r="Q106" s="1656"/>
      <c r="R106" s="592"/>
      <c r="S106" s="2341"/>
      <c r="V106" s="952"/>
      <c r="W106" s="2343"/>
      <c r="AA106" s="1668"/>
    </row>
    <row r="107" spans="1:28" s="457" customFormat="1" x14ac:dyDescent="0.25">
      <c r="A107" s="2215"/>
      <c r="B107" s="2570"/>
      <c r="C107" s="2570"/>
      <c r="D107" s="455"/>
      <c r="E107" s="1656"/>
      <c r="G107" s="2338"/>
      <c r="H107" s="2424"/>
      <c r="I107" s="2339"/>
      <c r="J107" s="592"/>
      <c r="K107" s="1668"/>
      <c r="L107" s="2370"/>
      <c r="M107" s="1656"/>
      <c r="O107" s="1668"/>
      <c r="P107" s="340"/>
      <c r="Q107" s="1656"/>
      <c r="R107" s="592"/>
      <c r="S107" s="2341"/>
      <c r="V107" s="952"/>
      <c r="W107" s="2343"/>
      <c r="AA107" s="1668"/>
    </row>
    <row r="108" spans="1:28" s="457" customFormat="1" x14ac:dyDescent="0.25">
      <c r="A108" s="2215"/>
      <c r="B108" s="2394"/>
      <c r="C108" s="2230"/>
      <c r="D108" s="460"/>
      <c r="E108" s="1656"/>
      <c r="G108" s="2338"/>
      <c r="H108" s="2424"/>
      <c r="I108" s="2339"/>
      <c r="J108" s="592"/>
      <c r="K108" s="1668"/>
      <c r="L108" s="2370"/>
      <c r="M108" s="1656"/>
      <c r="O108" s="1668"/>
      <c r="P108" s="340"/>
      <c r="Q108" s="1656"/>
      <c r="R108" s="592"/>
      <c r="S108" s="2341"/>
      <c r="V108" s="952"/>
      <c r="W108" s="2343"/>
      <c r="AA108" s="1668"/>
    </row>
    <row r="109" spans="1:28" s="457" customFormat="1" x14ac:dyDescent="0.25">
      <c r="A109" s="2215"/>
      <c r="B109" s="2394"/>
      <c r="C109" s="2230"/>
      <c r="D109" s="455"/>
      <c r="E109" s="1656"/>
      <c r="G109" s="2338"/>
      <c r="H109" s="2424"/>
      <c r="I109" s="2339"/>
      <c r="J109" s="592"/>
      <c r="K109" s="1668"/>
      <c r="L109" s="2370"/>
      <c r="M109" s="1656"/>
      <c r="O109" s="1668"/>
      <c r="P109" s="340"/>
      <c r="Q109" s="1656"/>
      <c r="R109" s="592"/>
      <c r="S109" s="2341"/>
      <c r="V109" s="952"/>
      <c r="W109" s="2343"/>
      <c r="AA109" s="1668"/>
    </row>
    <row r="110" spans="1:28" s="457" customFormat="1" x14ac:dyDescent="0.25">
      <c r="A110" s="2215"/>
      <c r="B110" s="2394"/>
      <c r="C110" s="2230"/>
      <c r="D110" s="455"/>
      <c r="E110" s="1656"/>
      <c r="G110" s="2338"/>
      <c r="H110" s="2424"/>
      <c r="I110" s="2339"/>
      <c r="J110" s="592"/>
      <c r="K110" s="1668"/>
      <c r="L110" s="2370"/>
      <c r="M110" s="1656"/>
      <c r="O110" s="1668"/>
      <c r="P110" s="340"/>
      <c r="Q110" s="1656"/>
      <c r="R110" s="592"/>
      <c r="S110" s="2341"/>
      <c r="V110" s="952"/>
      <c r="W110" s="2343"/>
      <c r="AA110" s="1668"/>
    </row>
    <row r="111" spans="1:28" s="457" customFormat="1" ht="28.5" customHeight="1" x14ac:dyDescent="0.25">
      <c r="A111" s="2215"/>
      <c r="B111" s="2394"/>
      <c r="C111" s="2230"/>
      <c r="D111" s="342"/>
      <c r="E111" s="1656"/>
      <c r="G111" s="2338"/>
      <c r="H111" s="2424"/>
      <c r="I111" s="2339"/>
      <c r="J111" s="592"/>
      <c r="K111" s="1668"/>
      <c r="L111" s="2370"/>
      <c r="M111" s="1656"/>
      <c r="O111" s="1668"/>
      <c r="P111" s="340"/>
      <c r="Q111" s="1656"/>
      <c r="R111" s="592"/>
      <c r="S111" s="2341"/>
      <c r="V111" s="952"/>
      <c r="W111" s="2343"/>
      <c r="AA111" s="1668"/>
    </row>
    <row r="112" spans="1:28" s="457" customFormat="1" x14ac:dyDescent="0.25">
      <c r="A112" s="2215"/>
      <c r="B112" s="2394"/>
      <c r="C112" s="2230"/>
      <c r="D112" s="455"/>
      <c r="E112" s="1656"/>
      <c r="G112" s="2338"/>
      <c r="H112" s="2424"/>
      <c r="I112" s="2339"/>
      <c r="J112" s="592"/>
      <c r="K112" s="1668"/>
      <c r="L112" s="2370"/>
      <c r="M112" s="1656"/>
      <c r="O112" s="1668"/>
      <c r="P112" s="340"/>
      <c r="Q112" s="1656"/>
      <c r="R112" s="592"/>
      <c r="S112" s="2341"/>
      <c r="V112" s="952"/>
      <c r="W112" s="2343"/>
      <c r="AA112" s="1668"/>
    </row>
    <row r="113" spans="1:27" s="457" customFormat="1" x14ac:dyDescent="0.25">
      <c r="A113" s="2215"/>
      <c r="B113" s="2394"/>
      <c r="C113" s="2230"/>
      <c r="D113" s="455"/>
      <c r="E113" s="1656"/>
      <c r="G113" s="2338"/>
      <c r="H113" s="2424"/>
      <c r="I113" s="2339"/>
      <c r="J113" s="592"/>
      <c r="K113" s="1668"/>
      <c r="L113" s="2370"/>
      <c r="M113" s="1656"/>
      <c r="O113" s="1668"/>
      <c r="P113" s="340"/>
      <c r="Q113" s="1656"/>
      <c r="R113" s="592"/>
      <c r="S113" s="2341"/>
      <c r="V113" s="952"/>
      <c r="W113" s="2343"/>
      <c r="AA113" s="1668"/>
    </row>
    <row r="114" spans="1:27" s="457" customFormat="1" x14ac:dyDescent="0.25">
      <c r="A114" s="2215"/>
      <c r="B114" s="2394"/>
      <c r="C114" s="2230"/>
      <c r="D114" s="455"/>
      <c r="E114" s="1656"/>
      <c r="G114" s="2338"/>
      <c r="H114" s="2424"/>
      <c r="I114" s="2339"/>
      <c r="J114" s="592"/>
      <c r="K114" s="1668"/>
      <c r="L114" s="2370"/>
      <c r="M114" s="1656"/>
      <c r="O114" s="1668"/>
      <c r="P114" s="340"/>
      <c r="Q114" s="1656"/>
      <c r="R114" s="592"/>
      <c r="S114" s="2341"/>
      <c r="V114" s="952"/>
      <c r="W114" s="2343"/>
      <c r="AA114" s="1668"/>
    </row>
    <row r="115" spans="1:27" s="457" customFormat="1" x14ac:dyDescent="0.25">
      <c r="A115" s="2215"/>
      <c r="B115" s="2394"/>
      <c r="C115" s="2230"/>
      <c r="D115" s="455"/>
      <c r="E115" s="1656"/>
      <c r="G115" s="2338"/>
      <c r="H115" s="2424"/>
      <c r="I115" s="2339"/>
      <c r="J115" s="592"/>
      <c r="K115" s="1668"/>
      <c r="L115" s="2370"/>
      <c r="M115" s="1656"/>
      <c r="O115" s="1668"/>
      <c r="P115" s="340"/>
      <c r="Q115" s="1656"/>
      <c r="R115" s="592"/>
      <c r="S115" s="2341"/>
      <c r="V115" s="952"/>
      <c r="W115" s="2343"/>
      <c r="AA115" s="1668"/>
    </row>
    <row r="116" spans="1:27" s="457" customFormat="1" x14ac:dyDescent="0.25">
      <c r="A116" s="2215"/>
      <c r="B116" s="2394"/>
      <c r="C116" s="2230"/>
      <c r="D116" s="455"/>
      <c r="E116" s="1656"/>
      <c r="G116" s="2338"/>
      <c r="H116" s="2424"/>
      <c r="I116" s="2339"/>
      <c r="J116" s="592"/>
      <c r="K116" s="1668"/>
      <c r="L116" s="2370"/>
      <c r="M116" s="1656"/>
      <c r="O116" s="1668"/>
      <c r="P116" s="340"/>
      <c r="Q116" s="1656"/>
      <c r="R116" s="592"/>
      <c r="S116" s="2341"/>
      <c r="V116" s="952"/>
      <c r="W116" s="2343"/>
      <c r="AA116" s="1668"/>
    </row>
    <row r="117" spans="1:27" s="457" customFormat="1" x14ac:dyDescent="0.25">
      <c r="A117" s="2215"/>
      <c r="B117" s="2394"/>
      <c r="C117" s="2230"/>
      <c r="D117" s="455"/>
      <c r="E117" s="1656"/>
      <c r="G117" s="2338"/>
      <c r="H117" s="2424"/>
      <c r="I117" s="2339"/>
      <c r="J117" s="592"/>
      <c r="K117" s="1668"/>
      <c r="L117" s="2370"/>
      <c r="M117" s="1656"/>
      <c r="O117" s="1668"/>
      <c r="P117" s="340"/>
      <c r="Q117" s="1656"/>
      <c r="R117" s="592"/>
      <c r="S117" s="2341"/>
      <c r="V117" s="952"/>
      <c r="W117" s="2343"/>
      <c r="AA117" s="1668"/>
    </row>
    <row r="118" spans="1:27" s="457" customFormat="1" x14ac:dyDescent="0.25">
      <c r="A118" s="2215"/>
      <c r="B118" s="2394"/>
      <c r="C118" s="2230"/>
      <c r="D118" s="455"/>
      <c r="E118" s="1656"/>
      <c r="G118" s="2338"/>
      <c r="H118" s="2424"/>
      <c r="I118" s="2339"/>
      <c r="J118" s="592"/>
      <c r="K118" s="1668"/>
      <c r="L118" s="2370"/>
      <c r="M118" s="1656"/>
      <c r="O118" s="1668"/>
      <c r="P118" s="340"/>
      <c r="Q118" s="1656"/>
      <c r="R118" s="592"/>
      <c r="S118" s="2341"/>
      <c r="V118" s="952"/>
      <c r="W118" s="2343"/>
      <c r="AA118" s="1668"/>
    </row>
    <row r="119" spans="1:27" s="457" customFormat="1" x14ac:dyDescent="0.25">
      <c r="A119" s="2215"/>
      <c r="B119" s="2394"/>
      <c r="C119" s="2230"/>
      <c r="D119" s="455"/>
      <c r="E119" s="1656"/>
      <c r="G119" s="2338"/>
      <c r="H119" s="2424"/>
      <c r="I119" s="2339"/>
      <c r="J119" s="592"/>
      <c r="K119" s="1668"/>
      <c r="L119" s="2370"/>
      <c r="M119" s="1656"/>
      <c r="O119" s="1668"/>
      <c r="P119" s="340"/>
      <c r="Q119" s="1656"/>
      <c r="R119" s="592"/>
      <c r="S119" s="2341"/>
      <c r="V119" s="952"/>
      <c r="W119" s="2343"/>
      <c r="AA119" s="1668"/>
    </row>
    <row r="120" spans="1:27" s="457" customFormat="1" x14ac:dyDescent="0.25">
      <c r="A120" s="2215"/>
      <c r="B120" s="2394"/>
      <c r="C120" s="2230"/>
      <c r="D120" s="455"/>
      <c r="E120" s="1656"/>
      <c r="G120" s="2338"/>
      <c r="H120" s="2424"/>
      <c r="I120" s="2339"/>
      <c r="J120" s="592"/>
      <c r="K120" s="1668"/>
      <c r="L120" s="2370"/>
      <c r="M120" s="1656"/>
      <c r="O120" s="1668"/>
      <c r="P120" s="340"/>
      <c r="Q120" s="1656"/>
      <c r="R120" s="592"/>
      <c r="S120" s="2341"/>
      <c r="V120" s="952"/>
      <c r="W120" s="2343"/>
      <c r="AA120" s="1668"/>
    </row>
    <row r="121" spans="1:27" s="457" customFormat="1" x14ac:dyDescent="0.25">
      <c r="A121" s="2215"/>
      <c r="B121" s="2394"/>
      <c r="C121" s="2230"/>
      <c r="D121" s="455"/>
      <c r="E121" s="1656"/>
      <c r="G121" s="2338"/>
      <c r="H121" s="2424"/>
      <c r="I121" s="2339"/>
      <c r="J121" s="592"/>
      <c r="K121" s="1668"/>
      <c r="L121" s="2370"/>
      <c r="M121" s="1656"/>
      <c r="O121" s="1668"/>
      <c r="P121" s="340"/>
      <c r="Q121" s="1656"/>
      <c r="R121" s="592"/>
      <c r="S121" s="2341"/>
      <c r="V121" s="952"/>
      <c r="W121" s="2343"/>
      <c r="AA121" s="1668"/>
    </row>
    <row r="122" spans="1:27" s="457" customFormat="1" x14ac:dyDescent="0.25">
      <c r="A122" s="2215"/>
      <c r="B122" s="2394"/>
      <c r="C122" s="2230"/>
      <c r="D122" s="455"/>
      <c r="E122" s="1656"/>
      <c r="G122" s="2338"/>
      <c r="H122" s="2424"/>
      <c r="I122" s="2339"/>
      <c r="J122" s="592"/>
      <c r="K122" s="1668"/>
      <c r="L122" s="2370"/>
      <c r="M122" s="1656"/>
      <c r="O122" s="1668"/>
      <c r="P122" s="340"/>
      <c r="Q122" s="1656"/>
      <c r="R122" s="592"/>
      <c r="S122" s="2341"/>
      <c r="V122" s="952"/>
      <c r="W122" s="2343"/>
      <c r="AA122" s="1668"/>
    </row>
    <row r="123" spans="1:27" s="457" customFormat="1" x14ac:dyDescent="0.25">
      <c r="A123" s="2215"/>
      <c r="B123" s="2394"/>
      <c r="C123" s="2230"/>
      <c r="D123" s="455"/>
      <c r="E123" s="1656"/>
      <c r="G123" s="2338"/>
      <c r="H123" s="2424"/>
      <c r="I123" s="2339"/>
      <c r="J123" s="592"/>
      <c r="K123" s="1668"/>
      <c r="L123" s="2370"/>
      <c r="M123" s="1656"/>
      <c r="O123" s="1668"/>
      <c r="P123" s="340"/>
      <c r="Q123" s="1656"/>
      <c r="R123" s="592"/>
      <c r="S123" s="2341"/>
      <c r="V123" s="952"/>
      <c r="W123" s="2343"/>
      <c r="AA123" s="1668"/>
    </row>
    <row r="124" spans="1:27" s="457" customFormat="1" x14ac:dyDescent="0.25">
      <c r="A124" s="2215"/>
      <c r="B124" s="2394"/>
      <c r="C124" s="2230"/>
      <c r="D124" s="455"/>
      <c r="E124" s="1656"/>
      <c r="G124" s="2338"/>
      <c r="H124" s="2424"/>
      <c r="I124" s="2339"/>
      <c r="J124" s="592"/>
      <c r="K124" s="1668"/>
      <c r="L124" s="2370"/>
      <c r="M124" s="1656"/>
      <c r="O124" s="1668"/>
      <c r="P124" s="340"/>
      <c r="Q124" s="1656"/>
      <c r="R124" s="592"/>
      <c r="S124" s="2341"/>
      <c r="V124" s="952"/>
      <c r="W124" s="2343"/>
      <c r="AA124" s="1668"/>
    </row>
    <row r="125" spans="1:27" s="457" customFormat="1" x14ac:dyDescent="0.25">
      <c r="A125" s="2215"/>
      <c r="B125" s="2394"/>
      <c r="C125" s="2230"/>
      <c r="D125" s="455"/>
      <c r="E125" s="1656"/>
      <c r="G125" s="2338"/>
      <c r="H125" s="2424"/>
      <c r="I125" s="2339"/>
      <c r="J125" s="592"/>
      <c r="K125" s="1668"/>
      <c r="L125" s="2370"/>
      <c r="M125" s="1656"/>
      <c r="O125" s="1668"/>
      <c r="P125" s="340"/>
      <c r="Q125" s="1656"/>
      <c r="R125" s="592"/>
      <c r="S125" s="2341"/>
      <c r="V125" s="952"/>
      <c r="W125" s="2343"/>
      <c r="AA125" s="1668"/>
    </row>
    <row r="126" spans="1:27" s="457" customFormat="1" x14ac:dyDescent="0.25">
      <c r="A126" s="2215"/>
      <c r="B126" s="2394"/>
      <c r="C126" s="2230"/>
      <c r="D126" s="455"/>
      <c r="E126" s="1656"/>
      <c r="G126" s="2338"/>
      <c r="H126" s="2424"/>
      <c r="I126" s="2339"/>
      <c r="J126" s="592"/>
      <c r="K126" s="1668"/>
      <c r="L126" s="2370"/>
      <c r="M126" s="1656"/>
      <c r="O126" s="1668"/>
      <c r="P126" s="340"/>
      <c r="Q126" s="1656"/>
      <c r="R126" s="592"/>
      <c r="S126" s="2341"/>
      <c r="V126" s="952"/>
      <c r="W126" s="2343"/>
      <c r="AA126" s="1668"/>
    </row>
    <row r="127" spans="1:27" s="457" customFormat="1" x14ac:dyDescent="0.25">
      <c r="A127" s="2215"/>
      <c r="B127" s="2345"/>
      <c r="C127" s="2215"/>
      <c r="D127" s="340"/>
      <c r="E127" s="1656"/>
      <c r="G127" s="2338"/>
      <c r="H127" s="2424"/>
      <c r="I127" s="2339"/>
      <c r="J127" s="592"/>
      <c r="K127" s="1668"/>
      <c r="L127" s="2370"/>
      <c r="M127" s="1656"/>
      <c r="O127" s="1668"/>
      <c r="P127" s="340"/>
      <c r="Q127" s="1656"/>
      <c r="R127" s="592"/>
      <c r="S127" s="2341"/>
      <c r="V127" s="952"/>
      <c r="W127" s="2343"/>
      <c r="AA127" s="1668"/>
    </row>
    <row r="128" spans="1:27" s="457" customFormat="1" x14ac:dyDescent="0.25">
      <c r="A128" s="2215"/>
      <c r="B128" s="2345"/>
      <c r="C128" s="2215"/>
      <c r="D128" s="340"/>
      <c r="E128" s="1656"/>
      <c r="G128" s="2338"/>
      <c r="H128" s="2424"/>
      <c r="I128" s="2339"/>
      <c r="J128" s="592"/>
      <c r="K128" s="1668"/>
      <c r="L128" s="2370"/>
      <c r="M128" s="1656"/>
      <c r="O128" s="1668"/>
      <c r="P128" s="340"/>
      <c r="Q128" s="1656"/>
      <c r="R128" s="592"/>
      <c r="S128" s="2341"/>
      <c r="V128" s="952"/>
      <c r="W128" s="2343"/>
      <c r="AA128" s="1668"/>
    </row>
    <row r="129" spans="1:27" s="457" customFormat="1" x14ac:dyDescent="0.25">
      <c r="A129" s="2215"/>
      <c r="B129" s="2345"/>
      <c r="C129" s="2215"/>
      <c r="D129" s="340"/>
      <c r="E129" s="1656"/>
      <c r="G129" s="2338"/>
      <c r="H129" s="2424"/>
      <c r="I129" s="2339"/>
      <c r="J129" s="592"/>
      <c r="K129" s="1668"/>
      <c r="L129" s="2370"/>
      <c r="M129" s="1656"/>
      <c r="O129" s="1668"/>
      <c r="P129" s="340"/>
      <c r="Q129" s="1656"/>
      <c r="R129" s="592"/>
      <c r="S129" s="2341"/>
      <c r="V129" s="952"/>
      <c r="W129" s="2343"/>
      <c r="AA129" s="1668"/>
    </row>
    <row r="130" spans="1:27" s="457" customFormat="1" x14ac:dyDescent="0.25">
      <c r="A130" s="2215"/>
      <c r="B130" s="2345"/>
      <c r="C130" s="2215"/>
      <c r="D130" s="340"/>
      <c r="E130" s="1656"/>
      <c r="G130" s="2338"/>
      <c r="H130" s="2424"/>
      <c r="I130" s="2339"/>
      <c r="J130" s="592"/>
      <c r="K130" s="1668"/>
      <c r="L130" s="2370"/>
      <c r="M130" s="1656"/>
      <c r="O130" s="1668"/>
      <c r="P130" s="340"/>
      <c r="Q130" s="1656"/>
      <c r="R130" s="592"/>
      <c r="S130" s="2341"/>
      <c r="V130" s="952"/>
      <c r="W130" s="2343"/>
      <c r="AA130" s="1668"/>
    </row>
    <row r="131" spans="1:27" s="457" customFormat="1" x14ac:dyDescent="0.25">
      <c r="A131" s="2215"/>
      <c r="B131" s="2345"/>
      <c r="C131" s="2215"/>
      <c r="D131" s="340"/>
      <c r="E131" s="1656"/>
      <c r="G131" s="2338"/>
      <c r="H131" s="2424"/>
      <c r="I131" s="2339"/>
      <c r="J131" s="592"/>
      <c r="K131" s="1668"/>
      <c r="L131" s="2370"/>
      <c r="M131" s="1656"/>
      <c r="O131" s="1668"/>
      <c r="P131" s="340"/>
      <c r="Q131" s="1656"/>
      <c r="R131" s="592"/>
      <c r="S131" s="2341"/>
      <c r="V131" s="952"/>
      <c r="W131" s="2343"/>
      <c r="AA131" s="1668"/>
    </row>
  </sheetData>
  <sheetProtection password="E247" sheet="1" objects="1" scenarios="1"/>
  <mergeCells count="1">
    <mergeCell ref="B106:C107"/>
  </mergeCells>
  <pageMargins left="0.25" right="0.25" top="0.5" bottom="0.5" header="0.25" footer="0.25"/>
  <pageSetup paperSize="5" orientation="portrait" r:id="rId1"/>
  <headerFooter>
    <oddHeader>&amp;L&amp;F</oddHeader>
    <oddFooter>&amp;R&amp;A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C131"/>
  <sheetViews>
    <sheetView zoomScaleNormal="100" workbookViewId="0">
      <pane xSplit="3" ySplit="6" topLeftCell="H7" activePane="bottomRight" state="frozen"/>
      <selection activeCell="H7" sqref="H7"/>
      <selection pane="topRight" activeCell="H7" sqref="H7"/>
      <selection pane="bottomLeft" activeCell="H7" sqref="H7"/>
      <selection pane="bottomRight" activeCell="H7" sqref="H7"/>
    </sheetView>
  </sheetViews>
  <sheetFormatPr defaultRowHeight="15" x14ac:dyDescent="0.25"/>
  <cols>
    <col min="1" max="1" width="1.7109375" style="2213" customWidth="1"/>
    <col min="2" max="2" width="8.5703125" style="2172" customWidth="1"/>
    <col min="3" max="3" width="21.42578125" style="2176" customWidth="1"/>
    <col min="4" max="4" width="16" style="2" hidden="1" customWidth="1"/>
    <col min="5" max="5" width="35.28515625" style="844" hidden="1" customWidth="1"/>
    <col min="6" max="6" width="6" style="39" hidden="1" customWidth="1"/>
    <col min="7" max="7" width="17.42578125" style="52" hidden="1" customWidth="1"/>
    <col min="8" max="8" width="13.85546875" style="121" bestFit="1" customWidth="1"/>
    <col min="9" max="9" width="27.140625" style="853" hidden="1" customWidth="1"/>
    <col min="10" max="10" width="5.7109375" style="59" hidden="1" customWidth="1"/>
    <col min="11" max="11" width="10.28515625" style="333" hidden="1" customWidth="1"/>
    <col min="12" max="12" width="14" style="122" bestFit="1" customWidth="1"/>
    <col min="13" max="13" width="26" style="844" hidden="1" customWidth="1"/>
    <col min="14" max="14" width="5.7109375" style="39" hidden="1" customWidth="1"/>
    <col min="15" max="15" width="9.42578125" style="333" hidden="1" customWidth="1"/>
    <col min="16" max="16" width="14" style="2" bestFit="1" customWidth="1"/>
    <col min="17" max="17" width="24.85546875" style="844" hidden="1" customWidth="1"/>
    <col min="18" max="18" width="5.28515625" style="51" hidden="1" customWidth="1"/>
    <col min="19" max="19" width="9.42578125" style="338" hidden="1" customWidth="1"/>
    <col min="20" max="20" width="14" style="39" customWidth="1"/>
    <col min="21" max="21" width="24.85546875" style="39" hidden="1" customWidth="1"/>
    <col min="22" max="22" width="5.7109375" style="109" customWidth="1"/>
    <col min="23" max="23" width="9.42578125" style="2244" hidden="1" customWidth="1"/>
    <col min="24" max="24" width="14" style="39" hidden="1" customWidth="1"/>
    <col min="25" max="25" width="24.85546875" style="39" hidden="1" customWidth="1"/>
    <col min="26" max="26" width="5.7109375" style="39" hidden="1" customWidth="1"/>
    <col min="27" max="27" width="9.42578125" style="333" hidden="1" customWidth="1"/>
    <col min="28" max="28" width="14" style="39" hidden="1" customWidth="1"/>
    <col min="29" max="29" width="24.85546875" style="39" hidden="1" customWidth="1"/>
    <col min="30" max="16384" width="9.140625" style="39"/>
  </cols>
  <sheetData>
    <row r="1" spans="1:29" x14ac:dyDescent="0.25">
      <c r="B1" s="2172" t="s">
        <v>61</v>
      </c>
      <c r="C1" s="2178" t="s">
        <v>271</v>
      </c>
      <c r="D1" s="933"/>
      <c r="E1" s="842"/>
      <c r="F1" s="98"/>
      <c r="G1" s="325"/>
      <c r="H1" s="934"/>
      <c r="I1" s="842"/>
      <c r="K1" s="338"/>
      <c r="L1" s="121"/>
      <c r="M1" s="842"/>
      <c r="N1" s="51"/>
      <c r="O1" s="338"/>
      <c r="P1" s="121"/>
      <c r="Q1" s="842"/>
      <c r="T1" s="86">
        <v>0</v>
      </c>
      <c r="U1" s="98"/>
      <c r="X1" s="86">
        <v>0</v>
      </c>
      <c r="Y1" s="98"/>
      <c r="AB1" s="86">
        <v>0</v>
      </c>
      <c r="AC1" s="98"/>
    </row>
    <row r="2" spans="1:29" ht="17.25" x14ac:dyDescent="0.4">
      <c r="B2" s="2173" t="s">
        <v>59</v>
      </c>
      <c r="C2" s="2177">
        <v>6264</v>
      </c>
      <c r="D2" s="934"/>
      <c r="E2" s="842"/>
      <c r="F2" s="98"/>
      <c r="G2" s="1663"/>
      <c r="H2" s="934"/>
      <c r="I2" s="842"/>
      <c r="K2" s="338"/>
      <c r="L2" s="87"/>
      <c r="M2" s="842"/>
      <c r="N2" s="51"/>
      <c r="O2" s="338"/>
      <c r="P2" s="87"/>
      <c r="Q2" s="842"/>
      <c r="T2" s="87">
        <v>0</v>
      </c>
      <c r="U2" s="98"/>
      <c r="X2" s="87">
        <v>0</v>
      </c>
      <c r="Y2" s="98"/>
      <c r="AB2" s="87">
        <v>0</v>
      </c>
      <c r="AC2" s="98"/>
    </row>
    <row r="3" spans="1:29" x14ac:dyDescent="0.25">
      <c r="D3" s="935"/>
      <c r="E3" s="852"/>
      <c r="F3" s="936"/>
      <c r="G3" s="1664"/>
      <c r="H3" s="935"/>
      <c r="I3" s="852"/>
      <c r="K3" s="338"/>
      <c r="L3" s="121"/>
      <c r="M3" s="853"/>
      <c r="N3" s="51"/>
      <c r="O3" s="338"/>
      <c r="P3" s="121"/>
      <c r="Q3" s="853"/>
      <c r="T3" s="86">
        <f>SUM(T1:T2)</f>
        <v>0</v>
      </c>
      <c r="U3" s="51"/>
      <c r="X3" s="86">
        <f>SUM(X1:X2)</f>
        <v>0</v>
      </c>
      <c r="Y3" s="51"/>
      <c r="AB3" s="86">
        <f>SUM(AB1:AB2)</f>
        <v>0</v>
      </c>
      <c r="AC3" s="51"/>
    </row>
    <row r="4" spans="1:29" x14ac:dyDescent="0.25">
      <c r="D4" s="36"/>
      <c r="E4" s="853"/>
      <c r="F4" s="51"/>
      <c r="G4" s="330"/>
      <c r="K4" s="338"/>
      <c r="L4" s="121"/>
      <c r="M4" s="853"/>
      <c r="N4" s="51"/>
      <c r="O4" s="338"/>
      <c r="P4" s="121"/>
      <c r="Q4" s="853"/>
      <c r="T4" s="86"/>
      <c r="U4" s="51"/>
      <c r="X4" s="86"/>
      <c r="Y4" s="51"/>
      <c r="AB4" s="86"/>
      <c r="AC4" s="51"/>
    </row>
    <row r="5" spans="1:29" ht="15.75" x14ac:dyDescent="0.25">
      <c r="B5" s="2174" t="s">
        <v>56</v>
      </c>
      <c r="P5" s="122"/>
      <c r="T5" s="73"/>
      <c r="X5" s="73"/>
      <c r="AB5" s="73"/>
    </row>
    <row r="6" spans="1:29" s="89" customFormat="1" ht="15.75" x14ac:dyDescent="0.25">
      <c r="A6" s="2214"/>
      <c r="B6" s="2175"/>
      <c r="C6" s="2175"/>
      <c r="D6" s="243" t="s">
        <v>55</v>
      </c>
      <c r="E6" s="845"/>
      <c r="G6" s="327"/>
      <c r="H6" s="282" t="str">
        <f>LEFT(D6,4)+1&amp;"-"&amp;RIGHT(D6,4)+1</f>
        <v>2017-2018</v>
      </c>
      <c r="I6" s="854"/>
      <c r="J6" s="93"/>
      <c r="K6" s="334"/>
      <c r="L6" s="123" t="str">
        <f>LEFT(H6,4)+1&amp;"-"&amp;RIGHT(H6,4)+1</f>
        <v>2018-2019</v>
      </c>
      <c r="M6" s="888"/>
      <c r="N6" s="96"/>
      <c r="O6" s="337"/>
      <c r="P6" s="123" t="str">
        <f>LEFT(L6,4)+1&amp;"-"&amp;RIGHT(L6,4)+1</f>
        <v>2019-2020</v>
      </c>
      <c r="Q6" s="888"/>
      <c r="R6" s="2237"/>
      <c r="S6" s="2242"/>
      <c r="T6" s="95" t="str">
        <f>LEFT(P6,4)+1&amp;"-"&amp;RIGHT(P6,4)+1</f>
        <v>2020-2021</v>
      </c>
      <c r="U6" s="95"/>
      <c r="V6" s="110"/>
      <c r="W6" s="2245"/>
      <c r="X6" s="95" t="str">
        <f>LEFT(T6,4)+1&amp;"-"&amp;RIGHT(T6,4)+1</f>
        <v>2021-2022</v>
      </c>
      <c r="Y6" s="95"/>
      <c r="Z6" s="96"/>
      <c r="AA6" s="337"/>
      <c r="AB6" s="95" t="str">
        <f>LEFT(X6,4)+1&amp;"-"&amp;RIGHT(X6,4)+1</f>
        <v>2022-2023</v>
      </c>
      <c r="AC6" s="95"/>
    </row>
    <row r="7" spans="1:29" s="457" customFormat="1" x14ac:dyDescent="0.25">
      <c r="A7" s="2215"/>
      <c r="B7" s="2337" t="s">
        <v>54</v>
      </c>
      <c r="C7" s="2215"/>
      <c r="D7" s="340">
        <v>636450.82999999996</v>
      </c>
      <c r="E7" s="1656"/>
      <c r="F7" s="2378"/>
      <c r="G7" s="2338"/>
      <c r="H7" s="340">
        <f>D89</f>
        <v>345953.92999999993</v>
      </c>
      <c r="I7" s="2317" t="s">
        <v>770</v>
      </c>
      <c r="J7" s="599"/>
      <c r="K7" s="1668"/>
      <c r="L7" s="340">
        <f>H89</f>
        <v>0</v>
      </c>
      <c r="M7" s="1656"/>
      <c r="O7" s="1668"/>
      <c r="P7" s="340">
        <f>L89</f>
        <v>0</v>
      </c>
      <c r="Q7" s="1656"/>
      <c r="R7" s="592"/>
      <c r="S7" s="2341"/>
      <c r="T7" s="340">
        <f>P89</f>
        <v>0</v>
      </c>
      <c r="V7" s="952"/>
      <c r="W7" s="2343"/>
      <c r="X7" s="340">
        <f>T89</f>
        <v>0</v>
      </c>
      <c r="AA7" s="1668"/>
      <c r="AB7" s="340" t="e">
        <f>X89</f>
        <v>#VALUE!</v>
      </c>
    </row>
    <row r="8" spans="1:29" s="457" customFormat="1" x14ac:dyDescent="0.25">
      <c r="A8" s="2215"/>
      <c r="B8" s="2345"/>
      <c r="C8" s="2215"/>
      <c r="D8" s="340"/>
      <c r="E8" s="1656"/>
      <c r="G8" s="2338"/>
      <c r="H8" s="340"/>
      <c r="I8" s="1656"/>
      <c r="J8" s="592"/>
      <c r="K8" s="1668"/>
      <c r="L8" s="340"/>
      <c r="M8" s="1656"/>
      <c r="O8" s="1668"/>
      <c r="P8" s="340"/>
      <c r="Q8" s="1656"/>
      <c r="R8" s="592"/>
      <c r="S8" s="2341"/>
      <c r="V8" s="952"/>
      <c r="W8" s="2343"/>
      <c r="AA8" s="1668"/>
    </row>
    <row r="9" spans="1:29" s="457" customFormat="1" x14ac:dyDescent="0.25">
      <c r="A9" s="2215"/>
      <c r="B9" s="2345" t="s">
        <v>52</v>
      </c>
      <c r="C9" s="2215" t="s">
        <v>53</v>
      </c>
      <c r="D9" s="340">
        <f>D3</f>
        <v>0</v>
      </c>
      <c r="E9" s="1656"/>
      <c r="G9" s="456" t="str">
        <f>IF(D9=0,"0.00%",(H9-D9)/D9)</f>
        <v>0.00%</v>
      </c>
      <c r="H9" s="833">
        <f>H3</f>
        <v>0</v>
      </c>
      <c r="I9" s="1656"/>
      <c r="J9" s="342"/>
      <c r="K9" s="456" t="str">
        <f>IF(H9=0,"0.00%",(L9-H9)/H9)</f>
        <v>0.00%</v>
      </c>
      <c r="L9" s="833">
        <f>L3</f>
        <v>0</v>
      </c>
      <c r="M9" s="1656"/>
      <c r="O9" s="456" t="str">
        <f>IF(L9=0,"0.00%",(P9-L9)/L9)</f>
        <v>0.00%</v>
      </c>
      <c r="P9" s="833">
        <f>P3</f>
        <v>0</v>
      </c>
      <c r="Q9" s="1656"/>
      <c r="R9" s="592"/>
      <c r="S9" s="2238" t="str">
        <f>IF(P9=0,"0.00%",(T9-P9)/P9)</f>
        <v>0.00%</v>
      </c>
      <c r="T9" s="833">
        <f>T3</f>
        <v>0</v>
      </c>
      <c r="V9" s="952"/>
      <c r="W9" s="2241" t="str">
        <f>IF(T9=0,"0.00%",(X9-T9)/T9)</f>
        <v>0.00%</v>
      </c>
      <c r="X9" s="833">
        <f>X3</f>
        <v>0</v>
      </c>
      <c r="AA9" s="456" t="str">
        <f>IF(X9=0,"0.00%",(AB9-X9)/X9)</f>
        <v>0.00%</v>
      </c>
      <c r="AB9" s="833">
        <f>AB3</f>
        <v>0</v>
      </c>
    </row>
    <row r="10" spans="1:29" s="457" customFormat="1" x14ac:dyDescent="0.25">
      <c r="A10" s="2215"/>
      <c r="B10" s="2345"/>
      <c r="C10" s="2215"/>
      <c r="D10" s="340">
        <v>0</v>
      </c>
      <c r="E10" s="1656"/>
      <c r="G10" s="456" t="str">
        <f t="shared" ref="G10:G15" si="0">IF(D10=0,"0.00%",(H10-D10)/D10)</f>
        <v>0.00%</v>
      </c>
      <c r="H10" s="833">
        <v>0</v>
      </c>
      <c r="I10" s="1656"/>
      <c r="J10" s="342"/>
      <c r="K10" s="456" t="str">
        <f>IF(H10=0,"0.00%",(L10-H10)/H10)</f>
        <v>0.00%</v>
      </c>
      <c r="L10" s="833">
        <f>-H2</f>
        <v>0</v>
      </c>
      <c r="M10" s="1656"/>
      <c r="O10" s="456" t="str">
        <f>IF(L10=0,"0.00%",(P10-L10)/L10)</f>
        <v>0.00%</v>
      </c>
      <c r="P10" s="833">
        <f>-L2</f>
        <v>0</v>
      </c>
      <c r="Q10" s="1656"/>
      <c r="R10" s="592"/>
      <c r="S10" s="2238" t="str">
        <f>IF(P10=0,"0.00%",(T10-P10)/P10)</f>
        <v>0.00%</v>
      </c>
      <c r="T10" s="833">
        <f>-P2</f>
        <v>0</v>
      </c>
      <c r="V10" s="952"/>
      <c r="W10" s="2241" t="str">
        <f>IF(T10=0,"0.00%",(X10-T10)/T10)</f>
        <v>0.00%</v>
      </c>
      <c r="X10" s="833">
        <f>-T2</f>
        <v>0</v>
      </c>
      <c r="AA10" s="456" t="str">
        <f>IF(X10=0,"0.00%",(AB10-X10)/X10)</f>
        <v>0.00%</v>
      </c>
      <c r="AB10" s="833">
        <f>-X2</f>
        <v>0</v>
      </c>
    </row>
    <row r="11" spans="1:29" s="457" customFormat="1" x14ac:dyDescent="0.25">
      <c r="A11" s="2215"/>
      <c r="B11" s="2337" t="s">
        <v>137</v>
      </c>
      <c r="C11" s="2215"/>
      <c r="D11" s="458">
        <f>SUM(D9:D10)</f>
        <v>0</v>
      </c>
      <c r="E11" s="1656"/>
      <c r="G11" s="456" t="str">
        <f t="shared" si="0"/>
        <v>0.00%</v>
      </c>
      <c r="H11" s="458">
        <f>SUM(H9:H10)</f>
        <v>0</v>
      </c>
      <c r="I11" s="1656"/>
      <c r="J11" s="601"/>
      <c r="K11" s="456" t="str">
        <f>IF(H11=0,"0.00%",(L11-H11)/H11)</f>
        <v>0.00%</v>
      </c>
      <c r="L11" s="458">
        <f>SUM(L9:L10)</f>
        <v>0</v>
      </c>
      <c r="M11" s="1656"/>
      <c r="O11" s="456" t="str">
        <f>IF(L11=0,"0.00%",(P11-L11)/L11)</f>
        <v>0.00%</v>
      </c>
      <c r="P11" s="458">
        <f>SUM(P9:P10)</f>
        <v>0</v>
      </c>
      <c r="Q11" s="1656"/>
      <c r="R11" s="592"/>
      <c r="S11" s="2238" t="str">
        <f>IF(P11=0,"0.00%",(T11-P11)/P11)</f>
        <v>0.00%</v>
      </c>
      <c r="T11" s="2353">
        <f>SUM(T9:T10)</f>
        <v>0</v>
      </c>
      <c r="V11" s="952"/>
      <c r="W11" s="2241" t="str">
        <f>IF(T11=0,"0.00%",(X11-T11)/T11)</f>
        <v>0.00%</v>
      </c>
      <c r="X11" s="2353">
        <f>SUM(X9:X10)</f>
        <v>0</v>
      </c>
      <c r="AA11" s="456" t="str">
        <f>IF(X11=0,"0.00%",(AB11-X11)/X11)</f>
        <v>0.00%</v>
      </c>
      <c r="AB11" s="2353">
        <f>SUM(AB9:AB10)</f>
        <v>0</v>
      </c>
    </row>
    <row r="12" spans="1:29" s="457" customFormat="1" x14ac:dyDescent="0.25">
      <c r="A12" s="2215"/>
      <c r="B12" s="2345"/>
      <c r="C12" s="2215"/>
      <c r="D12" s="340"/>
      <c r="E12" s="1656"/>
      <c r="G12" s="2338"/>
      <c r="H12" s="833"/>
      <c r="I12" s="1656"/>
      <c r="J12" s="602"/>
      <c r="K12" s="2338"/>
      <c r="L12" s="833"/>
      <c r="M12" s="1656"/>
      <c r="O12" s="2338"/>
      <c r="P12" s="833"/>
      <c r="Q12" s="1656"/>
      <c r="R12" s="592"/>
      <c r="S12" s="2355"/>
      <c r="T12" s="2356"/>
      <c r="V12" s="952"/>
      <c r="W12" s="2357"/>
      <c r="X12" s="2356"/>
      <c r="AA12" s="2338"/>
      <c r="AB12" s="2356"/>
    </row>
    <row r="13" spans="1:29" s="457" customFormat="1" x14ac:dyDescent="0.25">
      <c r="A13" s="2215"/>
      <c r="B13" s="2345"/>
      <c r="C13" s="2358" t="s">
        <v>64</v>
      </c>
      <c r="D13" s="2359">
        <v>0</v>
      </c>
      <c r="E13" s="2361" t="s">
        <v>903</v>
      </c>
      <c r="G13" s="456" t="str">
        <f t="shared" si="0"/>
        <v>0.00%</v>
      </c>
      <c r="H13" s="2359">
        <v>0</v>
      </c>
      <c r="I13" s="2360"/>
      <c r="J13" s="603"/>
      <c r="K13" s="456" t="str">
        <f>IF(H13=0,"0.00%",(L13-H13)/H13)</f>
        <v>0.00%</v>
      </c>
      <c r="L13" s="2359">
        <f>ROUND(L11-(L11/(1+I13)),0)</f>
        <v>0</v>
      </c>
      <c r="M13" s="1656"/>
      <c r="O13" s="456" t="str">
        <f>IF(L13=0,"0.00%",(P13-L13)/L13)</f>
        <v>0.00%</v>
      </c>
      <c r="P13" s="2359">
        <f>ROUND(P11-(P11/(1+I13)),0)</f>
        <v>0</v>
      </c>
      <c r="Q13" s="1656"/>
      <c r="R13" s="592"/>
      <c r="S13" s="2238" t="str">
        <f>IF(P13=0,"0.00%",(T13-P13)/P13)</f>
        <v>0.00%</v>
      </c>
      <c r="T13" s="2362">
        <v>0</v>
      </c>
      <c r="V13" s="952"/>
      <c r="W13" s="2241" t="str">
        <f>IF(T13=0,"0.00%",(X13-T13)/T13)</f>
        <v>0.00%</v>
      </c>
      <c r="X13" s="2362" t="e">
        <f>ROUND(X11-(X11/(1+E13)),0)</f>
        <v>#VALUE!</v>
      </c>
      <c r="AA13" s="456" t="e">
        <f>IF(X13=0,"0.00%",(AB13-X13)/X13)</f>
        <v>#VALUE!</v>
      </c>
      <c r="AB13" s="2362">
        <f>ROUND(AB11-(AB11/(1+F13)),0)</f>
        <v>0</v>
      </c>
    </row>
    <row r="14" spans="1:29" s="457" customFormat="1" x14ac:dyDescent="0.25">
      <c r="A14" s="2215"/>
      <c r="B14" s="2345"/>
      <c r="C14" s="2215"/>
      <c r="D14" s="340"/>
      <c r="E14" s="1656"/>
      <c r="G14" s="2338"/>
      <c r="H14" s="833"/>
      <c r="I14" s="1656"/>
      <c r="J14" s="602"/>
      <c r="K14" s="2338"/>
      <c r="L14" s="833"/>
      <c r="M14" s="1656"/>
      <c r="O14" s="2338"/>
      <c r="P14" s="833"/>
      <c r="Q14" s="1656"/>
      <c r="R14" s="592"/>
      <c r="S14" s="2355"/>
      <c r="T14" s="2356"/>
      <c r="V14" s="952"/>
      <c r="W14" s="2357"/>
      <c r="X14" s="2356"/>
      <c r="AA14" s="2338"/>
      <c r="AB14" s="2356"/>
    </row>
    <row r="15" spans="1:29" s="457" customFormat="1" x14ac:dyDescent="0.25">
      <c r="A15" s="2215"/>
      <c r="B15" s="2337" t="s">
        <v>50</v>
      </c>
      <c r="C15" s="2215"/>
      <c r="D15" s="1866">
        <f>D11-D13+D7</f>
        <v>636450.82999999996</v>
      </c>
      <c r="E15" s="1656"/>
      <c r="G15" s="456">
        <f t="shared" si="0"/>
        <v>-0.4564325888301537</v>
      </c>
      <c r="H15" s="1866">
        <f>H11-H13+H7</f>
        <v>345953.92999999993</v>
      </c>
      <c r="I15" s="1656"/>
      <c r="J15" s="601"/>
      <c r="K15" s="456">
        <f>IF(H15=0,"0.00%",(L15-H15)/H15)</f>
        <v>-1</v>
      </c>
      <c r="L15" s="1866">
        <f>L11-L13+L7</f>
        <v>0</v>
      </c>
      <c r="M15" s="1656"/>
      <c r="O15" s="456" t="str">
        <f>IF(L15=0,"0.00%",(P15-L15)/L15)</f>
        <v>0.00%</v>
      </c>
      <c r="P15" s="1866">
        <f>P11-P13+P7</f>
        <v>0</v>
      </c>
      <c r="Q15" s="1656"/>
      <c r="R15" s="592"/>
      <c r="S15" s="2238" t="str">
        <f>IF(P15=0,"0.00%",(T15-P15)/P15)</f>
        <v>0.00%</v>
      </c>
      <c r="T15" s="2460">
        <f>T11-T13+T7</f>
        <v>0</v>
      </c>
      <c r="V15" s="952"/>
      <c r="W15" s="2241" t="str">
        <f>IF(T15=0,"0.00%",(X15-T15)/T15)</f>
        <v>0.00%</v>
      </c>
      <c r="X15" s="2460" t="e">
        <f>X11-X13+X7</f>
        <v>#VALUE!</v>
      </c>
      <c r="AA15" s="456" t="e">
        <f>IF(X15=0,"0.00%",(AB15-X15)/X15)</f>
        <v>#VALUE!</v>
      </c>
      <c r="AB15" s="2460" t="e">
        <f>AB11-AB13+AB7</f>
        <v>#VALUE!</v>
      </c>
    </row>
    <row r="16" spans="1:29" s="457" customFormat="1" x14ac:dyDescent="0.25">
      <c r="A16" s="2215"/>
      <c r="B16" s="2345"/>
      <c r="C16" s="2215"/>
      <c r="D16" s="340"/>
      <c r="E16" s="1656"/>
      <c r="G16" s="2338"/>
      <c r="H16" s="833"/>
      <c r="I16" s="1656"/>
      <c r="J16" s="601"/>
      <c r="K16" s="1668"/>
      <c r="L16" s="833"/>
      <c r="M16" s="1656"/>
      <c r="O16" s="1668"/>
      <c r="P16" s="833"/>
      <c r="Q16" s="1656"/>
      <c r="R16" s="592"/>
      <c r="S16" s="2341"/>
      <c r="T16" s="2367"/>
      <c r="V16" s="952"/>
      <c r="W16" s="2343"/>
      <c r="X16" s="2367"/>
      <c r="AA16" s="1668"/>
      <c r="AB16" s="2367"/>
    </row>
    <row r="17" spans="1:29" s="457" customFormat="1" x14ac:dyDescent="0.25">
      <c r="A17" s="2215"/>
      <c r="B17" s="2345"/>
      <c r="C17" s="2345"/>
      <c r="D17" s="340"/>
      <c r="E17" s="1656"/>
      <c r="G17" s="2338"/>
      <c r="H17" s="833"/>
      <c r="I17" s="1656"/>
      <c r="J17" s="602"/>
      <c r="K17" s="1668"/>
      <c r="L17" s="833"/>
      <c r="M17" s="1656"/>
      <c r="O17" s="1668"/>
      <c r="P17" s="833"/>
      <c r="Q17" s="1656"/>
      <c r="R17" s="592"/>
      <c r="S17" s="2341"/>
      <c r="T17" s="2356"/>
      <c r="V17" s="952"/>
      <c r="W17" s="2343"/>
      <c r="X17" s="2356"/>
      <c r="AA17" s="1668"/>
      <c r="AB17" s="2356"/>
    </row>
    <row r="18" spans="1:29" s="457" customFormat="1" x14ac:dyDescent="0.25">
      <c r="A18" s="2223"/>
      <c r="B18" s="2345"/>
      <c r="C18" s="2215"/>
      <c r="D18" s="459" t="s">
        <v>807</v>
      </c>
      <c r="E18" s="1867"/>
      <c r="F18" s="2433"/>
      <c r="G18" s="2338"/>
      <c r="H18" s="459" t="s">
        <v>176</v>
      </c>
      <c r="I18" s="1867"/>
      <c r="J18" s="604"/>
      <c r="K18" s="1668"/>
      <c r="L18" s="2370"/>
      <c r="M18" s="1867"/>
      <c r="O18" s="1668"/>
      <c r="P18" s="340"/>
      <c r="Q18" s="1867"/>
      <c r="R18" s="592"/>
      <c r="S18" s="2341"/>
      <c r="U18" s="2433"/>
      <c r="V18" s="952"/>
      <c r="W18" s="2343"/>
      <c r="Y18" s="2433"/>
      <c r="AA18" s="1668"/>
      <c r="AC18" s="2433"/>
    </row>
    <row r="19" spans="1:29" s="457" customFormat="1" ht="17.25" x14ac:dyDescent="0.4">
      <c r="A19" s="2224"/>
      <c r="B19" s="2345"/>
      <c r="C19" s="2215"/>
      <c r="D19" s="2435" t="s">
        <v>808</v>
      </c>
      <c r="E19" s="2434"/>
      <c r="F19" s="2436"/>
      <c r="G19" s="2338"/>
      <c r="H19" s="2435" t="s">
        <v>48</v>
      </c>
      <c r="I19" s="2373">
        <v>0.02</v>
      </c>
      <c r="J19" s="459"/>
      <c r="K19" s="1668"/>
      <c r="L19" s="2372" t="s">
        <v>48</v>
      </c>
      <c r="M19" s="2373">
        <v>0.02</v>
      </c>
      <c r="O19" s="1668"/>
      <c r="P19" s="2372" t="s">
        <v>48</v>
      </c>
      <c r="Q19" s="2371">
        <v>0.02</v>
      </c>
      <c r="R19" s="592"/>
      <c r="S19" s="2341"/>
      <c r="T19" s="2372" t="s">
        <v>48</v>
      </c>
      <c r="U19" s="2374">
        <v>0.02</v>
      </c>
      <c r="V19" s="952"/>
      <c r="W19" s="2343"/>
      <c r="X19" s="2372" t="s">
        <v>48</v>
      </c>
      <c r="Y19" s="2374">
        <v>0.02</v>
      </c>
      <c r="AA19" s="1668"/>
      <c r="AB19" s="2372" t="s">
        <v>48</v>
      </c>
      <c r="AC19" s="2374">
        <v>0.02</v>
      </c>
    </row>
    <row r="20" spans="1:29" s="2378" customFormat="1" x14ac:dyDescent="0.25">
      <c r="A20" s="2225"/>
      <c r="B20" s="2337" t="s">
        <v>46</v>
      </c>
      <c r="C20" s="2358"/>
      <c r="D20" s="1866"/>
      <c r="E20" s="2375"/>
      <c r="F20" s="1866"/>
      <c r="G20" s="2376"/>
      <c r="H20" s="1866"/>
      <c r="I20" s="868"/>
      <c r="J20" s="460"/>
      <c r="K20" s="606"/>
      <c r="L20" s="1866"/>
      <c r="M20" s="2379"/>
      <c r="O20" s="606"/>
      <c r="P20" s="1866"/>
      <c r="Q20" s="2379"/>
      <c r="R20" s="461"/>
      <c r="S20" s="1669"/>
      <c r="T20" s="1866"/>
      <c r="U20" s="2383"/>
      <c r="V20" s="2381"/>
      <c r="W20" s="2382"/>
      <c r="X20" s="1866"/>
      <c r="Y20" s="2383"/>
      <c r="AA20" s="606"/>
      <c r="AB20" s="1866"/>
      <c r="AC20" s="2383"/>
    </row>
    <row r="21" spans="1:29" s="457" customFormat="1" x14ac:dyDescent="0.25">
      <c r="A21" s="2226"/>
      <c r="B21" s="2385">
        <v>1181</v>
      </c>
      <c r="C21" s="2215" t="s">
        <v>272</v>
      </c>
      <c r="D21" s="340">
        <f>24328.6-169.3</f>
        <v>24159.3</v>
      </c>
      <c r="E21" s="2386"/>
      <c r="F21" s="340"/>
      <c r="G21" s="456">
        <f t="shared" ref="G21:G30" si="1">IF(D21=0,"0.00%",(H21-D21)/D21)</f>
        <v>1.2270926723870312</v>
      </c>
      <c r="H21" s="340">
        <v>53805</v>
      </c>
      <c r="I21" s="899" t="s">
        <v>771</v>
      </c>
      <c r="J21" s="455"/>
      <c r="K21" s="456">
        <f t="shared" ref="K21:K27" si="2">IF(H21=0,"0.00%",(L21-H21)/H21)</f>
        <v>-1</v>
      </c>
      <c r="L21" s="340">
        <v>0</v>
      </c>
      <c r="M21" s="897"/>
      <c r="O21" s="456" t="str">
        <f t="shared" ref="O21:O27" si="3">IF(L21=0,"0.00%",(P21-L21)/L21)</f>
        <v>0.00%</v>
      </c>
      <c r="P21" s="340">
        <f>ROUND(L21*(1+Q19),0)</f>
        <v>0</v>
      </c>
      <c r="Q21" s="897"/>
      <c r="R21" s="592"/>
      <c r="S21" s="2238" t="str">
        <f t="shared" ref="S21:S27" si="4">IF(P21=0,"0.00%",(T21-P21)/P21)</f>
        <v>0.00%</v>
      </c>
      <c r="T21" s="340">
        <f>ROUND(P21*(1+U19),0)</f>
        <v>0</v>
      </c>
      <c r="U21" s="455" t="str">
        <f>TEXT(U19,"0.0%")&amp;" = Est. S &amp; C"</f>
        <v>2.0% = Est. S &amp; C</v>
      </c>
      <c r="V21" s="952"/>
      <c r="W21" s="2241" t="str">
        <f t="shared" ref="W21:W27" si="5">IF(T21=0,"0.00%",(X21-T21)/T21)</f>
        <v>0.00%</v>
      </c>
      <c r="X21" s="340">
        <f>ROUND(T21*(1+Y19),0)</f>
        <v>0</v>
      </c>
      <c r="Y21" s="455" t="str">
        <f>TEXT(Y19,"0.0%")&amp;" = Est. S &amp; C"</f>
        <v>2.0% = Est. S &amp; C</v>
      </c>
      <c r="AA21" s="456" t="str">
        <f t="shared" ref="AA21:AA27" si="6">IF(X21=0,"0.00%",(AB21-X21)/X21)</f>
        <v>0.00%</v>
      </c>
      <c r="AB21" s="340">
        <f>ROUND(X21*(1+AC19),0)</f>
        <v>0</v>
      </c>
      <c r="AC21" s="455" t="str">
        <f>TEXT(AC19,"0.0%")&amp;" = Est. S &amp; C"</f>
        <v>2.0% = Est. S &amp; C</v>
      </c>
    </row>
    <row r="22" spans="1:29" s="457" customFormat="1" x14ac:dyDescent="0.25">
      <c r="A22" s="2227"/>
      <c r="B22" s="2385">
        <v>1312</v>
      </c>
      <c r="C22" s="2215" t="s">
        <v>694</v>
      </c>
      <c r="D22" s="340">
        <v>64319.199999999997</v>
      </c>
      <c r="E22" s="2386" t="s">
        <v>699</v>
      </c>
      <c r="F22" s="340"/>
      <c r="G22" s="456">
        <f t="shared" si="1"/>
        <v>-0.2903518700481349</v>
      </c>
      <c r="H22" s="1866">
        <v>45644</v>
      </c>
      <c r="I22" s="897" t="s">
        <v>721</v>
      </c>
      <c r="J22" s="455"/>
      <c r="K22" s="456">
        <f t="shared" si="2"/>
        <v>-1</v>
      </c>
      <c r="L22" s="340">
        <v>0</v>
      </c>
      <c r="M22" s="897"/>
      <c r="O22" s="456" t="str">
        <f t="shared" si="3"/>
        <v>0.00%</v>
      </c>
      <c r="P22" s="340">
        <f>ROUND(L22*(1+Q19),0)</f>
        <v>0</v>
      </c>
      <c r="Q22" s="897"/>
      <c r="R22" s="592"/>
      <c r="S22" s="2238" t="str">
        <f t="shared" si="4"/>
        <v>0.00%</v>
      </c>
      <c r="T22" s="340">
        <f>ROUND(P22*(1+U19),0)</f>
        <v>0</v>
      </c>
      <c r="U22" s="455" t="str">
        <f>TEXT(U19,"0.0%")&amp;" = Est. S &amp; C"</f>
        <v>2.0% = Est. S &amp; C</v>
      </c>
      <c r="V22" s="952"/>
      <c r="W22" s="2241" t="str">
        <f t="shared" si="5"/>
        <v>0.00%</v>
      </c>
      <c r="X22" s="340">
        <f>ROUND(T22*(1+Y19),0)</f>
        <v>0</v>
      </c>
      <c r="Y22" s="455" t="str">
        <f>TEXT(Y19,"0.0%")&amp;" = Est. S &amp; C"</f>
        <v>2.0% = Est. S &amp; C</v>
      </c>
      <c r="AA22" s="456" t="str">
        <f t="shared" si="6"/>
        <v>0.00%</v>
      </c>
      <c r="AB22" s="340">
        <f>ROUND(X22*(1+AC19),0)</f>
        <v>0</v>
      </c>
      <c r="AC22" s="455" t="str">
        <f>TEXT(AC19,"0.0%")&amp;" = Est. S &amp; C"</f>
        <v>2.0% = Est. S &amp; C</v>
      </c>
    </row>
    <row r="23" spans="1:29" s="457" customFormat="1" x14ac:dyDescent="0.25">
      <c r="A23" s="2227"/>
      <c r="B23" s="2385">
        <v>1175</v>
      </c>
      <c r="C23" s="2215"/>
      <c r="D23" s="340">
        <v>0</v>
      </c>
      <c r="E23" s="2386"/>
      <c r="F23" s="340"/>
      <c r="G23" s="456" t="str">
        <f t="shared" si="1"/>
        <v>0.00%</v>
      </c>
      <c r="H23" s="340">
        <v>23400</v>
      </c>
      <c r="I23" s="897" t="str">
        <f t="shared" ref="I23:I28" si="7">TEXT($I$19,"0.0%")&amp;" = Est. S &amp; C"</f>
        <v>2.0% = Est. S &amp; C</v>
      </c>
      <c r="J23" s="455"/>
      <c r="K23" s="456">
        <f t="shared" si="2"/>
        <v>-1</v>
      </c>
      <c r="L23" s="340">
        <v>0</v>
      </c>
      <c r="M23" s="897" t="str">
        <f>TEXT(M19,"0.0%")&amp;" = Est. S &amp; C"</f>
        <v>2.0% = Est. S &amp; C</v>
      </c>
      <c r="O23" s="456" t="str">
        <f t="shared" si="3"/>
        <v>0.00%</v>
      </c>
      <c r="P23" s="340">
        <f>ROUND(L23*(1+Q19),0)</f>
        <v>0</v>
      </c>
      <c r="Q23" s="897" t="str">
        <f>TEXT(Q19,"0.0%")&amp;" = Est. S &amp; C"</f>
        <v>2.0% = Est. S &amp; C</v>
      </c>
      <c r="R23" s="592"/>
      <c r="S23" s="2238" t="str">
        <f t="shared" si="4"/>
        <v>0.00%</v>
      </c>
      <c r="T23" s="340">
        <f>ROUND(P23*(1+U19),0)</f>
        <v>0</v>
      </c>
      <c r="U23" s="455" t="str">
        <f>TEXT(U19,"0.0%")&amp;" = Est. S &amp; C"</f>
        <v>2.0% = Est. S &amp; C</v>
      </c>
      <c r="V23" s="952"/>
      <c r="W23" s="2241" t="str">
        <f t="shared" si="5"/>
        <v>0.00%</v>
      </c>
      <c r="X23" s="340">
        <f>ROUND(T23*(1+Y19),0)</f>
        <v>0</v>
      </c>
      <c r="Y23" s="455" t="str">
        <f>TEXT(Y19,"0.0%")&amp;" = Est. S &amp; C"</f>
        <v>2.0% = Est. S &amp; C</v>
      </c>
      <c r="AA23" s="456" t="str">
        <f t="shared" si="6"/>
        <v>0.00%</v>
      </c>
      <c r="AB23" s="340">
        <f>ROUND(X23*(1+AC19),0)</f>
        <v>0</v>
      </c>
      <c r="AC23" s="455" t="str">
        <f>TEXT(AC19,"0.0%")&amp;" = Est. S &amp; C"</f>
        <v>2.0% = Est. S &amp; C</v>
      </c>
    </row>
    <row r="24" spans="1:29" s="457" customFormat="1" x14ac:dyDescent="0.25">
      <c r="A24" s="2227"/>
      <c r="B24" s="2385"/>
      <c r="C24" s="2215"/>
      <c r="D24" s="340">
        <v>0</v>
      </c>
      <c r="E24" s="2386"/>
      <c r="F24" s="340"/>
      <c r="G24" s="456" t="str">
        <f t="shared" si="1"/>
        <v>0.00%</v>
      </c>
      <c r="H24" s="340">
        <f t="shared" ref="H24:H27" si="8">ROUND(D24*(1+$I$19),0)</f>
        <v>0</v>
      </c>
      <c r="I24" s="897" t="str">
        <f t="shared" si="7"/>
        <v>2.0% = Est. S &amp; C</v>
      </c>
      <c r="J24" s="455"/>
      <c r="K24" s="456" t="str">
        <f t="shared" si="2"/>
        <v>0.00%</v>
      </c>
      <c r="L24" s="340">
        <f>ROUND(H24*(1+M19),0)</f>
        <v>0</v>
      </c>
      <c r="M24" s="897" t="str">
        <f>TEXT(M19,"0.0%")&amp;" = Est. S &amp; C"</f>
        <v>2.0% = Est. S &amp; C</v>
      </c>
      <c r="O24" s="456" t="str">
        <f t="shared" si="3"/>
        <v>0.00%</v>
      </c>
      <c r="P24" s="340">
        <f>ROUND(L24*(1+Q19),0)</f>
        <v>0</v>
      </c>
      <c r="Q24" s="897" t="str">
        <f>TEXT(Q19,"0.0%")&amp;" = Est. S &amp; C"</f>
        <v>2.0% = Est. S &amp; C</v>
      </c>
      <c r="R24" s="592"/>
      <c r="S24" s="2238" t="str">
        <f t="shared" si="4"/>
        <v>0.00%</v>
      </c>
      <c r="T24" s="340">
        <f>ROUND(P24*(1+U19),0)</f>
        <v>0</v>
      </c>
      <c r="U24" s="455" t="str">
        <f>TEXT(U19,"0.0%")&amp;" = Est. S &amp; C"</f>
        <v>2.0% = Est. S &amp; C</v>
      </c>
      <c r="V24" s="952"/>
      <c r="W24" s="2241" t="str">
        <f t="shared" si="5"/>
        <v>0.00%</v>
      </c>
      <c r="X24" s="340">
        <f>ROUND(T24*(1+Y19),0)</f>
        <v>0</v>
      </c>
      <c r="Y24" s="455" t="str">
        <f>TEXT(Y19,"0.0%")&amp;" = Est. S &amp; C"</f>
        <v>2.0% = Est. S &amp; C</v>
      </c>
      <c r="AA24" s="456" t="str">
        <f t="shared" si="6"/>
        <v>0.00%</v>
      </c>
      <c r="AB24" s="340">
        <f>ROUND(X24*(1+AC19),0)</f>
        <v>0</v>
      </c>
      <c r="AC24" s="455" t="str">
        <f>TEXT(AC19,"0.0%")&amp;" = Est. S &amp; C"</f>
        <v>2.0% = Est. S &amp; C</v>
      </c>
    </row>
    <row r="25" spans="1:29" s="457" customFormat="1" x14ac:dyDescent="0.25">
      <c r="A25" s="2227"/>
      <c r="B25" s="2385"/>
      <c r="C25" s="2215"/>
      <c r="D25" s="340">
        <v>0</v>
      </c>
      <c r="E25" s="2386"/>
      <c r="F25" s="340"/>
      <c r="G25" s="456" t="str">
        <f t="shared" si="1"/>
        <v>0.00%</v>
      </c>
      <c r="H25" s="340">
        <f t="shared" si="8"/>
        <v>0</v>
      </c>
      <c r="I25" s="897" t="str">
        <f t="shared" si="7"/>
        <v>2.0% = Est. S &amp; C</v>
      </c>
      <c r="J25" s="455"/>
      <c r="K25" s="456" t="str">
        <f t="shared" si="2"/>
        <v>0.00%</v>
      </c>
      <c r="L25" s="340">
        <f>ROUND(H25*(1+M19),0)</f>
        <v>0</v>
      </c>
      <c r="M25" s="897" t="str">
        <f>TEXT(M19,"0.0%")&amp;" = Est. S &amp; C"</f>
        <v>2.0% = Est. S &amp; C</v>
      </c>
      <c r="O25" s="456" t="str">
        <f t="shared" si="3"/>
        <v>0.00%</v>
      </c>
      <c r="P25" s="340">
        <f>ROUND(L25*(1+Q19),0)</f>
        <v>0</v>
      </c>
      <c r="Q25" s="897" t="str">
        <f>TEXT(Q19,"0.0%")&amp;" = Est. S &amp; C"</f>
        <v>2.0% = Est. S &amp; C</v>
      </c>
      <c r="R25" s="592"/>
      <c r="S25" s="2238" t="str">
        <f t="shared" si="4"/>
        <v>0.00%</v>
      </c>
      <c r="T25" s="340">
        <f>ROUND(P25*(1+U19),0)</f>
        <v>0</v>
      </c>
      <c r="U25" s="455" t="str">
        <f>TEXT(U19,"0.0%")&amp;" = Est. S &amp; C"</f>
        <v>2.0% = Est. S &amp; C</v>
      </c>
      <c r="V25" s="952"/>
      <c r="W25" s="2241" t="str">
        <f t="shared" si="5"/>
        <v>0.00%</v>
      </c>
      <c r="X25" s="340">
        <f>ROUND(T25*(1+Y19),0)</f>
        <v>0</v>
      </c>
      <c r="Y25" s="455" t="str">
        <f>TEXT(Y19,"0.0%")&amp;" = Est. S &amp; C"</f>
        <v>2.0% = Est. S &amp; C</v>
      </c>
      <c r="AA25" s="456" t="str">
        <f t="shared" si="6"/>
        <v>0.00%</v>
      </c>
      <c r="AB25" s="340">
        <f>ROUND(X25*(1+AC19),0)</f>
        <v>0</v>
      </c>
      <c r="AC25" s="455" t="str">
        <f>TEXT(AC19,"0.0%")&amp;" = Est. S &amp; C"</f>
        <v>2.0% = Est. S &amp; C</v>
      </c>
    </row>
    <row r="26" spans="1:29" s="457" customFormat="1" x14ac:dyDescent="0.25">
      <c r="A26" s="2227"/>
      <c r="B26" s="2385"/>
      <c r="C26" s="2215"/>
      <c r="D26" s="340">
        <v>0</v>
      </c>
      <c r="E26" s="2386"/>
      <c r="F26" s="340"/>
      <c r="G26" s="456" t="str">
        <f t="shared" si="1"/>
        <v>0.00%</v>
      </c>
      <c r="H26" s="340">
        <f t="shared" si="8"/>
        <v>0</v>
      </c>
      <c r="I26" s="897" t="str">
        <f t="shared" si="7"/>
        <v>2.0% = Est. S &amp; C</v>
      </c>
      <c r="J26" s="455"/>
      <c r="K26" s="456" t="str">
        <f t="shared" si="2"/>
        <v>0.00%</v>
      </c>
      <c r="L26" s="340">
        <f>ROUND(H26*(1+M19),0)</f>
        <v>0</v>
      </c>
      <c r="M26" s="2341" t="str">
        <f>TEXT(M19,"0.0%")&amp;" = Est. S &amp; C"</f>
        <v>2.0% = Est. S &amp; C</v>
      </c>
      <c r="O26" s="456" t="str">
        <f t="shared" si="3"/>
        <v>0.00%</v>
      </c>
      <c r="P26" s="340">
        <f>ROUND(L26*(1+Q19),0)</f>
        <v>0</v>
      </c>
      <c r="Q26" s="897" t="str">
        <f>TEXT(Q19,"0.0%")&amp;" = Est. S &amp; C"</f>
        <v>2.0% = Est. S &amp; C</v>
      </c>
      <c r="R26" s="592"/>
      <c r="S26" s="2238" t="str">
        <f t="shared" si="4"/>
        <v>0.00%</v>
      </c>
      <c r="T26" s="340">
        <f>ROUND(P26*(1+U19),0)</f>
        <v>0</v>
      </c>
      <c r="U26" s="455" t="str">
        <f>TEXT(U19,"0.0%")&amp;" = Est. S &amp; C"</f>
        <v>2.0% = Est. S &amp; C</v>
      </c>
      <c r="V26" s="952"/>
      <c r="W26" s="2241" t="str">
        <f t="shared" si="5"/>
        <v>0.00%</v>
      </c>
      <c r="X26" s="340">
        <f>ROUND(T26*(1+Y19),0)</f>
        <v>0</v>
      </c>
      <c r="Y26" s="455" t="str">
        <f>TEXT(Y19,"0.0%")&amp;" = Est. S &amp; C"</f>
        <v>2.0% = Est. S &amp; C</v>
      </c>
      <c r="AA26" s="456" t="str">
        <f t="shared" si="6"/>
        <v>0.00%</v>
      </c>
      <c r="AB26" s="340">
        <f>ROUND(X26*(1+AC19),0)</f>
        <v>0</v>
      </c>
      <c r="AC26" s="455" t="str">
        <f>TEXT(AC19,"0.0%")&amp;" = Est. S &amp; C"</f>
        <v>2.0% = Est. S &amp; C</v>
      </c>
    </row>
    <row r="27" spans="1:29" s="457" customFormat="1" x14ac:dyDescent="0.25">
      <c r="A27" s="2227"/>
      <c r="B27" s="2385"/>
      <c r="C27" s="2215"/>
      <c r="D27" s="340">
        <v>0</v>
      </c>
      <c r="E27" s="2386"/>
      <c r="F27" s="340"/>
      <c r="G27" s="456" t="str">
        <f t="shared" si="1"/>
        <v>0.00%</v>
      </c>
      <c r="H27" s="340">
        <f t="shared" si="8"/>
        <v>0</v>
      </c>
      <c r="I27" s="897" t="str">
        <f t="shared" si="7"/>
        <v>2.0% = Est. S &amp; C</v>
      </c>
      <c r="J27" s="455"/>
      <c r="K27" s="456" t="str">
        <f t="shared" si="2"/>
        <v>0.00%</v>
      </c>
      <c r="L27" s="340">
        <f>ROUND(H27*(1+M19),0)</f>
        <v>0</v>
      </c>
      <c r="M27" s="897" t="str">
        <f>TEXT(M19,"0.0%")&amp;" = Est. S &amp; C"</f>
        <v>2.0% = Est. S &amp; C</v>
      </c>
      <c r="O27" s="456" t="str">
        <f t="shared" si="3"/>
        <v>0.00%</v>
      </c>
      <c r="P27" s="340">
        <f>ROUND(L27*(1+Q19),0)</f>
        <v>0</v>
      </c>
      <c r="Q27" s="897" t="str">
        <f>TEXT(Q19,"0.0%")&amp;" = Est. S &amp; C"</f>
        <v>2.0% = Est. S &amp; C</v>
      </c>
      <c r="R27" s="592"/>
      <c r="S27" s="2238" t="str">
        <f t="shared" si="4"/>
        <v>0.00%</v>
      </c>
      <c r="T27" s="340">
        <f>ROUND(P27*(1+U19),0)</f>
        <v>0</v>
      </c>
      <c r="U27" s="455" t="str">
        <f>TEXT(U19,"0.0%")&amp;" = Est. S &amp; C"</f>
        <v>2.0% = Est. S &amp; C</v>
      </c>
      <c r="V27" s="952"/>
      <c r="W27" s="2241" t="str">
        <f t="shared" si="5"/>
        <v>0.00%</v>
      </c>
      <c r="X27" s="340">
        <f>ROUND(T27*(1+Y19),0)</f>
        <v>0</v>
      </c>
      <c r="Y27" s="455" t="str">
        <f>TEXT(Y19,"0.0%")&amp;" = Est. S &amp; C"</f>
        <v>2.0% = Est. S &amp; C</v>
      </c>
      <c r="AA27" s="456" t="str">
        <f t="shared" si="6"/>
        <v>0.00%</v>
      </c>
      <c r="AB27" s="340">
        <f>ROUND(X27*(1+AC19),0)</f>
        <v>0</v>
      </c>
      <c r="AC27" s="455" t="str">
        <f>TEXT(AC19,"0.0%")&amp;" = Est. S &amp; C"</f>
        <v>2.0% = Est. S &amp; C</v>
      </c>
    </row>
    <row r="28" spans="1:29" s="457" customFormat="1" x14ac:dyDescent="0.25">
      <c r="A28" s="2227"/>
      <c r="B28" s="2385"/>
      <c r="C28" s="2215"/>
      <c r="D28" s="340">
        <v>0</v>
      </c>
      <c r="E28" s="2386"/>
      <c r="F28" s="340"/>
      <c r="G28" s="456" t="str">
        <f>IF(D28=0,"0.00%",(H28-D28)/D28)</f>
        <v>0.00%</v>
      </c>
      <c r="H28" s="340">
        <f>ROUND(D28*(1+$I$19),0)</f>
        <v>0</v>
      </c>
      <c r="I28" s="897" t="str">
        <f t="shared" si="7"/>
        <v>2.0% = Est. S &amp; C</v>
      </c>
      <c r="J28" s="455"/>
      <c r="K28" s="456" t="str">
        <f>IF(H28=0,"0.00%",(L28-H28)/H28)</f>
        <v>0.00%</v>
      </c>
      <c r="L28" s="340">
        <f>ROUND(H28*(1+M20),0)</f>
        <v>0</v>
      </c>
      <c r="M28" s="897" t="str">
        <f>TEXT(M20,"0.0%")&amp;" = Est. S &amp; C"</f>
        <v>0.0% = Est. S &amp; C</v>
      </c>
      <c r="O28" s="456" t="str">
        <f>IF(L28=0,"0.00%",(P28-L28)/L28)</f>
        <v>0.00%</v>
      </c>
      <c r="P28" s="340">
        <f>ROUND(L28*(1+Q20),0)</f>
        <v>0</v>
      </c>
      <c r="Q28" s="897" t="str">
        <f>TEXT(Q20,"0.0%")&amp;" = Est. S &amp; C"</f>
        <v>0.0% = Est. S &amp; C</v>
      </c>
      <c r="R28" s="592"/>
      <c r="S28" s="2238" t="str">
        <f>IF(P28=0,"0.00%",(T28-P28)/P28)</f>
        <v>0.00%</v>
      </c>
      <c r="T28" s="340">
        <f>ROUND(P28*(1+U20),0)</f>
        <v>0</v>
      </c>
      <c r="U28" s="455" t="str">
        <f>TEXT(U20,"0.0%")&amp;" = Est. S &amp; C"</f>
        <v>0.0% = Est. S &amp; C</v>
      </c>
      <c r="V28" s="952"/>
      <c r="W28" s="2241" t="str">
        <f>IF(T28=0,"0.00%",(X28-T28)/T28)</f>
        <v>0.00%</v>
      </c>
      <c r="X28" s="340">
        <f>ROUND(T28*(1+Y20),0)</f>
        <v>0</v>
      </c>
      <c r="Y28" s="455" t="str">
        <f>TEXT(Y20,"0.0%")&amp;" = Est. S &amp; C"</f>
        <v>0.0% = Est. S &amp; C</v>
      </c>
      <c r="AA28" s="456" t="str">
        <f>IF(X28=0,"0.00%",(AB28-X28)/X28)</f>
        <v>0.00%</v>
      </c>
      <c r="AB28" s="340">
        <f>ROUND(X28*(1+AC20),0)</f>
        <v>0</v>
      </c>
      <c r="AC28" s="455" t="str">
        <f>TEXT(AC20,"0.0%")&amp;" = Est. S &amp; C"</f>
        <v>0.0% = Est. S &amp; C</v>
      </c>
    </row>
    <row r="29" spans="1:29" s="457" customFormat="1" ht="6" customHeight="1" x14ac:dyDescent="0.25">
      <c r="A29" s="2227"/>
      <c r="B29" s="2385"/>
      <c r="C29" s="2215"/>
      <c r="D29" s="340"/>
      <c r="E29" s="2386"/>
      <c r="F29" s="340"/>
      <c r="G29" s="456"/>
      <c r="H29" s="340"/>
      <c r="I29" s="897"/>
      <c r="J29" s="455"/>
      <c r="K29" s="1668"/>
      <c r="L29" s="340"/>
      <c r="M29" s="901"/>
      <c r="O29" s="1668"/>
      <c r="P29" s="340"/>
      <c r="Q29" s="901"/>
      <c r="R29" s="592"/>
      <c r="S29" s="2341"/>
      <c r="T29" s="340"/>
      <c r="U29" s="2344"/>
      <c r="V29" s="952"/>
      <c r="W29" s="2343"/>
      <c r="X29" s="340"/>
      <c r="Y29" s="2344"/>
      <c r="AA29" s="1668"/>
      <c r="AB29" s="340"/>
      <c r="AC29" s="2344"/>
    </row>
    <row r="30" spans="1:29" s="457" customFormat="1" x14ac:dyDescent="0.25">
      <c r="A30" s="2228"/>
      <c r="B30" s="2385"/>
      <c r="C30" s="2215"/>
      <c r="D30" s="458">
        <f>SUM(D21:D29)</f>
        <v>88478.5</v>
      </c>
      <c r="E30" s="2386"/>
      <c r="F30" s="340"/>
      <c r="G30" s="456">
        <f t="shared" si="1"/>
        <v>0.38846160366642746</v>
      </c>
      <c r="H30" s="458">
        <f>SUM(H21:H29)</f>
        <v>122849</v>
      </c>
      <c r="I30" s="2316">
        <f>+H30-D30</f>
        <v>34370.5</v>
      </c>
      <c r="J30" s="459"/>
      <c r="K30" s="456">
        <f>IF(H30=0,"0.00%",(L30-H30)/H30)</f>
        <v>-1</v>
      </c>
      <c r="L30" s="458">
        <f>SUM(L21:L29)</f>
        <v>0</v>
      </c>
      <c r="M30" s="2316">
        <f>+L30-H30</f>
        <v>-122849</v>
      </c>
      <c r="O30" s="456" t="str">
        <f>IF(L30=0,"0.00%",(P30-L30)/L30)</f>
        <v>0.00%</v>
      </c>
      <c r="P30" s="458">
        <f>SUM(P21:P29)</f>
        <v>0</v>
      </c>
      <c r="Q30" s="2316">
        <f>+P30-L30</f>
        <v>0</v>
      </c>
      <c r="R30" s="592"/>
      <c r="S30" s="2238" t="str">
        <f>IF(P30=0,"0.00%",(T30-P30)/P30)</f>
        <v>0.00%</v>
      </c>
      <c r="T30" s="458">
        <f>SUM(T21:T29)</f>
        <v>0</v>
      </c>
      <c r="U30" s="2344"/>
      <c r="V30" s="952"/>
      <c r="W30" s="2241" t="str">
        <f>IF(T30=0,"0.00%",(X30-T30)/T30)</f>
        <v>0.00%</v>
      </c>
      <c r="X30" s="458">
        <f>SUM(X21:X29)</f>
        <v>0</v>
      </c>
      <c r="Y30" s="2344"/>
      <c r="AA30" s="456" t="str">
        <f>IF(X30=0,"0.00%",(AB30-X30)/X30)</f>
        <v>0.00%</v>
      </c>
      <c r="AB30" s="458">
        <f>SUM(AB21:AB29)</f>
        <v>0</v>
      </c>
      <c r="AC30" s="2344"/>
    </row>
    <row r="31" spans="1:29" s="457" customFormat="1" x14ac:dyDescent="0.25">
      <c r="A31" s="2227"/>
      <c r="B31" s="2345"/>
      <c r="C31" s="2215"/>
      <c r="D31" s="340"/>
      <c r="E31" s="2386"/>
      <c r="F31" s="340"/>
      <c r="G31" s="2338"/>
      <c r="H31" s="340"/>
      <c r="I31" s="1867" t="s">
        <v>958</v>
      </c>
      <c r="J31" s="455"/>
      <c r="K31" s="1668"/>
      <c r="L31" s="340"/>
      <c r="M31" s="2388"/>
      <c r="O31" s="1668"/>
      <c r="P31" s="340"/>
      <c r="Q31" s="2388"/>
      <c r="R31" s="592"/>
      <c r="S31" s="2341"/>
      <c r="T31" s="340"/>
      <c r="U31" s="2344"/>
      <c r="V31" s="952"/>
      <c r="W31" s="2343"/>
      <c r="X31" s="340"/>
      <c r="Y31" s="2344"/>
      <c r="AA31" s="1668"/>
      <c r="AB31" s="340"/>
      <c r="AC31" s="2344"/>
    </row>
    <row r="32" spans="1:29" s="461" customFormat="1" x14ac:dyDescent="0.25">
      <c r="A32" s="2225"/>
      <c r="B32" s="2440" t="s">
        <v>35</v>
      </c>
      <c r="C32" s="2225"/>
      <c r="D32" s="460"/>
      <c r="E32" s="868"/>
      <c r="F32" s="460"/>
      <c r="G32" s="2389"/>
      <c r="H32" s="460"/>
      <c r="I32" s="899"/>
      <c r="J32" s="460"/>
      <c r="K32" s="1669"/>
      <c r="L32" s="460"/>
      <c r="M32" s="902"/>
      <c r="O32" s="1669"/>
      <c r="P32" s="460"/>
      <c r="Q32" s="902"/>
      <c r="S32" s="1669"/>
      <c r="T32" s="460"/>
      <c r="U32" s="2392"/>
      <c r="V32" s="2381"/>
      <c r="W32" s="2382"/>
      <c r="X32" s="460"/>
      <c r="Y32" s="2392"/>
      <c r="AA32" s="1669"/>
      <c r="AB32" s="460"/>
      <c r="AC32" s="2392"/>
    </row>
    <row r="33" spans="1:29" s="457" customFormat="1" hidden="1" x14ac:dyDescent="0.25">
      <c r="A33" s="2227"/>
      <c r="B33" s="2385"/>
      <c r="C33" s="2215"/>
      <c r="D33" s="340">
        <v>0</v>
      </c>
      <c r="E33" s="2386"/>
      <c r="F33" s="340"/>
      <c r="G33" s="456" t="str">
        <f t="shared" ref="G33:G39" si="9">IF(D33=0,"0.00%",(H33-D33)/D33)</f>
        <v>0.00%</v>
      </c>
      <c r="H33" s="340">
        <f t="shared" ref="H33:H39" si="10">ROUND(D33*(1+$I$19),0)</f>
        <v>0</v>
      </c>
      <c r="I33" s="897" t="str">
        <f t="shared" ref="I33:I39" si="11">TEXT($I$19,"0.0%")&amp;" = Est. S &amp; C"</f>
        <v>2.0% = Est. S &amp; C</v>
      </c>
      <c r="J33" s="455"/>
      <c r="K33" s="456" t="str">
        <f t="shared" ref="K33:K39" si="12">IF(H33=0,"0.00%",(L33-H33)/H33)</f>
        <v>0.00%</v>
      </c>
      <c r="L33" s="340">
        <f>ROUND(H33*(1+M19),0)</f>
        <v>0</v>
      </c>
      <c r="M33" s="897" t="str">
        <f>TEXT(M19,"0.0%")&amp;" = Est. S &amp; C"</f>
        <v>2.0% = Est. S &amp; C</v>
      </c>
      <c r="O33" s="456" t="str">
        <f t="shared" ref="O33:O39" si="13">IF(L33=0,"0.00%",(P33-L33)/L33)</f>
        <v>0.00%</v>
      </c>
      <c r="P33" s="340">
        <f>ROUND(L33*(1+Q19),0)</f>
        <v>0</v>
      </c>
      <c r="Q33" s="897" t="str">
        <f>TEXT(Q19,"0.0%")&amp;" = Est. S &amp; C"</f>
        <v>2.0% = Est. S &amp; C</v>
      </c>
      <c r="R33" s="592"/>
      <c r="S33" s="2238" t="str">
        <f t="shared" ref="S33:S39" si="14">IF(P33=0,"0.00%",(T33-P33)/P33)</f>
        <v>0.00%</v>
      </c>
      <c r="T33" s="340">
        <f>ROUND(P33*(1+U19),0)</f>
        <v>0</v>
      </c>
      <c r="U33" s="455" t="str">
        <f>TEXT(U19,"0.0%")&amp;" = Est. S &amp; C"</f>
        <v>2.0% = Est. S &amp; C</v>
      </c>
      <c r="V33" s="952"/>
      <c r="W33" s="2241" t="str">
        <f t="shared" ref="W33:W39" si="15">IF(T33=0,"0.00%",(X33-T33)/T33)</f>
        <v>0.00%</v>
      </c>
      <c r="X33" s="340">
        <f>ROUND(T33*(1+Y19),0)</f>
        <v>0</v>
      </c>
      <c r="Y33" s="455" t="str">
        <f>TEXT(Y19,"0.0%")&amp;" = Est. S &amp; C"</f>
        <v>2.0% = Est. S &amp; C</v>
      </c>
      <c r="AA33" s="456" t="str">
        <f t="shared" ref="AA33:AA39" si="16">IF(X33=0,"0.00%",(AB33-X33)/X33)</f>
        <v>0.00%</v>
      </c>
      <c r="AB33" s="340">
        <f>ROUND(X33*(1+AC19),0)</f>
        <v>0</v>
      </c>
      <c r="AC33" s="455" t="str">
        <f>TEXT(AC19,"0.0%")&amp;" = Est. S &amp; C"</f>
        <v>2.0% = Est. S &amp; C</v>
      </c>
    </row>
    <row r="34" spans="1:29" s="457" customFormat="1" hidden="1" x14ac:dyDescent="0.25">
      <c r="A34" s="2227"/>
      <c r="B34" s="2385"/>
      <c r="C34" s="2215"/>
      <c r="D34" s="340">
        <v>0</v>
      </c>
      <c r="E34" s="2386"/>
      <c r="F34" s="340"/>
      <c r="G34" s="456" t="str">
        <f t="shared" si="9"/>
        <v>0.00%</v>
      </c>
      <c r="H34" s="340">
        <f t="shared" si="10"/>
        <v>0</v>
      </c>
      <c r="I34" s="897" t="str">
        <f t="shared" si="11"/>
        <v>2.0% = Est. S &amp; C</v>
      </c>
      <c r="J34" s="455"/>
      <c r="K34" s="456" t="str">
        <f t="shared" si="12"/>
        <v>0.00%</v>
      </c>
      <c r="L34" s="340">
        <f>ROUND(H34*(1+M19),0)</f>
        <v>0</v>
      </c>
      <c r="M34" s="897" t="str">
        <f>TEXT(M19,"0.0%")&amp;" = Est. S &amp; C"</f>
        <v>2.0% = Est. S &amp; C</v>
      </c>
      <c r="O34" s="456" t="str">
        <f t="shared" si="13"/>
        <v>0.00%</v>
      </c>
      <c r="P34" s="340">
        <f>ROUND(L34*(1+Q19),0)</f>
        <v>0</v>
      </c>
      <c r="Q34" s="897" t="str">
        <f>TEXT(Q19,"0.0%")&amp;" = Est. S &amp; C"</f>
        <v>2.0% = Est. S &amp; C</v>
      </c>
      <c r="R34" s="592"/>
      <c r="S34" s="2238" t="str">
        <f t="shared" si="14"/>
        <v>0.00%</v>
      </c>
      <c r="T34" s="340">
        <f>ROUND(P34*(1+U19),0)</f>
        <v>0</v>
      </c>
      <c r="U34" s="455" t="str">
        <f>TEXT(U19,"0.0%")&amp;" = Est. S &amp; C"</f>
        <v>2.0% = Est. S &amp; C</v>
      </c>
      <c r="V34" s="952"/>
      <c r="W34" s="2241" t="str">
        <f t="shared" si="15"/>
        <v>0.00%</v>
      </c>
      <c r="X34" s="340">
        <f>ROUND(T34*(1+Y19),0)</f>
        <v>0</v>
      </c>
      <c r="Y34" s="455" t="str">
        <f>TEXT(Y19,"0.0%")&amp;" = Est. S &amp; C"</f>
        <v>2.0% = Est. S &amp; C</v>
      </c>
      <c r="AA34" s="456" t="str">
        <f t="shared" si="16"/>
        <v>0.00%</v>
      </c>
      <c r="AB34" s="340">
        <f>ROUND(X34*(1+AC19),0)</f>
        <v>0</v>
      </c>
      <c r="AC34" s="455" t="str">
        <f>TEXT(AC19,"0.0%")&amp;" = Est. S &amp; C"</f>
        <v>2.0% = Est. S &amp; C</v>
      </c>
    </row>
    <row r="35" spans="1:29" s="457" customFormat="1" hidden="1" x14ac:dyDescent="0.25">
      <c r="A35" s="2227"/>
      <c r="B35" s="2385"/>
      <c r="C35" s="2215"/>
      <c r="D35" s="340">
        <v>0</v>
      </c>
      <c r="E35" s="2386"/>
      <c r="F35" s="340"/>
      <c r="G35" s="456" t="str">
        <f t="shared" si="9"/>
        <v>0.00%</v>
      </c>
      <c r="H35" s="340">
        <f t="shared" si="10"/>
        <v>0</v>
      </c>
      <c r="I35" s="897" t="str">
        <f t="shared" si="11"/>
        <v>2.0% = Est. S &amp; C</v>
      </c>
      <c r="J35" s="455"/>
      <c r="K35" s="456" t="str">
        <f t="shared" si="12"/>
        <v>0.00%</v>
      </c>
      <c r="L35" s="340">
        <f>ROUND(H35*(1+M19),0)</f>
        <v>0</v>
      </c>
      <c r="M35" s="897" t="str">
        <f>TEXT(M19,"0.0%")&amp;" = Est. S &amp; C"</f>
        <v>2.0% = Est. S &amp; C</v>
      </c>
      <c r="O35" s="456" t="str">
        <f t="shared" si="13"/>
        <v>0.00%</v>
      </c>
      <c r="P35" s="340">
        <f>ROUND(L35*(1+Q19),0)</f>
        <v>0</v>
      </c>
      <c r="Q35" s="897" t="str">
        <f>TEXT(Q19,"0.0%")&amp;" = Est. S &amp; C"</f>
        <v>2.0% = Est. S &amp; C</v>
      </c>
      <c r="R35" s="592"/>
      <c r="S35" s="2238" t="str">
        <f t="shared" si="14"/>
        <v>0.00%</v>
      </c>
      <c r="T35" s="340">
        <f>ROUND(P35*(1+U19),0)</f>
        <v>0</v>
      </c>
      <c r="U35" s="455" t="str">
        <f>TEXT(U19,"0.0%")&amp;" = Est. S &amp; C"</f>
        <v>2.0% = Est. S &amp; C</v>
      </c>
      <c r="V35" s="952"/>
      <c r="W35" s="2241" t="str">
        <f t="shared" si="15"/>
        <v>0.00%</v>
      </c>
      <c r="X35" s="340">
        <f>ROUND(T35*(1+Y19),0)</f>
        <v>0</v>
      </c>
      <c r="Y35" s="455" t="str">
        <f>TEXT(Y19,"0.0%")&amp;" = Est. S &amp; C"</f>
        <v>2.0% = Est. S &amp; C</v>
      </c>
      <c r="AA35" s="456" t="str">
        <f t="shared" si="16"/>
        <v>0.00%</v>
      </c>
      <c r="AB35" s="340">
        <f>ROUND(X35*(1+AC19),0)</f>
        <v>0</v>
      </c>
      <c r="AC35" s="455" t="str">
        <f>TEXT(AC19,"0.0%")&amp;" = Est. S &amp; C"</f>
        <v>2.0% = Est. S &amp; C</v>
      </c>
    </row>
    <row r="36" spans="1:29" s="457" customFormat="1" hidden="1" x14ac:dyDescent="0.25">
      <c r="A36" s="2227"/>
      <c r="B36" s="2385"/>
      <c r="C36" s="2215"/>
      <c r="D36" s="340">
        <v>0</v>
      </c>
      <c r="E36" s="2386"/>
      <c r="F36" s="340"/>
      <c r="G36" s="456" t="str">
        <f t="shared" si="9"/>
        <v>0.00%</v>
      </c>
      <c r="H36" s="340">
        <f t="shared" si="10"/>
        <v>0</v>
      </c>
      <c r="I36" s="897" t="str">
        <f t="shared" si="11"/>
        <v>2.0% = Est. S &amp; C</v>
      </c>
      <c r="J36" s="455"/>
      <c r="K36" s="456" t="str">
        <f t="shared" si="12"/>
        <v>0.00%</v>
      </c>
      <c r="L36" s="340">
        <f>ROUND(H36*(1+M19),0)</f>
        <v>0</v>
      </c>
      <c r="M36" s="897" t="str">
        <f>TEXT(M19,"0.0%")&amp;" = Est. S &amp; C"</f>
        <v>2.0% = Est. S &amp; C</v>
      </c>
      <c r="O36" s="456" t="str">
        <f t="shared" si="13"/>
        <v>0.00%</v>
      </c>
      <c r="P36" s="340">
        <f>ROUND(L36*(1+Q19),0)</f>
        <v>0</v>
      </c>
      <c r="Q36" s="897" t="str">
        <f>TEXT(Q19,"0.0%")&amp;" = Est. S &amp; C"</f>
        <v>2.0% = Est. S &amp; C</v>
      </c>
      <c r="R36" s="592"/>
      <c r="S36" s="2238" t="str">
        <f t="shared" si="14"/>
        <v>0.00%</v>
      </c>
      <c r="T36" s="340">
        <f>ROUND(P36*(1+U19),0)</f>
        <v>0</v>
      </c>
      <c r="U36" s="455" t="str">
        <f>TEXT(U19,"0.0%")&amp;" = Est. S &amp; C"</f>
        <v>2.0% = Est. S &amp; C</v>
      </c>
      <c r="V36" s="952"/>
      <c r="W36" s="2241" t="str">
        <f t="shared" si="15"/>
        <v>0.00%</v>
      </c>
      <c r="X36" s="340">
        <f>ROUND(T36*(1+Y19),0)</f>
        <v>0</v>
      </c>
      <c r="Y36" s="455" t="str">
        <f>TEXT(Y19,"0.0%")&amp;" = Est. S &amp; C"</f>
        <v>2.0% = Est. S &amp; C</v>
      </c>
      <c r="AA36" s="456" t="str">
        <f t="shared" si="16"/>
        <v>0.00%</v>
      </c>
      <c r="AB36" s="340">
        <f>ROUND(X36*(1+AC19),0)</f>
        <v>0</v>
      </c>
      <c r="AC36" s="455" t="str">
        <f>TEXT(AC19,"0.0%")&amp;" = Est. S &amp; C"</f>
        <v>2.0% = Est. S &amp; C</v>
      </c>
    </row>
    <row r="37" spans="1:29" s="457" customFormat="1" hidden="1" x14ac:dyDescent="0.25">
      <c r="A37" s="2227"/>
      <c r="B37" s="2385"/>
      <c r="C37" s="2215"/>
      <c r="D37" s="340">
        <v>0</v>
      </c>
      <c r="E37" s="2386"/>
      <c r="F37" s="340"/>
      <c r="G37" s="456" t="str">
        <f t="shared" si="9"/>
        <v>0.00%</v>
      </c>
      <c r="H37" s="340">
        <f t="shared" si="10"/>
        <v>0</v>
      </c>
      <c r="I37" s="897" t="str">
        <f t="shared" si="11"/>
        <v>2.0% = Est. S &amp; C</v>
      </c>
      <c r="J37" s="455"/>
      <c r="K37" s="456" t="str">
        <f t="shared" si="12"/>
        <v>0.00%</v>
      </c>
      <c r="L37" s="340">
        <f>ROUND(H37*(1+M19),0)</f>
        <v>0</v>
      </c>
      <c r="M37" s="897" t="str">
        <f>TEXT(M19,"0.0%")&amp;" = Est. S &amp; C"</f>
        <v>2.0% = Est. S &amp; C</v>
      </c>
      <c r="O37" s="456" t="str">
        <f t="shared" si="13"/>
        <v>0.00%</v>
      </c>
      <c r="P37" s="340">
        <f>ROUND(L37*(1+Q19),0)</f>
        <v>0</v>
      </c>
      <c r="Q37" s="897" t="str">
        <f>TEXT(Q19,"0.0%")&amp;" = Est. S &amp; C"</f>
        <v>2.0% = Est. S &amp; C</v>
      </c>
      <c r="R37" s="592"/>
      <c r="S37" s="2238" t="str">
        <f t="shared" si="14"/>
        <v>0.00%</v>
      </c>
      <c r="T37" s="340">
        <f>ROUND(P37*(1+U19),0)</f>
        <v>0</v>
      </c>
      <c r="U37" s="455" t="str">
        <f>TEXT(U19,"0.0%")&amp;" = Est. S &amp; C"</f>
        <v>2.0% = Est. S &amp; C</v>
      </c>
      <c r="V37" s="952"/>
      <c r="W37" s="2241" t="str">
        <f t="shared" si="15"/>
        <v>0.00%</v>
      </c>
      <c r="X37" s="340">
        <f>ROUND(T37*(1+Y19),0)</f>
        <v>0</v>
      </c>
      <c r="Y37" s="455" t="str">
        <f>TEXT(Y19,"0.0%")&amp;" = Est. S &amp; C"</f>
        <v>2.0% = Est. S &amp; C</v>
      </c>
      <c r="AA37" s="456" t="str">
        <f t="shared" si="16"/>
        <v>0.00%</v>
      </c>
      <c r="AB37" s="340">
        <f>ROUND(X37*(1+AC19),0)</f>
        <v>0</v>
      </c>
      <c r="AC37" s="455" t="str">
        <f>TEXT(AC19,"0.0%")&amp;" = Est. S &amp; C"</f>
        <v>2.0% = Est. S &amp; C</v>
      </c>
    </row>
    <row r="38" spans="1:29" s="457" customFormat="1" hidden="1" x14ac:dyDescent="0.25">
      <c r="A38" s="2227"/>
      <c r="B38" s="2385"/>
      <c r="C38" s="2215"/>
      <c r="D38" s="340">
        <v>0</v>
      </c>
      <c r="E38" s="2386"/>
      <c r="F38" s="340"/>
      <c r="G38" s="456" t="str">
        <f t="shared" si="9"/>
        <v>0.00%</v>
      </c>
      <c r="H38" s="340">
        <f t="shared" si="10"/>
        <v>0</v>
      </c>
      <c r="I38" s="897" t="str">
        <f t="shared" si="11"/>
        <v>2.0% = Est. S &amp; C</v>
      </c>
      <c r="J38" s="455"/>
      <c r="K38" s="456" t="str">
        <f t="shared" si="12"/>
        <v>0.00%</v>
      </c>
      <c r="L38" s="340">
        <f>ROUND(H38*(1+M19),0)</f>
        <v>0</v>
      </c>
      <c r="M38" s="897" t="str">
        <f>TEXT(M19,"0.0%")&amp;" = Est. S &amp; C"</f>
        <v>2.0% = Est. S &amp; C</v>
      </c>
      <c r="O38" s="456" t="str">
        <f t="shared" si="13"/>
        <v>0.00%</v>
      </c>
      <c r="P38" s="340">
        <f>ROUND(L38*(1+Q19),0)</f>
        <v>0</v>
      </c>
      <c r="Q38" s="897" t="str">
        <f>TEXT(Q19,"0.0%")&amp;" = Est. S &amp; C"</f>
        <v>2.0% = Est. S &amp; C</v>
      </c>
      <c r="R38" s="592"/>
      <c r="S38" s="2238" t="str">
        <f t="shared" si="14"/>
        <v>0.00%</v>
      </c>
      <c r="T38" s="340">
        <f>ROUND(P38*(1+U19),0)</f>
        <v>0</v>
      </c>
      <c r="U38" s="455" t="str">
        <f>TEXT(U19,"0.0%")&amp;" = Est. S &amp; C"</f>
        <v>2.0% = Est. S &amp; C</v>
      </c>
      <c r="V38" s="952"/>
      <c r="W38" s="2241" t="str">
        <f t="shared" si="15"/>
        <v>0.00%</v>
      </c>
      <c r="X38" s="340">
        <f>ROUND(T38*(1+Y19),0)</f>
        <v>0</v>
      </c>
      <c r="Y38" s="455" t="str">
        <f>TEXT(Y19,"0.0%")&amp;" = Est. S &amp; C"</f>
        <v>2.0% = Est. S &amp; C</v>
      </c>
      <c r="AA38" s="456" t="str">
        <f t="shared" si="16"/>
        <v>0.00%</v>
      </c>
      <c r="AB38" s="340">
        <f>ROUND(X38*(1+AC19),0)</f>
        <v>0</v>
      </c>
      <c r="AC38" s="455" t="str">
        <f>TEXT(AC19,"0.0%")&amp;" = Est. S &amp; C"</f>
        <v>2.0% = Est. S &amp; C</v>
      </c>
    </row>
    <row r="39" spans="1:29" s="457" customFormat="1" hidden="1" x14ac:dyDescent="0.25">
      <c r="A39" s="2227"/>
      <c r="B39" s="2385"/>
      <c r="C39" s="2215"/>
      <c r="D39" s="340">
        <v>0</v>
      </c>
      <c r="E39" s="2386"/>
      <c r="F39" s="340"/>
      <c r="G39" s="456" t="str">
        <f t="shared" si="9"/>
        <v>0.00%</v>
      </c>
      <c r="H39" s="340">
        <f t="shared" si="10"/>
        <v>0</v>
      </c>
      <c r="I39" s="897" t="str">
        <f t="shared" si="11"/>
        <v>2.0% = Est. S &amp; C</v>
      </c>
      <c r="J39" s="455"/>
      <c r="K39" s="456" t="str">
        <f t="shared" si="12"/>
        <v>0.00%</v>
      </c>
      <c r="L39" s="340">
        <f>ROUND(H39*(1+M19),0)</f>
        <v>0</v>
      </c>
      <c r="M39" s="897" t="str">
        <f>TEXT(M19,"0.0%")&amp;" = Est. S &amp; C"</f>
        <v>2.0% = Est. S &amp; C</v>
      </c>
      <c r="O39" s="456" t="str">
        <f t="shared" si="13"/>
        <v>0.00%</v>
      </c>
      <c r="P39" s="340">
        <f>ROUND(L39*(1+Q19),0)</f>
        <v>0</v>
      </c>
      <c r="Q39" s="897" t="str">
        <f>TEXT(Q19,"0.0%")&amp;" = Est. S &amp; C"</f>
        <v>2.0% = Est. S &amp; C</v>
      </c>
      <c r="R39" s="592"/>
      <c r="S39" s="2238" t="str">
        <f t="shared" si="14"/>
        <v>0.00%</v>
      </c>
      <c r="T39" s="340">
        <f>ROUND(P39*(1+U19),0)</f>
        <v>0</v>
      </c>
      <c r="U39" s="455" t="str">
        <f>TEXT(U19,"0.0%")&amp;" = Est. S &amp; C"</f>
        <v>2.0% = Est. S &amp; C</v>
      </c>
      <c r="V39" s="952"/>
      <c r="W39" s="2241" t="str">
        <f t="shared" si="15"/>
        <v>0.00%</v>
      </c>
      <c r="X39" s="340">
        <f>ROUND(T39*(1+Y19),0)</f>
        <v>0</v>
      </c>
      <c r="Y39" s="455" t="str">
        <f>TEXT(Y19,"0.0%")&amp;" = Est. S &amp; C"</f>
        <v>2.0% = Est. S &amp; C</v>
      </c>
      <c r="AA39" s="456" t="str">
        <f t="shared" si="16"/>
        <v>0.00%</v>
      </c>
      <c r="AB39" s="340">
        <f>ROUND(X39*(1+AC19),0)</f>
        <v>0</v>
      </c>
      <c r="AC39" s="455" t="str">
        <f>TEXT(AC19,"0.0%")&amp;" = Est. S &amp; C"</f>
        <v>2.0% = Est. S &amp; C</v>
      </c>
    </row>
    <row r="40" spans="1:29" s="457" customFormat="1" ht="6" hidden="1" customHeight="1" x14ac:dyDescent="0.25">
      <c r="A40" s="2227"/>
      <c r="B40" s="2385"/>
      <c r="C40" s="2215"/>
      <c r="D40" s="340"/>
      <c r="E40" s="2386"/>
      <c r="F40" s="340"/>
      <c r="G40" s="2338"/>
      <c r="H40" s="340"/>
      <c r="I40" s="897"/>
      <c r="J40" s="455"/>
      <c r="K40" s="1668"/>
      <c r="L40" s="340"/>
      <c r="M40" s="901"/>
      <c r="O40" s="1668"/>
      <c r="P40" s="340"/>
      <c r="Q40" s="901"/>
      <c r="R40" s="592"/>
      <c r="S40" s="2341"/>
      <c r="T40" s="340"/>
      <c r="U40" s="2344"/>
      <c r="V40" s="952"/>
      <c r="W40" s="2343"/>
      <c r="X40" s="340"/>
      <c r="Y40" s="2344"/>
      <c r="AA40" s="1668"/>
      <c r="AB40" s="340"/>
      <c r="AC40" s="2344"/>
    </row>
    <row r="41" spans="1:29" s="457" customFormat="1" x14ac:dyDescent="0.25">
      <c r="A41" s="2228"/>
      <c r="B41" s="2385"/>
      <c r="C41" s="2215"/>
      <c r="D41" s="458">
        <f>SUM(D33:D40)</f>
        <v>0</v>
      </c>
      <c r="E41" s="2386"/>
      <c r="F41" s="340"/>
      <c r="G41" s="456" t="str">
        <f>IF(D41=0,"0.00%",(H41-D41)/D41)</f>
        <v>0.00%</v>
      </c>
      <c r="H41" s="458">
        <f>SUM(H33:H40)</f>
        <v>0</v>
      </c>
      <c r="I41" s="898"/>
      <c r="J41" s="459"/>
      <c r="K41" s="456" t="str">
        <f>IF(H41=0,"0.00%",(L41-H41)/H41)</f>
        <v>0.00%</v>
      </c>
      <c r="L41" s="458">
        <f>SUM(L33:L40)</f>
        <v>0</v>
      </c>
      <c r="M41" s="901"/>
      <c r="O41" s="456" t="str">
        <f>IF(L41=0,"0.00%",(P41-L41)/L41)</f>
        <v>0.00%</v>
      </c>
      <c r="P41" s="458">
        <f>SUM(P33:P40)</f>
        <v>0</v>
      </c>
      <c r="Q41" s="901"/>
      <c r="R41" s="592"/>
      <c r="S41" s="2238" t="str">
        <f>IF(P41=0,"0.00%",(T41-P41)/P41)</f>
        <v>0.00%</v>
      </c>
      <c r="T41" s="458">
        <f>SUM(T33:T40)</f>
        <v>0</v>
      </c>
      <c r="U41" s="2344"/>
      <c r="V41" s="952"/>
      <c r="W41" s="2241" t="str">
        <f>IF(T41=0,"0.00%",(X41-T41)/T41)</f>
        <v>0.00%</v>
      </c>
      <c r="X41" s="458">
        <f>SUM(X33:X40)</f>
        <v>0</v>
      </c>
      <c r="Y41" s="2344"/>
      <c r="AA41" s="456" t="str">
        <f>IF(X41=0,"0.00%",(AB41-X41)/X41)</f>
        <v>0.00%</v>
      </c>
      <c r="AB41" s="458">
        <f>SUM(AB33:AB40)</f>
        <v>0</v>
      </c>
      <c r="AC41" s="2344"/>
    </row>
    <row r="42" spans="1:29" s="457" customFormat="1" x14ac:dyDescent="0.25">
      <c r="A42" s="2227"/>
      <c r="B42" s="2345" t="s">
        <v>28</v>
      </c>
      <c r="C42" s="2215"/>
      <c r="D42" s="340"/>
      <c r="E42" s="2386"/>
      <c r="F42" s="340"/>
      <c r="G42" s="2338"/>
      <c r="H42" s="340"/>
      <c r="I42" s="897"/>
      <c r="J42" s="455"/>
      <c r="K42" s="1668"/>
      <c r="L42" s="340"/>
      <c r="M42" s="901"/>
      <c r="O42" s="1668"/>
      <c r="P42" s="340"/>
      <c r="Q42" s="901"/>
      <c r="R42" s="592"/>
      <c r="S42" s="2341"/>
      <c r="T42" s="340"/>
      <c r="U42" s="2344"/>
      <c r="V42" s="952"/>
      <c r="W42" s="2343"/>
      <c r="X42" s="340"/>
      <c r="Y42" s="2344"/>
      <c r="AA42" s="1668"/>
      <c r="AB42" s="340"/>
      <c r="AC42" s="2344"/>
    </row>
    <row r="43" spans="1:29" s="457" customFormat="1" x14ac:dyDescent="0.25">
      <c r="A43" s="2229"/>
      <c r="B43" s="2337" t="s">
        <v>27</v>
      </c>
      <c r="C43" s="2215"/>
      <c r="D43" s="340"/>
      <c r="E43" s="2386"/>
      <c r="F43" s="340"/>
      <c r="G43" s="2338"/>
      <c r="H43" s="340"/>
      <c r="I43" s="897"/>
      <c r="J43" s="455"/>
      <c r="K43" s="1668"/>
      <c r="L43" s="340"/>
      <c r="M43" s="901"/>
      <c r="O43" s="1668"/>
      <c r="P43" s="340"/>
      <c r="Q43" s="901"/>
      <c r="R43" s="592"/>
      <c r="S43" s="2341"/>
      <c r="T43" s="340"/>
      <c r="U43" s="2344"/>
      <c r="V43" s="952"/>
      <c r="W43" s="2343"/>
      <c r="X43" s="340"/>
      <c r="Y43" s="2344"/>
      <c r="AA43" s="1668"/>
      <c r="AB43" s="340"/>
      <c r="AC43" s="2344"/>
    </row>
    <row r="44" spans="1:29" s="457" customFormat="1" x14ac:dyDescent="0.25">
      <c r="A44" s="2227"/>
      <c r="B44" s="2385" t="s">
        <v>83</v>
      </c>
      <c r="C44" s="2215" t="s">
        <v>76</v>
      </c>
      <c r="D44" s="340">
        <v>10653.37</v>
      </c>
      <c r="E44" s="899" t="str">
        <f>TEXT('MYP Assumptions'!$D$57,"0.00%")&amp;", STRS rate"</f>
        <v>12.58%, STRS rate</v>
      </c>
      <c r="F44" s="340"/>
      <c r="G44" s="456">
        <f t="shared" ref="G44:G53" si="17">IF(D44=0,"0.00%",(H44-D44)/D44)</f>
        <v>0.58869916280012791</v>
      </c>
      <c r="H44" s="340">
        <v>16925</v>
      </c>
      <c r="I44" s="899" t="str">
        <f>TEXT('MYP Assumptions'!E57,"0.00%")&amp;", projected STRS rate"</f>
        <v>14.43%, projected STRS rate</v>
      </c>
      <c r="J44" s="455"/>
      <c r="K44" s="456">
        <f t="shared" ref="K44:K53" si="18">IF(H44=0,"0.00%",(L44-H44)/H44)</f>
        <v>-1</v>
      </c>
      <c r="L44" s="340">
        <f>ROUND(L30*LEFT(M44,6),0)</f>
        <v>0</v>
      </c>
      <c r="M44" s="899" t="str">
        <f>TEXT('MYP Assumptions'!F57,"0.00%")&amp;", projected STRS rate"</f>
        <v>16.28%, projected STRS rate</v>
      </c>
      <c r="O44" s="456" t="str">
        <f t="shared" ref="O44:O53" si="19">IF(L44=0,"0.00%",(P44-L44)/L44)</f>
        <v>0.00%</v>
      </c>
      <c r="P44" s="340">
        <f>ROUND(P30*LEFT(Q44,6),0)</f>
        <v>0</v>
      </c>
      <c r="Q44" s="899" t="str">
        <f>TEXT('MYP Assumptions'!G57,"0.00%")&amp;", projected STRS rate"</f>
        <v>18.13%, projected STRS rate</v>
      </c>
      <c r="R44" s="592"/>
      <c r="S44" s="2238" t="str">
        <f t="shared" ref="S44:S53" si="20">IF(P44=0,"0.00%",(T44-P44)/P44)</f>
        <v>0.00%</v>
      </c>
      <c r="T44" s="340">
        <f>ROUND(T30*LEFT(U44,6),0)</f>
        <v>0</v>
      </c>
      <c r="U44" s="953" t="str">
        <f>TEXT('MYP Assumptions'!H57,"0.00%")&amp;", projected STRS rate"</f>
        <v>19.10%, projected STRS rate</v>
      </c>
      <c r="V44" s="952"/>
      <c r="W44" s="2241" t="str">
        <f t="shared" ref="W44:W53" si="21">IF(T44=0,"0.00%",(X44-T44)/T44)</f>
        <v>0.00%</v>
      </c>
      <c r="X44" s="340">
        <f>ROUND(X30*LEFT(Y44,6),0)</f>
        <v>0</v>
      </c>
      <c r="Y44" s="953" t="str">
        <f>TEXT('MYP Assumptions'!I57,"0.00%")&amp;", projected STRS rate"</f>
        <v>19.10%, projected STRS rate</v>
      </c>
      <c r="AA44" s="456" t="str">
        <f t="shared" ref="AA44:AA53" si="22">IF(X44=0,"0.00%",(AB44-X44)/X44)</f>
        <v>0.00%</v>
      </c>
      <c r="AB44" s="340" t="e">
        <f>ROUND(AB30*LEFT(AC44,6),0)</f>
        <v>#VALUE!</v>
      </c>
      <c r="AC44" s="953" t="str">
        <f>TEXT('MYP Assumptions'!J57,"0.00%")&amp;", projected STRS rate"</f>
        <v>0.00%, projected STRS rate</v>
      </c>
    </row>
    <row r="45" spans="1:29" s="457" customFormat="1" x14ac:dyDescent="0.25">
      <c r="A45" s="2227"/>
      <c r="B45" s="2385" t="s">
        <v>84</v>
      </c>
      <c r="C45" s="2215" t="s">
        <v>77</v>
      </c>
      <c r="D45" s="340">
        <v>0</v>
      </c>
      <c r="E45" s="899" t="str">
        <f>TEXT('MYP Assumptions'!$D$58,"0.00%")&amp;", PERS rate"</f>
        <v>13.89%, PERS rate</v>
      </c>
      <c r="F45" s="340"/>
      <c r="G45" s="456" t="str">
        <f t="shared" si="17"/>
        <v>0.00%</v>
      </c>
      <c r="H45" s="340">
        <f>ROUND(H41*LEFT(I45,6),0)</f>
        <v>0</v>
      </c>
      <c r="I45" s="899" t="str">
        <f>TEXT('MYP Assumptions'!E58,"0.00%")&amp;", projected PERS rate"</f>
        <v>15.53%, projected PERS rate</v>
      </c>
      <c r="J45" s="455"/>
      <c r="K45" s="456" t="str">
        <f t="shared" si="18"/>
        <v>0.00%</v>
      </c>
      <c r="L45" s="340">
        <f>ROUND(L41*LEFT(M45,6),0)</f>
        <v>0</v>
      </c>
      <c r="M45" s="899" t="str">
        <f>TEXT('MYP Assumptions'!F58,"0.00%")&amp;", projected PERS rate"</f>
        <v>18.06%, projected PERS rate</v>
      </c>
      <c r="O45" s="456" t="str">
        <f t="shared" si="19"/>
        <v>0.00%</v>
      </c>
      <c r="P45" s="340">
        <f>ROUND(P41*LEFT(Q45,6),0)</f>
        <v>0</v>
      </c>
      <c r="Q45" s="899" t="str">
        <f>TEXT('MYP Assumptions'!G58,"0.00%")&amp;", projected PERS rate"</f>
        <v>20.80%, projected PERS rate</v>
      </c>
      <c r="R45" s="592"/>
      <c r="S45" s="2238" t="str">
        <f t="shared" si="20"/>
        <v>0.00%</v>
      </c>
      <c r="T45" s="340">
        <f>ROUND(T41*LEFT(U45,6),0)</f>
        <v>0</v>
      </c>
      <c r="U45" s="953" t="str">
        <f>TEXT('MYP Assumptions'!H58,"0.00%")&amp;", projected PERS rate"</f>
        <v>23.50%, projected PERS rate</v>
      </c>
      <c r="V45" s="952"/>
      <c r="W45" s="2241" t="str">
        <f t="shared" si="21"/>
        <v>0.00%</v>
      </c>
      <c r="X45" s="340">
        <f>ROUND(X41*LEFT(Y45,6),0)</f>
        <v>0</v>
      </c>
      <c r="Y45" s="953" t="str">
        <f>TEXT('MYP Assumptions'!I58,"0.00%")&amp;", projected PERS rate"</f>
        <v>24.60%, projected PERS rate</v>
      </c>
      <c r="AA45" s="456" t="str">
        <f t="shared" si="22"/>
        <v>0.00%</v>
      </c>
      <c r="AB45" s="340" t="e">
        <f>ROUND(AB41*LEFT(AC45,6),0)</f>
        <v>#VALUE!</v>
      </c>
      <c r="AC45" s="953" t="str">
        <f>TEXT('MYP Assumptions'!J58,"0.00%")&amp;", projected PERS rate"</f>
        <v>0.00%, projected PERS rate</v>
      </c>
    </row>
    <row r="46" spans="1:29" s="457" customFormat="1" x14ac:dyDescent="0.25">
      <c r="A46" s="2227"/>
      <c r="B46" s="2385" t="s">
        <v>85</v>
      </c>
      <c r="C46" s="2215" t="s">
        <v>78</v>
      </c>
      <c r="D46" s="340">
        <v>183.83</v>
      </c>
      <c r="E46" s="899" t="str">
        <f>TEXT('MYP Assumptions'!$D$60,"0.00%")&amp;", SS rate"</f>
        <v>6.20%, SS rate</v>
      </c>
      <c r="F46" s="340"/>
      <c r="G46" s="456">
        <f t="shared" si="17"/>
        <v>-1</v>
      </c>
      <c r="H46" s="340">
        <v>0</v>
      </c>
      <c r="I46" s="899" t="str">
        <f>TEXT('MYP Assumptions'!E60,"0.00%")&amp;", no rate change"</f>
        <v>6.20%, no rate change</v>
      </c>
      <c r="J46" s="455"/>
      <c r="K46" s="456" t="str">
        <f t="shared" si="18"/>
        <v>0.00%</v>
      </c>
      <c r="L46" s="340">
        <f>ROUND(L41*LEFT(M46,5),0)</f>
        <v>0</v>
      </c>
      <c r="M46" s="899" t="str">
        <f>TEXT('MYP Assumptions'!F60,"0.00%")&amp;", no rate change"</f>
        <v>6.20%, no rate change</v>
      </c>
      <c r="O46" s="456" t="str">
        <f t="shared" si="19"/>
        <v>0.00%</v>
      </c>
      <c r="P46" s="340">
        <f>+L46</f>
        <v>0</v>
      </c>
      <c r="Q46" s="899" t="str">
        <f>TEXT('MYP Assumptions'!G60,"0.00%")&amp;", no rate change"</f>
        <v>6.20%, no rate change</v>
      </c>
      <c r="R46" s="592"/>
      <c r="S46" s="2238" t="str">
        <f t="shared" si="20"/>
        <v>0.00%</v>
      </c>
      <c r="T46" s="340">
        <f>ROUND(T41*LEFT(U46,5),0)</f>
        <v>0</v>
      </c>
      <c r="U46" s="953" t="str">
        <f>TEXT('MYP Assumptions'!H60,"0.00%")&amp;", no rate change"</f>
        <v>6.20%, no rate change</v>
      </c>
      <c r="V46" s="952"/>
      <c r="W46" s="2241" t="str">
        <f t="shared" si="21"/>
        <v>0.00%</v>
      </c>
      <c r="X46" s="340">
        <f>ROUND(X41*LEFT(Y46,5),0)</f>
        <v>0</v>
      </c>
      <c r="Y46" s="953" t="str">
        <f>TEXT('MYP Assumptions'!I60,"0.00%")&amp;", no rate change"</f>
        <v>6.20%, no rate change</v>
      </c>
      <c r="AA46" s="456" t="str">
        <f t="shared" si="22"/>
        <v>0.00%</v>
      </c>
      <c r="AB46" s="340">
        <f>ROUND(AB41*LEFT(AC46,5),0)</f>
        <v>0</v>
      </c>
      <c r="AC46" s="953" t="str">
        <f>TEXT('MYP Assumptions'!J60,"0.00%")&amp;", no rate change"</f>
        <v>0.00%, no rate change</v>
      </c>
    </row>
    <row r="47" spans="1:29" s="457" customFormat="1" x14ac:dyDescent="0.25">
      <c r="A47" s="2227"/>
      <c r="B47" s="2385" t="s">
        <v>86</v>
      </c>
      <c r="C47" s="2215" t="s">
        <v>79</v>
      </c>
      <c r="D47" s="340">
        <v>1261.25</v>
      </c>
      <c r="E47" s="899" t="str">
        <f>TEXT('MYP Assumptions'!$D$61,"0.00%")&amp;", Medicare rate"</f>
        <v>1.45%, Medicare rate</v>
      </c>
      <c r="F47" s="340"/>
      <c r="G47" s="456">
        <f t="shared" si="17"/>
        <v>0.4049554013875124</v>
      </c>
      <c r="H47" s="340">
        <v>1772</v>
      </c>
      <c r="I47" s="899" t="str">
        <f>TEXT('MYP Assumptions'!E61,"0.00%")&amp;", no rate change"</f>
        <v>1.45%, no rate change</v>
      </c>
      <c r="J47" s="455"/>
      <c r="K47" s="456">
        <f t="shared" si="18"/>
        <v>-1</v>
      </c>
      <c r="L47" s="340">
        <f>ROUND((L41+L30)*LEFT(M47,5),0)</f>
        <v>0</v>
      </c>
      <c r="M47" s="899" t="str">
        <f>TEXT('MYP Assumptions'!F61,"0.00%")&amp;", no rate change"</f>
        <v>1.45%, no rate change</v>
      </c>
      <c r="O47" s="456" t="str">
        <f t="shared" si="19"/>
        <v>0.00%</v>
      </c>
      <c r="P47" s="340">
        <f>ROUND((P41+P30)*LEFT(Q47,5),0)</f>
        <v>0</v>
      </c>
      <c r="Q47" s="899" t="str">
        <f>TEXT('MYP Assumptions'!G61,"0.00%")&amp;", no rate change"</f>
        <v>1.45%, no rate change</v>
      </c>
      <c r="R47" s="592"/>
      <c r="S47" s="2238" t="str">
        <f t="shared" si="20"/>
        <v>0.00%</v>
      </c>
      <c r="T47" s="340">
        <f>ROUND((T41+T30)*LEFT(U47,5),0)</f>
        <v>0</v>
      </c>
      <c r="U47" s="953" t="str">
        <f>TEXT('MYP Assumptions'!H61,"0.00%")&amp;", no rate change"</f>
        <v>1.45%, no rate change</v>
      </c>
      <c r="V47" s="952"/>
      <c r="W47" s="2241" t="str">
        <f t="shared" si="21"/>
        <v>0.00%</v>
      </c>
      <c r="X47" s="340">
        <f>ROUND((X41+X30)*LEFT(Y47,5),0)</f>
        <v>0</v>
      </c>
      <c r="Y47" s="953" t="str">
        <f>TEXT('MYP Assumptions'!I61,"0.00%")&amp;", no rate change"</f>
        <v>1.45%, no rate change</v>
      </c>
      <c r="AA47" s="456" t="str">
        <f t="shared" si="22"/>
        <v>0.00%</v>
      </c>
      <c r="AB47" s="340">
        <f>ROUND((AB41+AB30)*LEFT(AC47,5),0)</f>
        <v>0</v>
      </c>
      <c r="AC47" s="953" t="str">
        <f>TEXT('MYP Assumptions'!J61,"0.00%")&amp;", no rate change"</f>
        <v>0.00%, no rate change</v>
      </c>
    </row>
    <row r="48" spans="1:29" s="457" customFormat="1" x14ac:dyDescent="0.25">
      <c r="A48" s="2227"/>
      <c r="B48" s="2385" t="s">
        <v>87</v>
      </c>
      <c r="C48" s="2215" t="s">
        <v>80</v>
      </c>
      <c r="D48" s="340">
        <v>8400.73</v>
      </c>
      <c r="E48" s="899"/>
      <c r="F48" s="340"/>
      <c r="G48" s="456">
        <f t="shared" si="17"/>
        <v>-0.16066818002721187</v>
      </c>
      <c r="H48" s="340">
        <v>7051</v>
      </c>
      <c r="I48" s="899" t="str">
        <f>TEXT('MYP Assumptions'!$I$68,"0.00%")&amp;", projected increase"</f>
        <v>5.00%, projected increase</v>
      </c>
      <c r="J48" s="455"/>
      <c r="K48" s="456">
        <f t="shared" si="18"/>
        <v>-1</v>
      </c>
      <c r="L48" s="340">
        <v>0</v>
      </c>
      <c r="M48" s="899" t="str">
        <f>TEXT('MYP Assumptions'!$I$68,"0.00%")&amp;", projected increase"</f>
        <v>5.00%, projected increase</v>
      </c>
      <c r="O48" s="456" t="str">
        <f t="shared" si="19"/>
        <v>0.00%</v>
      </c>
      <c r="P48" s="340">
        <f>ROUND((L48)*(LEFT(Q48,5)+1),0)</f>
        <v>0</v>
      </c>
      <c r="Q48" s="899" t="str">
        <f>TEXT('MYP Assumptions'!$I$68,"0.00%")&amp;", projected increase"</f>
        <v>5.00%, projected increase</v>
      </c>
      <c r="R48" s="592"/>
      <c r="S48" s="2238" t="str">
        <f t="shared" si="20"/>
        <v>0.00%</v>
      </c>
      <c r="T48" s="340">
        <f>ROUND((P48)*(LEFT(U48,5)+1),0)</f>
        <v>0</v>
      </c>
      <c r="U48" s="953" t="str">
        <f>TEXT('MYP Assumptions'!$I$68,"0.00%")&amp;", projected increase"</f>
        <v>5.00%, projected increase</v>
      </c>
      <c r="V48" s="952"/>
      <c r="W48" s="2241" t="str">
        <f t="shared" si="21"/>
        <v>0.00%</v>
      </c>
      <c r="X48" s="340">
        <f>ROUND((T48)*(LEFT(Y48,5)+1),0)</f>
        <v>0</v>
      </c>
      <c r="Y48" s="953" t="str">
        <f>TEXT('MYP Assumptions'!$I$68,"0.00%")&amp;", projected increase"</f>
        <v>5.00%, projected increase</v>
      </c>
      <c r="AA48" s="456" t="str">
        <f t="shared" si="22"/>
        <v>0.00%</v>
      </c>
      <c r="AB48" s="340">
        <f>ROUND((X48)*(LEFT(AC48,5)+1),0)</f>
        <v>0</v>
      </c>
      <c r="AC48" s="953" t="str">
        <f>TEXT('MYP Assumptions'!$I$68,"0.00%")&amp;", projected increase"</f>
        <v>5.00%, projected increase</v>
      </c>
    </row>
    <row r="49" spans="1:29" s="457" customFormat="1" x14ac:dyDescent="0.25">
      <c r="A49" s="2227"/>
      <c r="B49" s="2385" t="s">
        <v>88</v>
      </c>
      <c r="C49" s="2215" t="s">
        <v>81</v>
      </c>
      <c r="D49" s="340">
        <v>43.99</v>
      </c>
      <c r="E49" s="899" t="str">
        <f>TEXT('MYP Assumptions'!$D$62,"0.00%")&amp;", SUI rate"</f>
        <v>0.05%, SUI rate</v>
      </c>
      <c r="F49" s="340"/>
      <c r="G49" s="456">
        <f t="shared" si="17"/>
        <v>0.40941122982496014</v>
      </c>
      <c r="H49" s="340">
        <v>62</v>
      </c>
      <c r="I49" s="899" t="str">
        <f>TEXT('MYP Assumptions'!E62,"0.00%")&amp;", no rate change"</f>
        <v>0.05%, no rate change</v>
      </c>
      <c r="J49" s="455"/>
      <c r="K49" s="456">
        <f t="shared" si="18"/>
        <v>-1</v>
      </c>
      <c r="L49" s="340">
        <f>ROUND((L41+L30)*LEFT(M49,5),0)</f>
        <v>0</v>
      </c>
      <c r="M49" s="899" t="str">
        <f>TEXT('MYP Assumptions'!F62,"0.00%")&amp;", no rate change"</f>
        <v>0.05%, no rate change</v>
      </c>
      <c r="O49" s="456" t="str">
        <f t="shared" si="19"/>
        <v>0.00%</v>
      </c>
      <c r="P49" s="340">
        <f>ROUND((P41+P30)*LEFT(Q49,5),0)</f>
        <v>0</v>
      </c>
      <c r="Q49" s="899" t="str">
        <f>TEXT('MYP Assumptions'!G62,"0.00%")&amp;", no rate change"</f>
        <v>0.05%, no rate change</v>
      </c>
      <c r="R49" s="592"/>
      <c r="S49" s="2238" t="str">
        <f t="shared" si="20"/>
        <v>0.00%</v>
      </c>
      <c r="T49" s="340">
        <f>ROUND((T41+T30)*LEFT(U49,5),0)</f>
        <v>0</v>
      </c>
      <c r="U49" s="953" t="str">
        <f>TEXT('MYP Assumptions'!H62,"0.00%")&amp;", no rate change"</f>
        <v>0.05%, no rate change</v>
      </c>
      <c r="V49" s="952"/>
      <c r="W49" s="2241" t="str">
        <f t="shared" si="21"/>
        <v>0.00%</v>
      </c>
      <c r="X49" s="340">
        <f>ROUND((X41+X30)*LEFT(Y49,5),0)</f>
        <v>0</v>
      </c>
      <c r="Y49" s="953" t="str">
        <f>TEXT('MYP Assumptions'!I62,"0.00%")&amp;", no rate change"</f>
        <v>0.05%, no rate change</v>
      </c>
      <c r="AA49" s="456" t="str">
        <f t="shared" si="22"/>
        <v>0.00%</v>
      </c>
      <c r="AB49" s="340">
        <f>ROUND((AB41+AB30)*LEFT(AC49,5),0)</f>
        <v>0</v>
      </c>
      <c r="AC49" s="953" t="str">
        <f>TEXT('MYP Assumptions'!J62,"0.00%")&amp;", no rate change"</f>
        <v>0.00%, no rate change</v>
      </c>
    </row>
    <row r="50" spans="1:29" s="457" customFormat="1" x14ac:dyDescent="0.25">
      <c r="A50" s="2227"/>
      <c r="B50" s="2385" t="s">
        <v>89</v>
      </c>
      <c r="C50" s="2215" t="s">
        <v>82</v>
      </c>
      <c r="D50" s="340">
        <v>959.89</v>
      </c>
      <c r="E50" s="899" t="str">
        <f>TEXT('MYP Assumptions'!$D$63,"0.00%")&amp;", W/C rate"</f>
        <v>1.10%, W/C rate</v>
      </c>
      <c r="F50" s="340"/>
      <c r="G50" s="456">
        <f t="shared" si="17"/>
        <v>1.8866745147881541E-2</v>
      </c>
      <c r="H50" s="340">
        <v>978</v>
      </c>
      <c r="I50" s="899" t="str">
        <f>TEXT('MYP Assumptions'!E63,"0.00%")&amp;", no rate change"</f>
        <v>0.80%, no rate change</v>
      </c>
      <c r="J50" s="455"/>
      <c r="K50" s="456">
        <f t="shared" si="18"/>
        <v>-1</v>
      </c>
      <c r="L50" s="340">
        <f>ROUND((L41+L30)*LEFT(M50,5),0)</f>
        <v>0</v>
      </c>
      <c r="M50" s="899" t="str">
        <f>TEXT('MYP Assumptions'!F63,"0.00%")&amp;", no rate change"</f>
        <v>0.80%, no rate change</v>
      </c>
      <c r="O50" s="456" t="str">
        <f t="shared" si="19"/>
        <v>0.00%</v>
      </c>
      <c r="P50" s="340">
        <f>ROUND((P41+P30)*LEFT(Q50,5),0)</f>
        <v>0</v>
      </c>
      <c r="Q50" s="899" t="str">
        <f>TEXT('MYP Assumptions'!G63,"0.00%")&amp;", no rate change"</f>
        <v>0.80%, no rate change</v>
      </c>
      <c r="R50" s="592"/>
      <c r="S50" s="2238" t="str">
        <f t="shared" si="20"/>
        <v>0.00%</v>
      </c>
      <c r="T50" s="340">
        <f>ROUND((T41+T30)*LEFT(U50,5),0)</f>
        <v>0</v>
      </c>
      <c r="U50" s="953" t="str">
        <f>TEXT('MYP Assumptions'!H63,"0.00%")&amp;", no rate change"</f>
        <v>0.80%, no rate change</v>
      </c>
      <c r="V50" s="952"/>
      <c r="W50" s="2241" t="str">
        <f t="shared" si="21"/>
        <v>0.00%</v>
      </c>
      <c r="X50" s="340">
        <f>ROUND((X41+X30)*LEFT(Y50,5),0)</f>
        <v>0</v>
      </c>
      <c r="Y50" s="953" t="str">
        <f>TEXT('MYP Assumptions'!I63,"0.00%")&amp;", no rate change"</f>
        <v>0.80%, no rate change</v>
      </c>
      <c r="AA50" s="456" t="str">
        <f t="shared" si="22"/>
        <v>0.00%</v>
      </c>
      <c r="AB50" s="340">
        <f>ROUND((AB41+AB30)*LEFT(AC50,5),0)</f>
        <v>0</v>
      </c>
      <c r="AC50" s="953" t="str">
        <f>TEXT('MYP Assumptions'!J63,"0.00%")&amp;", no rate change"</f>
        <v>0.00%, no rate change</v>
      </c>
    </row>
    <row r="51" spans="1:29" s="457" customFormat="1" x14ac:dyDescent="0.25">
      <c r="A51" s="2227"/>
      <c r="B51" s="2441" t="s">
        <v>469</v>
      </c>
      <c r="C51" s="2451" t="s">
        <v>470</v>
      </c>
      <c r="D51" s="340">
        <v>0</v>
      </c>
      <c r="E51" s="2386"/>
      <c r="F51" s="340"/>
      <c r="G51" s="456" t="str">
        <f t="shared" ref="G51" si="23">IF(D51=0,"0.00%",(H51-D51)/D51)</f>
        <v>0.00%</v>
      </c>
      <c r="H51" s="340">
        <v>0</v>
      </c>
      <c r="I51" s="899"/>
      <c r="J51" s="455"/>
      <c r="K51" s="456" t="str">
        <f t="shared" ref="K51" si="24">IF(H51=0,"0.00%",(L51-H51)/H51)</f>
        <v>0.00%</v>
      </c>
      <c r="L51" s="340">
        <v>0</v>
      </c>
      <c r="M51" s="899"/>
      <c r="O51" s="456" t="str">
        <f t="shared" ref="O51" si="25">IF(L51=0,"0.00%",(P51-L51)/L51)</f>
        <v>0.00%</v>
      </c>
      <c r="P51" s="340">
        <f>L51</f>
        <v>0</v>
      </c>
      <c r="Q51" s="899"/>
      <c r="R51" s="592"/>
      <c r="S51" s="2238" t="str">
        <f t="shared" ref="S51" si="26">IF(P51=0,"0.00%",(T51-P51)/P51)</f>
        <v>0.00%</v>
      </c>
      <c r="T51" s="340">
        <f>P51</f>
        <v>0</v>
      </c>
      <c r="U51" s="953" t="s">
        <v>165</v>
      </c>
      <c r="V51" s="952"/>
      <c r="W51" s="2241" t="str">
        <f t="shared" ref="W51" si="27">IF(T51=0,"0.00%",(X51-T51)/T51)</f>
        <v>0.00%</v>
      </c>
      <c r="X51" s="340">
        <f>T51</f>
        <v>0</v>
      </c>
      <c r="Y51" s="953" t="s">
        <v>165</v>
      </c>
      <c r="AA51" s="456" t="str">
        <f t="shared" ref="AA51" si="28">IF(X51=0,"0.00%",(AB51-X51)/X51)</f>
        <v>0.00%</v>
      </c>
      <c r="AB51" s="340">
        <f>X51</f>
        <v>0</v>
      </c>
      <c r="AC51" s="953" t="s">
        <v>165</v>
      </c>
    </row>
    <row r="52" spans="1:29" s="457" customFormat="1" x14ac:dyDescent="0.25">
      <c r="A52" s="2227"/>
      <c r="B52" s="2441" t="s">
        <v>91</v>
      </c>
      <c r="C52" s="2451" t="s">
        <v>93</v>
      </c>
      <c r="D52" s="340">
        <v>1000</v>
      </c>
      <c r="E52" s="2386"/>
      <c r="F52" s="340"/>
      <c r="G52" s="456">
        <f t="shared" ref="G52" si="29">IF(D52=0,"0.00%",(H52-D52)/D52)</f>
        <v>0</v>
      </c>
      <c r="H52" s="340">
        <v>1000</v>
      </c>
      <c r="I52" s="899" t="s">
        <v>165</v>
      </c>
      <c r="J52" s="455"/>
      <c r="K52" s="456">
        <f t="shared" ref="K52" si="30">IF(H52=0,"0.00%",(L52-H52)/H52)</f>
        <v>-1</v>
      </c>
      <c r="L52" s="340">
        <v>0</v>
      </c>
      <c r="M52" s="899" t="s">
        <v>165</v>
      </c>
      <c r="O52" s="456" t="str">
        <f t="shared" ref="O52" si="31">IF(L52=0,"0.00%",(P52-L52)/L52)</f>
        <v>0.00%</v>
      </c>
      <c r="P52" s="340">
        <f>L52</f>
        <v>0</v>
      </c>
      <c r="Q52" s="899" t="s">
        <v>165</v>
      </c>
      <c r="R52" s="592"/>
      <c r="S52" s="2238" t="str">
        <f t="shared" ref="S52" si="32">IF(P52=0,"0.00%",(T52-P52)/P52)</f>
        <v>0.00%</v>
      </c>
      <c r="T52" s="340">
        <f>P52</f>
        <v>0</v>
      </c>
      <c r="U52" s="953" t="s">
        <v>165</v>
      </c>
      <c r="V52" s="952"/>
      <c r="W52" s="2241"/>
      <c r="X52" s="340"/>
      <c r="Y52" s="953"/>
      <c r="AA52" s="456"/>
      <c r="AB52" s="340"/>
      <c r="AC52" s="953"/>
    </row>
    <row r="53" spans="1:29" s="457" customFormat="1" x14ac:dyDescent="0.25">
      <c r="A53" s="2228"/>
      <c r="B53" s="2385"/>
      <c r="C53" s="2215"/>
      <c r="D53" s="458">
        <f>SUM(D44:D52)</f>
        <v>22503.06</v>
      </c>
      <c r="E53" s="2386"/>
      <c r="F53" s="340"/>
      <c r="G53" s="456">
        <f t="shared" si="17"/>
        <v>0.23485428203986472</v>
      </c>
      <c r="H53" s="458">
        <f>SUM(H44:H52)</f>
        <v>27788</v>
      </c>
      <c r="I53" s="2316">
        <f>+H53-D53</f>
        <v>5284.9399999999987</v>
      </c>
      <c r="J53" s="459"/>
      <c r="K53" s="456">
        <f t="shared" si="18"/>
        <v>-1</v>
      </c>
      <c r="L53" s="458">
        <f>SUM(L44:L52)</f>
        <v>0</v>
      </c>
      <c r="M53" s="2316">
        <f>+L53-H53</f>
        <v>-27788</v>
      </c>
      <c r="O53" s="456" t="str">
        <f t="shared" si="19"/>
        <v>0.00%</v>
      </c>
      <c r="P53" s="458">
        <f>SUM(P44:P52)</f>
        <v>0</v>
      </c>
      <c r="Q53" s="2316">
        <f>+P53-L53</f>
        <v>0</v>
      </c>
      <c r="R53" s="592"/>
      <c r="S53" s="2238" t="str">
        <f t="shared" si="20"/>
        <v>0.00%</v>
      </c>
      <c r="T53" s="458">
        <f>SUM(T44:T52)</f>
        <v>0</v>
      </c>
      <c r="U53" s="2344"/>
      <c r="V53" s="952"/>
      <c r="W53" s="2241" t="str">
        <f t="shared" si="21"/>
        <v>0.00%</v>
      </c>
      <c r="X53" s="458">
        <f>SUM(X44:X52)</f>
        <v>0</v>
      </c>
      <c r="Y53" s="2344"/>
      <c r="AA53" s="456" t="str">
        <f t="shared" si="22"/>
        <v>0.00%</v>
      </c>
      <c r="AB53" s="458" t="e">
        <f>SUM(AB44:AB52)</f>
        <v>#VALUE!</v>
      </c>
      <c r="AC53" s="2344"/>
    </row>
    <row r="54" spans="1:29" s="457" customFormat="1" x14ac:dyDescent="0.25">
      <c r="A54" s="2229"/>
      <c r="B54" s="2385"/>
      <c r="C54" s="2215"/>
      <c r="D54" s="340"/>
      <c r="E54" s="2386"/>
      <c r="F54" s="340"/>
      <c r="G54" s="2338"/>
      <c r="H54" s="340"/>
      <c r="I54" s="897"/>
      <c r="J54" s="455"/>
      <c r="K54" s="1668"/>
      <c r="L54" s="340"/>
      <c r="M54" s="901"/>
      <c r="O54" s="1668"/>
      <c r="P54" s="340"/>
      <c r="Q54" s="901"/>
      <c r="R54" s="592"/>
      <c r="S54" s="2341"/>
      <c r="T54" s="340"/>
      <c r="U54" s="2344"/>
      <c r="V54" s="952"/>
      <c r="W54" s="2343"/>
      <c r="X54" s="340"/>
      <c r="Y54" s="2344"/>
      <c r="AA54" s="1668"/>
      <c r="AB54" s="340"/>
      <c r="AC54" s="2344"/>
    </row>
    <row r="55" spans="1:29" s="457" customFormat="1" x14ac:dyDescent="0.25">
      <c r="A55" s="2228"/>
      <c r="B55" s="2337" t="s">
        <v>26</v>
      </c>
      <c r="C55" s="2215"/>
      <c r="D55" s="458">
        <f>SUM(D53,D41,D30)</f>
        <v>110981.56</v>
      </c>
      <c r="E55" s="2386"/>
      <c r="F55" s="340"/>
      <c r="G55" s="456">
        <f>IF(D55=0,"0.00%",(H55-D55)/D55)</f>
        <v>0.35731557566860661</v>
      </c>
      <c r="H55" s="458">
        <f>SUM(H53,H41,H30)</f>
        <v>150637</v>
      </c>
      <c r="I55" s="2316">
        <f>+H55-D55</f>
        <v>39655.440000000002</v>
      </c>
      <c r="J55" s="459"/>
      <c r="K55" s="456">
        <f>IF(H55=0,"0.00%",(L55-H55)/H55)</f>
        <v>-1</v>
      </c>
      <c r="L55" s="458">
        <f>SUM(L53,L41,L30)</f>
        <v>0</v>
      </c>
      <c r="M55" s="2316">
        <f>+L55-H55</f>
        <v>-150637</v>
      </c>
      <c r="O55" s="456" t="str">
        <f>IF(L55=0,"0.00%",(P55-L55)/L55)</f>
        <v>0.00%</v>
      </c>
      <c r="P55" s="458">
        <f>SUM(P53,P41,P30)</f>
        <v>0</v>
      </c>
      <c r="Q55" s="2316">
        <f>+P55-L55</f>
        <v>0</v>
      </c>
      <c r="R55" s="592"/>
      <c r="S55" s="2238" t="str">
        <f>IF(P55=0,"0.00%",(T55-P55)/P55)</f>
        <v>0.00%</v>
      </c>
      <c r="T55" s="458">
        <f>SUM(T53,T41,T30)</f>
        <v>0</v>
      </c>
      <c r="U55" s="2344"/>
      <c r="V55" s="952"/>
      <c r="W55" s="2241" t="str">
        <f>IF(T55=0,"0.00%",(X55-T55)/T55)</f>
        <v>0.00%</v>
      </c>
      <c r="X55" s="458">
        <f>SUM(X53,X41,X30)</f>
        <v>0</v>
      </c>
      <c r="Y55" s="2344"/>
      <c r="AA55" s="456" t="str">
        <f>IF(X55=0,"0.00%",(AB55-X55)/X55)</f>
        <v>0.00%</v>
      </c>
      <c r="AB55" s="458" t="e">
        <f>SUM(AB53,AB41,AB30)</f>
        <v>#VALUE!</v>
      </c>
      <c r="AC55" s="2344"/>
    </row>
    <row r="56" spans="1:29" s="457" customFormat="1" x14ac:dyDescent="0.25">
      <c r="A56" s="2230"/>
      <c r="B56" s="2345"/>
      <c r="C56" s="2215"/>
      <c r="D56" s="340"/>
      <c r="E56" s="2386"/>
      <c r="F56" s="340"/>
      <c r="G56" s="2338"/>
      <c r="H56" s="340"/>
      <c r="I56" s="897"/>
      <c r="J56" s="455"/>
      <c r="K56" s="1668"/>
      <c r="L56" s="340"/>
      <c r="M56" s="901"/>
      <c r="O56" s="1668"/>
      <c r="P56" s="340"/>
      <c r="Q56" s="901"/>
      <c r="R56" s="592"/>
      <c r="S56" s="2341"/>
      <c r="T56" s="340"/>
      <c r="U56" s="2344"/>
      <c r="V56" s="952"/>
      <c r="W56" s="2343"/>
      <c r="X56" s="340"/>
      <c r="Y56" s="2344"/>
      <c r="AA56" s="1668"/>
      <c r="AB56" s="340"/>
      <c r="AC56" s="2344"/>
    </row>
    <row r="57" spans="1:29" s="457" customFormat="1" x14ac:dyDescent="0.25">
      <c r="A57" s="2227"/>
      <c r="B57" s="2345"/>
      <c r="C57" s="2215"/>
      <c r="D57" s="340"/>
      <c r="E57" s="2386"/>
      <c r="F57" s="340"/>
      <c r="G57" s="2338"/>
      <c r="H57" s="340"/>
      <c r="I57" s="897"/>
      <c r="J57" s="455"/>
      <c r="K57" s="1668"/>
      <c r="L57" s="340"/>
      <c r="M57" s="901"/>
      <c r="O57" s="1668"/>
      <c r="P57" s="340"/>
      <c r="Q57" s="901"/>
      <c r="R57" s="592"/>
      <c r="S57" s="2341"/>
      <c r="T57" s="340"/>
      <c r="U57" s="2344"/>
      <c r="V57" s="952"/>
      <c r="W57" s="2343"/>
      <c r="X57" s="340"/>
      <c r="Y57" s="2344"/>
      <c r="AA57" s="1668"/>
      <c r="AB57" s="340"/>
      <c r="AC57" s="2344"/>
    </row>
    <row r="58" spans="1:29" s="457" customFormat="1" x14ac:dyDescent="0.25">
      <c r="A58" s="2230"/>
      <c r="B58" s="2440" t="s">
        <v>25</v>
      </c>
      <c r="C58" s="2225"/>
      <c r="D58" s="340"/>
      <c r="E58" s="2386"/>
      <c r="F58" s="340"/>
      <c r="G58" s="2338"/>
      <c r="H58" s="1866">
        <v>25616.93</v>
      </c>
      <c r="I58" s="1867" t="s">
        <v>1070</v>
      </c>
      <c r="J58" s="455"/>
      <c r="K58" s="1668"/>
      <c r="L58" s="340"/>
      <c r="M58" s="901"/>
      <c r="O58" s="1668"/>
      <c r="P58" s="340"/>
      <c r="Q58" s="901"/>
      <c r="R58" s="592"/>
      <c r="S58" s="2341"/>
      <c r="T58" s="340"/>
      <c r="U58" s="2344"/>
      <c r="V58" s="952"/>
      <c r="W58" s="2343"/>
      <c r="X58" s="340"/>
      <c r="Y58" s="2344"/>
      <c r="AA58" s="1668"/>
      <c r="AB58" s="340"/>
      <c r="AC58" s="2344"/>
    </row>
    <row r="59" spans="1:29" s="457" customFormat="1" hidden="1" x14ac:dyDescent="0.25">
      <c r="A59" s="2227"/>
      <c r="B59" s="2385"/>
      <c r="C59" s="2215"/>
      <c r="D59" s="340">
        <v>0</v>
      </c>
      <c r="E59" s="2386"/>
      <c r="F59" s="340"/>
      <c r="G59" s="456" t="str">
        <f t="shared" ref="G59:G66" si="33">IF(D59=0,"0.00%",(H59-D59)/D59)</f>
        <v>0.00%</v>
      </c>
      <c r="H59" s="340">
        <f t="shared" ref="H59:H65" si="34">ROUND(D59*(LEFT(I59,5)+1),0)</f>
        <v>0</v>
      </c>
      <c r="I59" s="899" t="str">
        <f>TEXT('MYP Assumptions'!E78,"0.00%")&amp;", CPI"</f>
        <v>3.37%, CPI</v>
      </c>
      <c r="J59" s="455"/>
      <c r="K59" s="456" t="str">
        <f t="shared" ref="K59:K66" si="35">IF(H59=0,"0.00%",(L59-H59)/H59)</f>
        <v>0.00%</v>
      </c>
      <c r="L59" s="340">
        <f>ROUND(H59*(LEFT(M59,5)+1),0)</f>
        <v>0</v>
      </c>
      <c r="M59" s="899" t="str">
        <f>TEXT('MYP Assumptions'!F78,"0.00%")&amp;", CPI"</f>
        <v>3.58%, CPI</v>
      </c>
      <c r="O59" s="456" t="str">
        <f t="shared" ref="O59:O66" si="36">IF(L59=0,"0.00%",(P59-L59)/L59)</f>
        <v>0.00%</v>
      </c>
      <c r="P59" s="340">
        <f>ROUND(L59*(LEFT(Q59,5)+1),0)</f>
        <v>0</v>
      </c>
      <c r="Q59" s="899" t="str">
        <f>TEXT('MYP Assumptions'!G78,"0.00%")&amp;", CPI"</f>
        <v>3.36%, CPI</v>
      </c>
      <c r="R59" s="592"/>
      <c r="S59" s="2238" t="str">
        <f t="shared" ref="S59:S66" si="37">IF(P59=0,"0.00%",(T59-P59)/P59)</f>
        <v>0.00%</v>
      </c>
      <c r="T59" s="340">
        <f>ROUND(P59*(LEFT(U59,5)+1),0)</f>
        <v>0</v>
      </c>
      <c r="U59" s="953" t="str">
        <f>TEXT('MYP Assumptions'!H78,"0.00%")&amp;", CPI"</f>
        <v>3.23%, CPI</v>
      </c>
      <c r="V59" s="952"/>
      <c r="W59" s="2241" t="str">
        <f t="shared" ref="W59:W66" si="38">IF(T59=0,"0.00%",(X59-T59)/T59)</f>
        <v>0.00%</v>
      </c>
      <c r="X59" s="340">
        <f>ROUND(T59*(LEFT(Y59,5)+1),0)</f>
        <v>0</v>
      </c>
      <c r="Y59" s="953" t="str">
        <f>TEXT('MYP Assumptions'!I78,"0.00%")&amp;", CPI"</f>
        <v>2.73%, CPI</v>
      </c>
      <c r="AA59" s="456" t="str">
        <f t="shared" ref="AA59:AA66" si="39">IF(X59=0,"0.00%",(AB59-X59)/X59)</f>
        <v>0.00%</v>
      </c>
      <c r="AB59" s="340">
        <f>ROUND(X59*(LEFT(AC59,5)+1),0)</f>
        <v>0</v>
      </c>
      <c r="AC59" s="953" t="str">
        <f>TEXT('MYP Assumptions'!J78,"0.00%")&amp;", CPI"</f>
        <v>2.73%, CPI</v>
      </c>
    </row>
    <row r="60" spans="1:29" s="457" customFormat="1" hidden="1" x14ac:dyDescent="0.25">
      <c r="A60" s="2227"/>
      <c r="B60" s="2385"/>
      <c r="C60" s="2215"/>
      <c r="D60" s="340">
        <v>0</v>
      </c>
      <c r="E60" s="2386"/>
      <c r="F60" s="340"/>
      <c r="G60" s="456" t="str">
        <f t="shared" si="33"/>
        <v>0.00%</v>
      </c>
      <c r="H60" s="340">
        <f t="shared" si="34"/>
        <v>0</v>
      </c>
      <c r="I60" s="899" t="str">
        <f>TEXT('MYP Assumptions'!E78,"0.00%")&amp;", CPI"</f>
        <v>3.37%, CPI</v>
      </c>
      <c r="J60" s="455"/>
      <c r="K60" s="456" t="str">
        <f t="shared" si="35"/>
        <v>0.00%</v>
      </c>
      <c r="L60" s="340">
        <f t="shared" ref="L60:L65" si="40">ROUND(H60*(LEFT(M60,5)+1),0)</f>
        <v>0</v>
      </c>
      <c r="M60" s="899" t="str">
        <f>TEXT('MYP Assumptions'!F78,"0.00%")&amp;", CPI"</f>
        <v>3.58%, CPI</v>
      </c>
      <c r="O60" s="456" t="str">
        <f t="shared" si="36"/>
        <v>0.00%</v>
      </c>
      <c r="P60" s="340">
        <f t="shared" ref="P60:P65" si="41">ROUND(L60*(LEFT(Q60,5)+1),0)</f>
        <v>0</v>
      </c>
      <c r="Q60" s="899" t="str">
        <f>TEXT('MYP Assumptions'!G78,"0.00%")&amp;", CPI"</f>
        <v>3.36%, CPI</v>
      </c>
      <c r="R60" s="592"/>
      <c r="S60" s="2238" t="str">
        <f t="shared" si="37"/>
        <v>0.00%</v>
      </c>
      <c r="T60" s="340">
        <f t="shared" ref="T60:T65" si="42">ROUND(P60*(LEFT(U60,5)+1),0)</f>
        <v>0</v>
      </c>
      <c r="U60" s="953" t="str">
        <f>TEXT('MYP Assumptions'!H78,"0.00%")&amp;", CPI"</f>
        <v>3.23%, CPI</v>
      </c>
      <c r="V60" s="952"/>
      <c r="W60" s="2241" t="str">
        <f t="shared" si="38"/>
        <v>0.00%</v>
      </c>
      <c r="X60" s="340">
        <f t="shared" ref="X60:X65" si="43">ROUND(T60*(LEFT(Y60,5)+1),0)</f>
        <v>0</v>
      </c>
      <c r="Y60" s="953" t="str">
        <f>TEXT('MYP Assumptions'!I78,"0.00%")&amp;", CPI"</f>
        <v>2.73%, CPI</v>
      </c>
      <c r="AA60" s="456" t="str">
        <f t="shared" si="39"/>
        <v>0.00%</v>
      </c>
      <c r="AB60" s="340">
        <f t="shared" ref="AB60:AB65" si="44">ROUND(X60*(LEFT(AC60,5)+1),0)</f>
        <v>0</v>
      </c>
      <c r="AC60" s="953" t="str">
        <f>TEXT('MYP Assumptions'!J78,"0.00%")&amp;", CPI"</f>
        <v>2.73%, CPI</v>
      </c>
    </row>
    <row r="61" spans="1:29" s="457" customFormat="1" hidden="1" x14ac:dyDescent="0.25">
      <c r="A61" s="2227"/>
      <c r="B61" s="2385"/>
      <c r="C61" s="2215"/>
      <c r="D61" s="340">
        <v>0</v>
      </c>
      <c r="E61" s="2386"/>
      <c r="F61" s="340"/>
      <c r="G61" s="456" t="str">
        <f t="shared" si="33"/>
        <v>0.00%</v>
      </c>
      <c r="H61" s="340">
        <f t="shared" si="34"/>
        <v>0</v>
      </c>
      <c r="I61" s="899" t="str">
        <f>TEXT('MYP Assumptions'!E78,"0.00%")&amp;", CPI"</f>
        <v>3.37%, CPI</v>
      </c>
      <c r="J61" s="455"/>
      <c r="K61" s="456" t="str">
        <f t="shared" si="35"/>
        <v>0.00%</v>
      </c>
      <c r="L61" s="340">
        <f t="shared" si="40"/>
        <v>0</v>
      </c>
      <c r="M61" s="899" t="str">
        <f>TEXT('MYP Assumptions'!F78,"0.00%")&amp;", CPI"</f>
        <v>3.58%, CPI</v>
      </c>
      <c r="O61" s="456" t="str">
        <f t="shared" si="36"/>
        <v>0.00%</v>
      </c>
      <c r="P61" s="340">
        <f t="shared" si="41"/>
        <v>0</v>
      </c>
      <c r="Q61" s="899" t="str">
        <f>TEXT('MYP Assumptions'!G78,"0.00%")&amp;", CPI"</f>
        <v>3.36%, CPI</v>
      </c>
      <c r="R61" s="592"/>
      <c r="S61" s="2238" t="str">
        <f t="shared" si="37"/>
        <v>0.00%</v>
      </c>
      <c r="T61" s="340">
        <f t="shared" si="42"/>
        <v>0</v>
      </c>
      <c r="U61" s="953" t="str">
        <f>TEXT('MYP Assumptions'!H78,"0.00%")&amp;", CPI"</f>
        <v>3.23%, CPI</v>
      </c>
      <c r="V61" s="952"/>
      <c r="W61" s="2241" t="str">
        <f t="shared" si="38"/>
        <v>0.00%</v>
      </c>
      <c r="X61" s="340">
        <f t="shared" si="43"/>
        <v>0</v>
      </c>
      <c r="Y61" s="953" t="str">
        <f>TEXT('MYP Assumptions'!I78,"0.00%")&amp;", CPI"</f>
        <v>2.73%, CPI</v>
      </c>
      <c r="AA61" s="456" t="str">
        <f t="shared" si="39"/>
        <v>0.00%</v>
      </c>
      <c r="AB61" s="340">
        <f t="shared" si="44"/>
        <v>0</v>
      </c>
      <c r="AC61" s="953" t="str">
        <f>TEXT('MYP Assumptions'!J78,"0.00%")&amp;", CPI"</f>
        <v>2.73%, CPI</v>
      </c>
    </row>
    <row r="62" spans="1:29" s="457" customFormat="1" hidden="1" x14ac:dyDescent="0.25">
      <c r="A62" s="2227"/>
      <c r="B62" s="2385"/>
      <c r="C62" s="2215"/>
      <c r="D62" s="340">
        <v>0</v>
      </c>
      <c r="E62" s="2386"/>
      <c r="F62" s="340"/>
      <c r="G62" s="456" t="str">
        <f t="shared" si="33"/>
        <v>0.00%</v>
      </c>
      <c r="H62" s="340">
        <f t="shared" si="34"/>
        <v>0</v>
      </c>
      <c r="I62" s="899" t="str">
        <f>TEXT('MYP Assumptions'!E78,"0.00%")&amp;", CPI"</f>
        <v>3.37%, CPI</v>
      </c>
      <c r="J62" s="455"/>
      <c r="K62" s="456" t="str">
        <f t="shared" si="35"/>
        <v>0.00%</v>
      </c>
      <c r="L62" s="340">
        <f t="shared" si="40"/>
        <v>0</v>
      </c>
      <c r="M62" s="899" t="str">
        <f>TEXT('MYP Assumptions'!F78,"0.00%")&amp;", CPI"</f>
        <v>3.58%, CPI</v>
      </c>
      <c r="O62" s="456" t="str">
        <f t="shared" si="36"/>
        <v>0.00%</v>
      </c>
      <c r="P62" s="340">
        <f t="shared" si="41"/>
        <v>0</v>
      </c>
      <c r="Q62" s="899" t="str">
        <f>TEXT('MYP Assumptions'!G78,"0.00%")&amp;", CPI"</f>
        <v>3.36%, CPI</v>
      </c>
      <c r="R62" s="592"/>
      <c r="S62" s="2238" t="str">
        <f t="shared" si="37"/>
        <v>0.00%</v>
      </c>
      <c r="T62" s="340">
        <f t="shared" si="42"/>
        <v>0</v>
      </c>
      <c r="U62" s="953" t="str">
        <f>TEXT('MYP Assumptions'!H78,"0.00%")&amp;", CPI"</f>
        <v>3.23%, CPI</v>
      </c>
      <c r="V62" s="952"/>
      <c r="W62" s="2241" t="str">
        <f t="shared" si="38"/>
        <v>0.00%</v>
      </c>
      <c r="X62" s="340">
        <f t="shared" si="43"/>
        <v>0</v>
      </c>
      <c r="Y62" s="953" t="str">
        <f>TEXT('MYP Assumptions'!I78,"0.00%")&amp;", CPI"</f>
        <v>2.73%, CPI</v>
      </c>
      <c r="AA62" s="456" t="str">
        <f t="shared" si="39"/>
        <v>0.00%</v>
      </c>
      <c r="AB62" s="340">
        <f t="shared" si="44"/>
        <v>0</v>
      </c>
      <c r="AC62" s="953" t="str">
        <f>TEXT('MYP Assumptions'!J78,"0.00%")&amp;", CPI"</f>
        <v>2.73%, CPI</v>
      </c>
    </row>
    <row r="63" spans="1:29" s="457" customFormat="1" hidden="1" x14ac:dyDescent="0.25">
      <c r="A63" s="2227"/>
      <c r="B63" s="2385"/>
      <c r="C63" s="2215"/>
      <c r="D63" s="340">
        <v>0</v>
      </c>
      <c r="E63" s="2386"/>
      <c r="F63" s="340"/>
      <c r="G63" s="456" t="str">
        <f t="shared" si="33"/>
        <v>0.00%</v>
      </c>
      <c r="H63" s="340">
        <f t="shared" si="34"/>
        <v>0</v>
      </c>
      <c r="I63" s="899" t="str">
        <f>TEXT('MYP Assumptions'!E78,"0.00%")&amp;", CPI"</f>
        <v>3.37%, CPI</v>
      </c>
      <c r="J63" s="455"/>
      <c r="K63" s="456" t="str">
        <f t="shared" si="35"/>
        <v>0.00%</v>
      </c>
      <c r="L63" s="340">
        <f t="shared" si="40"/>
        <v>0</v>
      </c>
      <c r="M63" s="899" t="str">
        <f>TEXT('MYP Assumptions'!F78,"0.00%")&amp;", CPI"</f>
        <v>3.58%, CPI</v>
      </c>
      <c r="O63" s="456" t="str">
        <f t="shared" si="36"/>
        <v>0.00%</v>
      </c>
      <c r="P63" s="340">
        <f t="shared" si="41"/>
        <v>0</v>
      </c>
      <c r="Q63" s="899" t="str">
        <f>TEXT('MYP Assumptions'!G78,"0.00%")&amp;", CPI"</f>
        <v>3.36%, CPI</v>
      </c>
      <c r="R63" s="592"/>
      <c r="S63" s="2238" t="str">
        <f t="shared" si="37"/>
        <v>0.00%</v>
      </c>
      <c r="T63" s="340">
        <f t="shared" si="42"/>
        <v>0</v>
      </c>
      <c r="U63" s="953" t="str">
        <f>TEXT('MYP Assumptions'!H78,"0.00%")&amp;", CPI"</f>
        <v>3.23%, CPI</v>
      </c>
      <c r="V63" s="952"/>
      <c r="W63" s="2241" t="str">
        <f t="shared" si="38"/>
        <v>0.00%</v>
      </c>
      <c r="X63" s="340">
        <f t="shared" si="43"/>
        <v>0</v>
      </c>
      <c r="Y63" s="953" t="str">
        <f>TEXT('MYP Assumptions'!I78,"0.00%")&amp;", CPI"</f>
        <v>2.73%, CPI</v>
      </c>
      <c r="AA63" s="456" t="str">
        <f t="shared" si="39"/>
        <v>0.00%</v>
      </c>
      <c r="AB63" s="340">
        <f t="shared" si="44"/>
        <v>0</v>
      </c>
      <c r="AC63" s="953" t="str">
        <f>TEXT('MYP Assumptions'!J78,"0.00%")&amp;", CPI"</f>
        <v>2.73%, CPI</v>
      </c>
    </row>
    <row r="64" spans="1:29" s="457" customFormat="1" hidden="1" x14ac:dyDescent="0.25">
      <c r="A64" s="2227"/>
      <c r="B64" s="2385"/>
      <c r="C64" s="2215"/>
      <c r="D64" s="340">
        <v>0</v>
      </c>
      <c r="E64" s="2386"/>
      <c r="F64" s="340"/>
      <c r="G64" s="456" t="str">
        <f t="shared" si="33"/>
        <v>0.00%</v>
      </c>
      <c r="H64" s="340">
        <f t="shared" si="34"/>
        <v>0</v>
      </c>
      <c r="I64" s="899" t="str">
        <f>TEXT('MYP Assumptions'!E78,"0.00%")&amp;", CPI"</f>
        <v>3.37%, CPI</v>
      </c>
      <c r="J64" s="455"/>
      <c r="K64" s="456" t="str">
        <f t="shared" si="35"/>
        <v>0.00%</v>
      </c>
      <c r="L64" s="340">
        <f t="shared" si="40"/>
        <v>0</v>
      </c>
      <c r="M64" s="899" t="str">
        <f>TEXT('MYP Assumptions'!F78,"0.00%")&amp;", CPI"</f>
        <v>3.58%, CPI</v>
      </c>
      <c r="O64" s="456" t="str">
        <f t="shared" si="36"/>
        <v>0.00%</v>
      </c>
      <c r="P64" s="340">
        <f t="shared" si="41"/>
        <v>0</v>
      </c>
      <c r="Q64" s="899" t="str">
        <f>TEXT('MYP Assumptions'!G78,"0.00%")&amp;", CPI"</f>
        <v>3.36%, CPI</v>
      </c>
      <c r="R64" s="592"/>
      <c r="S64" s="2238" t="str">
        <f t="shared" si="37"/>
        <v>0.00%</v>
      </c>
      <c r="T64" s="340">
        <f t="shared" si="42"/>
        <v>0</v>
      </c>
      <c r="U64" s="953" t="str">
        <f>TEXT('MYP Assumptions'!H78,"0.00%")&amp;", CPI"</f>
        <v>3.23%, CPI</v>
      </c>
      <c r="V64" s="952"/>
      <c r="W64" s="2241" t="str">
        <f t="shared" si="38"/>
        <v>0.00%</v>
      </c>
      <c r="X64" s="340">
        <f t="shared" si="43"/>
        <v>0</v>
      </c>
      <c r="Y64" s="953" t="str">
        <f>TEXT('MYP Assumptions'!I78,"0.00%")&amp;", CPI"</f>
        <v>2.73%, CPI</v>
      </c>
      <c r="AA64" s="456" t="str">
        <f t="shared" si="39"/>
        <v>0.00%</v>
      </c>
      <c r="AB64" s="340">
        <f t="shared" si="44"/>
        <v>0</v>
      </c>
      <c r="AC64" s="953" t="str">
        <f>TEXT('MYP Assumptions'!J78,"0.00%")&amp;", CPI"</f>
        <v>2.73%, CPI</v>
      </c>
    </row>
    <row r="65" spans="1:29" s="457" customFormat="1" hidden="1" x14ac:dyDescent="0.25">
      <c r="A65" s="2227"/>
      <c r="B65" s="2385"/>
      <c r="C65" s="2349"/>
      <c r="D65" s="340">
        <v>0</v>
      </c>
      <c r="E65" s="2386"/>
      <c r="F65" s="340"/>
      <c r="G65" s="456" t="str">
        <f t="shared" si="33"/>
        <v>0.00%</v>
      </c>
      <c r="H65" s="340">
        <f t="shared" si="34"/>
        <v>0</v>
      </c>
      <c r="I65" s="899" t="str">
        <f>TEXT('MYP Assumptions'!E78,"0.00%")&amp;", CPI"</f>
        <v>3.37%, CPI</v>
      </c>
      <c r="J65" s="455"/>
      <c r="K65" s="456" t="str">
        <f t="shared" si="35"/>
        <v>0.00%</v>
      </c>
      <c r="L65" s="340">
        <f t="shared" si="40"/>
        <v>0</v>
      </c>
      <c r="M65" s="899" t="str">
        <f>TEXT('MYP Assumptions'!F78,"0.00%")&amp;", CPI"</f>
        <v>3.58%, CPI</v>
      </c>
      <c r="O65" s="456" t="str">
        <f t="shared" si="36"/>
        <v>0.00%</v>
      </c>
      <c r="P65" s="340">
        <f t="shared" si="41"/>
        <v>0</v>
      </c>
      <c r="Q65" s="899" t="str">
        <f>TEXT('MYP Assumptions'!G78,"0.00%")&amp;", CPI"</f>
        <v>3.36%, CPI</v>
      </c>
      <c r="R65" s="592"/>
      <c r="S65" s="2238" t="str">
        <f t="shared" si="37"/>
        <v>0.00%</v>
      </c>
      <c r="T65" s="340">
        <f t="shared" si="42"/>
        <v>0</v>
      </c>
      <c r="U65" s="953" t="str">
        <f>TEXT('MYP Assumptions'!H78,"0.00%")&amp;", CPI"</f>
        <v>3.23%, CPI</v>
      </c>
      <c r="V65" s="952"/>
      <c r="W65" s="2241" t="str">
        <f t="shared" si="38"/>
        <v>0.00%</v>
      </c>
      <c r="X65" s="340">
        <f t="shared" si="43"/>
        <v>0</v>
      </c>
      <c r="Y65" s="953" t="str">
        <f>TEXT('MYP Assumptions'!I78,"0.00%")&amp;", CPI"</f>
        <v>2.73%, CPI</v>
      </c>
      <c r="AA65" s="456" t="str">
        <f t="shared" si="39"/>
        <v>0.00%</v>
      </c>
      <c r="AB65" s="340">
        <f t="shared" si="44"/>
        <v>0</v>
      </c>
      <c r="AC65" s="953" t="str">
        <f>TEXT('MYP Assumptions'!J78,"0.00%")&amp;", CPI"</f>
        <v>2.73%, CPI</v>
      </c>
    </row>
    <row r="66" spans="1:29" s="457" customFormat="1" x14ac:dyDescent="0.25">
      <c r="A66" s="2228"/>
      <c r="B66" s="2215"/>
      <c r="C66" s="2215"/>
      <c r="D66" s="458">
        <f>SUM(D59:D65)</f>
        <v>0</v>
      </c>
      <c r="E66" s="2386"/>
      <c r="F66" s="340"/>
      <c r="G66" s="456" t="str">
        <f t="shared" si="33"/>
        <v>0.00%</v>
      </c>
      <c r="H66" s="458">
        <f>SUM(H58:H65)</f>
        <v>25616.93</v>
      </c>
      <c r="I66" s="2461">
        <v>5000</v>
      </c>
      <c r="J66" s="459"/>
      <c r="K66" s="456">
        <f t="shared" si="35"/>
        <v>-1</v>
      </c>
      <c r="L66" s="458">
        <f>SUM(L59:L65)</f>
        <v>0</v>
      </c>
      <c r="M66" s="901"/>
      <c r="O66" s="456" t="str">
        <f t="shared" si="36"/>
        <v>0.00%</v>
      </c>
      <c r="P66" s="458">
        <f>SUM(P59:P65)</f>
        <v>0</v>
      </c>
      <c r="Q66" s="901"/>
      <c r="R66" s="592"/>
      <c r="S66" s="2238" t="str">
        <f t="shared" si="37"/>
        <v>0.00%</v>
      </c>
      <c r="T66" s="458">
        <f>SUM(T59:T65)</f>
        <v>0</v>
      </c>
      <c r="U66" s="2344"/>
      <c r="V66" s="952"/>
      <c r="W66" s="2241" t="str">
        <f t="shared" si="38"/>
        <v>0.00%</v>
      </c>
      <c r="X66" s="458">
        <f>SUM(X59:X65)</f>
        <v>0</v>
      </c>
      <c r="Y66" s="2344"/>
      <c r="AA66" s="456" t="str">
        <f t="shared" si="39"/>
        <v>0.00%</v>
      </c>
      <c r="AB66" s="458">
        <f>SUM(AB59:AB65)</f>
        <v>0</v>
      </c>
      <c r="AC66" s="2344"/>
    </row>
    <row r="67" spans="1:29" s="457" customFormat="1" ht="15.75" x14ac:dyDescent="0.25">
      <c r="A67" s="2227"/>
      <c r="B67" s="2345"/>
      <c r="C67" s="2215"/>
      <c r="D67" s="340"/>
      <c r="E67" s="2386"/>
      <c r="F67" s="340"/>
      <c r="G67" s="2338"/>
      <c r="H67" s="340"/>
      <c r="I67" s="2462"/>
      <c r="J67" s="455"/>
      <c r="K67" s="1668"/>
      <c r="L67" s="340"/>
      <c r="M67" s="901"/>
      <c r="O67" s="1668"/>
      <c r="P67" s="340"/>
      <c r="Q67" s="901"/>
      <c r="R67" s="592"/>
      <c r="S67" s="2341"/>
      <c r="T67" s="340"/>
      <c r="U67" s="2344"/>
      <c r="V67" s="952"/>
      <c r="W67" s="2343"/>
      <c r="X67" s="340"/>
      <c r="Y67" s="2344"/>
      <c r="AA67" s="1668"/>
      <c r="AB67" s="340"/>
      <c r="AC67" s="2344"/>
    </row>
    <row r="68" spans="1:29" s="461" customFormat="1" ht="15.75" x14ac:dyDescent="0.25">
      <c r="A68" s="2225"/>
      <c r="B68" s="2337" t="s">
        <v>16</v>
      </c>
      <c r="C68" s="2225"/>
      <c r="D68" s="460"/>
      <c r="E68" s="868"/>
      <c r="F68" s="460"/>
      <c r="G68" s="2389"/>
      <c r="H68" s="455"/>
      <c r="I68" s="2462"/>
      <c r="K68" s="1669"/>
      <c r="L68" s="460"/>
      <c r="M68" s="902"/>
      <c r="O68" s="1669"/>
      <c r="P68" s="460"/>
      <c r="Q68" s="902"/>
      <c r="S68" s="1669"/>
      <c r="U68" s="2392"/>
      <c r="V68" s="2381"/>
      <c r="W68" s="2382"/>
      <c r="Y68" s="2392"/>
      <c r="AA68" s="1669"/>
      <c r="AC68" s="2392"/>
    </row>
    <row r="69" spans="1:29" s="457" customFormat="1" ht="15.75" x14ac:dyDescent="0.25">
      <c r="A69" s="2227"/>
      <c r="B69" s="2385">
        <v>5213</v>
      </c>
      <c r="C69" s="2215" t="s">
        <v>252</v>
      </c>
      <c r="D69" s="340">
        <f>8415.34+100</f>
        <v>8515.34</v>
      </c>
      <c r="E69" s="2386" t="s">
        <v>698</v>
      </c>
      <c r="F69" s="340"/>
      <c r="G69" s="456">
        <f t="shared" ref="G69:G74" si="45">IF(D69=0,"0.00%",(H69-D69)/D69)</f>
        <v>-0.53025950813473099</v>
      </c>
      <c r="H69" s="942">
        <v>4000</v>
      </c>
      <c r="I69" s="2462"/>
      <c r="J69" s="455"/>
      <c r="K69" s="456">
        <f t="shared" ref="K69:K82" si="46">IF(H69=0,"0.00%",(L69-H69)/H69)</f>
        <v>-1</v>
      </c>
      <c r="L69" s="340">
        <v>0</v>
      </c>
      <c r="M69" s="897" t="s">
        <v>658</v>
      </c>
      <c r="O69" s="456" t="str">
        <f t="shared" ref="O69:O82" si="47">IF(L69=0,"0.00%",(P69-L69)/L69)</f>
        <v>0.00%</v>
      </c>
      <c r="P69" s="340">
        <v>0</v>
      </c>
      <c r="Q69" s="899" t="str">
        <f>TEXT('MYP Assumptions'!G78,"0.00%")&amp;", CPI"</f>
        <v>3.36%, CPI</v>
      </c>
      <c r="R69" s="592"/>
      <c r="S69" s="2238" t="str">
        <f t="shared" ref="S69:S82" si="48">IF(P69=0,"0.00%",(T69-P69)/P69)</f>
        <v>0.00%</v>
      </c>
      <c r="T69" s="340">
        <f>ROUND(P69*(LEFT(U69,5)+1),0)</f>
        <v>0</v>
      </c>
      <c r="U69" s="953" t="str">
        <f>TEXT('MYP Assumptions'!H78,"0.00%")&amp;", CPI"</f>
        <v>3.23%, CPI</v>
      </c>
      <c r="V69" s="952"/>
      <c r="W69" s="2241" t="str">
        <f t="shared" ref="W69:W82" si="49">IF(T69=0,"0.00%",(X69-T69)/T69)</f>
        <v>0.00%</v>
      </c>
      <c r="X69" s="340">
        <f>ROUND(T69*(LEFT(Y69,5)+1),0)</f>
        <v>0</v>
      </c>
      <c r="Y69" s="953" t="str">
        <f>TEXT('MYP Assumptions'!I78,"0.00%")&amp;", CPI"</f>
        <v>2.73%, CPI</v>
      </c>
      <c r="AA69" s="456" t="str">
        <f t="shared" ref="AA69:AA82" si="50">IF(X69=0,"0.00%",(AB69-X69)/X69)</f>
        <v>0.00%</v>
      </c>
      <c r="AB69" s="340">
        <f>ROUND(X69*(LEFT(AC69,5)+1),0)</f>
        <v>0</v>
      </c>
      <c r="AC69" s="953" t="str">
        <f>TEXT('MYP Assumptions'!J78,"0.00%")&amp;", CPI"</f>
        <v>2.73%, CPI</v>
      </c>
    </row>
    <row r="70" spans="1:29" s="457" customFormat="1" ht="15.75" x14ac:dyDescent="0.25">
      <c r="A70" s="2227"/>
      <c r="B70" s="2385">
        <v>5807</v>
      </c>
      <c r="C70" s="2215" t="s">
        <v>8</v>
      </c>
      <c r="D70" s="340">
        <v>18000</v>
      </c>
      <c r="E70" s="2386" t="s">
        <v>696</v>
      </c>
      <c r="F70" s="340"/>
      <c r="G70" s="456">
        <f t="shared" si="45"/>
        <v>0.7055555555555556</v>
      </c>
      <c r="H70" s="942">
        <v>30700</v>
      </c>
      <c r="I70" s="2462"/>
      <c r="J70" s="455"/>
      <c r="K70" s="456">
        <f t="shared" si="46"/>
        <v>-1</v>
      </c>
      <c r="L70" s="340">
        <v>0</v>
      </c>
      <c r="M70" s="897" t="s">
        <v>658</v>
      </c>
      <c r="O70" s="456" t="str">
        <f t="shared" si="47"/>
        <v>0.00%</v>
      </c>
      <c r="P70" s="340">
        <f t="shared" ref="P70:P81" si="51">ROUND(L70*(LEFT(Q70,5)+1),0)</f>
        <v>0</v>
      </c>
      <c r="Q70" s="899" t="str">
        <f>TEXT('MYP Assumptions'!G78,"0.00%")&amp;", CPI"</f>
        <v>3.36%, CPI</v>
      </c>
      <c r="R70" s="592"/>
      <c r="S70" s="2238" t="str">
        <f t="shared" si="48"/>
        <v>0.00%</v>
      </c>
      <c r="T70" s="340">
        <f t="shared" ref="T70:T81" si="52">ROUND(P70*(LEFT(U70,5)+1),0)</f>
        <v>0</v>
      </c>
      <c r="U70" s="953" t="str">
        <f>TEXT('MYP Assumptions'!H78,"0.00%")&amp;", CPI"</f>
        <v>3.23%, CPI</v>
      </c>
      <c r="V70" s="952"/>
      <c r="W70" s="2241" t="str">
        <f t="shared" si="49"/>
        <v>0.00%</v>
      </c>
      <c r="X70" s="340">
        <f t="shared" ref="X70:X81" si="53">ROUND(T70*(LEFT(Y70,5)+1),0)</f>
        <v>0</v>
      </c>
      <c r="Y70" s="953" t="str">
        <f>TEXT('MYP Assumptions'!I78,"0.00%")&amp;", CPI"</f>
        <v>2.73%, CPI</v>
      </c>
      <c r="AA70" s="456" t="str">
        <f t="shared" si="50"/>
        <v>0.00%</v>
      </c>
      <c r="AB70" s="340">
        <f t="shared" ref="AB70:AB81" si="54">ROUND(X70*(LEFT(AC70,5)+1),0)</f>
        <v>0</v>
      </c>
      <c r="AC70" s="953" t="str">
        <f>TEXT('MYP Assumptions'!J78,"0.00%")&amp;", CPI"</f>
        <v>2.73%, CPI</v>
      </c>
    </row>
    <row r="71" spans="1:29" s="457" customFormat="1" x14ac:dyDescent="0.25">
      <c r="A71" s="2227"/>
      <c r="B71" s="2385">
        <v>5809</v>
      </c>
      <c r="C71" s="2215" t="s">
        <v>123</v>
      </c>
      <c r="D71" s="340">
        <f>51*3000</f>
        <v>153000</v>
      </c>
      <c r="E71" s="2386" t="s">
        <v>695</v>
      </c>
      <c r="F71" s="340"/>
      <c r="G71" s="456">
        <f t="shared" si="45"/>
        <v>-0.11764705882352941</v>
      </c>
      <c r="H71" s="340">
        <v>135000</v>
      </c>
      <c r="I71" s="2339"/>
      <c r="J71" s="455"/>
      <c r="K71" s="456">
        <f t="shared" si="46"/>
        <v>-1</v>
      </c>
      <c r="L71" s="340">
        <v>0</v>
      </c>
      <c r="M71" s="897" t="s">
        <v>658</v>
      </c>
      <c r="O71" s="456" t="str">
        <f t="shared" si="47"/>
        <v>0.00%</v>
      </c>
      <c r="P71" s="340">
        <f t="shared" si="51"/>
        <v>0</v>
      </c>
      <c r="Q71" s="899" t="str">
        <f>TEXT('MYP Assumptions'!G78,"0.00%")&amp;", CPI"</f>
        <v>3.36%, CPI</v>
      </c>
      <c r="R71" s="592"/>
      <c r="S71" s="2238" t="str">
        <f t="shared" si="48"/>
        <v>0.00%</v>
      </c>
      <c r="T71" s="340">
        <f t="shared" si="52"/>
        <v>0</v>
      </c>
      <c r="U71" s="953" t="str">
        <f>TEXT('MYP Assumptions'!H78,"0.00%")&amp;", CPI"</f>
        <v>3.23%, CPI</v>
      </c>
      <c r="V71" s="952"/>
      <c r="W71" s="2241" t="str">
        <f t="shared" si="49"/>
        <v>0.00%</v>
      </c>
      <c r="X71" s="340">
        <f t="shared" si="53"/>
        <v>0</v>
      </c>
      <c r="Y71" s="953" t="str">
        <f>TEXT('MYP Assumptions'!I78,"0.00%")&amp;", CPI"</f>
        <v>2.73%, CPI</v>
      </c>
      <c r="AA71" s="456" t="str">
        <f t="shared" si="50"/>
        <v>0.00%</v>
      </c>
      <c r="AB71" s="340">
        <f t="shared" si="54"/>
        <v>0</v>
      </c>
      <c r="AC71" s="953" t="str">
        <f>TEXT('MYP Assumptions'!J78,"0.00%")&amp;", CPI"</f>
        <v>2.73%, CPI</v>
      </c>
    </row>
    <row r="72" spans="1:29" s="457" customFormat="1" hidden="1" x14ac:dyDescent="0.25">
      <c r="A72" s="2227"/>
      <c r="B72" s="2385"/>
      <c r="C72" s="2215"/>
      <c r="D72" s="340">
        <v>0</v>
      </c>
      <c r="E72" s="2386"/>
      <c r="F72" s="340"/>
      <c r="G72" s="456" t="str">
        <f t="shared" si="45"/>
        <v>0.00%</v>
      </c>
      <c r="H72" s="340">
        <f t="shared" ref="H72:H76" si="55">ROUND(D72*(LEFT(I72,5)+1),0)</f>
        <v>0</v>
      </c>
      <c r="I72" s="899" t="str">
        <f>TEXT('MYP Assumptions'!E78,"0.00%")&amp;", CPI"</f>
        <v>3.37%, CPI</v>
      </c>
      <c r="J72" s="455"/>
      <c r="K72" s="456" t="str">
        <f t="shared" si="46"/>
        <v>0.00%</v>
      </c>
      <c r="L72" s="340">
        <f t="shared" ref="L72:L81" si="56">ROUND(H72*(LEFT(M72,5)+1),0)</f>
        <v>0</v>
      </c>
      <c r="M72" s="899" t="str">
        <f>TEXT('MYP Assumptions'!F78,"0.00%")&amp;", CPI"</f>
        <v>3.58%, CPI</v>
      </c>
      <c r="O72" s="456" t="str">
        <f t="shared" si="47"/>
        <v>0.00%</v>
      </c>
      <c r="P72" s="340">
        <f t="shared" si="51"/>
        <v>0</v>
      </c>
      <c r="Q72" s="899" t="str">
        <f>TEXT('MYP Assumptions'!G78,"0.00%")&amp;", CPI"</f>
        <v>3.36%, CPI</v>
      </c>
      <c r="R72" s="592"/>
      <c r="S72" s="2238" t="str">
        <f t="shared" si="48"/>
        <v>0.00%</v>
      </c>
      <c r="T72" s="340">
        <f t="shared" si="52"/>
        <v>0</v>
      </c>
      <c r="U72" s="953" t="str">
        <f>TEXT('MYP Assumptions'!H78,"0.00%")&amp;", CPI"</f>
        <v>3.23%, CPI</v>
      </c>
      <c r="V72" s="952"/>
      <c r="W72" s="2241" t="str">
        <f t="shared" si="49"/>
        <v>0.00%</v>
      </c>
      <c r="X72" s="340">
        <f t="shared" si="53"/>
        <v>0</v>
      </c>
      <c r="Y72" s="953" t="str">
        <f>TEXT('MYP Assumptions'!I78,"0.00%")&amp;", CPI"</f>
        <v>2.73%, CPI</v>
      </c>
      <c r="AA72" s="456" t="str">
        <f t="shared" si="50"/>
        <v>0.00%</v>
      </c>
      <c r="AB72" s="340">
        <f t="shared" si="54"/>
        <v>0</v>
      </c>
      <c r="AC72" s="953" t="str">
        <f>TEXT('MYP Assumptions'!J78,"0.00%")&amp;", CPI"</f>
        <v>2.73%, CPI</v>
      </c>
    </row>
    <row r="73" spans="1:29" s="457" customFormat="1" hidden="1" x14ac:dyDescent="0.25">
      <c r="A73" s="2227"/>
      <c r="B73" s="2385"/>
      <c r="C73" s="2215"/>
      <c r="D73" s="340">
        <v>0</v>
      </c>
      <c r="E73" s="2386"/>
      <c r="F73" s="340"/>
      <c r="G73" s="456" t="str">
        <f t="shared" si="45"/>
        <v>0.00%</v>
      </c>
      <c r="H73" s="340">
        <f t="shared" si="55"/>
        <v>0</v>
      </c>
      <c r="I73" s="899" t="str">
        <f>TEXT('MYP Assumptions'!E78,"0.00%")&amp;", CPI"</f>
        <v>3.37%, CPI</v>
      </c>
      <c r="J73" s="455"/>
      <c r="K73" s="456" t="str">
        <f t="shared" si="46"/>
        <v>0.00%</v>
      </c>
      <c r="L73" s="340">
        <f t="shared" si="56"/>
        <v>0</v>
      </c>
      <c r="M73" s="899" t="str">
        <f>TEXT('MYP Assumptions'!F78,"0.00%")&amp;", CPI"</f>
        <v>3.58%, CPI</v>
      </c>
      <c r="O73" s="456" t="str">
        <f t="shared" si="47"/>
        <v>0.00%</v>
      </c>
      <c r="P73" s="340">
        <f t="shared" si="51"/>
        <v>0</v>
      </c>
      <c r="Q73" s="899" t="str">
        <f>TEXT('MYP Assumptions'!G78,"0.00%")&amp;", CPI"</f>
        <v>3.36%, CPI</v>
      </c>
      <c r="R73" s="592"/>
      <c r="S73" s="2238" t="str">
        <f t="shared" si="48"/>
        <v>0.00%</v>
      </c>
      <c r="T73" s="340">
        <f t="shared" si="52"/>
        <v>0</v>
      </c>
      <c r="U73" s="953" t="str">
        <f>TEXT('MYP Assumptions'!H78,"0.00%")&amp;", CPI"</f>
        <v>3.23%, CPI</v>
      </c>
      <c r="V73" s="952"/>
      <c r="W73" s="2241" t="str">
        <f t="shared" si="49"/>
        <v>0.00%</v>
      </c>
      <c r="X73" s="340">
        <f t="shared" si="53"/>
        <v>0</v>
      </c>
      <c r="Y73" s="953" t="str">
        <f>TEXT('MYP Assumptions'!I78,"0.00%")&amp;", CPI"</f>
        <v>2.73%, CPI</v>
      </c>
      <c r="AA73" s="456" t="str">
        <f t="shared" si="50"/>
        <v>0.00%</v>
      </c>
      <c r="AB73" s="340">
        <f t="shared" si="54"/>
        <v>0</v>
      </c>
      <c r="AC73" s="953" t="str">
        <f>TEXT('MYP Assumptions'!J78,"0.00%")&amp;", CPI"</f>
        <v>2.73%, CPI</v>
      </c>
    </row>
    <row r="74" spans="1:29" s="457" customFormat="1" hidden="1" x14ac:dyDescent="0.25">
      <c r="A74" s="2227"/>
      <c r="B74" s="2385"/>
      <c r="C74" s="2215"/>
      <c r="D74" s="340">
        <v>0</v>
      </c>
      <c r="E74" s="2386"/>
      <c r="F74" s="340"/>
      <c r="G74" s="456" t="str">
        <f t="shared" si="45"/>
        <v>0.00%</v>
      </c>
      <c r="H74" s="340">
        <f t="shared" si="55"/>
        <v>0</v>
      </c>
      <c r="I74" s="899" t="str">
        <f>TEXT('MYP Assumptions'!E78,"0.00%")&amp;", CPI"</f>
        <v>3.37%, CPI</v>
      </c>
      <c r="J74" s="455"/>
      <c r="K74" s="456" t="str">
        <f t="shared" si="46"/>
        <v>0.00%</v>
      </c>
      <c r="L74" s="340">
        <f t="shared" si="56"/>
        <v>0</v>
      </c>
      <c r="M74" s="899" t="str">
        <f>TEXT('MYP Assumptions'!F78,"0.00%")&amp;", CPI"</f>
        <v>3.58%, CPI</v>
      </c>
      <c r="O74" s="456" t="str">
        <f t="shared" si="47"/>
        <v>0.00%</v>
      </c>
      <c r="P74" s="340">
        <f t="shared" si="51"/>
        <v>0</v>
      </c>
      <c r="Q74" s="899" t="str">
        <f>TEXT('MYP Assumptions'!G78,"0.00%")&amp;", CPI"</f>
        <v>3.36%, CPI</v>
      </c>
      <c r="R74" s="592"/>
      <c r="S74" s="2238" t="str">
        <f t="shared" si="48"/>
        <v>0.00%</v>
      </c>
      <c r="T74" s="340">
        <f t="shared" si="52"/>
        <v>0</v>
      </c>
      <c r="U74" s="953" t="str">
        <f>TEXT('MYP Assumptions'!H78,"0.00%")&amp;", CPI"</f>
        <v>3.23%, CPI</v>
      </c>
      <c r="V74" s="952"/>
      <c r="W74" s="2241" t="str">
        <f t="shared" si="49"/>
        <v>0.00%</v>
      </c>
      <c r="X74" s="340">
        <f t="shared" si="53"/>
        <v>0</v>
      </c>
      <c r="Y74" s="953" t="str">
        <f>TEXT('MYP Assumptions'!I78,"0.00%")&amp;", CPI"</f>
        <v>2.73%, CPI</v>
      </c>
      <c r="AA74" s="456" t="str">
        <f t="shared" si="50"/>
        <v>0.00%</v>
      </c>
      <c r="AB74" s="340">
        <f t="shared" si="54"/>
        <v>0</v>
      </c>
      <c r="AC74" s="953" t="str">
        <f>TEXT('MYP Assumptions'!J78,"0.00%")&amp;", CPI"</f>
        <v>2.73%, CPI</v>
      </c>
    </row>
    <row r="75" spans="1:29" s="457" customFormat="1" hidden="1" x14ac:dyDescent="0.25">
      <c r="A75" s="2227"/>
      <c r="B75" s="2385"/>
      <c r="C75" s="2215"/>
      <c r="D75" s="340">
        <v>0</v>
      </c>
      <c r="E75" s="2386"/>
      <c r="F75" s="340"/>
      <c r="G75" s="456" t="str">
        <f>IF(D75=0,"0.00%",(H75-D75)/D75)</f>
        <v>0.00%</v>
      </c>
      <c r="H75" s="340">
        <f t="shared" si="55"/>
        <v>0</v>
      </c>
      <c r="I75" s="899" t="str">
        <f>TEXT('MYP Assumptions'!E78,"0.00%")&amp;", CPI"</f>
        <v>3.37%, CPI</v>
      </c>
      <c r="J75" s="455"/>
      <c r="K75" s="456" t="str">
        <f t="shared" si="46"/>
        <v>0.00%</v>
      </c>
      <c r="L75" s="340">
        <f t="shared" si="56"/>
        <v>0</v>
      </c>
      <c r="M75" s="899" t="str">
        <f>TEXT('MYP Assumptions'!F78,"0.00%")&amp;", CPI"</f>
        <v>3.58%, CPI</v>
      </c>
      <c r="O75" s="456" t="str">
        <f t="shared" si="47"/>
        <v>0.00%</v>
      </c>
      <c r="P75" s="340">
        <f t="shared" si="51"/>
        <v>0</v>
      </c>
      <c r="Q75" s="899" t="str">
        <f>TEXT('MYP Assumptions'!G78,"0.00%")&amp;", CPI"</f>
        <v>3.36%, CPI</v>
      </c>
      <c r="R75" s="592"/>
      <c r="S75" s="2238" t="str">
        <f t="shared" si="48"/>
        <v>0.00%</v>
      </c>
      <c r="T75" s="340">
        <f t="shared" si="52"/>
        <v>0</v>
      </c>
      <c r="U75" s="953" t="str">
        <f>TEXT('MYP Assumptions'!H78,"0.00%")&amp;", CPI"</f>
        <v>3.23%, CPI</v>
      </c>
      <c r="V75" s="952"/>
      <c r="W75" s="2241" t="str">
        <f t="shared" si="49"/>
        <v>0.00%</v>
      </c>
      <c r="X75" s="340">
        <f t="shared" si="53"/>
        <v>0</v>
      </c>
      <c r="Y75" s="953" t="str">
        <f>TEXT('MYP Assumptions'!I78,"0.00%")&amp;", CPI"</f>
        <v>2.73%, CPI</v>
      </c>
      <c r="AA75" s="456" t="str">
        <f t="shared" si="50"/>
        <v>0.00%</v>
      </c>
      <c r="AB75" s="340">
        <f t="shared" si="54"/>
        <v>0</v>
      </c>
      <c r="AC75" s="953" t="str">
        <f>TEXT('MYP Assumptions'!J78,"0.00%")&amp;", CPI"</f>
        <v>2.73%, CPI</v>
      </c>
    </row>
    <row r="76" spans="1:29" s="457" customFormat="1" hidden="1" x14ac:dyDescent="0.25">
      <c r="A76" s="2227"/>
      <c r="B76" s="2385"/>
      <c r="C76" s="2215"/>
      <c r="D76" s="340">
        <v>0</v>
      </c>
      <c r="E76" s="2386"/>
      <c r="F76" s="340"/>
      <c r="G76" s="456" t="str">
        <f t="shared" ref="G76:G82" si="57">IF(D76=0,"0.00%",(H76-D76)/D76)</f>
        <v>0.00%</v>
      </c>
      <c r="H76" s="340">
        <f t="shared" si="55"/>
        <v>0</v>
      </c>
      <c r="I76" s="899" t="str">
        <f>TEXT('MYP Assumptions'!E78,"0.00%")&amp;", CPI"</f>
        <v>3.37%, CPI</v>
      </c>
      <c r="J76" s="455"/>
      <c r="K76" s="456" t="str">
        <f t="shared" si="46"/>
        <v>0.00%</v>
      </c>
      <c r="L76" s="340">
        <f t="shared" si="56"/>
        <v>0</v>
      </c>
      <c r="M76" s="899" t="str">
        <f>TEXT('MYP Assumptions'!F78,"0.00%")&amp;", CPI"</f>
        <v>3.58%, CPI</v>
      </c>
      <c r="O76" s="456" t="str">
        <f t="shared" si="47"/>
        <v>0.00%</v>
      </c>
      <c r="P76" s="340">
        <f t="shared" si="51"/>
        <v>0</v>
      </c>
      <c r="Q76" s="899" t="str">
        <f>TEXT('MYP Assumptions'!G78,"0.00%")&amp;", CPI"</f>
        <v>3.36%, CPI</v>
      </c>
      <c r="R76" s="592"/>
      <c r="S76" s="2238" t="str">
        <f t="shared" si="48"/>
        <v>0.00%</v>
      </c>
      <c r="T76" s="340">
        <f t="shared" si="52"/>
        <v>0</v>
      </c>
      <c r="U76" s="953" t="str">
        <f>TEXT('MYP Assumptions'!H78,"0.00%")&amp;", CPI"</f>
        <v>3.23%, CPI</v>
      </c>
      <c r="V76" s="952"/>
      <c r="W76" s="2241" t="str">
        <f t="shared" si="49"/>
        <v>0.00%</v>
      </c>
      <c r="X76" s="340">
        <f t="shared" si="53"/>
        <v>0</v>
      </c>
      <c r="Y76" s="953" t="str">
        <f>TEXT('MYP Assumptions'!I78,"0.00%")&amp;", CPI"</f>
        <v>2.73%, CPI</v>
      </c>
      <c r="AA76" s="456" t="str">
        <f t="shared" si="50"/>
        <v>0.00%</v>
      </c>
      <c r="AB76" s="340">
        <f t="shared" si="54"/>
        <v>0</v>
      </c>
      <c r="AC76" s="953" t="str">
        <f>TEXT('MYP Assumptions'!J78,"0.00%")&amp;", CPI"</f>
        <v>2.73%, CPI</v>
      </c>
    </row>
    <row r="77" spans="1:29" s="457" customFormat="1" hidden="1" x14ac:dyDescent="0.25">
      <c r="A77" s="2227"/>
      <c r="B77" s="2385"/>
      <c r="C77" s="2215"/>
      <c r="D77" s="340">
        <v>0</v>
      </c>
      <c r="E77" s="2386"/>
      <c r="F77" s="340"/>
      <c r="G77" s="456" t="str">
        <f t="shared" si="57"/>
        <v>0.00%</v>
      </c>
      <c r="H77" s="340">
        <f>ROUND(D77*(LEFT(I77,5)+1),0)</f>
        <v>0</v>
      </c>
      <c r="I77" s="899" t="str">
        <f>TEXT('MYP Assumptions'!E78,"0.00%")&amp;", CPI"</f>
        <v>3.37%, CPI</v>
      </c>
      <c r="J77" s="455"/>
      <c r="K77" s="456" t="str">
        <f t="shared" si="46"/>
        <v>0.00%</v>
      </c>
      <c r="L77" s="340">
        <f t="shared" si="56"/>
        <v>0</v>
      </c>
      <c r="M77" s="899" t="str">
        <f>TEXT('MYP Assumptions'!F78,"0.00%")&amp;", CPI"</f>
        <v>3.58%, CPI</v>
      </c>
      <c r="O77" s="456" t="str">
        <f t="shared" si="47"/>
        <v>0.00%</v>
      </c>
      <c r="P77" s="340">
        <f t="shared" si="51"/>
        <v>0</v>
      </c>
      <c r="Q77" s="899" t="str">
        <f>TEXT('MYP Assumptions'!G78,"0.00%")&amp;", CPI"</f>
        <v>3.36%, CPI</v>
      </c>
      <c r="R77" s="592"/>
      <c r="S77" s="2238" t="str">
        <f t="shared" si="48"/>
        <v>0.00%</v>
      </c>
      <c r="T77" s="340">
        <f t="shared" si="52"/>
        <v>0</v>
      </c>
      <c r="U77" s="953" t="str">
        <f>TEXT('MYP Assumptions'!H78,"0.00%")&amp;", CPI"</f>
        <v>3.23%, CPI</v>
      </c>
      <c r="V77" s="952"/>
      <c r="W77" s="2241" t="str">
        <f t="shared" si="49"/>
        <v>0.00%</v>
      </c>
      <c r="X77" s="340">
        <f t="shared" si="53"/>
        <v>0</v>
      </c>
      <c r="Y77" s="953" t="str">
        <f>TEXT('MYP Assumptions'!I78,"0.00%")&amp;", CPI"</f>
        <v>2.73%, CPI</v>
      </c>
      <c r="AA77" s="456" t="str">
        <f t="shared" si="50"/>
        <v>0.00%</v>
      </c>
      <c r="AB77" s="340">
        <f t="shared" si="54"/>
        <v>0</v>
      </c>
      <c r="AC77" s="953" t="str">
        <f>TEXT('MYP Assumptions'!J78,"0.00%")&amp;", CPI"</f>
        <v>2.73%, CPI</v>
      </c>
    </row>
    <row r="78" spans="1:29" s="457" customFormat="1" hidden="1" x14ac:dyDescent="0.25">
      <c r="A78" s="2227"/>
      <c r="B78" s="2385"/>
      <c r="C78" s="2215"/>
      <c r="D78" s="340">
        <v>0</v>
      </c>
      <c r="E78" s="2386"/>
      <c r="F78" s="340"/>
      <c r="G78" s="456" t="str">
        <f t="shared" si="57"/>
        <v>0.00%</v>
      </c>
      <c r="H78" s="340">
        <f>ROUND(D78*(LEFT(I78,5)+1),0)</f>
        <v>0</v>
      </c>
      <c r="I78" s="899" t="str">
        <f>TEXT('MYP Assumptions'!E78,"0.00%")&amp;", CPI"</f>
        <v>3.37%, CPI</v>
      </c>
      <c r="J78" s="455"/>
      <c r="K78" s="456" t="str">
        <f t="shared" si="46"/>
        <v>0.00%</v>
      </c>
      <c r="L78" s="340">
        <f t="shared" si="56"/>
        <v>0</v>
      </c>
      <c r="M78" s="899" t="str">
        <f>TEXT('MYP Assumptions'!F78,"0.00%")&amp;", CPI"</f>
        <v>3.58%, CPI</v>
      </c>
      <c r="O78" s="456" t="str">
        <f t="shared" si="47"/>
        <v>0.00%</v>
      </c>
      <c r="P78" s="340">
        <f t="shared" si="51"/>
        <v>0</v>
      </c>
      <c r="Q78" s="899" t="str">
        <f>TEXT('MYP Assumptions'!G78,"0.00%")&amp;", CPI"</f>
        <v>3.36%, CPI</v>
      </c>
      <c r="R78" s="592"/>
      <c r="S78" s="2238" t="str">
        <f t="shared" si="48"/>
        <v>0.00%</v>
      </c>
      <c r="T78" s="340">
        <f t="shared" si="52"/>
        <v>0</v>
      </c>
      <c r="U78" s="953" t="str">
        <f>TEXT('MYP Assumptions'!H78,"0.00%")&amp;", CPI"</f>
        <v>3.23%, CPI</v>
      </c>
      <c r="V78" s="952"/>
      <c r="W78" s="2241" t="str">
        <f t="shared" si="49"/>
        <v>0.00%</v>
      </c>
      <c r="X78" s="340">
        <f t="shared" si="53"/>
        <v>0</v>
      </c>
      <c r="Y78" s="953" t="str">
        <f>TEXT('MYP Assumptions'!I78,"0.00%")&amp;", CPI"</f>
        <v>2.73%, CPI</v>
      </c>
      <c r="AA78" s="456" t="str">
        <f t="shared" si="50"/>
        <v>0.00%</v>
      </c>
      <c r="AB78" s="340">
        <f t="shared" si="54"/>
        <v>0</v>
      </c>
      <c r="AC78" s="953" t="str">
        <f>TEXT('MYP Assumptions'!J78,"0.00%")&amp;", CPI"</f>
        <v>2.73%, CPI</v>
      </c>
    </row>
    <row r="79" spans="1:29" s="457" customFormat="1" hidden="1" x14ac:dyDescent="0.25">
      <c r="A79" s="2227"/>
      <c r="B79" s="2385"/>
      <c r="C79" s="2215"/>
      <c r="D79" s="340">
        <v>0</v>
      </c>
      <c r="E79" s="2386"/>
      <c r="F79" s="340"/>
      <c r="G79" s="456" t="str">
        <f t="shared" si="57"/>
        <v>0.00%</v>
      </c>
      <c r="H79" s="340">
        <f>ROUND(D79*(LEFT(I79,5)+1),0)</f>
        <v>0</v>
      </c>
      <c r="I79" s="899" t="str">
        <f>TEXT('MYP Assumptions'!E78,"0.00%")&amp;", CPI"</f>
        <v>3.37%, CPI</v>
      </c>
      <c r="J79" s="455"/>
      <c r="K79" s="456" t="str">
        <f t="shared" si="46"/>
        <v>0.00%</v>
      </c>
      <c r="L79" s="340">
        <f t="shared" si="56"/>
        <v>0</v>
      </c>
      <c r="M79" s="899" t="str">
        <f>TEXT('MYP Assumptions'!F78,"0.00%")&amp;", CPI"</f>
        <v>3.58%, CPI</v>
      </c>
      <c r="O79" s="456" t="str">
        <f t="shared" si="47"/>
        <v>0.00%</v>
      </c>
      <c r="P79" s="340">
        <f t="shared" si="51"/>
        <v>0</v>
      </c>
      <c r="Q79" s="899" t="str">
        <f>TEXT('MYP Assumptions'!G78,"0.00%")&amp;", CPI"</f>
        <v>3.36%, CPI</v>
      </c>
      <c r="R79" s="592"/>
      <c r="S79" s="2238" t="str">
        <f t="shared" si="48"/>
        <v>0.00%</v>
      </c>
      <c r="T79" s="340">
        <f t="shared" si="52"/>
        <v>0</v>
      </c>
      <c r="U79" s="953" t="str">
        <f>TEXT('MYP Assumptions'!H78,"0.00%")&amp;", CPI"</f>
        <v>3.23%, CPI</v>
      </c>
      <c r="V79" s="952"/>
      <c r="W79" s="2241" t="str">
        <f t="shared" si="49"/>
        <v>0.00%</v>
      </c>
      <c r="X79" s="340">
        <f t="shared" si="53"/>
        <v>0</v>
      </c>
      <c r="Y79" s="953" t="str">
        <f>TEXT('MYP Assumptions'!I78,"0.00%")&amp;", CPI"</f>
        <v>2.73%, CPI</v>
      </c>
      <c r="AA79" s="456" t="str">
        <f t="shared" si="50"/>
        <v>0.00%</v>
      </c>
      <c r="AB79" s="340">
        <f t="shared" si="54"/>
        <v>0</v>
      </c>
      <c r="AC79" s="953" t="str">
        <f>TEXT('MYP Assumptions'!J78,"0.00%")&amp;", CPI"</f>
        <v>2.73%, CPI</v>
      </c>
    </row>
    <row r="80" spans="1:29" s="457" customFormat="1" hidden="1" x14ac:dyDescent="0.25">
      <c r="A80" s="2227"/>
      <c r="B80" s="2385"/>
      <c r="C80" s="2215"/>
      <c r="D80" s="340">
        <v>0</v>
      </c>
      <c r="E80" s="2386"/>
      <c r="F80" s="340"/>
      <c r="G80" s="456" t="str">
        <f t="shared" si="57"/>
        <v>0.00%</v>
      </c>
      <c r="H80" s="340">
        <f>ROUND(D80*(LEFT(I80,5)+1),0)</f>
        <v>0</v>
      </c>
      <c r="I80" s="899" t="str">
        <f>TEXT('MYP Assumptions'!E78,"0.00%")&amp;", CPI"</f>
        <v>3.37%, CPI</v>
      </c>
      <c r="J80" s="455"/>
      <c r="K80" s="456" t="str">
        <f t="shared" si="46"/>
        <v>0.00%</v>
      </c>
      <c r="L80" s="340">
        <f t="shared" si="56"/>
        <v>0</v>
      </c>
      <c r="M80" s="899" t="str">
        <f>TEXT('MYP Assumptions'!F78,"0.00%")&amp;", CPI"</f>
        <v>3.58%, CPI</v>
      </c>
      <c r="O80" s="456" t="str">
        <f t="shared" si="47"/>
        <v>0.00%</v>
      </c>
      <c r="P80" s="340">
        <f t="shared" si="51"/>
        <v>0</v>
      </c>
      <c r="Q80" s="899" t="str">
        <f>TEXT('MYP Assumptions'!G78,"0.00%")&amp;", CPI"</f>
        <v>3.36%, CPI</v>
      </c>
      <c r="R80" s="592"/>
      <c r="S80" s="2238" t="str">
        <f t="shared" si="48"/>
        <v>0.00%</v>
      </c>
      <c r="T80" s="340">
        <f t="shared" si="52"/>
        <v>0</v>
      </c>
      <c r="U80" s="953" t="str">
        <f>TEXT('MYP Assumptions'!H78,"0.00%")&amp;", CPI"</f>
        <v>3.23%, CPI</v>
      </c>
      <c r="V80" s="952"/>
      <c r="W80" s="2241" t="str">
        <f t="shared" si="49"/>
        <v>0.00%</v>
      </c>
      <c r="X80" s="340">
        <f t="shared" si="53"/>
        <v>0</v>
      </c>
      <c r="Y80" s="953" t="str">
        <f>TEXT('MYP Assumptions'!I78,"0.00%")&amp;", CPI"</f>
        <v>2.73%, CPI</v>
      </c>
      <c r="AA80" s="456" t="str">
        <f t="shared" si="50"/>
        <v>0.00%</v>
      </c>
      <c r="AB80" s="340">
        <f t="shared" si="54"/>
        <v>0</v>
      </c>
      <c r="AC80" s="953" t="str">
        <f>TEXT('MYP Assumptions'!J78,"0.00%")&amp;", CPI"</f>
        <v>2.73%, CPI</v>
      </c>
    </row>
    <row r="81" spans="1:29" s="457" customFormat="1" hidden="1" x14ac:dyDescent="0.25">
      <c r="A81" s="2227"/>
      <c r="B81" s="2385"/>
      <c r="C81" s="2215"/>
      <c r="D81" s="340">
        <f>'18-19 Budget RS 3010-ALL'!AF80</f>
        <v>0</v>
      </c>
      <c r="E81" s="2386"/>
      <c r="F81" s="340"/>
      <c r="G81" s="456" t="str">
        <f t="shared" si="57"/>
        <v>0.00%</v>
      </c>
      <c r="H81" s="340">
        <f>ROUND(D81*(LEFT(I81,5)+1),0)</f>
        <v>0</v>
      </c>
      <c r="I81" s="899" t="str">
        <f>TEXT('MYP Assumptions'!E78,"0.00%")&amp;", CPI"</f>
        <v>3.37%, CPI</v>
      </c>
      <c r="J81" s="455"/>
      <c r="K81" s="456" t="str">
        <f t="shared" si="46"/>
        <v>0.00%</v>
      </c>
      <c r="L81" s="340">
        <f t="shared" si="56"/>
        <v>0</v>
      </c>
      <c r="M81" s="899" t="str">
        <f>TEXT('MYP Assumptions'!F78,"0.00%")&amp;", CPI"</f>
        <v>3.58%, CPI</v>
      </c>
      <c r="O81" s="456" t="str">
        <f t="shared" si="47"/>
        <v>0.00%</v>
      </c>
      <c r="P81" s="340">
        <f t="shared" si="51"/>
        <v>0</v>
      </c>
      <c r="Q81" s="899" t="str">
        <f>TEXT('MYP Assumptions'!G78,"0.00%")&amp;", CPI"</f>
        <v>3.36%, CPI</v>
      </c>
      <c r="R81" s="592"/>
      <c r="S81" s="2238" t="str">
        <f t="shared" si="48"/>
        <v>0.00%</v>
      </c>
      <c r="T81" s="340">
        <f t="shared" si="52"/>
        <v>0</v>
      </c>
      <c r="U81" s="953" t="str">
        <f>TEXT('MYP Assumptions'!H78,"0.00%")&amp;", CPI"</f>
        <v>3.23%, CPI</v>
      </c>
      <c r="V81" s="952"/>
      <c r="W81" s="2241" t="str">
        <f t="shared" si="49"/>
        <v>0.00%</v>
      </c>
      <c r="X81" s="340">
        <f t="shared" si="53"/>
        <v>0</v>
      </c>
      <c r="Y81" s="953" t="str">
        <f>TEXT('MYP Assumptions'!I78,"0.00%")&amp;", CPI"</f>
        <v>2.73%, CPI</v>
      </c>
      <c r="AA81" s="456" t="str">
        <f t="shared" si="50"/>
        <v>0.00%</v>
      </c>
      <c r="AB81" s="340">
        <f t="shared" si="54"/>
        <v>0</v>
      </c>
      <c r="AC81" s="953" t="str">
        <f>TEXT('MYP Assumptions'!J78,"0.00%")&amp;", CPI"</f>
        <v>2.73%, CPI</v>
      </c>
    </row>
    <row r="82" spans="1:29" s="457" customFormat="1" x14ac:dyDescent="0.25">
      <c r="A82" s="2228"/>
      <c r="B82" s="2345"/>
      <c r="C82" s="2215"/>
      <c r="D82" s="458">
        <f>SUM(D69:D81)</f>
        <v>179515.34</v>
      </c>
      <c r="E82" s="2386"/>
      <c r="F82" s="340"/>
      <c r="G82" s="456">
        <f t="shared" si="57"/>
        <v>-5.4676887223119745E-2</v>
      </c>
      <c r="H82" s="458">
        <f>SUM(H69:H81)</f>
        <v>169700</v>
      </c>
      <c r="I82" s="1867" t="s">
        <v>1070</v>
      </c>
      <c r="J82" s="459"/>
      <c r="K82" s="456">
        <f t="shared" si="46"/>
        <v>-1</v>
      </c>
      <c r="L82" s="458">
        <f>SUM(L69:L81)</f>
        <v>0</v>
      </c>
      <c r="M82" s="901"/>
      <c r="O82" s="456" t="str">
        <f t="shared" si="47"/>
        <v>0.00%</v>
      </c>
      <c r="P82" s="458">
        <f>SUM(P69:P81)</f>
        <v>0</v>
      </c>
      <c r="Q82" s="901"/>
      <c r="R82" s="592"/>
      <c r="S82" s="2238" t="str">
        <f t="shared" si="48"/>
        <v>0.00%</v>
      </c>
      <c r="T82" s="458">
        <f>SUM(T69:T81)</f>
        <v>0</v>
      </c>
      <c r="U82" s="2344"/>
      <c r="V82" s="952"/>
      <c r="W82" s="2241" t="str">
        <f t="shared" si="49"/>
        <v>0.00%</v>
      </c>
      <c r="X82" s="458">
        <f>SUM(X69:X81)</f>
        <v>0</v>
      </c>
      <c r="Y82" s="2344"/>
      <c r="AA82" s="456" t="str">
        <f t="shared" si="50"/>
        <v>0.00%</v>
      </c>
      <c r="AB82" s="458">
        <f>SUM(AB69:AB81)</f>
        <v>0</v>
      </c>
      <c r="AC82" s="2344"/>
    </row>
    <row r="83" spans="1:29" s="457" customFormat="1" x14ac:dyDescent="0.25">
      <c r="A83" s="2227"/>
      <c r="B83" s="2337"/>
      <c r="C83" s="2215"/>
      <c r="D83" s="340"/>
      <c r="E83" s="2386"/>
      <c r="F83" s="340"/>
      <c r="G83" s="456"/>
      <c r="H83" s="340"/>
      <c r="I83" s="2463"/>
      <c r="J83" s="455"/>
      <c r="K83" s="1668"/>
      <c r="L83" s="340"/>
      <c r="M83" s="901"/>
      <c r="O83" s="1668"/>
      <c r="P83" s="340"/>
      <c r="Q83" s="901"/>
      <c r="R83" s="592"/>
      <c r="S83" s="2341"/>
      <c r="T83" s="340"/>
      <c r="U83" s="2344"/>
      <c r="V83" s="952"/>
      <c r="W83" s="2343"/>
      <c r="X83" s="340"/>
      <c r="Y83" s="2344"/>
      <c r="AA83" s="1668"/>
      <c r="AB83" s="340"/>
      <c r="AC83" s="2344"/>
    </row>
    <row r="84" spans="1:29" s="457" customFormat="1" x14ac:dyDescent="0.25">
      <c r="A84" s="2227"/>
      <c r="B84" s="2345"/>
      <c r="C84" s="2215"/>
      <c r="D84" s="340"/>
      <c r="E84" s="2386"/>
      <c r="F84" s="340"/>
      <c r="G84" s="2338"/>
      <c r="H84" s="340"/>
      <c r="I84" s="897"/>
      <c r="J84" s="455"/>
      <c r="K84" s="1668"/>
      <c r="L84" s="340"/>
      <c r="M84" s="901"/>
      <c r="O84" s="1668"/>
      <c r="P84" s="340"/>
      <c r="Q84" s="901"/>
      <c r="R84" s="592"/>
      <c r="S84" s="2341"/>
      <c r="T84" s="340"/>
      <c r="U84" s="2344"/>
      <c r="V84" s="952"/>
      <c r="W84" s="2343"/>
      <c r="X84" s="340"/>
      <c r="Y84" s="2344"/>
      <c r="AA84" s="1668"/>
      <c r="AB84" s="340"/>
      <c r="AC84" s="2344"/>
    </row>
    <row r="85" spans="1:29" s="457" customFormat="1" x14ac:dyDescent="0.25">
      <c r="A85" s="2228"/>
      <c r="B85" s="2337" t="s">
        <v>0</v>
      </c>
      <c r="C85" s="2215"/>
      <c r="D85" s="458">
        <f>SUM(D82,D66,D55,D13)</f>
        <v>290496.90000000002</v>
      </c>
      <c r="E85" s="2386"/>
      <c r="F85" s="340"/>
      <c r="G85" s="456">
        <f>IF(D85=0,"0.00%",(H85-D85)/D85)</f>
        <v>0.19090403374356135</v>
      </c>
      <c r="H85" s="458">
        <f>SUM(H82,H66,H55,H13)</f>
        <v>345953.93</v>
      </c>
      <c r="I85" s="2316">
        <f>+H85-D85</f>
        <v>55457.02999999997</v>
      </c>
      <c r="J85" s="459"/>
      <c r="K85" s="456">
        <f>IF(H85=0,"0.00%",(L85-H85)/H85)</f>
        <v>-1</v>
      </c>
      <c r="L85" s="458">
        <f>SUM(L82,L66,L55,L13)</f>
        <v>0</v>
      </c>
      <c r="M85" s="2316">
        <f>+L85-H85</f>
        <v>-345953.93</v>
      </c>
      <c r="O85" s="456" t="str">
        <f>IF(L85=0,"0.00%",(P85-L85)/L85)</f>
        <v>0.00%</v>
      </c>
      <c r="P85" s="458">
        <f>SUM(P82,P66,P55,P13)</f>
        <v>0</v>
      </c>
      <c r="Q85" s="2316">
        <f>+P85-L85</f>
        <v>0</v>
      </c>
      <c r="R85" s="592"/>
      <c r="S85" s="2238" t="str">
        <f>IF(P85=0,"0.00%",(T85-P85)/P85)</f>
        <v>0.00%</v>
      </c>
      <c r="T85" s="458">
        <f>SUM(T82,T66,T55,T13)</f>
        <v>0</v>
      </c>
      <c r="U85" s="2344"/>
      <c r="V85" s="952"/>
      <c r="W85" s="2241" t="str">
        <f>IF(T85=0,"0.00%",(X85-T85)/T85)</f>
        <v>0.00%</v>
      </c>
      <c r="X85" s="458" t="e">
        <f>SUM(X82,X66,X55,X13)</f>
        <v>#VALUE!</v>
      </c>
      <c r="Y85" s="2344"/>
      <c r="AA85" s="456" t="e">
        <f>IF(X85=0,"0.00%",(AB85-X85)/X85)</f>
        <v>#VALUE!</v>
      </c>
      <c r="AB85" s="458" t="e">
        <f>SUM(AB82,AB66,AB55,AB13)</f>
        <v>#VALUE!</v>
      </c>
      <c r="AC85" s="2344"/>
    </row>
    <row r="86" spans="1:29" s="457" customFormat="1" x14ac:dyDescent="0.25">
      <c r="A86" s="2227"/>
      <c r="B86" s="2345"/>
      <c r="C86" s="2215"/>
      <c r="D86" s="340"/>
      <c r="E86" s="2386"/>
      <c r="F86" s="340"/>
      <c r="G86" s="2338"/>
      <c r="H86" s="340"/>
      <c r="I86" s="897"/>
      <c r="J86" s="455"/>
      <c r="K86" s="1668"/>
      <c r="L86" s="340"/>
      <c r="M86" s="901"/>
      <c r="O86" s="1668"/>
      <c r="P86" s="340"/>
      <c r="Q86" s="901"/>
      <c r="R86" s="592"/>
      <c r="S86" s="2341"/>
      <c r="T86" s="340"/>
      <c r="U86" s="2344"/>
      <c r="V86" s="952"/>
      <c r="W86" s="2343"/>
      <c r="X86" s="340"/>
      <c r="Y86" s="2344"/>
      <c r="AA86" s="1668"/>
      <c r="AB86" s="340"/>
      <c r="AC86" s="2344"/>
    </row>
    <row r="87" spans="1:29" s="457" customFormat="1" x14ac:dyDescent="0.25">
      <c r="A87" s="2227"/>
      <c r="B87" s="2337" t="s">
        <v>138</v>
      </c>
      <c r="C87" s="2215"/>
      <c r="D87" s="833">
        <f>D11-D85</f>
        <v>-290496.90000000002</v>
      </c>
      <c r="E87" s="1656"/>
      <c r="G87" s="456">
        <f>IF(D87=0,"0.00%",(H87-D87)/D87)</f>
        <v>0.19090403374356135</v>
      </c>
      <c r="H87" s="833">
        <f>H11-H85</f>
        <v>-345953.93</v>
      </c>
      <c r="I87" s="897"/>
      <c r="J87" s="455"/>
      <c r="K87" s="456">
        <f>IF(H87=0,"0.00%",(L87-H87)/H87)</f>
        <v>-1</v>
      </c>
      <c r="L87" s="833">
        <f>L11-L85</f>
        <v>0</v>
      </c>
      <c r="M87" s="901"/>
      <c r="O87" s="456" t="str">
        <f>IF(L87=0,"0.00%",(P87-L87)/L87)</f>
        <v>0.00%</v>
      </c>
      <c r="P87" s="833">
        <f>P11-P85</f>
        <v>0</v>
      </c>
      <c r="Q87" s="901"/>
      <c r="R87" s="592"/>
      <c r="S87" s="2238" t="str">
        <f>IF(P87=0,"0.00%",(T87-P87)/P87)</f>
        <v>0.00%</v>
      </c>
      <c r="T87" s="833">
        <f>T11-T85</f>
        <v>0</v>
      </c>
      <c r="U87" s="2344"/>
      <c r="V87" s="952"/>
      <c r="W87" s="2241" t="str">
        <f>IF(T87=0,"0.00%",(X87-T87)/T87)</f>
        <v>0.00%</v>
      </c>
      <c r="X87" s="833" t="e">
        <f>X11-X85</f>
        <v>#VALUE!</v>
      </c>
      <c r="Y87" s="2344"/>
      <c r="AA87" s="456" t="e">
        <f>IF(X87=0,"0.00%",(AB87-X87)/X87)</f>
        <v>#VALUE!</v>
      </c>
      <c r="AB87" s="833" t="e">
        <f>AB11-AB85</f>
        <v>#VALUE!</v>
      </c>
      <c r="AC87" s="2344"/>
    </row>
    <row r="88" spans="1:29" s="457" customFormat="1" x14ac:dyDescent="0.25">
      <c r="A88" s="2215"/>
      <c r="B88" s="2337"/>
      <c r="C88" s="2345"/>
      <c r="D88" s="833"/>
      <c r="E88" s="1656"/>
      <c r="G88" s="2338"/>
      <c r="H88" s="833"/>
      <c r="I88" s="897"/>
      <c r="J88" s="455"/>
      <c r="K88" s="1668"/>
      <c r="L88" s="833"/>
      <c r="M88" s="901"/>
      <c r="O88" s="1668"/>
      <c r="P88" s="833"/>
      <c r="Q88" s="901"/>
      <c r="R88" s="592"/>
      <c r="S88" s="2341"/>
      <c r="T88" s="2356"/>
      <c r="U88" s="2344"/>
      <c r="V88" s="952"/>
      <c r="W88" s="2343"/>
      <c r="X88" s="2356"/>
      <c r="Y88" s="2344"/>
      <c r="AA88" s="1668"/>
      <c r="AB88" s="2356"/>
      <c r="AC88" s="2344"/>
    </row>
    <row r="89" spans="1:29" s="457" customFormat="1" x14ac:dyDescent="0.25">
      <c r="A89" s="2215"/>
      <c r="B89" s="2337" t="s">
        <v>136</v>
      </c>
      <c r="C89" s="2394"/>
      <c r="D89" s="833">
        <f>D7+D87</f>
        <v>345953.92999999993</v>
      </c>
      <c r="E89" s="1656"/>
      <c r="G89" s="456">
        <f>IF(D89=0,"0.00%",(H89-D89)/D89)</f>
        <v>-1</v>
      </c>
      <c r="H89" s="833">
        <f>H7+H87</f>
        <v>0</v>
      </c>
      <c r="I89" s="897"/>
      <c r="J89" s="455"/>
      <c r="K89" s="456" t="str">
        <f>IF(H89=0,"0.00%",(L89-H89)/H89)</f>
        <v>0.00%</v>
      </c>
      <c r="L89" s="833">
        <f>ROUND(L7+L87,0)</f>
        <v>0</v>
      </c>
      <c r="M89" s="901"/>
      <c r="O89" s="456" t="str">
        <f>IF(L89=0,"0.00%",(P89-L89)/L89)</f>
        <v>0.00%</v>
      </c>
      <c r="P89" s="833">
        <f>P7+P87</f>
        <v>0</v>
      </c>
      <c r="Q89" s="901"/>
      <c r="R89" s="592"/>
      <c r="S89" s="2238" t="str">
        <f>IF(P89=0,"0.00%",(T89-P89)/P89)</f>
        <v>0.00%</v>
      </c>
      <c r="T89" s="2367">
        <f>T7+T87</f>
        <v>0</v>
      </c>
      <c r="U89" s="2344"/>
      <c r="V89" s="952"/>
      <c r="W89" s="2241" t="str">
        <f>IF(T89=0,"0.00%",(X89-T89)/T89)</f>
        <v>0.00%</v>
      </c>
      <c r="X89" s="2367" t="e">
        <f>X7+X87</f>
        <v>#VALUE!</v>
      </c>
      <c r="Y89" s="2344"/>
      <c r="AA89" s="456" t="e">
        <f>IF(X89=0,"0.00%",(AB89-X89)/X89)</f>
        <v>#VALUE!</v>
      </c>
      <c r="AB89" s="2367" t="e">
        <f>AB7+AB87</f>
        <v>#VALUE!</v>
      </c>
      <c r="AC89" s="2344"/>
    </row>
    <row r="90" spans="1:29" s="457" customFormat="1" x14ac:dyDescent="0.25">
      <c r="A90" s="2215"/>
      <c r="B90" s="2345"/>
      <c r="C90" s="2225"/>
      <c r="D90" s="340"/>
      <c r="E90" s="1656"/>
      <c r="G90" s="2355"/>
      <c r="H90" s="459"/>
      <c r="I90" s="898"/>
      <c r="J90" s="459"/>
      <c r="K90" s="1668"/>
      <c r="L90" s="459"/>
      <c r="M90" s="901"/>
      <c r="O90" s="1668"/>
      <c r="P90" s="459"/>
      <c r="Q90" s="901"/>
      <c r="R90" s="592"/>
      <c r="S90" s="2341"/>
      <c r="T90" s="459"/>
      <c r="U90" s="2344"/>
      <c r="V90" s="952"/>
      <c r="W90" s="2343"/>
      <c r="X90" s="459"/>
      <c r="Y90" s="2344"/>
      <c r="AA90" s="1668"/>
      <c r="AB90" s="459"/>
      <c r="AC90" s="2344"/>
    </row>
    <row r="91" spans="1:29" s="457" customFormat="1" x14ac:dyDescent="0.25">
      <c r="A91" s="2215"/>
      <c r="B91" s="2345"/>
      <c r="C91" s="2230"/>
      <c r="D91" s="340"/>
      <c r="E91" s="1656"/>
      <c r="G91" s="2355"/>
      <c r="H91" s="455"/>
      <c r="I91" s="897"/>
      <c r="J91" s="455"/>
      <c r="K91" s="1668"/>
      <c r="L91" s="340"/>
      <c r="M91" s="901"/>
      <c r="O91" s="1668"/>
      <c r="P91" s="340"/>
      <c r="Q91" s="901"/>
      <c r="R91" s="592"/>
      <c r="S91" s="2341"/>
      <c r="T91" s="340"/>
      <c r="U91" s="2344"/>
      <c r="V91" s="952"/>
      <c r="W91" s="2343"/>
      <c r="X91" s="340"/>
      <c r="Y91" s="2344"/>
      <c r="AA91" s="1668"/>
      <c r="AB91" s="340"/>
      <c r="AC91" s="2344"/>
    </row>
    <row r="92" spans="1:29" s="457" customFormat="1" x14ac:dyDescent="0.25">
      <c r="A92" s="2215"/>
      <c r="B92" s="2345"/>
      <c r="C92" s="2230"/>
      <c r="D92" s="340"/>
      <c r="E92" s="1656"/>
      <c r="G92" s="2355"/>
      <c r="H92" s="455"/>
      <c r="I92" s="897"/>
      <c r="J92" s="455"/>
      <c r="K92" s="1668"/>
      <c r="L92" s="340"/>
      <c r="M92" s="901"/>
      <c r="O92" s="1668"/>
      <c r="P92" s="340"/>
      <c r="Q92" s="901"/>
      <c r="R92" s="592"/>
      <c r="S92" s="2341"/>
      <c r="T92" s="340"/>
      <c r="U92" s="2344"/>
      <c r="V92" s="952"/>
      <c r="W92" s="2343"/>
      <c r="X92" s="340"/>
      <c r="Y92" s="2344"/>
      <c r="AA92" s="1668"/>
      <c r="AB92" s="340"/>
      <c r="AC92" s="2344"/>
    </row>
    <row r="93" spans="1:29" s="457" customFormat="1" x14ac:dyDescent="0.25">
      <c r="A93" s="2215"/>
      <c r="B93" s="2345"/>
      <c r="C93" s="2230"/>
      <c r="D93" s="340"/>
      <c r="E93" s="1656"/>
      <c r="G93" s="2355"/>
      <c r="H93" s="455"/>
      <c r="I93" s="897"/>
      <c r="J93" s="455"/>
      <c r="K93" s="1668"/>
      <c r="L93" s="340"/>
      <c r="M93" s="901"/>
      <c r="O93" s="1668"/>
      <c r="P93" s="340"/>
      <c r="Q93" s="901"/>
      <c r="R93" s="592"/>
      <c r="S93" s="2341"/>
      <c r="T93" s="340"/>
      <c r="U93" s="2344"/>
      <c r="V93" s="952"/>
      <c r="W93" s="2343"/>
      <c r="X93" s="340"/>
      <c r="Y93" s="2344"/>
      <c r="AA93" s="1668"/>
      <c r="AB93" s="340"/>
      <c r="AC93" s="2344"/>
    </row>
    <row r="94" spans="1:29" s="457" customFormat="1" x14ac:dyDescent="0.25">
      <c r="A94" s="2215"/>
      <c r="B94" s="2345"/>
      <c r="C94" s="2230"/>
      <c r="D94" s="340"/>
      <c r="E94" s="1656"/>
      <c r="G94" s="2355"/>
      <c r="H94" s="455"/>
      <c r="I94" s="897"/>
      <c r="J94" s="455"/>
      <c r="K94" s="1668"/>
      <c r="L94" s="340"/>
      <c r="M94" s="901"/>
      <c r="O94" s="1668"/>
      <c r="P94" s="340"/>
      <c r="Q94" s="901"/>
      <c r="R94" s="592"/>
      <c r="S94" s="2341"/>
      <c r="T94" s="340"/>
      <c r="U94" s="2344"/>
      <c r="V94" s="952"/>
      <c r="W94" s="2343"/>
      <c r="X94" s="340"/>
      <c r="Y94" s="2344"/>
      <c r="AA94" s="1668"/>
      <c r="AB94" s="340"/>
      <c r="AC94" s="2344"/>
    </row>
    <row r="95" spans="1:29" s="2402" customFormat="1" ht="11.25" hidden="1" x14ac:dyDescent="0.2">
      <c r="A95" s="2232"/>
      <c r="B95" s="2395"/>
      <c r="C95" s="2396" t="s">
        <v>221</v>
      </c>
      <c r="D95" s="2397">
        <f>+D82+D66+D53+D41+D30</f>
        <v>290496.90000000002</v>
      </c>
      <c r="E95" s="2363"/>
      <c r="G95" s="2399" t="s">
        <v>221</v>
      </c>
      <c r="H95" s="2397">
        <f>+H82+H66+H53+H41+H30</f>
        <v>345953.93</v>
      </c>
      <c r="I95" s="2400"/>
      <c r="J95" s="607"/>
      <c r="K95" s="2399" t="s">
        <v>221</v>
      </c>
      <c r="L95" s="2397">
        <f>+L82+L66+L53+L41+L30</f>
        <v>0</v>
      </c>
      <c r="M95" s="2404"/>
      <c r="O95" s="2399" t="s">
        <v>221</v>
      </c>
      <c r="P95" s="2397">
        <f>+P82+P66+P53+P41+P30</f>
        <v>0</v>
      </c>
      <c r="Q95" s="2404"/>
      <c r="R95" s="608"/>
      <c r="S95" s="2405" t="s">
        <v>221</v>
      </c>
      <c r="T95" s="2397">
        <f>+T82+T66+T53+T41+T30</f>
        <v>0</v>
      </c>
      <c r="U95" s="2409"/>
      <c r="V95" s="2407"/>
      <c r="W95" s="2408" t="s">
        <v>221</v>
      </c>
      <c r="X95" s="2397">
        <f>+X82+X66+X53+X41+X30</f>
        <v>0</v>
      </c>
      <c r="Y95" s="2409"/>
      <c r="AA95" s="2399" t="s">
        <v>221</v>
      </c>
      <c r="AB95" s="2397" t="e">
        <f>+AB82+AB66+AB53+AB41+AB30</f>
        <v>#VALUE!</v>
      </c>
      <c r="AC95" s="2409"/>
    </row>
    <row r="96" spans="1:29" s="2402" customFormat="1" ht="11.25" hidden="1" x14ac:dyDescent="0.2">
      <c r="A96" s="2233"/>
      <c r="B96" s="2395"/>
      <c r="C96" s="2411" t="s">
        <v>222</v>
      </c>
      <c r="D96" s="2412">
        <f>+D13</f>
        <v>0</v>
      </c>
      <c r="E96" s="2419"/>
      <c r="F96" s="2410"/>
      <c r="G96" s="2415" t="s">
        <v>222</v>
      </c>
      <c r="H96" s="2412">
        <f>+H13</f>
        <v>0</v>
      </c>
      <c r="I96" s="2398"/>
      <c r="J96" s="608"/>
      <c r="K96" s="2415" t="s">
        <v>222</v>
      </c>
      <c r="L96" s="2412">
        <f>+L13</f>
        <v>0</v>
      </c>
      <c r="M96" s="2404"/>
      <c r="O96" s="2415" t="s">
        <v>222</v>
      </c>
      <c r="P96" s="2412">
        <f>+P13</f>
        <v>0</v>
      </c>
      <c r="Q96" s="2363"/>
      <c r="R96" s="608"/>
      <c r="S96" s="2416" t="s">
        <v>222</v>
      </c>
      <c r="T96" s="2412">
        <f>+T13</f>
        <v>0</v>
      </c>
      <c r="V96" s="2407"/>
      <c r="W96" s="2417" t="s">
        <v>222</v>
      </c>
      <c r="X96" s="2412" t="e">
        <f>+X13</f>
        <v>#VALUE!</v>
      </c>
      <c r="AA96" s="2415" t="s">
        <v>222</v>
      </c>
      <c r="AB96" s="2412">
        <f>+AB13</f>
        <v>0</v>
      </c>
    </row>
    <row r="97" spans="1:28" s="2402" customFormat="1" ht="11.25" hidden="1" x14ac:dyDescent="0.2">
      <c r="A97" s="2233"/>
      <c r="B97" s="2395"/>
      <c r="C97" s="2411"/>
      <c r="D97" s="2418">
        <f>+D95+D96</f>
        <v>290496.90000000002</v>
      </c>
      <c r="E97" s="2419"/>
      <c r="F97" s="2410"/>
      <c r="G97" s="2415"/>
      <c r="H97" s="2418">
        <f>+H95+H96</f>
        <v>345953.93</v>
      </c>
      <c r="I97" s="2398"/>
      <c r="J97" s="608"/>
      <c r="K97" s="2415"/>
      <c r="L97" s="2418">
        <f>+L95+L96</f>
        <v>0</v>
      </c>
      <c r="M97" s="2363"/>
      <c r="O97" s="2415"/>
      <c r="P97" s="2418">
        <f>+P95+P96</f>
        <v>0</v>
      </c>
      <c r="Q97" s="2363"/>
      <c r="R97" s="608"/>
      <c r="S97" s="2416"/>
      <c r="T97" s="2418">
        <f>+T95+T96</f>
        <v>0</v>
      </c>
      <c r="V97" s="2407"/>
      <c r="W97" s="2417"/>
      <c r="X97" s="2418" t="e">
        <f>+X95+X96</f>
        <v>#VALUE!</v>
      </c>
      <c r="AA97" s="2415"/>
      <c r="AB97" s="2418" t="e">
        <f>+AB95+AB96</f>
        <v>#VALUE!</v>
      </c>
    </row>
    <row r="98" spans="1:28" s="457" customFormat="1" ht="15" hidden="1" customHeight="1" x14ac:dyDescent="0.25">
      <c r="A98" s="2227"/>
      <c r="B98" s="2422"/>
      <c r="C98" s="2422"/>
      <c r="D98" s="459">
        <f>+D85-D97</f>
        <v>0</v>
      </c>
      <c r="E98" s="2386"/>
      <c r="F98" s="340"/>
      <c r="G98" s="2447"/>
      <c r="H98" s="459">
        <f>+H85-H97</f>
        <v>0</v>
      </c>
      <c r="I98" s="2339"/>
      <c r="J98" s="592"/>
      <c r="K98" s="2447"/>
      <c r="L98" s="459">
        <f>+L85-L97</f>
        <v>0</v>
      </c>
      <c r="M98" s="1656"/>
      <c r="O98" s="2447"/>
      <c r="P98" s="459">
        <f>+P85-P97</f>
        <v>0</v>
      </c>
      <c r="Q98" s="1656"/>
      <c r="R98" s="592"/>
      <c r="S98" s="2447"/>
      <c r="T98" s="459">
        <f>+T85-T97</f>
        <v>0</v>
      </c>
      <c r="V98" s="952"/>
      <c r="W98" s="2448"/>
      <c r="X98" s="459" t="e">
        <f>+X85-X97</f>
        <v>#VALUE!</v>
      </c>
      <c r="AA98" s="2447"/>
      <c r="AB98" s="459" t="e">
        <f>+AB85-AB97</f>
        <v>#VALUE!</v>
      </c>
    </row>
    <row r="99" spans="1:28" s="457" customFormat="1" x14ac:dyDescent="0.25">
      <c r="A99" s="2227"/>
      <c r="B99" s="2422"/>
      <c r="C99" s="2422"/>
      <c r="D99" s="455"/>
      <c r="E99" s="2386"/>
      <c r="F99" s="340"/>
      <c r="G99" s="2338"/>
      <c r="H99" s="2424"/>
      <c r="I99" s="2339"/>
      <c r="J99" s="592"/>
      <c r="K99" s="1668"/>
      <c r="L99" s="2370"/>
      <c r="M99" s="1656"/>
      <c r="O99" s="1668"/>
      <c r="P99" s="340"/>
      <c r="Q99" s="1656"/>
      <c r="R99" s="592"/>
      <c r="S99" s="2341"/>
      <c r="V99" s="952"/>
      <c r="W99" s="2343"/>
      <c r="AA99" s="1668"/>
    </row>
    <row r="100" spans="1:28" s="457" customFormat="1" x14ac:dyDescent="0.25">
      <c r="A100" s="2227"/>
      <c r="B100" s="2394"/>
      <c r="C100" s="2230"/>
      <c r="D100" s="342"/>
      <c r="E100" s="2386"/>
      <c r="F100" s="340"/>
      <c r="G100" s="2338"/>
      <c r="H100" s="2424"/>
      <c r="I100" s="2339"/>
      <c r="J100" s="592"/>
      <c r="K100" s="1668"/>
      <c r="L100" s="2370"/>
      <c r="M100" s="1656"/>
      <c r="O100" s="1668"/>
      <c r="P100" s="340"/>
      <c r="Q100" s="1656"/>
      <c r="R100" s="592"/>
      <c r="S100" s="2341"/>
      <c r="V100" s="952"/>
      <c r="W100" s="2343"/>
      <c r="AA100" s="1668"/>
    </row>
    <row r="101" spans="1:28" s="457" customFormat="1" x14ac:dyDescent="0.25">
      <c r="A101" s="2215"/>
      <c r="B101" s="2394"/>
      <c r="C101" s="2230"/>
      <c r="D101" s="455"/>
      <c r="E101" s="1656"/>
      <c r="G101" s="2338"/>
      <c r="H101" s="2424"/>
      <c r="I101" s="2339"/>
      <c r="J101" s="592"/>
      <c r="K101" s="1668"/>
      <c r="L101" s="2370"/>
      <c r="M101" s="1656"/>
      <c r="O101" s="1668"/>
      <c r="P101" s="340"/>
      <c r="Q101" s="1656"/>
      <c r="R101" s="592"/>
      <c r="S101" s="2341"/>
      <c r="V101" s="952"/>
      <c r="W101" s="2343"/>
      <c r="AA101" s="1668"/>
    </row>
    <row r="102" spans="1:28" s="457" customFormat="1" x14ac:dyDescent="0.25">
      <c r="A102" s="2215"/>
      <c r="B102" s="2394"/>
      <c r="C102" s="2230"/>
      <c r="D102" s="455"/>
      <c r="E102" s="1656"/>
      <c r="G102" s="2338"/>
      <c r="H102" s="2424"/>
      <c r="I102" s="2339"/>
      <c r="J102" s="592"/>
      <c r="K102" s="1668"/>
      <c r="L102" s="2370"/>
      <c r="M102" s="1656"/>
      <c r="O102" s="1668"/>
      <c r="P102" s="340"/>
      <c r="Q102" s="1656"/>
      <c r="R102" s="592"/>
      <c r="S102" s="2341"/>
      <c r="V102" s="952"/>
      <c r="W102" s="2343"/>
      <c r="AA102" s="1668"/>
    </row>
    <row r="103" spans="1:28" s="457" customFormat="1" ht="15" customHeight="1" x14ac:dyDescent="0.25">
      <c r="A103" s="2215"/>
      <c r="B103" s="2394"/>
      <c r="C103" s="2230"/>
      <c r="D103" s="455"/>
      <c r="E103" s="1656"/>
      <c r="G103" s="2338"/>
      <c r="H103" s="2424"/>
      <c r="I103" s="2339"/>
      <c r="J103" s="592"/>
      <c r="K103" s="1668"/>
      <c r="L103" s="2370"/>
      <c r="M103" s="1656"/>
      <c r="O103" s="1668"/>
      <c r="P103" s="340"/>
      <c r="Q103" s="1656"/>
      <c r="R103" s="592"/>
      <c r="S103" s="2341"/>
      <c r="V103" s="952"/>
      <c r="W103" s="2343"/>
      <c r="AA103" s="1668"/>
    </row>
    <row r="104" spans="1:28" s="457" customFormat="1" x14ac:dyDescent="0.25">
      <c r="A104" s="2215"/>
      <c r="B104" s="2394"/>
      <c r="C104" s="2230"/>
      <c r="D104" s="455"/>
      <c r="E104" s="1656"/>
      <c r="G104" s="2338"/>
      <c r="H104" s="2424"/>
      <c r="I104" s="2339"/>
      <c r="J104" s="592"/>
      <c r="K104" s="1668"/>
      <c r="L104" s="2370"/>
      <c r="M104" s="1656"/>
      <c r="O104" s="1668"/>
      <c r="P104" s="340"/>
      <c r="Q104" s="1656"/>
      <c r="R104" s="592"/>
      <c r="S104" s="2341"/>
      <c r="V104" s="952"/>
      <c r="W104" s="2343"/>
      <c r="AA104" s="1668"/>
    </row>
    <row r="105" spans="1:28" s="457" customFormat="1" x14ac:dyDescent="0.25">
      <c r="A105" s="2215"/>
      <c r="B105" s="2394"/>
      <c r="C105" s="2230"/>
      <c r="D105" s="455"/>
      <c r="E105" s="1656"/>
      <c r="G105" s="2338"/>
      <c r="H105" s="2424"/>
      <c r="I105" s="2339"/>
      <c r="J105" s="592"/>
      <c r="K105" s="1668"/>
      <c r="L105" s="2370"/>
      <c r="M105" s="1656"/>
      <c r="O105" s="1668"/>
      <c r="P105" s="340"/>
      <c r="Q105" s="1656"/>
      <c r="R105" s="592"/>
      <c r="S105" s="2341"/>
      <c r="V105" s="952"/>
      <c r="W105" s="2343"/>
      <c r="AA105" s="1668"/>
    </row>
    <row r="106" spans="1:28" s="457" customFormat="1" ht="15" customHeight="1" x14ac:dyDescent="0.25">
      <c r="A106" s="2215"/>
      <c r="B106" s="2570"/>
      <c r="C106" s="2570"/>
      <c r="D106" s="455"/>
      <c r="E106" s="1656"/>
      <c r="G106" s="2338"/>
      <c r="H106" s="2424"/>
      <c r="I106" s="2339"/>
      <c r="J106" s="592"/>
      <c r="K106" s="1668"/>
      <c r="L106" s="2370"/>
      <c r="M106" s="1656"/>
      <c r="O106" s="1668"/>
      <c r="P106" s="340"/>
      <c r="Q106" s="1656"/>
      <c r="R106" s="592"/>
      <c r="S106" s="2341"/>
      <c r="V106" s="952"/>
      <c r="W106" s="2343"/>
      <c r="AA106" s="1668"/>
    </row>
    <row r="107" spans="1:28" s="457" customFormat="1" x14ac:dyDescent="0.25">
      <c r="A107" s="2215"/>
      <c r="B107" s="2570"/>
      <c r="C107" s="2570"/>
      <c r="D107" s="455"/>
      <c r="E107" s="1656"/>
      <c r="G107" s="2338"/>
      <c r="H107" s="2424"/>
      <c r="I107" s="2339"/>
      <c r="J107" s="592"/>
      <c r="K107" s="1668"/>
      <c r="L107" s="2370"/>
      <c r="M107" s="1656"/>
      <c r="O107" s="1668"/>
      <c r="P107" s="340"/>
      <c r="Q107" s="1656"/>
      <c r="R107" s="592"/>
      <c r="S107" s="2341"/>
      <c r="V107" s="952"/>
      <c r="W107" s="2343"/>
      <c r="AA107" s="1668"/>
    </row>
    <row r="108" spans="1:28" s="457" customFormat="1" x14ac:dyDescent="0.25">
      <c r="A108" s="2215"/>
      <c r="B108" s="2394"/>
      <c r="C108" s="2230"/>
      <c r="D108" s="460"/>
      <c r="E108" s="1656"/>
      <c r="G108" s="2338"/>
      <c r="H108" s="2424"/>
      <c r="I108" s="2339"/>
      <c r="J108" s="592"/>
      <c r="K108" s="1668"/>
      <c r="L108" s="2370"/>
      <c r="M108" s="1656"/>
      <c r="O108" s="1668"/>
      <c r="P108" s="340"/>
      <c r="Q108" s="1656"/>
      <c r="R108" s="592"/>
      <c r="S108" s="2341"/>
      <c r="V108" s="952"/>
      <c r="W108" s="2343"/>
      <c r="AA108" s="1668"/>
    </row>
    <row r="109" spans="1:28" s="457" customFormat="1" x14ac:dyDescent="0.25">
      <c r="A109" s="2215"/>
      <c r="B109" s="2394"/>
      <c r="C109" s="2230"/>
      <c r="D109" s="455"/>
      <c r="E109" s="1656"/>
      <c r="G109" s="2338"/>
      <c r="H109" s="2424"/>
      <c r="I109" s="2339"/>
      <c r="J109" s="592"/>
      <c r="K109" s="1668"/>
      <c r="L109" s="2370"/>
      <c r="M109" s="1656"/>
      <c r="O109" s="1668"/>
      <c r="P109" s="340"/>
      <c r="Q109" s="1656"/>
      <c r="R109" s="592"/>
      <c r="S109" s="2341"/>
      <c r="V109" s="952"/>
      <c r="W109" s="2343"/>
      <c r="AA109" s="1668"/>
    </row>
    <row r="110" spans="1:28" s="457" customFormat="1" x14ac:dyDescent="0.25">
      <c r="A110" s="2215"/>
      <c r="B110" s="2394"/>
      <c r="C110" s="2230"/>
      <c r="D110" s="455"/>
      <c r="E110" s="1656"/>
      <c r="G110" s="2338"/>
      <c r="H110" s="2424"/>
      <c r="I110" s="2339"/>
      <c r="J110" s="592"/>
      <c r="K110" s="1668"/>
      <c r="L110" s="2370"/>
      <c r="M110" s="1656"/>
      <c r="O110" s="1668"/>
      <c r="P110" s="340"/>
      <c r="Q110" s="1656"/>
      <c r="R110" s="592"/>
      <c r="S110" s="2341"/>
      <c r="V110" s="952"/>
      <c r="W110" s="2343"/>
      <c r="AA110" s="1668"/>
    </row>
    <row r="111" spans="1:28" s="457" customFormat="1" ht="28.5" customHeight="1" x14ac:dyDescent="0.25">
      <c r="A111" s="2215"/>
      <c r="B111" s="2394"/>
      <c r="C111" s="2230"/>
      <c r="D111" s="342"/>
      <c r="E111" s="1656"/>
      <c r="G111" s="2338"/>
      <c r="H111" s="2424"/>
      <c r="I111" s="2339"/>
      <c r="J111" s="592"/>
      <c r="K111" s="1668"/>
      <c r="L111" s="2370"/>
      <c r="M111" s="1656"/>
      <c r="O111" s="1668"/>
      <c r="P111" s="340"/>
      <c r="Q111" s="1656"/>
      <c r="R111" s="592"/>
      <c r="S111" s="2341"/>
      <c r="V111" s="952"/>
      <c r="W111" s="2343"/>
      <c r="AA111" s="1668"/>
    </row>
    <row r="112" spans="1:28" s="457" customFormat="1" x14ac:dyDescent="0.25">
      <c r="A112" s="2215"/>
      <c r="B112" s="2394"/>
      <c r="C112" s="2230"/>
      <c r="D112" s="455"/>
      <c r="E112" s="1656"/>
      <c r="G112" s="2338"/>
      <c r="H112" s="2424"/>
      <c r="I112" s="2339"/>
      <c r="J112" s="592"/>
      <c r="K112" s="1668"/>
      <c r="L112" s="2370"/>
      <c r="M112" s="1656"/>
      <c r="O112" s="1668"/>
      <c r="P112" s="340"/>
      <c r="Q112" s="1656"/>
      <c r="R112" s="592"/>
      <c r="S112" s="2341"/>
      <c r="V112" s="952"/>
      <c r="W112" s="2343"/>
      <c r="AA112" s="1668"/>
    </row>
    <row r="113" spans="1:27" s="457" customFormat="1" x14ac:dyDescent="0.25">
      <c r="A113" s="2215"/>
      <c r="B113" s="2394"/>
      <c r="C113" s="2230"/>
      <c r="D113" s="455"/>
      <c r="E113" s="1656"/>
      <c r="G113" s="2338"/>
      <c r="H113" s="2424"/>
      <c r="I113" s="2339"/>
      <c r="J113" s="592"/>
      <c r="K113" s="1668"/>
      <c r="L113" s="2370"/>
      <c r="M113" s="1656"/>
      <c r="O113" s="1668"/>
      <c r="P113" s="340"/>
      <c r="Q113" s="1656"/>
      <c r="R113" s="592"/>
      <c r="S113" s="2341"/>
      <c r="V113" s="952"/>
      <c r="W113" s="2343"/>
      <c r="AA113" s="1668"/>
    </row>
    <row r="114" spans="1:27" s="457" customFormat="1" x14ac:dyDescent="0.25">
      <c r="A114" s="2215"/>
      <c r="B114" s="2394"/>
      <c r="C114" s="2230"/>
      <c r="D114" s="455"/>
      <c r="E114" s="1656"/>
      <c r="G114" s="2338"/>
      <c r="H114" s="2424"/>
      <c r="I114" s="2339"/>
      <c r="J114" s="592"/>
      <c r="K114" s="1668"/>
      <c r="L114" s="2370"/>
      <c r="M114" s="1656"/>
      <c r="O114" s="1668"/>
      <c r="P114" s="340"/>
      <c r="Q114" s="1656"/>
      <c r="R114" s="592"/>
      <c r="S114" s="2341"/>
      <c r="V114" s="952"/>
      <c r="W114" s="2343"/>
      <c r="AA114" s="1668"/>
    </row>
    <row r="115" spans="1:27" s="457" customFormat="1" x14ac:dyDescent="0.25">
      <c r="A115" s="2215"/>
      <c r="B115" s="2394"/>
      <c r="C115" s="2230"/>
      <c r="D115" s="455"/>
      <c r="E115" s="1656"/>
      <c r="G115" s="2338"/>
      <c r="H115" s="2424"/>
      <c r="I115" s="2339"/>
      <c r="J115" s="592"/>
      <c r="K115" s="1668"/>
      <c r="L115" s="2370"/>
      <c r="M115" s="1656"/>
      <c r="O115" s="1668"/>
      <c r="P115" s="340"/>
      <c r="Q115" s="1656"/>
      <c r="R115" s="592"/>
      <c r="S115" s="2341"/>
      <c r="V115" s="952"/>
      <c r="W115" s="2343"/>
      <c r="AA115" s="1668"/>
    </row>
    <row r="116" spans="1:27" s="457" customFormat="1" x14ac:dyDescent="0.25">
      <c r="A116" s="2215"/>
      <c r="B116" s="2394"/>
      <c r="C116" s="2230"/>
      <c r="D116" s="455"/>
      <c r="E116" s="1656"/>
      <c r="G116" s="2338"/>
      <c r="H116" s="2424"/>
      <c r="I116" s="2339"/>
      <c r="J116" s="592"/>
      <c r="K116" s="1668"/>
      <c r="L116" s="2370"/>
      <c r="M116" s="1656"/>
      <c r="O116" s="1668"/>
      <c r="P116" s="340"/>
      <c r="Q116" s="1656"/>
      <c r="R116" s="592"/>
      <c r="S116" s="2341"/>
      <c r="V116" s="952"/>
      <c r="W116" s="2343"/>
      <c r="AA116" s="1668"/>
    </row>
    <row r="117" spans="1:27" s="457" customFormat="1" x14ac:dyDescent="0.25">
      <c r="A117" s="2215"/>
      <c r="B117" s="2394"/>
      <c r="C117" s="2230"/>
      <c r="D117" s="455"/>
      <c r="E117" s="1656"/>
      <c r="G117" s="2338"/>
      <c r="H117" s="2424"/>
      <c r="I117" s="2339"/>
      <c r="J117" s="592"/>
      <c r="K117" s="1668"/>
      <c r="L117" s="2370"/>
      <c r="M117" s="1656"/>
      <c r="O117" s="1668"/>
      <c r="P117" s="340"/>
      <c r="Q117" s="1656"/>
      <c r="R117" s="592"/>
      <c r="S117" s="2341"/>
      <c r="V117" s="952"/>
      <c r="W117" s="2343"/>
      <c r="AA117" s="1668"/>
    </row>
    <row r="118" spans="1:27" s="457" customFormat="1" x14ac:dyDescent="0.25">
      <c r="A118" s="2215"/>
      <c r="B118" s="2394"/>
      <c r="C118" s="2230"/>
      <c r="D118" s="455"/>
      <c r="E118" s="1656"/>
      <c r="G118" s="2338"/>
      <c r="H118" s="2424"/>
      <c r="I118" s="2339"/>
      <c r="J118" s="592"/>
      <c r="K118" s="1668"/>
      <c r="L118" s="2370"/>
      <c r="M118" s="1656"/>
      <c r="O118" s="1668"/>
      <c r="P118" s="340"/>
      <c r="Q118" s="1656"/>
      <c r="R118" s="592"/>
      <c r="S118" s="2341"/>
      <c r="V118" s="952"/>
      <c r="W118" s="2343"/>
      <c r="AA118" s="1668"/>
    </row>
    <row r="119" spans="1:27" s="457" customFormat="1" x14ac:dyDescent="0.25">
      <c r="A119" s="2215"/>
      <c r="B119" s="2394"/>
      <c r="C119" s="2230"/>
      <c r="D119" s="455"/>
      <c r="E119" s="1656"/>
      <c r="G119" s="2338"/>
      <c r="H119" s="2424"/>
      <c r="I119" s="2339"/>
      <c r="J119" s="592"/>
      <c r="K119" s="1668"/>
      <c r="L119" s="2370"/>
      <c r="M119" s="1656"/>
      <c r="O119" s="1668"/>
      <c r="P119" s="340"/>
      <c r="Q119" s="1656"/>
      <c r="R119" s="592"/>
      <c r="S119" s="2341"/>
      <c r="V119" s="952"/>
      <c r="W119" s="2343"/>
      <c r="AA119" s="1668"/>
    </row>
    <row r="120" spans="1:27" s="457" customFormat="1" x14ac:dyDescent="0.25">
      <c r="A120" s="2215"/>
      <c r="B120" s="2394"/>
      <c r="C120" s="2230"/>
      <c r="D120" s="455"/>
      <c r="E120" s="1656"/>
      <c r="G120" s="2338"/>
      <c r="H120" s="2424"/>
      <c r="I120" s="2339"/>
      <c r="J120" s="592"/>
      <c r="K120" s="1668"/>
      <c r="L120" s="2370"/>
      <c r="M120" s="1656"/>
      <c r="O120" s="1668"/>
      <c r="P120" s="340"/>
      <c r="Q120" s="1656"/>
      <c r="R120" s="592"/>
      <c r="S120" s="2341"/>
      <c r="V120" s="952"/>
      <c r="W120" s="2343"/>
      <c r="AA120" s="1668"/>
    </row>
    <row r="121" spans="1:27" s="457" customFormat="1" x14ac:dyDescent="0.25">
      <c r="A121" s="2215"/>
      <c r="B121" s="2394"/>
      <c r="C121" s="2230"/>
      <c r="D121" s="455"/>
      <c r="E121" s="1656"/>
      <c r="G121" s="2338"/>
      <c r="H121" s="2424"/>
      <c r="I121" s="2339"/>
      <c r="J121" s="592"/>
      <c r="K121" s="1668"/>
      <c r="L121" s="2370"/>
      <c r="M121" s="1656"/>
      <c r="O121" s="1668"/>
      <c r="P121" s="340"/>
      <c r="Q121" s="1656"/>
      <c r="R121" s="592"/>
      <c r="S121" s="2341"/>
      <c r="V121" s="952"/>
      <c r="W121" s="2343"/>
      <c r="AA121" s="1668"/>
    </row>
    <row r="122" spans="1:27" s="457" customFormat="1" x14ac:dyDescent="0.25">
      <c r="A122" s="2215"/>
      <c r="B122" s="2394"/>
      <c r="C122" s="2230"/>
      <c r="D122" s="455"/>
      <c r="E122" s="1656"/>
      <c r="G122" s="2338"/>
      <c r="H122" s="2424"/>
      <c r="I122" s="2339"/>
      <c r="J122" s="592"/>
      <c r="K122" s="1668"/>
      <c r="L122" s="2370"/>
      <c r="M122" s="1656"/>
      <c r="O122" s="1668"/>
      <c r="P122" s="340"/>
      <c r="Q122" s="1656"/>
      <c r="R122" s="592"/>
      <c r="S122" s="2341"/>
      <c r="V122" s="952"/>
      <c r="W122" s="2343"/>
      <c r="AA122" s="1668"/>
    </row>
    <row r="123" spans="1:27" s="457" customFormat="1" x14ac:dyDescent="0.25">
      <c r="A123" s="2215"/>
      <c r="B123" s="2394"/>
      <c r="C123" s="2230"/>
      <c r="D123" s="455"/>
      <c r="E123" s="1656"/>
      <c r="G123" s="2338"/>
      <c r="H123" s="2424"/>
      <c r="I123" s="2339"/>
      <c r="J123" s="592"/>
      <c r="K123" s="1668"/>
      <c r="L123" s="2370"/>
      <c r="M123" s="1656"/>
      <c r="O123" s="1668"/>
      <c r="P123" s="340"/>
      <c r="Q123" s="1656"/>
      <c r="R123" s="592"/>
      <c r="S123" s="2341"/>
      <c r="V123" s="952"/>
      <c r="W123" s="2343"/>
      <c r="AA123" s="1668"/>
    </row>
    <row r="124" spans="1:27" s="457" customFormat="1" x14ac:dyDescent="0.25">
      <c r="A124" s="2215"/>
      <c r="B124" s="2394"/>
      <c r="C124" s="2230"/>
      <c r="D124" s="455"/>
      <c r="E124" s="1656"/>
      <c r="G124" s="2338"/>
      <c r="H124" s="2424"/>
      <c r="I124" s="2339"/>
      <c r="J124" s="592"/>
      <c r="K124" s="1668"/>
      <c r="L124" s="2370"/>
      <c r="M124" s="1656"/>
      <c r="O124" s="1668"/>
      <c r="P124" s="340"/>
      <c r="Q124" s="1656"/>
      <c r="R124" s="592"/>
      <c r="S124" s="2341"/>
      <c r="V124" s="952"/>
      <c r="W124" s="2343"/>
      <c r="AA124" s="1668"/>
    </row>
    <row r="125" spans="1:27" s="457" customFormat="1" x14ac:dyDescent="0.25">
      <c r="A125" s="2215"/>
      <c r="B125" s="2394"/>
      <c r="C125" s="2230"/>
      <c r="D125" s="455"/>
      <c r="E125" s="1656"/>
      <c r="G125" s="2338"/>
      <c r="H125" s="2424"/>
      <c r="I125" s="2339"/>
      <c r="J125" s="592"/>
      <c r="K125" s="1668"/>
      <c r="L125" s="2370"/>
      <c r="M125" s="1656"/>
      <c r="O125" s="1668"/>
      <c r="P125" s="340"/>
      <c r="Q125" s="1656"/>
      <c r="R125" s="592"/>
      <c r="S125" s="2341"/>
      <c r="V125" s="952"/>
      <c r="W125" s="2343"/>
      <c r="AA125" s="1668"/>
    </row>
    <row r="126" spans="1:27" s="457" customFormat="1" x14ac:dyDescent="0.25">
      <c r="A126" s="2215"/>
      <c r="B126" s="2394"/>
      <c r="C126" s="2230"/>
      <c r="D126" s="455"/>
      <c r="E126" s="1656"/>
      <c r="G126" s="2338"/>
      <c r="H126" s="2424"/>
      <c r="I126" s="2339"/>
      <c r="J126" s="592"/>
      <c r="K126" s="1668"/>
      <c r="L126" s="2370"/>
      <c r="M126" s="1656"/>
      <c r="O126" s="1668"/>
      <c r="P126" s="340"/>
      <c r="Q126" s="1656"/>
      <c r="R126" s="592"/>
      <c r="S126" s="2341"/>
      <c r="V126" s="952"/>
      <c r="W126" s="2343"/>
      <c r="AA126" s="1668"/>
    </row>
    <row r="127" spans="1:27" s="457" customFormat="1" x14ac:dyDescent="0.25">
      <c r="A127" s="2215"/>
      <c r="B127" s="2345"/>
      <c r="C127" s="2215"/>
      <c r="D127" s="340"/>
      <c r="E127" s="1656"/>
      <c r="G127" s="2338"/>
      <c r="H127" s="2424"/>
      <c r="I127" s="2339"/>
      <c r="J127" s="592"/>
      <c r="K127" s="1668"/>
      <c r="L127" s="2370"/>
      <c r="M127" s="1656"/>
      <c r="O127" s="1668"/>
      <c r="P127" s="340"/>
      <c r="Q127" s="1656"/>
      <c r="R127" s="592"/>
      <c r="S127" s="2341"/>
      <c r="V127" s="952"/>
      <c r="W127" s="2343"/>
      <c r="AA127" s="1668"/>
    </row>
    <row r="128" spans="1:27" s="457" customFormat="1" x14ac:dyDescent="0.25">
      <c r="A128" s="2215"/>
      <c r="B128" s="2345"/>
      <c r="C128" s="2215"/>
      <c r="D128" s="340"/>
      <c r="E128" s="1656"/>
      <c r="G128" s="2338"/>
      <c r="H128" s="2424"/>
      <c r="I128" s="2339"/>
      <c r="J128" s="592"/>
      <c r="K128" s="1668"/>
      <c r="L128" s="2370"/>
      <c r="M128" s="1656"/>
      <c r="O128" s="1668"/>
      <c r="P128" s="340"/>
      <c r="Q128" s="1656"/>
      <c r="R128" s="592"/>
      <c r="S128" s="2341"/>
      <c r="V128" s="952"/>
      <c r="W128" s="2343"/>
      <c r="AA128" s="1668"/>
    </row>
    <row r="129" spans="1:27" s="457" customFormat="1" x14ac:dyDescent="0.25">
      <c r="A129" s="2215"/>
      <c r="B129" s="2345"/>
      <c r="C129" s="2215"/>
      <c r="D129" s="340"/>
      <c r="E129" s="1656"/>
      <c r="G129" s="2338"/>
      <c r="H129" s="2424"/>
      <c r="I129" s="2339"/>
      <c r="J129" s="592"/>
      <c r="K129" s="1668"/>
      <c r="L129" s="2370"/>
      <c r="M129" s="1656"/>
      <c r="O129" s="1668"/>
      <c r="P129" s="340"/>
      <c r="Q129" s="1656"/>
      <c r="R129" s="592"/>
      <c r="S129" s="2341"/>
      <c r="V129" s="952"/>
      <c r="W129" s="2343"/>
      <c r="AA129" s="1668"/>
    </row>
    <row r="130" spans="1:27" s="457" customFormat="1" x14ac:dyDescent="0.25">
      <c r="A130" s="2215"/>
      <c r="B130" s="2345"/>
      <c r="C130" s="2215"/>
      <c r="D130" s="340"/>
      <c r="E130" s="1656"/>
      <c r="G130" s="2338"/>
      <c r="H130" s="2424"/>
      <c r="I130" s="2339"/>
      <c r="J130" s="592"/>
      <c r="K130" s="1668"/>
      <c r="L130" s="2370"/>
      <c r="M130" s="1656"/>
      <c r="O130" s="1668"/>
      <c r="P130" s="340"/>
      <c r="Q130" s="1656"/>
      <c r="R130" s="592"/>
      <c r="S130" s="2341"/>
      <c r="V130" s="952"/>
      <c r="W130" s="2343"/>
      <c r="AA130" s="1668"/>
    </row>
    <row r="131" spans="1:27" s="457" customFormat="1" x14ac:dyDescent="0.25">
      <c r="A131" s="2215"/>
      <c r="B131" s="2345"/>
      <c r="C131" s="2215"/>
      <c r="D131" s="340"/>
      <c r="E131" s="1656"/>
      <c r="G131" s="2338"/>
      <c r="H131" s="2424"/>
      <c r="I131" s="2339"/>
      <c r="J131" s="592"/>
      <c r="K131" s="1668"/>
      <c r="L131" s="2370"/>
      <c r="M131" s="1656"/>
      <c r="O131" s="1668"/>
      <c r="P131" s="340"/>
      <c r="Q131" s="1656"/>
      <c r="R131" s="592"/>
      <c r="S131" s="2341"/>
      <c r="V131" s="952"/>
      <c r="W131" s="2343"/>
      <c r="AA131" s="1668"/>
    </row>
  </sheetData>
  <sheetProtection password="E247" sheet="1" objects="1" scenarios="1"/>
  <mergeCells count="1">
    <mergeCell ref="B106:C107"/>
  </mergeCells>
  <pageMargins left="0.25" right="0.25" top="0.5" bottom="0.5" header="0.25" footer="0.25"/>
  <pageSetup paperSize="5" scale="98" orientation="portrait" r:id="rId1"/>
  <headerFooter>
    <oddHeader>&amp;L&amp;F</oddHeader>
    <oddFooter>&amp;R&amp;A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AC131"/>
  <sheetViews>
    <sheetView zoomScaleNormal="100" workbookViewId="0">
      <pane xSplit="3" ySplit="6" topLeftCell="H7" activePane="bottomRight" state="frozen"/>
      <selection activeCell="H7" sqref="H7"/>
      <selection pane="topRight" activeCell="H7" sqref="H7"/>
      <selection pane="bottomLeft" activeCell="H7" sqref="H7"/>
      <selection pane="bottomRight" activeCell="H7" sqref="H7"/>
    </sheetView>
  </sheetViews>
  <sheetFormatPr defaultRowHeight="15" x14ac:dyDescent="0.25"/>
  <cols>
    <col min="1" max="1" width="1.7109375" style="143" customWidth="1"/>
    <col min="2" max="2" width="8.5703125" style="2172" customWidth="1"/>
    <col min="3" max="3" width="18.28515625" style="844" customWidth="1"/>
    <col min="4" max="4" width="16" style="2" hidden="1" customWidth="1"/>
    <col min="5" max="5" width="17.7109375" style="844" hidden="1" customWidth="1"/>
    <col min="6" max="6" width="6" style="39" hidden="1" customWidth="1"/>
    <col min="7" max="7" width="9.42578125" style="52" hidden="1" customWidth="1"/>
    <col min="8" max="8" width="16.42578125" style="121" customWidth="1"/>
    <col min="9" max="9" width="26" style="853" hidden="1" customWidth="1"/>
    <col min="10" max="10" width="5.7109375" style="59" hidden="1" customWidth="1"/>
    <col min="11" max="11" width="9.42578125" style="333" hidden="1" customWidth="1"/>
    <col min="12" max="12" width="14" style="122" bestFit="1" customWidth="1"/>
    <col min="13" max="13" width="26" style="844" hidden="1" customWidth="1"/>
    <col min="14" max="14" width="5.7109375" style="39" hidden="1" customWidth="1"/>
    <col min="15" max="15" width="9.42578125" style="333" hidden="1" customWidth="1"/>
    <col min="16" max="16" width="14" style="2" bestFit="1" customWidth="1"/>
    <col min="17" max="17" width="24.85546875" style="844" hidden="1" customWidth="1"/>
    <col min="18" max="18" width="5.28515625" style="51" hidden="1" customWidth="1"/>
    <col min="19" max="19" width="9.42578125" style="338" hidden="1" customWidth="1"/>
    <col min="20" max="20" width="14" style="39" customWidth="1"/>
    <col min="21" max="21" width="24.85546875" style="39" hidden="1" customWidth="1"/>
    <col min="22" max="22" width="5.7109375" style="109" customWidth="1"/>
    <col min="23" max="23" width="9.42578125" style="2244" hidden="1" customWidth="1"/>
    <col min="24" max="24" width="14" style="39" hidden="1" customWidth="1"/>
    <col min="25" max="25" width="24.85546875" style="39" hidden="1" customWidth="1"/>
    <col min="26" max="26" width="5.7109375" style="39" hidden="1" customWidth="1"/>
    <col min="27" max="27" width="9.42578125" style="333" hidden="1" customWidth="1"/>
    <col min="28" max="28" width="14" style="39" hidden="1" customWidth="1"/>
    <col min="29" max="29" width="24.85546875" style="39" hidden="1" customWidth="1"/>
    <col min="30" max="16384" width="9.140625" style="39"/>
  </cols>
  <sheetData>
    <row r="1" spans="1:29" x14ac:dyDescent="0.25">
      <c r="B1" s="2172" t="s">
        <v>61</v>
      </c>
      <c r="C1" s="873" t="s">
        <v>273</v>
      </c>
      <c r="D1" s="933"/>
      <c r="E1" s="842"/>
      <c r="F1" s="98"/>
      <c r="G1" s="325"/>
      <c r="H1" s="934"/>
      <c r="I1" s="842"/>
      <c r="K1" s="338"/>
      <c r="L1" s="121"/>
      <c r="M1" s="842"/>
      <c r="N1" s="51"/>
      <c r="O1" s="338"/>
      <c r="P1" s="121"/>
      <c r="Q1" s="842"/>
      <c r="T1" s="86">
        <v>0</v>
      </c>
      <c r="U1" s="98"/>
      <c r="X1" s="86">
        <v>0</v>
      </c>
      <c r="Y1" s="98"/>
      <c r="AB1" s="86">
        <v>0</v>
      </c>
      <c r="AC1" s="98"/>
    </row>
    <row r="2" spans="1:29" ht="17.25" x14ac:dyDescent="0.4">
      <c r="B2" s="2173" t="s">
        <v>59</v>
      </c>
      <c r="C2" s="2177">
        <v>6300</v>
      </c>
      <c r="D2" s="934"/>
      <c r="E2" s="842"/>
      <c r="F2" s="98"/>
      <c r="G2" s="1663"/>
      <c r="H2" s="934"/>
      <c r="I2" s="842"/>
      <c r="K2" s="338"/>
      <c r="L2" s="87"/>
      <c r="M2" s="842"/>
      <c r="N2" s="51"/>
      <c r="O2" s="338"/>
      <c r="P2" s="87"/>
      <c r="Q2" s="842"/>
      <c r="T2" s="87">
        <v>0</v>
      </c>
      <c r="U2" s="98"/>
      <c r="X2" s="87">
        <v>0</v>
      </c>
      <c r="Y2" s="98"/>
      <c r="AB2" s="87">
        <v>0</v>
      </c>
      <c r="AC2" s="98"/>
    </row>
    <row r="3" spans="1:29" x14ac:dyDescent="0.25">
      <c r="D3" s="935"/>
      <c r="E3" s="852"/>
      <c r="F3" s="936"/>
      <c r="G3" s="1664"/>
      <c r="H3" s="935"/>
      <c r="I3" s="852"/>
      <c r="K3" s="338"/>
      <c r="L3" s="121"/>
      <c r="M3" s="853"/>
      <c r="N3" s="51"/>
      <c r="O3" s="338"/>
      <c r="P3" s="121"/>
      <c r="Q3" s="853"/>
      <c r="T3" s="86">
        <f>SUM(T1:T2)</f>
        <v>0</v>
      </c>
      <c r="U3" s="51"/>
      <c r="X3" s="86">
        <f>SUM(X1:X2)</f>
        <v>0</v>
      </c>
      <c r="Y3" s="51"/>
      <c r="AB3" s="86">
        <f>SUM(AB1:AB2)</f>
        <v>0</v>
      </c>
      <c r="AC3" s="51"/>
    </row>
    <row r="4" spans="1:29" x14ac:dyDescent="0.25">
      <c r="L4" s="121"/>
      <c r="M4" s="853"/>
      <c r="P4" s="121"/>
      <c r="Q4" s="853"/>
      <c r="T4" s="86"/>
      <c r="U4" s="51"/>
      <c r="X4" s="86"/>
      <c r="Y4" s="51"/>
      <c r="AB4" s="86"/>
      <c r="AC4" s="51"/>
    </row>
    <row r="5" spans="1:29" ht="15.75" x14ac:dyDescent="0.25">
      <c r="B5" s="2174" t="s">
        <v>56</v>
      </c>
      <c r="P5" s="122"/>
      <c r="T5" s="73"/>
      <c r="X5" s="73"/>
      <c r="AB5" s="73"/>
    </row>
    <row r="6" spans="1:29" s="89" customFormat="1" ht="15.75" x14ac:dyDescent="0.25">
      <c r="A6" s="144"/>
      <c r="B6" s="2175"/>
      <c r="C6" s="877"/>
      <c r="D6" s="243" t="s">
        <v>55</v>
      </c>
      <c r="E6" s="845"/>
      <c r="G6" s="327"/>
      <c r="H6" s="282" t="str">
        <f>LEFT(D6,4)+1&amp;"-"&amp;RIGHT(D6,4)+1</f>
        <v>2017-2018</v>
      </c>
      <c r="I6" s="854"/>
      <c r="J6" s="93"/>
      <c r="K6" s="334"/>
      <c r="L6" s="123" t="str">
        <f>LEFT(H6,4)+1&amp;"-"&amp;RIGHT(H6,4)+1</f>
        <v>2018-2019</v>
      </c>
      <c r="M6" s="888"/>
      <c r="N6" s="96"/>
      <c r="O6" s="337"/>
      <c r="P6" s="123" t="str">
        <f>LEFT(L6,4)+1&amp;"-"&amp;RIGHT(L6,4)+1</f>
        <v>2019-2020</v>
      </c>
      <c r="Q6" s="888"/>
      <c r="R6" s="2237"/>
      <c r="S6" s="2242"/>
      <c r="T6" s="95" t="str">
        <f>LEFT(P6,4)+1&amp;"-"&amp;RIGHT(P6,4)+1</f>
        <v>2020-2021</v>
      </c>
      <c r="U6" s="95"/>
      <c r="V6" s="110"/>
      <c r="W6" s="2245"/>
      <c r="X6" s="95" t="str">
        <f>LEFT(T6,4)+1&amp;"-"&amp;RIGHT(T6,4)+1</f>
        <v>2021-2022</v>
      </c>
      <c r="Y6" s="95"/>
      <c r="Z6" s="96"/>
      <c r="AA6" s="337"/>
      <c r="AB6" s="95" t="str">
        <f>LEFT(X6,4)+1&amp;"-"&amp;RIGHT(X6,4)+1</f>
        <v>2022-2023</v>
      </c>
      <c r="AC6" s="95"/>
    </row>
    <row r="7" spans="1:29" s="457" customFormat="1" x14ac:dyDescent="0.25">
      <c r="A7" s="1656"/>
      <c r="B7" s="2337" t="s">
        <v>54</v>
      </c>
      <c r="C7" s="1656"/>
      <c r="D7" s="340">
        <v>1626106.08</v>
      </c>
      <c r="E7" s="1656"/>
      <c r="G7" s="2338"/>
      <c r="H7" s="340">
        <f>D85</f>
        <v>1379641.85</v>
      </c>
      <c r="I7" s="1656"/>
      <c r="J7" s="599"/>
      <c r="K7" s="1668"/>
      <c r="L7" s="340">
        <f>H85</f>
        <v>1375795.85</v>
      </c>
      <c r="M7" s="1656"/>
      <c r="O7" s="1668"/>
      <c r="P7" s="340">
        <f>L85</f>
        <v>1627236.85</v>
      </c>
      <c r="Q7" s="1656"/>
      <c r="R7" s="592"/>
      <c r="S7" s="2341"/>
      <c r="T7" s="340">
        <f>P85</f>
        <v>7203.8500000000931</v>
      </c>
      <c r="V7" s="952"/>
      <c r="W7" s="2343"/>
      <c r="X7" s="340">
        <f>T85</f>
        <v>147315.85000000009</v>
      </c>
      <c r="AA7" s="1668"/>
      <c r="AB7" s="340" t="e">
        <f>X85</f>
        <v>#VALUE!</v>
      </c>
    </row>
    <row r="8" spans="1:29" s="457" customFormat="1" x14ac:dyDescent="0.25">
      <c r="A8" s="1656"/>
      <c r="B8" s="2345"/>
      <c r="C8" s="1656"/>
      <c r="D8" s="340"/>
      <c r="E8" s="1656"/>
      <c r="G8" s="2338"/>
      <c r="H8" s="340"/>
      <c r="I8" s="1656"/>
      <c r="J8" s="592"/>
      <c r="K8" s="1668"/>
      <c r="L8" s="340"/>
      <c r="M8" s="1656"/>
      <c r="O8" s="1668"/>
      <c r="P8" s="340"/>
      <c r="Q8" s="1656"/>
      <c r="R8" s="592"/>
      <c r="S8" s="2341"/>
      <c r="V8" s="952"/>
      <c r="W8" s="2343"/>
      <c r="AA8" s="1668"/>
    </row>
    <row r="9" spans="1:29" s="457" customFormat="1" x14ac:dyDescent="0.25">
      <c r="A9" s="1656"/>
      <c r="B9" s="2345" t="s">
        <v>52</v>
      </c>
      <c r="C9" s="1656" t="s">
        <v>53</v>
      </c>
      <c r="D9" s="340">
        <v>393579.91</v>
      </c>
      <c r="E9" s="1656"/>
      <c r="G9" s="456">
        <f>IF(D9=0,"0.00%",(H9-D9)/D9)</f>
        <v>3.9163813010679401E-2</v>
      </c>
      <c r="H9" s="340">
        <v>408994</v>
      </c>
      <c r="I9" s="1656"/>
      <c r="J9" s="342"/>
      <c r="K9" s="456">
        <f>IF(H9=0,"0.00%",(L9-H9)/H9)</f>
        <v>-9.4248326381316111E-2</v>
      </c>
      <c r="L9" s="340">
        <v>370447</v>
      </c>
      <c r="M9" s="899"/>
      <c r="O9" s="456">
        <f>IF(L9=0,"0.00%",(P9-L9)/L9)</f>
        <v>2.5698682942499197E-2</v>
      </c>
      <c r="P9" s="340">
        <f>ROUND(L9*(+LEFT(Q9,5)+1),0)</f>
        <v>379967</v>
      </c>
      <c r="Q9" s="899" t="str">
        <f>TEXT('MYP Assumptions'!$G$49,"0.00%")&amp;", COLA"</f>
        <v>2.57%, COLA</v>
      </c>
      <c r="R9" s="592"/>
      <c r="S9" s="2238">
        <f>IF(P9=0,"0.00%",(T9-P9)/P9)</f>
        <v>2.6699687078088362E-2</v>
      </c>
      <c r="T9" s="340">
        <f>ROUND(P9*(+LEFT(U9,5)+1),0)</f>
        <v>390112</v>
      </c>
      <c r="U9" s="899" t="str">
        <f>TEXT('MYP Assumptions'!$H$49,"0.00%")&amp;", COLA"</f>
        <v>2.67%, COLA</v>
      </c>
      <c r="V9" s="952"/>
      <c r="W9" s="2241">
        <f>IF(T9=0,"0.00%",(X9-T9)/T9)</f>
        <v>2.660005331802149E-2</v>
      </c>
      <c r="X9" s="340">
        <f>ROUND(T9*(+LEFT(Y9,5)+1),0)</f>
        <v>400489</v>
      </c>
      <c r="Y9" s="457" t="s">
        <v>277</v>
      </c>
      <c r="AA9" s="456">
        <f>IF(X9=0,"0.00%",(AB9-X9)/X9)</f>
        <v>2.6599981522588634E-2</v>
      </c>
      <c r="AB9" s="340">
        <f>ROUND(X9*(+LEFT(AC9,5)+1),0)</f>
        <v>411142</v>
      </c>
      <c r="AC9" s="457" t="s">
        <v>277</v>
      </c>
    </row>
    <row r="10" spans="1:29" s="457" customFormat="1" x14ac:dyDescent="0.25">
      <c r="A10" s="1656"/>
      <c r="B10" s="2345"/>
      <c r="C10" s="1656" t="s">
        <v>51</v>
      </c>
      <c r="D10" s="340">
        <v>0</v>
      </c>
      <c r="E10" s="1656"/>
      <c r="G10" s="456" t="str">
        <f t="shared" ref="G10:G15" si="0">IF(D10=0,"0.00%",(H10-D10)/D10)</f>
        <v>0.00%</v>
      </c>
      <c r="H10" s="833">
        <v>0</v>
      </c>
      <c r="I10" s="2339"/>
      <c r="J10" s="342"/>
      <c r="K10" s="456">
        <v>2.3999216991289027E-2</v>
      </c>
      <c r="L10" s="833">
        <v>0</v>
      </c>
      <c r="M10" s="1656"/>
      <c r="O10" s="456">
        <v>2.5299543966745892E-2</v>
      </c>
      <c r="P10" s="833">
        <v>0</v>
      </c>
      <c r="Q10" s="1656"/>
      <c r="R10" s="592"/>
      <c r="S10" s="2238"/>
      <c r="T10" s="833">
        <v>0</v>
      </c>
      <c r="V10" s="952"/>
      <c r="W10" s="2241"/>
      <c r="X10" s="833">
        <v>0</v>
      </c>
      <c r="AA10" s="456"/>
      <c r="AB10" s="833">
        <v>0</v>
      </c>
    </row>
    <row r="11" spans="1:29" s="457" customFormat="1" x14ac:dyDescent="0.25">
      <c r="A11" s="1656"/>
      <c r="B11" s="2337" t="s">
        <v>137</v>
      </c>
      <c r="C11" s="1656"/>
      <c r="D11" s="458">
        <f>SUM(D9:D10)</f>
        <v>393579.91</v>
      </c>
      <c r="E11" s="1656"/>
      <c r="G11" s="456">
        <f t="shared" si="0"/>
        <v>3.9163813010679401E-2</v>
      </c>
      <c r="H11" s="458">
        <f>SUM(H9:H10)</f>
        <v>408994</v>
      </c>
      <c r="I11" s="2316">
        <f>+H11-D11</f>
        <v>15414.090000000026</v>
      </c>
      <c r="J11" s="601"/>
      <c r="K11" s="456">
        <f>IF(H11=0,"0.00%",(L11-H11)/H11)</f>
        <v>-9.4248326381316111E-2</v>
      </c>
      <c r="L11" s="458">
        <f>SUM(L9:L10)</f>
        <v>370447</v>
      </c>
      <c r="M11" s="2316">
        <f>+L11-H11</f>
        <v>-38547</v>
      </c>
      <c r="O11" s="456">
        <f>IF(L11=0,"0.00%",(P11-L11)/L11)</f>
        <v>2.5698682942499197E-2</v>
      </c>
      <c r="P11" s="458">
        <f>SUM(P9:P10)</f>
        <v>379967</v>
      </c>
      <c r="Q11" s="2316">
        <f>+P11-L11</f>
        <v>9520</v>
      </c>
      <c r="R11" s="592"/>
      <c r="S11" s="2238">
        <f>IF(P11=0,"0.00%",(T11-P11)/P11)</f>
        <v>2.6699687078088362E-2</v>
      </c>
      <c r="T11" s="2353">
        <f>SUM(T9:T10)</f>
        <v>390112</v>
      </c>
      <c r="V11" s="952"/>
      <c r="W11" s="2241">
        <f>IF(T11=0,"0.00%",(X11-T11)/T11)</f>
        <v>2.660005331802149E-2</v>
      </c>
      <c r="X11" s="2353">
        <f>SUM(X9:X10)</f>
        <v>400489</v>
      </c>
      <c r="AA11" s="456">
        <f>IF(X11=0,"0.00%",(AB11-X11)/X11)</f>
        <v>2.6599981522588634E-2</v>
      </c>
      <c r="AB11" s="2353">
        <f>SUM(AB9:AB10)</f>
        <v>411142</v>
      </c>
    </row>
    <row r="12" spans="1:29" s="457" customFormat="1" x14ac:dyDescent="0.25">
      <c r="A12" s="1656"/>
      <c r="B12" s="2345"/>
      <c r="C12" s="1656"/>
      <c r="D12" s="340"/>
      <c r="E12" s="1656"/>
      <c r="G12" s="2338"/>
      <c r="H12" s="833"/>
      <c r="I12" s="1656"/>
      <c r="J12" s="602"/>
      <c r="K12" s="2338"/>
      <c r="L12" s="833"/>
      <c r="M12" s="1656"/>
      <c r="O12" s="2338"/>
      <c r="P12" s="833"/>
      <c r="Q12" s="1656"/>
      <c r="R12" s="592"/>
      <c r="S12" s="2355"/>
      <c r="T12" s="2356"/>
      <c r="V12" s="952"/>
      <c r="W12" s="2357"/>
      <c r="X12" s="2356"/>
      <c r="AA12" s="2338"/>
      <c r="AB12" s="2356"/>
    </row>
    <row r="13" spans="1:29" s="457" customFormat="1" x14ac:dyDescent="0.25">
      <c r="A13" s="1656"/>
      <c r="B13" s="2449"/>
      <c r="C13" s="2384" t="s">
        <v>64</v>
      </c>
      <c r="D13" s="2359">
        <f>ROUND(D11-(D11/(1+B13)),0)</f>
        <v>0</v>
      </c>
      <c r="E13" s="1656"/>
      <c r="G13" s="456" t="str">
        <f t="shared" si="0"/>
        <v>0.00%</v>
      </c>
      <c r="H13" s="2359">
        <f>ROUND(H11-(H11/(1+B13)),0)</f>
        <v>0</v>
      </c>
      <c r="I13" s="1656"/>
      <c r="J13" s="603"/>
      <c r="K13" s="456" t="str">
        <f>IF(H13=0,"0.00%",(L13-H13)/H13)</f>
        <v>0.00%</v>
      </c>
      <c r="L13" s="2359">
        <f>ROUND(L11-(L11/(1+B13)),0)</f>
        <v>0</v>
      </c>
      <c r="M13" s="1656"/>
      <c r="O13" s="456" t="str">
        <f>IF(L13=0,"0.00%",(P13-L13)/L13)</f>
        <v>0.00%</v>
      </c>
      <c r="P13" s="2359">
        <f>ROUND(P11-(P11/(1+B13)),0)</f>
        <v>0</v>
      </c>
      <c r="Q13" s="1656"/>
      <c r="R13" s="592"/>
      <c r="S13" s="2238" t="str">
        <f>IF(P13=0,"0.00%",(T13-P13)/P13)</f>
        <v>0.00%</v>
      </c>
      <c r="T13" s="2362">
        <f>ROUND(T11-(T11/(1+B13)),0)</f>
        <v>0</v>
      </c>
      <c r="V13" s="952"/>
      <c r="W13" s="2241" t="str">
        <f>IF(T13=0,"0.00%",(X13-T13)/T13)</f>
        <v>0.00%</v>
      </c>
      <c r="X13" s="2362">
        <f>ROUND(X11-(X11/(1+B13)),0)</f>
        <v>0</v>
      </c>
      <c r="AA13" s="456" t="str">
        <f>IF(X13=0,"0.00%",(AB13-X13)/X13)</f>
        <v>0.00%</v>
      </c>
      <c r="AB13" s="2362">
        <f>ROUND(AB11-(AB11/(1+G13)),0)</f>
        <v>0</v>
      </c>
    </row>
    <row r="14" spans="1:29" s="457" customFormat="1" x14ac:dyDescent="0.25">
      <c r="A14" s="1656"/>
      <c r="B14" s="2345"/>
      <c r="C14" s="1656"/>
      <c r="D14" s="340"/>
      <c r="E14" s="1656"/>
      <c r="G14" s="2338"/>
      <c r="H14" s="833"/>
      <c r="I14" s="1656"/>
      <c r="J14" s="602"/>
      <c r="K14" s="2338"/>
      <c r="L14" s="833"/>
      <c r="M14" s="1656"/>
      <c r="O14" s="2338"/>
      <c r="P14" s="833"/>
      <c r="Q14" s="1656"/>
      <c r="R14" s="592"/>
      <c r="S14" s="2355"/>
      <c r="T14" s="2356"/>
      <c r="V14" s="952"/>
      <c r="W14" s="2357"/>
      <c r="X14" s="2356"/>
      <c r="AA14" s="2338"/>
      <c r="AB14" s="2356"/>
    </row>
    <row r="15" spans="1:29" s="457" customFormat="1" x14ac:dyDescent="0.25">
      <c r="A15" s="1656"/>
      <c r="B15" s="2337" t="s">
        <v>50</v>
      </c>
      <c r="C15" s="1656"/>
      <c r="D15" s="1866">
        <f>+D11+D7-D13</f>
        <v>2019685.99</v>
      </c>
      <c r="E15" s="1656"/>
      <c r="G15" s="456">
        <f t="shared" si="0"/>
        <v>-0.11439904081327014</v>
      </c>
      <c r="H15" s="1866">
        <f>+H11+H7-H13</f>
        <v>1788635.85</v>
      </c>
      <c r="I15" s="1656"/>
      <c r="J15" s="601"/>
      <c r="K15" s="456">
        <f>IF(H15=0,"0.00%",(L15-H15)/H15)</f>
        <v>-2.3701302867210224E-2</v>
      </c>
      <c r="L15" s="1866">
        <f>+L11+L7-L13</f>
        <v>1746242.85</v>
      </c>
      <c r="M15" s="1656"/>
      <c r="O15" s="456">
        <f>IF(L15=0,"0.00%",(P15-L15)/L15)</f>
        <v>0.14944141360407001</v>
      </c>
      <c r="P15" s="1866">
        <f>+P11+P7-P13</f>
        <v>2007203.85</v>
      </c>
      <c r="Q15" s="1656"/>
      <c r="R15" s="592"/>
      <c r="S15" s="2238">
        <f>IF(P15=0,"0.00%",(T15-P15)/P15)</f>
        <v>-0.80564405553526619</v>
      </c>
      <c r="T15" s="2366">
        <f>T11-T13</f>
        <v>390112</v>
      </c>
      <c r="V15" s="952"/>
      <c r="W15" s="2241">
        <f>IF(T15=0,"0.00%",(X15-T15)/T15)</f>
        <v>2.660005331802149E-2</v>
      </c>
      <c r="X15" s="2366">
        <f>X11-X13</f>
        <v>400489</v>
      </c>
      <c r="AA15" s="456">
        <f>IF(X15=0,"0.00%",(AB15-X15)/X15)</f>
        <v>2.6599981522588634E-2</v>
      </c>
      <c r="AB15" s="2366">
        <f>AB11-AB13</f>
        <v>411142</v>
      </c>
    </row>
    <row r="16" spans="1:29" s="457" customFormat="1" x14ac:dyDescent="0.25">
      <c r="A16" s="1656"/>
      <c r="B16" s="2345"/>
      <c r="C16" s="1656"/>
      <c r="D16" s="340"/>
      <c r="E16" s="1656"/>
      <c r="G16" s="2338"/>
      <c r="H16" s="833"/>
      <c r="I16" s="1656"/>
      <c r="J16" s="601"/>
      <c r="K16" s="1668"/>
      <c r="L16" s="833"/>
      <c r="M16" s="1656"/>
      <c r="O16" s="1668"/>
      <c r="P16" s="833"/>
      <c r="Q16" s="1656"/>
      <c r="R16" s="592"/>
      <c r="S16" s="2341"/>
      <c r="T16" s="2367"/>
      <c r="V16" s="952"/>
      <c r="W16" s="2343"/>
      <c r="X16" s="2367"/>
      <c r="AA16" s="1668"/>
      <c r="AB16" s="2367"/>
    </row>
    <row r="17" spans="1:29" s="457" customFormat="1" x14ac:dyDescent="0.25">
      <c r="A17" s="1656"/>
      <c r="B17" s="2345"/>
      <c r="C17" s="2432"/>
      <c r="D17" s="340"/>
      <c r="E17" s="1656"/>
      <c r="G17" s="2338"/>
      <c r="H17" s="833"/>
      <c r="I17" s="1656"/>
      <c r="J17" s="602"/>
      <c r="K17" s="1668"/>
      <c r="L17" s="833"/>
      <c r="M17" s="1656"/>
      <c r="O17" s="1668"/>
      <c r="P17" s="833"/>
      <c r="Q17" s="1656"/>
      <c r="R17" s="592"/>
      <c r="S17" s="2341"/>
      <c r="T17" s="2356"/>
      <c r="V17" s="952"/>
      <c r="W17" s="2343"/>
      <c r="X17" s="2356"/>
      <c r="AA17" s="1668"/>
      <c r="AB17" s="2356"/>
    </row>
    <row r="18" spans="1:29" s="457" customFormat="1" x14ac:dyDescent="0.25">
      <c r="A18" s="1867"/>
      <c r="B18" s="2345"/>
      <c r="C18" s="1656"/>
      <c r="D18" s="459" t="s">
        <v>807</v>
      </c>
      <c r="E18" s="1867"/>
      <c r="F18" s="2433"/>
      <c r="G18" s="2338"/>
      <c r="H18" s="459" t="s">
        <v>176</v>
      </c>
      <c r="I18" s="1867"/>
      <c r="J18" s="604"/>
      <c r="K18" s="1668"/>
      <c r="L18" s="2370"/>
      <c r="M18" s="1867"/>
      <c r="O18" s="1668"/>
      <c r="P18" s="340"/>
      <c r="Q18" s="1867"/>
      <c r="R18" s="592"/>
      <c r="S18" s="2341"/>
      <c r="U18" s="2433"/>
      <c r="V18" s="952"/>
      <c r="W18" s="2343"/>
      <c r="Y18" s="2433"/>
      <c r="AA18" s="1668"/>
      <c r="AC18" s="2433"/>
    </row>
    <row r="19" spans="1:29" s="457" customFormat="1" ht="17.25" x14ac:dyDescent="0.4">
      <c r="A19" s="2434"/>
      <c r="B19" s="2345"/>
      <c r="C19" s="1656"/>
      <c r="D19" s="2435" t="s">
        <v>808</v>
      </c>
      <c r="E19" s="2434"/>
      <c r="F19" s="2436"/>
      <c r="G19" s="2338"/>
      <c r="H19" s="2435" t="s">
        <v>48</v>
      </c>
      <c r="I19" s="2371"/>
      <c r="J19" s="459"/>
      <c r="K19" s="1668"/>
      <c r="L19" s="2372" t="s">
        <v>48</v>
      </c>
      <c r="M19" s="2371"/>
      <c r="O19" s="1668"/>
      <c r="P19" s="2372" t="s">
        <v>48</v>
      </c>
      <c r="Q19" s="2371"/>
      <c r="R19" s="592"/>
      <c r="S19" s="2341"/>
      <c r="T19" s="2372" t="s">
        <v>48</v>
      </c>
      <c r="U19" s="2374"/>
      <c r="V19" s="952"/>
      <c r="W19" s="2343"/>
      <c r="X19" s="2372" t="s">
        <v>48</v>
      </c>
      <c r="Y19" s="2374">
        <v>0.02</v>
      </c>
      <c r="AA19" s="1668"/>
      <c r="AB19" s="2372" t="s">
        <v>48</v>
      </c>
      <c r="AC19" s="2374">
        <v>0.02</v>
      </c>
    </row>
    <row r="20" spans="1:29" s="2378" customFormat="1" hidden="1" x14ac:dyDescent="0.25">
      <c r="A20" s="900"/>
      <c r="B20" s="2337" t="s">
        <v>46</v>
      </c>
      <c r="C20" s="2384"/>
      <c r="D20" s="1866"/>
      <c r="E20" s="2375"/>
      <c r="F20" s="1866"/>
      <c r="G20" s="2376"/>
      <c r="H20" s="1866"/>
      <c r="I20" s="868"/>
      <c r="J20" s="460"/>
      <c r="K20" s="606"/>
      <c r="L20" s="1866"/>
      <c r="M20" s="2379"/>
      <c r="O20" s="606"/>
      <c r="P20" s="1866"/>
      <c r="Q20" s="2379"/>
      <c r="R20" s="461"/>
      <c r="S20" s="1669"/>
      <c r="T20" s="1866"/>
      <c r="U20" s="2383"/>
      <c r="V20" s="2381"/>
      <c r="W20" s="2382"/>
      <c r="X20" s="1866"/>
      <c r="Y20" s="2383"/>
      <c r="AA20" s="606"/>
      <c r="AB20" s="1866"/>
      <c r="AC20" s="2383"/>
    </row>
    <row r="21" spans="1:29" s="457" customFormat="1" hidden="1" x14ac:dyDescent="0.25">
      <c r="A21" s="2439"/>
      <c r="B21" s="2385"/>
      <c r="C21" s="1656"/>
      <c r="D21" s="340">
        <v>0</v>
      </c>
      <c r="E21" s="2386"/>
      <c r="F21" s="340"/>
      <c r="G21" s="456" t="str">
        <f t="shared" ref="G21:G30" si="1">IF(D21=0,"0.00%",(H21-D21)/D21)</f>
        <v>0.00%</v>
      </c>
      <c r="H21" s="340">
        <f t="shared" ref="H21:H27" si="2">ROUND(D21*(1+$I$19),0)</f>
        <v>0</v>
      </c>
      <c r="I21" s="899" t="str">
        <f t="shared" ref="I21:I28" si="3">TEXT($I$19,"0.0%")&amp;" = Est. S &amp; C"</f>
        <v>0.0% = Est. S &amp; C</v>
      </c>
      <c r="J21" s="455"/>
      <c r="K21" s="456" t="str">
        <f t="shared" ref="K21:K27" si="4">IF(H21=0,"0.00%",(L21-H21)/H21)</f>
        <v>0.00%</v>
      </c>
      <c r="L21" s="340">
        <f>ROUND(H21*(1+M19),0)</f>
        <v>0</v>
      </c>
      <c r="M21" s="897" t="str">
        <f>TEXT(M19,"0.0%")&amp;" = Est. S &amp; C"</f>
        <v>0.0% = Est. S &amp; C</v>
      </c>
      <c r="O21" s="456" t="str">
        <f t="shared" ref="O21:O27" si="5">IF(L21=0,"0.00%",(P21-L21)/L21)</f>
        <v>0.00%</v>
      </c>
      <c r="P21" s="340">
        <f>ROUND(L21*(1+Q19),0)</f>
        <v>0</v>
      </c>
      <c r="Q21" s="897" t="str">
        <f>TEXT(Q19,"0.0%")&amp;" = Est. S &amp; C"</f>
        <v>0.0% = Est. S &amp; C</v>
      </c>
      <c r="R21" s="592"/>
      <c r="S21" s="2238" t="str">
        <f t="shared" ref="S21:S27" si="6">IF(P21=0,"0.00%",(T21-P21)/P21)</f>
        <v>0.00%</v>
      </c>
      <c r="T21" s="340">
        <f>ROUND(P21*(1+U19),0)</f>
        <v>0</v>
      </c>
      <c r="U21" s="455" t="str">
        <f>TEXT(U19,"0.0%")&amp;" = Est. S &amp; C"</f>
        <v>0.0% = Est. S &amp; C</v>
      </c>
      <c r="V21" s="952"/>
      <c r="W21" s="2241" t="str">
        <f t="shared" ref="W21:W27" si="7">IF(T21=0,"0.00%",(X21-T21)/T21)</f>
        <v>0.00%</v>
      </c>
      <c r="X21" s="340">
        <f>ROUND(T21*(1+Y19),0)</f>
        <v>0</v>
      </c>
      <c r="Y21" s="455" t="str">
        <f>TEXT(Y19,"0.0%")&amp;" = Est. S &amp; C"</f>
        <v>2.0% = Est. S &amp; C</v>
      </c>
      <c r="AA21" s="456" t="str">
        <f t="shared" ref="AA21:AA27" si="8">IF(X21=0,"0.00%",(AB21-X21)/X21)</f>
        <v>0.00%</v>
      </c>
      <c r="AB21" s="340">
        <f>ROUND(X21*(1+AC19),0)</f>
        <v>0</v>
      </c>
      <c r="AC21" s="455" t="str">
        <f>TEXT(AC19,"0.0%")&amp;" = Est. S &amp; C"</f>
        <v>2.0% = Est. S &amp; C</v>
      </c>
    </row>
    <row r="22" spans="1:29" s="457" customFormat="1" hidden="1" x14ac:dyDescent="0.25">
      <c r="A22" s="897"/>
      <c r="B22" s="2385"/>
      <c r="C22" s="1656"/>
      <c r="D22" s="340">
        <v>0</v>
      </c>
      <c r="E22" s="2386"/>
      <c r="F22" s="340"/>
      <c r="G22" s="456" t="str">
        <f t="shared" si="1"/>
        <v>0.00%</v>
      </c>
      <c r="H22" s="340">
        <f t="shared" si="2"/>
        <v>0</v>
      </c>
      <c r="I22" s="897" t="str">
        <f t="shared" si="3"/>
        <v>0.0% = Est. S &amp; C</v>
      </c>
      <c r="J22" s="455"/>
      <c r="K22" s="456" t="str">
        <f t="shared" si="4"/>
        <v>0.00%</v>
      </c>
      <c r="L22" s="340">
        <f>ROUND(H22*(1+M19),0)</f>
        <v>0</v>
      </c>
      <c r="M22" s="897" t="str">
        <f>TEXT(M19,"0.0%")&amp;" = Est. S &amp; C"</f>
        <v>0.0% = Est. S &amp; C</v>
      </c>
      <c r="O22" s="456" t="str">
        <f t="shared" si="5"/>
        <v>0.00%</v>
      </c>
      <c r="P22" s="340">
        <f>ROUND(L22*(1+Q19),0)</f>
        <v>0</v>
      </c>
      <c r="Q22" s="897" t="str">
        <f>TEXT(Q19,"0.0%")&amp;" = Est. S &amp; C"</f>
        <v>0.0% = Est. S &amp; C</v>
      </c>
      <c r="R22" s="592"/>
      <c r="S22" s="2238" t="str">
        <f t="shared" si="6"/>
        <v>0.00%</v>
      </c>
      <c r="T22" s="340">
        <f>ROUND(P22*(1+U19),0)</f>
        <v>0</v>
      </c>
      <c r="U22" s="455" t="str">
        <f>TEXT(U19,"0.0%")&amp;" = Est. S &amp; C"</f>
        <v>0.0% = Est. S &amp; C</v>
      </c>
      <c r="V22" s="952"/>
      <c r="W22" s="2241" t="str">
        <f t="shared" si="7"/>
        <v>0.00%</v>
      </c>
      <c r="X22" s="340">
        <f>ROUND(T22*(1+Y19),0)</f>
        <v>0</v>
      </c>
      <c r="Y22" s="455" t="str">
        <f>TEXT(Y19,"0.0%")&amp;" = Est. S &amp; C"</f>
        <v>2.0% = Est. S &amp; C</v>
      </c>
      <c r="AA22" s="456" t="str">
        <f t="shared" si="8"/>
        <v>0.00%</v>
      </c>
      <c r="AB22" s="340">
        <f>ROUND(X22*(1+AC19),0)</f>
        <v>0</v>
      </c>
      <c r="AC22" s="455" t="str">
        <f>TEXT(AC19,"0.0%")&amp;" = Est. S &amp; C"</f>
        <v>2.0% = Est. S &amp; C</v>
      </c>
    </row>
    <row r="23" spans="1:29" s="457" customFormat="1" hidden="1" x14ac:dyDescent="0.25">
      <c r="A23" s="897"/>
      <c r="B23" s="2385"/>
      <c r="C23" s="1656"/>
      <c r="D23" s="340">
        <v>0</v>
      </c>
      <c r="E23" s="2386"/>
      <c r="F23" s="340"/>
      <c r="G23" s="456" t="str">
        <f t="shared" si="1"/>
        <v>0.00%</v>
      </c>
      <c r="H23" s="340">
        <f t="shared" si="2"/>
        <v>0</v>
      </c>
      <c r="I23" s="897" t="str">
        <f t="shared" si="3"/>
        <v>0.0% = Est. S &amp; C</v>
      </c>
      <c r="J23" s="455"/>
      <c r="K23" s="456" t="str">
        <f t="shared" si="4"/>
        <v>0.00%</v>
      </c>
      <c r="L23" s="340">
        <f>ROUND(H23*(1+M19),0)</f>
        <v>0</v>
      </c>
      <c r="M23" s="897" t="str">
        <f>TEXT(M19,"0.0%")&amp;" = Est. S &amp; C"</f>
        <v>0.0% = Est. S &amp; C</v>
      </c>
      <c r="O23" s="456" t="str">
        <f t="shared" si="5"/>
        <v>0.00%</v>
      </c>
      <c r="P23" s="340">
        <f>ROUND(L23*(1+Q19),0)</f>
        <v>0</v>
      </c>
      <c r="Q23" s="897" t="str">
        <f>TEXT(Q19,"0.0%")&amp;" = Est. S &amp; C"</f>
        <v>0.0% = Est. S &amp; C</v>
      </c>
      <c r="R23" s="592"/>
      <c r="S23" s="2238" t="str">
        <f t="shared" si="6"/>
        <v>0.00%</v>
      </c>
      <c r="T23" s="340">
        <f>ROUND(P23*(1+U19),0)</f>
        <v>0</v>
      </c>
      <c r="U23" s="455" t="str">
        <f>TEXT(U19,"0.0%")&amp;" = Est. S &amp; C"</f>
        <v>0.0% = Est. S &amp; C</v>
      </c>
      <c r="V23" s="952"/>
      <c r="W23" s="2241" t="str">
        <f t="shared" si="7"/>
        <v>0.00%</v>
      </c>
      <c r="X23" s="340">
        <f>ROUND(T23*(1+Y19),0)</f>
        <v>0</v>
      </c>
      <c r="Y23" s="455" t="str">
        <f>TEXT(Y19,"0.0%")&amp;" = Est. S &amp; C"</f>
        <v>2.0% = Est. S &amp; C</v>
      </c>
      <c r="AA23" s="456" t="str">
        <f t="shared" si="8"/>
        <v>0.00%</v>
      </c>
      <c r="AB23" s="340">
        <f>ROUND(X23*(1+AC19),0)</f>
        <v>0</v>
      </c>
      <c r="AC23" s="455" t="str">
        <f>TEXT(AC19,"0.0%")&amp;" = Est. S &amp; C"</f>
        <v>2.0% = Est. S &amp; C</v>
      </c>
    </row>
    <row r="24" spans="1:29" s="457" customFormat="1" hidden="1" x14ac:dyDescent="0.25">
      <c r="A24" s="897"/>
      <c r="B24" s="2385"/>
      <c r="C24" s="1656"/>
      <c r="D24" s="340">
        <v>0</v>
      </c>
      <c r="E24" s="2386"/>
      <c r="F24" s="340"/>
      <c r="G24" s="456" t="str">
        <f t="shared" si="1"/>
        <v>0.00%</v>
      </c>
      <c r="H24" s="340">
        <f t="shared" si="2"/>
        <v>0</v>
      </c>
      <c r="I24" s="897" t="str">
        <f t="shared" si="3"/>
        <v>0.0% = Est. S &amp; C</v>
      </c>
      <c r="J24" s="455"/>
      <c r="K24" s="456" t="str">
        <f t="shared" si="4"/>
        <v>0.00%</v>
      </c>
      <c r="L24" s="340">
        <f>ROUND(H24*(1+M19),0)</f>
        <v>0</v>
      </c>
      <c r="M24" s="897" t="str">
        <f>TEXT(M19,"0.0%")&amp;" = Est. S &amp; C"</f>
        <v>0.0% = Est. S &amp; C</v>
      </c>
      <c r="O24" s="456" t="str">
        <f t="shared" si="5"/>
        <v>0.00%</v>
      </c>
      <c r="P24" s="340">
        <f>ROUND(L24*(1+Q19),0)</f>
        <v>0</v>
      </c>
      <c r="Q24" s="897" t="str">
        <f>TEXT(Q19,"0.0%")&amp;" = Est. S &amp; C"</f>
        <v>0.0% = Est. S &amp; C</v>
      </c>
      <c r="R24" s="592"/>
      <c r="S24" s="2238" t="str">
        <f t="shared" si="6"/>
        <v>0.00%</v>
      </c>
      <c r="T24" s="340">
        <f>ROUND(P24*(1+U19),0)</f>
        <v>0</v>
      </c>
      <c r="U24" s="455" t="str">
        <f>TEXT(U19,"0.0%")&amp;" = Est. S &amp; C"</f>
        <v>0.0% = Est. S &amp; C</v>
      </c>
      <c r="V24" s="952"/>
      <c r="W24" s="2241" t="str">
        <f t="shared" si="7"/>
        <v>0.00%</v>
      </c>
      <c r="X24" s="340">
        <f>ROUND(T24*(1+Y19),0)</f>
        <v>0</v>
      </c>
      <c r="Y24" s="455" t="str">
        <f>TEXT(Y19,"0.0%")&amp;" = Est. S &amp; C"</f>
        <v>2.0% = Est. S &amp; C</v>
      </c>
      <c r="AA24" s="456" t="str">
        <f t="shared" si="8"/>
        <v>0.00%</v>
      </c>
      <c r="AB24" s="340">
        <f>ROUND(X24*(1+AC19),0)</f>
        <v>0</v>
      </c>
      <c r="AC24" s="455" t="str">
        <f>TEXT(AC19,"0.0%")&amp;" = Est. S &amp; C"</f>
        <v>2.0% = Est. S &amp; C</v>
      </c>
    </row>
    <row r="25" spans="1:29" s="457" customFormat="1" hidden="1" x14ac:dyDescent="0.25">
      <c r="A25" s="897"/>
      <c r="B25" s="2385"/>
      <c r="C25" s="1656"/>
      <c r="D25" s="340">
        <v>0</v>
      </c>
      <c r="E25" s="2386"/>
      <c r="F25" s="340"/>
      <c r="G25" s="456" t="str">
        <f t="shared" si="1"/>
        <v>0.00%</v>
      </c>
      <c r="H25" s="340">
        <f t="shared" si="2"/>
        <v>0</v>
      </c>
      <c r="I25" s="897" t="str">
        <f t="shared" si="3"/>
        <v>0.0% = Est. S &amp; C</v>
      </c>
      <c r="J25" s="455"/>
      <c r="K25" s="456" t="str">
        <f t="shared" si="4"/>
        <v>0.00%</v>
      </c>
      <c r="L25" s="340">
        <f>ROUND(H25*(1+M19),0)</f>
        <v>0</v>
      </c>
      <c r="M25" s="897" t="str">
        <f>TEXT(M19,"0.0%")&amp;" = Est. S &amp; C"</f>
        <v>0.0% = Est. S &amp; C</v>
      </c>
      <c r="O25" s="456" t="str">
        <f t="shared" si="5"/>
        <v>0.00%</v>
      </c>
      <c r="P25" s="340">
        <f>ROUND(L25*(1+Q19),0)</f>
        <v>0</v>
      </c>
      <c r="Q25" s="897" t="str">
        <f>TEXT(Q19,"0.0%")&amp;" = Est. S &amp; C"</f>
        <v>0.0% = Est. S &amp; C</v>
      </c>
      <c r="R25" s="592"/>
      <c r="S25" s="2238" t="str">
        <f t="shared" si="6"/>
        <v>0.00%</v>
      </c>
      <c r="T25" s="340">
        <f>ROUND(P25*(1+U19),0)</f>
        <v>0</v>
      </c>
      <c r="U25" s="455" t="str">
        <f>TEXT(U19,"0.0%")&amp;" = Est. S &amp; C"</f>
        <v>0.0% = Est. S &amp; C</v>
      </c>
      <c r="V25" s="952"/>
      <c r="W25" s="2241" t="str">
        <f t="shared" si="7"/>
        <v>0.00%</v>
      </c>
      <c r="X25" s="340">
        <f>ROUND(T25*(1+Y19),0)</f>
        <v>0</v>
      </c>
      <c r="Y25" s="455" t="str">
        <f>TEXT(Y19,"0.0%")&amp;" = Est. S &amp; C"</f>
        <v>2.0% = Est. S &amp; C</v>
      </c>
      <c r="AA25" s="456" t="str">
        <f t="shared" si="8"/>
        <v>0.00%</v>
      </c>
      <c r="AB25" s="340">
        <f>ROUND(X25*(1+AC19),0)</f>
        <v>0</v>
      </c>
      <c r="AC25" s="455" t="str">
        <f>TEXT(AC19,"0.0%")&amp;" = Est. S &amp; C"</f>
        <v>2.0% = Est. S &amp; C</v>
      </c>
    </row>
    <row r="26" spans="1:29" s="457" customFormat="1" hidden="1" x14ac:dyDescent="0.25">
      <c r="A26" s="897"/>
      <c r="B26" s="2385"/>
      <c r="C26" s="1656"/>
      <c r="D26" s="340">
        <v>0</v>
      </c>
      <c r="E26" s="2386"/>
      <c r="F26" s="340"/>
      <c r="G26" s="456" t="str">
        <f t="shared" si="1"/>
        <v>0.00%</v>
      </c>
      <c r="H26" s="340">
        <f t="shared" si="2"/>
        <v>0</v>
      </c>
      <c r="I26" s="897" t="str">
        <f t="shared" si="3"/>
        <v>0.0% = Est. S &amp; C</v>
      </c>
      <c r="J26" s="455"/>
      <c r="K26" s="456" t="str">
        <f t="shared" si="4"/>
        <v>0.00%</v>
      </c>
      <c r="L26" s="340">
        <f>ROUND(H26*(1+M19),0)</f>
        <v>0</v>
      </c>
      <c r="M26" s="2341" t="str">
        <f>TEXT(M19,"0.0%")&amp;" = Est. S &amp; C"</f>
        <v>0.0% = Est. S &amp; C</v>
      </c>
      <c r="O26" s="456" t="str">
        <f t="shared" si="5"/>
        <v>0.00%</v>
      </c>
      <c r="P26" s="340">
        <f>ROUND(L26*(1+Q19),0)</f>
        <v>0</v>
      </c>
      <c r="Q26" s="897" t="str">
        <f>TEXT(Q19,"0.0%")&amp;" = Est. S &amp; C"</f>
        <v>0.0% = Est. S &amp; C</v>
      </c>
      <c r="R26" s="592"/>
      <c r="S26" s="2238" t="str">
        <f t="shared" si="6"/>
        <v>0.00%</v>
      </c>
      <c r="T26" s="340">
        <f>ROUND(P26*(1+U19),0)</f>
        <v>0</v>
      </c>
      <c r="U26" s="455" t="str">
        <f>TEXT(U19,"0.0%")&amp;" = Est. S &amp; C"</f>
        <v>0.0% = Est. S &amp; C</v>
      </c>
      <c r="V26" s="952"/>
      <c r="W26" s="2241" t="str">
        <f t="shared" si="7"/>
        <v>0.00%</v>
      </c>
      <c r="X26" s="340">
        <f>ROUND(T26*(1+Y19),0)</f>
        <v>0</v>
      </c>
      <c r="Y26" s="455" t="str">
        <f>TEXT(Y19,"0.0%")&amp;" = Est. S &amp; C"</f>
        <v>2.0% = Est. S &amp; C</v>
      </c>
      <c r="AA26" s="456" t="str">
        <f t="shared" si="8"/>
        <v>0.00%</v>
      </c>
      <c r="AB26" s="340">
        <f>ROUND(X26*(1+AC19),0)</f>
        <v>0</v>
      </c>
      <c r="AC26" s="455" t="str">
        <f>TEXT(AC19,"0.0%")&amp;" = Est. S &amp; C"</f>
        <v>2.0% = Est. S &amp; C</v>
      </c>
    </row>
    <row r="27" spans="1:29" s="457" customFormat="1" hidden="1" x14ac:dyDescent="0.25">
      <c r="A27" s="897"/>
      <c r="B27" s="2385"/>
      <c r="C27" s="1656"/>
      <c r="D27" s="340">
        <v>0</v>
      </c>
      <c r="E27" s="2386"/>
      <c r="F27" s="340"/>
      <c r="G27" s="456" t="str">
        <f t="shared" si="1"/>
        <v>0.00%</v>
      </c>
      <c r="H27" s="340">
        <f t="shared" si="2"/>
        <v>0</v>
      </c>
      <c r="I27" s="897" t="str">
        <f t="shared" si="3"/>
        <v>0.0% = Est. S &amp; C</v>
      </c>
      <c r="J27" s="455"/>
      <c r="K27" s="456" t="str">
        <f t="shared" si="4"/>
        <v>0.00%</v>
      </c>
      <c r="L27" s="340">
        <f>ROUND(H27*(1+M19),0)</f>
        <v>0</v>
      </c>
      <c r="M27" s="897" t="str">
        <f>TEXT(M19,"0.0%")&amp;" = Est. S &amp; C"</f>
        <v>0.0% = Est. S &amp; C</v>
      </c>
      <c r="O27" s="456" t="str">
        <f t="shared" si="5"/>
        <v>0.00%</v>
      </c>
      <c r="P27" s="340">
        <f>ROUND(L27*(1+Q19),0)</f>
        <v>0</v>
      </c>
      <c r="Q27" s="897" t="str">
        <f>TEXT(Q19,"0.0%")&amp;" = Est. S &amp; C"</f>
        <v>0.0% = Est. S &amp; C</v>
      </c>
      <c r="R27" s="592"/>
      <c r="S27" s="2238" t="str">
        <f t="shared" si="6"/>
        <v>0.00%</v>
      </c>
      <c r="T27" s="340">
        <f>ROUND(P27*(1+U19),0)</f>
        <v>0</v>
      </c>
      <c r="U27" s="455" t="str">
        <f>TEXT(U19,"0.0%")&amp;" = Est. S &amp; C"</f>
        <v>0.0% = Est. S &amp; C</v>
      </c>
      <c r="V27" s="952"/>
      <c r="W27" s="2241" t="str">
        <f t="shared" si="7"/>
        <v>0.00%</v>
      </c>
      <c r="X27" s="340">
        <f>ROUND(T27*(1+Y19),0)</f>
        <v>0</v>
      </c>
      <c r="Y27" s="455" t="str">
        <f>TEXT(Y19,"0.0%")&amp;" = Est. S &amp; C"</f>
        <v>2.0% = Est. S &amp; C</v>
      </c>
      <c r="AA27" s="456" t="str">
        <f t="shared" si="8"/>
        <v>0.00%</v>
      </c>
      <c r="AB27" s="340">
        <f>ROUND(X27*(1+AC19),0)</f>
        <v>0</v>
      </c>
      <c r="AC27" s="455" t="str">
        <f>TEXT(AC19,"0.0%")&amp;" = Est. S &amp; C"</f>
        <v>2.0% = Est. S &amp; C</v>
      </c>
    </row>
    <row r="28" spans="1:29" s="457" customFormat="1" hidden="1" x14ac:dyDescent="0.25">
      <c r="A28" s="897"/>
      <c r="B28" s="2385"/>
      <c r="C28" s="1656"/>
      <c r="D28" s="340">
        <v>0</v>
      </c>
      <c r="E28" s="2386"/>
      <c r="F28" s="340"/>
      <c r="G28" s="456" t="str">
        <f>IF(D28=0,"0.00%",(H28-D28)/D28)</f>
        <v>0.00%</v>
      </c>
      <c r="H28" s="340">
        <f>ROUND(D28*(1+$I$19),0)</f>
        <v>0</v>
      </c>
      <c r="I28" s="897" t="str">
        <f t="shared" si="3"/>
        <v>0.0% = Est. S &amp; C</v>
      </c>
      <c r="J28" s="455"/>
      <c r="K28" s="456" t="str">
        <f>IF(H28=0,"0.00%",(L28-H28)/H28)</f>
        <v>0.00%</v>
      </c>
      <c r="L28" s="340">
        <f>ROUND(H28*(1+M20),0)</f>
        <v>0</v>
      </c>
      <c r="M28" s="897" t="str">
        <f>TEXT(M20,"0.0%")&amp;" = Est. S &amp; C"</f>
        <v>0.0% = Est. S &amp; C</v>
      </c>
      <c r="O28" s="456" t="str">
        <f>IF(L28=0,"0.00%",(P28-L28)/L28)</f>
        <v>0.00%</v>
      </c>
      <c r="P28" s="340">
        <f>ROUND(L28*(1+Q20),0)</f>
        <v>0</v>
      </c>
      <c r="Q28" s="897" t="str">
        <f>TEXT(Q20,"0.0%")&amp;" = Est. S &amp; C"</f>
        <v>0.0% = Est. S &amp; C</v>
      </c>
      <c r="R28" s="592"/>
      <c r="S28" s="2238" t="str">
        <f>IF(P28=0,"0.00%",(T28-P28)/P28)</f>
        <v>0.00%</v>
      </c>
      <c r="T28" s="340">
        <f>ROUND(P28*(1+U20),0)</f>
        <v>0</v>
      </c>
      <c r="U28" s="455" t="str">
        <f>TEXT(U20,"0.0%")&amp;" = Est. S &amp; C"</f>
        <v>0.0% = Est. S &amp; C</v>
      </c>
      <c r="V28" s="952"/>
      <c r="W28" s="2241" t="str">
        <f>IF(T28=0,"0.00%",(X28-T28)/T28)</f>
        <v>0.00%</v>
      </c>
      <c r="X28" s="340">
        <f>ROUND(T28*(1+Y20),0)</f>
        <v>0</v>
      </c>
      <c r="Y28" s="455" t="str">
        <f>TEXT(Y20,"0.0%")&amp;" = Est. S &amp; C"</f>
        <v>0.0% = Est. S &amp; C</v>
      </c>
      <c r="AA28" s="456" t="str">
        <f>IF(X28=0,"0.00%",(AB28-X28)/X28)</f>
        <v>0.00%</v>
      </c>
      <c r="AB28" s="340">
        <f>ROUND(X28*(1+AC20),0)</f>
        <v>0</v>
      </c>
      <c r="AC28" s="455" t="str">
        <f>TEXT(AC20,"0.0%")&amp;" = Est. S &amp; C"</f>
        <v>0.0% = Est. S &amp; C</v>
      </c>
    </row>
    <row r="29" spans="1:29" s="457" customFormat="1" ht="6" hidden="1" customHeight="1" x14ac:dyDescent="0.25">
      <c r="A29" s="897"/>
      <c r="B29" s="2385"/>
      <c r="C29" s="1656"/>
      <c r="D29" s="340"/>
      <c r="E29" s="2386"/>
      <c r="F29" s="340"/>
      <c r="G29" s="456"/>
      <c r="H29" s="340"/>
      <c r="I29" s="897"/>
      <c r="J29" s="455"/>
      <c r="K29" s="1668"/>
      <c r="L29" s="340"/>
      <c r="M29" s="901"/>
      <c r="O29" s="1668"/>
      <c r="P29" s="340"/>
      <c r="Q29" s="901"/>
      <c r="R29" s="592"/>
      <c r="S29" s="2341"/>
      <c r="T29" s="340"/>
      <c r="U29" s="2344"/>
      <c r="V29" s="952"/>
      <c r="W29" s="2343"/>
      <c r="X29" s="340"/>
      <c r="Y29" s="2344"/>
      <c r="AA29" s="1668"/>
      <c r="AB29" s="340"/>
      <c r="AC29" s="2344"/>
    </row>
    <row r="30" spans="1:29" s="457" customFormat="1" hidden="1" x14ac:dyDescent="0.25">
      <c r="A30" s="898"/>
      <c r="B30" s="2385"/>
      <c r="C30" s="1656"/>
      <c r="D30" s="458">
        <f>SUM(D21:D29)</f>
        <v>0</v>
      </c>
      <c r="E30" s="2386"/>
      <c r="F30" s="340"/>
      <c r="G30" s="456" t="str">
        <f t="shared" si="1"/>
        <v>0.00%</v>
      </c>
      <c r="H30" s="458">
        <f>SUM(H21:H29)</f>
        <v>0</v>
      </c>
      <c r="I30" s="898"/>
      <c r="J30" s="459"/>
      <c r="K30" s="456" t="str">
        <f>IF(H30=0,"0.00%",(L30-H30)/H30)</f>
        <v>0.00%</v>
      </c>
      <c r="L30" s="458">
        <f>SUM(L21:L29)</f>
        <v>0</v>
      </c>
      <c r="M30" s="901"/>
      <c r="O30" s="456" t="str">
        <f>IF(L30=0,"0.00%",(P30-L30)/L30)</f>
        <v>0.00%</v>
      </c>
      <c r="P30" s="458">
        <f>SUM(P21:P29)</f>
        <v>0</v>
      </c>
      <c r="Q30" s="901"/>
      <c r="R30" s="592"/>
      <c r="S30" s="2238" t="str">
        <f>IF(P30=0,"0.00%",(T30-P30)/P30)</f>
        <v>0.00%</v>
      </c>
      <c r="T30" s="458">
        <f>SUM(T21:T29)</f>
        <v>0</v>
      </c>
      <c r="U30" s="2344"/>
      <c r="V30" s="952"/>
      <c r="W30" s="2241" t="str">
        <f>IF(T30=0,"0.00%",(X30-T30)/T30)</f>
        <v>0.00%</v>
      </c>
      <c r="X30" s="458">
        <f>SUM(X21:X29)</f>
        <v>0</v>
      </c>
      <c r="Y30" s="2344"/>
      <c r="AA30" s="456" t="str">
        <f>IF(X30=0,"0.00%",(AB30-X30)/X30)</f>
        <v>0.00%</v>
      </c>
      <c r="AB30" s="458">
        <f>SUM(AB21:AB29)</f>
        <v>0</v>
      </c>
      <c r="AC30" s="2344"/>
    </row>
    <row r="31" spans="1:29" s="457" customFormat="1" hidden="1" x14ac:dyDescent="0.25">
      <c r="A31" s="897"/>
      <c r="B31" s="2345"/>
      <c r="C31" s="1656"/>
      <c r="D31" s="340"/>
      <c r="E31" s="2386"/>
      <c r="F31" s="340"/>
      <c r="G31" s="2338"/>
      <c r="H31" s="340"/>
      <c r="I31" s="899"/>
      <c r="J31" s="455"/>
      <c r="K31" s="1668"/>
      <c r="L31" s="340"/>
      <c r="M31" s="2388"/>
      <c r="O31" s="1668"/>
      <c r="P31" s="340"/>
      <c r="Q31" s="2388"/>
      <c r="R31" s="592"/>
      <c r="S31" s="2341"/>
      <c r="T31" s="340"/>
      <c r="U31" s="2344"/>
      <c r="V31" s="952"/>
      <c r="W31" s="2343"/>
      <c r="X31" s="340"/>
      <c r="Y31" s="2344"/>
      <c r="AA31" s="1668"/>
      <c r="AB31" s="340"/>
      <c r="AC31" s="2344"/>
    </row>
    <row r="32" spans="1:29" s="461" customFormat="1" hidden="1" x14ac:dyDescent="0.25">
      <c r="A32" s="900"/>
      <c r="B32" s="2440" t="s">
        <v>35</v>
      </c>
      <c r="C32" s="900"/>
      <c r="D32" s="460"/>
      <c r="E32" s="868"/>
      <c r="F32" s="460"/>
      <c r="G32" s="2389"/>
      <c r="H32" s="460"/>
      <c r="I32" s="868"/>
      <c r="J32" s="460"/>
      <c r="K32" s="1669"/>
      <c r="L32" s="460"/>
      <c r="M32" s="902"/>
      <c r="O32" s="1669"/>
      <c r="P32" s="460"/>
      <c r="Q32" s="902"/>
      <c r="S32" s="1669"/>
      <c r="T32" s="460"/>
      <c r="U32" s="2392"/>
      <c r="V32" s="2381"/>
      <c r="W32" s="2382"/>
      <c r="X32" s="460"/>
      <c r="Y32" s="2392"/>
      <c r="AA32" s="1669"/>
      <c r="AB32" s="460"/>
      <c r="AC32" s="2392"/>
    </row>
    <row r="33" spans="1:29" s="457" customFormat="1" hidden="1" x14ac:dyDescent="0.25">
      <c r="A33" s="897"/>
      <c r="B33" s="2385"/>
      <c r="C33" s="1656"/>
      <c r="D33" s="340">
        <v>0</v>
      </c>
      <c r="E33" s="2386"/>
      <c r="F33" s="340"/>
      <c r="G33" s="456" t="str">
        <f t="shared" ref="G33:G39" si="9">IF(D33=0,"0.00%",(H33-D33)/D33)</f>
        <v>0.00%</v>
      </c>
      <c r="H33" s="340">
        <f t="shared" ref="H33:H39" si="10">ROUND(D33*(1+$I$19),0)</f>
        <v>0</v>
      </c>
      <c r="I33" s="897" t="str">
        <f t="shared" ref="I33:I39" si="11">TEXT($I$19,"0.0%")&amp;" = Est. S &amp; C"</f>
        <v>0.0% = Est. S &amp; C</v>
      </c>
      <c r="J33" s="455"/>
      <c r="K33" s="456" t="str">
        <f t="shared" ref="K33:K39" si="12">IF(H33=0,"0.00%",(L33-H33)/H33)</f>
        <v>0.00%</v>
      </c>
      <c r="L33" s="340">
        <f>ROUND(H33*(1+M19),0)</f>
        <v>0</v>
      </c>
      <c r="M33" s="897" t="str">
        <f>TEXT(M19,"0.0%")&amp;" = Est. S &amp; C"</f>
        <v>0.0% = Est. S &amp; C</v>
      </c>
      <c r="O33" s="456" t="str">
        <f t="shared" ref="O33:O39" si="13">IF(L33=0,"0.00%",(P33-L33)/L33)</f>
        <v>0.00%</v>
      </c>
      <c r="P33" s="340">
        <f>ROUND(L33*(1+Q19),0)</f>
        <v>0</v>
      </c>
      <c r="Q33" s="897" t="str">
        <f>TEXT(Q19,"0.0%")&amp;" = Est. S &amp; C"</f>
        <v>0.0% = Est. S &amp; C</v>
      </c>
      <c r="R33" s="592"/>
      <c r="S33" s="2238" t="str">
        <f t="shared" ref="S33:S39" si="14">IF(P33=0,"0.00%",(T33-P33)/P33)</f>
        <v>0.00%</v>
      </c>
      <c r="T33" s="340">
        <f>ROUND(P33*(1+U19),0)</f>
        <v>0</v>
      </c>
      <c r="U33" s="455" t="str">
        <f>TEXT(U19,"0.0%")&amp;" = Est. S &amp; C"</f>
        <v>0.0% = Est. S &amp; C</v>
      </c>
      <c r="V33" s="952"/>
      <c r="W33" s="2241" t="str">
        <f t="shared" ref="W33:W39" si="15">IF(T33=0,"0.00%",(X33-T33)/T33)</f>
        <v>0.00%</v>
      </c>
      <c r="X33" s="340">
        <f>ROUND(T33*(1+Y19),0)</f>
        <v>0</v>
      </c>
      <c r="Y33" s="455" t="str">
        <f>TEXT(Y19,"0.0%")&amp;" = Est. S &amp; C"</f>
        <v>2.0% = Est. S &amp; C</v>
      </c>
      <c r="AA33" s="456" t="str">
        <f t="shared" ref="AA33:AA39" si="16">IF(X33=0,"0.00%",(AB33-X33)/X33)</f>
        <v>0.00%</v>
      </c>
      <c r="AB33" s="340">
        <f>ROUND(X33*(1+AC19),0)</f>
        <v>0</v>
      </c>
      <c r="AC33" s="455" t="str">
        <f>TEXT(AC19,"0.0%")&amp;" = Est. S &amp; C"</f>
        <v>2.0% = Est. S &amp; C</v>
      </c>
    </row>
    <row r="34" spans="1:29" s="457" customFormat="1" hidden="1" x14ac:dyDescent="0.25">
      <c r="A34" s="897"/>
      <c r="B34" s="2385"/>
      <c r="C34" s="1656"/>
      <c r="D34" s="340">
        <v>0</v>
      </c>
      <c r="E34" s="2386"/>
      <c r="F34" s="340"/>
      <c r="G34" s="456" t="str">
        <f t="shared" si="9"/>
        <v>0.00%</v>
      </c>
      <c r="H34" s="340">
        <f t="shared" si="10"/>
        <v>0</v>
      </c>
      <c r="I34" s="897" t="str">
        <f t="shared" si="11"/>
        <v>0.0% = Est. S &amp; C</v>
      </c>
      <c r="J34" s="455"/>
      <c r="K34" s="456" t="str">
        <f t="shared" si="12"/>
        <v>0.00%</v>
      </c>
      <c r="L34" s="340">
        <f>ROUND(H34*(1+M19),0)</f>
        <v>0</v>
      </c>
      <c r="M34" s="897" t="str">
        <f>TEXT(M19,"0.0%")&amp;" = Est. S &amp; C"</f>
        <v>0.0% = Est. S &amp; C</v>
      </c>
      <c r="O34" s="456" t="str">
        <f t="shared" si="13"/>
        <v>0.00%</v>
      </c>
      <c r="P34" s="340">
        <f>ROUND(L34*(1+Q19),0)</f>
        <v>0</v>
      </c>
      <c r="Q34" s="897" t="str">
        <f>TEXT(Q19,"0.0%")&amp;" = Est. S &amp; C"</f>
        <v>0.0% = Est. S &amp; C</v>
      </c>
      <c r="R34" s="592"/>
      <c r="S34" s="2238" t="str">
        <f t="shared" si="14"/>
        <v>0.00%</v>
      </c>
      <c r="T34" s="340">
        <f>ROUND(P34*(1+U19),0)</f>
        <v>0</v>
      </c>
      <c r="U34" s="455" t="str">
        <f>TEXT(U19,"0.0%")&amp;" = Est. S &amp; C"</f>
        <v>0.0% = Est. S &amp; C</v>
      </c>
      <c r="V34" s="952"/>
      <c r="W34" s="2241" t="str">
        <f t="shared" si="15"/>
        <v>0.00%</v>
      </c>
      <c r="X34" s="340">
        <f>ROUND(T34*(1+Y19),0)</f>
        <v>0</v>
      </c>
      <c r="Y34" s="455" t="str">
        <f>TEXT(Y19,"0.0%")&amp;" = Est. S &amp; C"</f>
        <v>2.0% = Est. S &amp; C</v>
      </c>
      <c r="AA34" s="456" t="str">
        <f t="shared" si="16"/>
        <v>0.00%</v>
      </c>
      <c r="AB34" s="340">
        <f>ROUND(X34*(1+AC19),0)</f>
        <v>0</v>
      </c>
      <c r="AC34" s="455" t="str">
        <f>TEXT(AC19,"0.0%")&amp;" = Est. S &amp; C"</f>
        <v>2.0% = Est. S &amp; C</v>
      </c>
    </row>
    <row r="35" spans="1:29" s="457" customFormat="1" hidden="1" x14ac:dyDescent="0.25">
      <c r="A35" s="897"/>
      <c r="B35" s="2385"/>
      <c r="C35" s="1656"/>
      <c r="D35" s="340">
        <v>0</v>
      </c>
      <c r="E35" s="2386"/>
      <c r="F35" s="340"/>
      <c r="G35" s="456" t="str">
        <f t="shared" si="9"/>
        <v>0.00%</v>
      </c>
      <c r="H35" s="340">
        <f t="shared" si="10"/>
        <v>0</v>
      </c>
      <c r="I35" s="897" t="str">
        <f t="shared" si="11"/>
        <v>0.0% = Est. S &amp; C</v>
      </c>
      <c r="J35" s="455"/>
      <c r="K35" s="456" t="str">
        <f t="shared" si="12"/>
        <v>0.00%</v>
      </c>
      <c r="L35" s="340">
        <f>ROUND(H35*(1+M19),0)</f>
        <v>0</v>
      </c>
      <c r="M35" s="897" t="str">
        <f>TEXT(M19,"0.0%")&amp;" = Est. S &amp; C"</f>
        <v>0.0% = Est. S &amp; C</v>
      </c>
      <c r="O35" s="456" t="str">
        <f t="shared" si="13"/>
        <v>0.00%</v>
      </c>
      <c r="P35" s="340">
        <f>ROUND(L35*(1+Q19),0)</f>
        <v>0</v>
      </c>
      <c r="Q35" s="897" t="str">
        <f>TEXT(Q19,"0.0%")&amp;" = Est. S &amp; C"</f>
        <v>0.0% = Est. S &amp; C</v>
      </c>
      <c r="R35" s="592"/>
      <c r="S35" s="2238" t="str">
        <f t="shared" si="14"/>
        <v>0.00%</v>
      </c>
      <c r="T35" s="340">
        <f>ROUND(P35*(1+U19),0)</f>
        <v>0</v>
      </c>
      <c r="U35" s="455" t="str">
        <f>TEXT(U19,"0.0%")&amp;" = Est. S &amp; C"</f>
        <v>0.0% = Est. S &amp; C</v>
      </c>
      <c r="V35" s="952"/>
      <c r="W35" s="2241" t="str">
        <f t="shared" si="15"/>
        <v>0.00%</v>
      </c>
      <c r="X35" s="340">
        <f>ROUND(T35*(1+Y19),0)</f>
        <v>0</v>
      </c>
      <c r="Y35" s="455" t="str">
        <f>TEXT(Y19,"0.0%")&amp;" = Est. S &amp; C"</f>
        <v>2.0% = Est. S &amp; C</v>
      </c>
      <c r="AA35" s="456" t="str">
        <f t="shared" si="16"/>
        <v>0.00%</v>
      </c>
      <c r="AB35" s="340">
        <f>ROUND(X35*(1+AC19),0)</f>
        <v>0</v>
      </c>
      <c r="AC35" s="455" t="str">
        <f>TEXT(AC19,"0.0%")&amp;" = Est. S &amp; C"</f>
        <v>2.0% = Est. S &amp; C</v>
      </c>
    </row>
    <row r="36" spans="1:29" s="457" customFormat="1" hidden="1" x14ac:dyDescent="0.25">
      <c r="A36" s="897"/>
      <c r="B36" s="2385"/>
      <c r="C36" s="1656"/>
      <c r="D36" s="340">
        <v>0</v>
      </c>
      <c r="E36" s="2386"/>
      <c r="F36" s="340"/>
      <c r="G36" s="456" t="str">
        <f t="shared" si="9"/>
        <v>0.00%</v>
      </c>
      <c r="H36" s="340">
        <f t="shared" si="10"/>
        <v>0</v>
      </c>
      <c r="I36" s="897" t="str">
        <f t="shared" si="11"/>
        <v>0.0% = Est. S &amp; C</v>
      </c>
      <c r="J36" s="455"/>
      <c r="K36" s="456" t="str">
        <f t="shared" si="12"/>
        <v>0.00%</v>
      </c>
      <c r="L36" s="340">
        <f>ROUND(H36*(1+M19),0)</f>
        <v>0</v>
      </c>
      <c r="M36" s="897" t="str">
        <f>TEXT(M19,"0.0%")&amp;" = Est. S &amp; C"</f>
        <v>0.0% = Est. S &amp; C</v>
      </c>
      <c r="O36" s="456" t="str">
        <f t="shared" si="13"/>
        <v>0.00%</v>
      </c>
      <c r="P36" s="340">
        <f>ROUND(L36*(1+Q19),0)</f>
        <v>0</v>
      </c>
      <c r="Q36" s="897" t="str">
        <f>TEXT(Q19,"0.0%")&amp;" = Est. S &amp; C"</f>
        <v>0.0% = Est. S &amp; C</v>
      </c>
      <c r="R36" s="592"/>
      <c r="S36" s="2238" t="str">
        <f t="shared" si="14"/>
        <v>0.00%</v>
      </c>
      <c r="T36" s="340">
        <f>ROUND(P36*(1+U19),0)</f>
        <v>0</v>
      </c>
      <c r="U36" s="455" t="str">
        <f>TEXT(U19,"0.0%")&amp;" = Est. S &amp; C"</f>
        <v>0.0% = Est. S &amp; C</v>
      </c>
      <c r="V36" s="952"/>
      <c r="W36" s="2241" t="str">
        <f t="shared" si="15"/>
        <v>0.00%</v>
      </c>
      <c r="X36" s="340">
        <f>ROUND(T36*(1+Y19),0)</f>
        <v>0</v>
      </c>
      <c r="Y36" s="455" t="str">
        <f>TEXT(Y19,"0.0%")&amp;" = Est. S &amp; C"</f>
        <v>2.0% = Est. S &amp; C</v>
      </c>
      <c r="AA36" s="456" t="str">
        <f t="shared" si="16"/>
        <v>0.00%</v>
      </c>
      <c r="AB36" s="340">
        <f>ROUND(X36*(1+AC19),0)</f>
        <v>0</v>
      </c>
      <c r="AC36" s="455" t="str">
        <f>TEXT(AC19,"0.0%")&amp;" = Est. S &amp; C"</f>
        <v>2.0% = Est. S &amp; C</v>
      </c>
    </row>
    <row r="37" spans="1:29" s="457" customFormat="1" hidden="1" x14ac:dyDescent="0.25">
      <c r="A37" s="897"/>
      <c r="B37" s="2385"/>
      <c r="C37" s="1656"/>
      <c r="D37" s="340">
        <v>0</v>
      </c>
      <c r="E37" s="2386"/>
      <c r="F37" s="340"/>
      <c r="G37" s="456" t="str">
        <f t="shared" si="9"/>
        <v>0.00%</v>
      </c>
      <c r="H37" s="340">
        <f t="shared" si="10"/>
        <v>0</v>
      </c>
      <c r="I37" s="897" t="str">
        <f t="shared" si="11"/>
        <v>0.0% = Est. S &amp; C</v>
      </c>
      <c r="J37" s="455"/>
      <c r="K37" s="456" t="str">
        <f t="shared" si="12"/>
        <v>0.00%</v>
      </c>
      <c r="L37" s="340">
        <f>ROUND(H37*(1+M19),0)</f>
        <v>0</v>
      </c>
      <c r="M37" s="897" t="str">
        <f>TEXT(M19,"0.0%")&amp;" = Est. S &amp; C"</f>
        <v>0.0% = Est. S &amp; C</v>
      </c>
      <c r="O37" s="456" t="str">
        <f t="shared" si="13"/>
        <v>0.00%</v>
      </c>
      <c r="P37" s="340">
        <f>ROUND(L37*(1+Q19),0)</f>
        <v>0</v>
      </c>
      <c r="Q37" s="897" t="str">
        <f>TEXT(Q19,"0.0%")&amp;" = Est. S &amp; C"</f>
        <v>0.0% = Est. S &amp; C</v>
      </c>
      <c r="R37" s="592"/>
      <c r="S37" s="2238" t="str">
        <f t="shared" si="14"/>
        <v>0.00%</v>
      </c>
      <c r="T37" s="340">
        <f>ROUND(P37*(1+U19),0)</f>
        <v>0</v>
      </c>
      <c r="U37" s="455" t="str">
        <f>TEXT(U19,"0.0%")&amp;" = Est. S &amp; C"</f>
        <v>0.0% = Est. S &amp; C</v>
      </c>
      <c r="V37" s="952"/>
      <c r="W37" s="2241" t="str">
        <f t="shared" si="15"/>
        <v>0.00%</v>
      </c>
      <c r="X37" s="340">
        <f>ROUND(T37*(1+Y19),0)</f>
        <v>0</v>
      </c>
      <c r="Y37" s="455" t="str">
        <f>TEXT(Y19,"0.0%")&amp;" = Est. S &amp; C"</f>
        <v>2.0% = Est. S &amp; C</v>
      </c>
      <c r="AA37" s="456" t="str">
        <f t="shared" si="16"/>
        <v>0.00%</v>
      </c>
      <c r="AB37" s="340">
        <f>ROUND(X37*(1+AC19),0)</f>
        <v>0</v>
      </c>
      <c r="AC37" s="455" t="str">
        <f>TEXT(AC19,"0.0%")&amp;" = Est. S &amp; C"</f>
        <v>2.0% = Est. S &amp; C</v>
      </c>
    </row>
    <row r="38" spans="1:29" s="457" customFormat="1" hidden="1" x14ac:dyDescent="0.25">
      <c r="A38" s="897"/>
      <c r="B38" s="2385"/>
      <c r="C38" s="1656"/>
      <c r="D38" s="340">
        <v>0</v>
      </c>
      <c r="E38" s="2386"/>
      <c r="F38" s="340"/>
      <c r="G38" s="456" t="str">
        <f t="shared" si="9"/>
        <v>0.00%</v>
      </c>
      <c r="H38" s="340">
        <f t="shared" si="10"/>
        <v>0</v>
      </c>
      <c r="I38" s="897" t="str">
        <f t="shared" si="11"/>
        <v>0.0% = Est. S &amp; C</v>
      </c>
      <c r="J38" s="455"/>
      <c r="K38" s="456" t="str">
        <f t="shared" si="12"/>
        <v>0.00%</v>
      </c>
      <c r="L38" s="340">
        <f>ROUND(H38*(1+M19),0)</f>
        <v>0</v>
      </c>
      <c r="M38" s="897" t="str">
        <f>TEXT(M19,"0.0%")&amp;" = Est. S &amp; C"</f>
        <v>0.0% = Est. S &amp; C</v>
      </c>
      <c r="O38" s="456" t="str">
        <f t="shared" si="13"/>
        <v>0.00%</v>
      </c>
      <c r="P38" s="340">
        <f>ROUND(L38*(1+Q19),0)</f>
        <v>0</v>
      </c>
      <c r="Q38" s="897" t="str">
        <f>TEXT(Q19,"0.0%")&amp;" = Est. S &amp; C"</f>
        <v>0.0% = Est. S &amp; C</v>
      </c>
      <c r="R38" s="592"/>
      <c r="S38" s="2238" t="str">
        <f t="shared" si="14"/>
        <v>0.00%</v>
      </c>
      <c r="T38" s="340">
        <f>ROUND(P38*(1+U19),0)</f>
        <v>0</v>
      </c>
      <c r="U38" s="455" t="str">
        <f>TEXT(U19,"0.0%")&amp;" = Est. S &amp; C"</f>
        <v>0.0% = Est. S &amp; C</v>
      </c>
      <c r="V38" s="952"/>
      <c r="W38" s="2241" t="str">
        <f t="shared" si="15"/>
        <v>0.00%</v>
      </c>
      <c r="X38" s="340">
        <f>ROUND(T38*(1+Y19),0)</f>
        <v>0</v>
      </c>
      <c r="Y38" s="455" t="str">
        <f>TEXT(Y19,"0.0%")&amp;" = Est. S &amp; C"</f>
        <v>2.0% = Est. S &amp; C</v>
      </c>
      <c r="AA38" s="456" t="str">
        <f t="shared" si="16"/>
        <v>0.00%</v>
      </c>
      <c r="AB38" s="340">
        <f>ROUND(X38*(1+AC19),0)</f>
        <v>0</v>
      </c>
      <c r="AC38" s="455" t="str">
        <f>TEXT(AC19,"0.0%")&amp;" = Est. S &amp; C"</f>
        <v>2.0% = Est. S &amp; C</v>
      </c>
    </row>
    <row r="39" spans="1:29" s="457" customFormat="1" hidden="1" x14ac:dyDescent="0.25">
      <c r="A39" s="897"/>
      <c r="B39" s="2385"/>
      <c r="C39" s="1656"/>
      <c r="D39" s="340">
        <v>0</v>
      </c>
      <c r="E39" s="2386"/>
      <c r="F39" s="340"/>
      <c r="G39" s="456" t="str">
        <f t="shared" si="9"/>
        <v>0.00%</v>
      </c>
      <c r="H39" s="340">
        <f t="shared" si="10"/>
        <v>0</v>
      </c>
      <c r="I39" s="897" t="str">
        <f t="shared" si="11"/>
        <v>0.0% = Est. S &amp; C</v>
      </c>
      <c r="J39" s="455"/>
      <c r="K39" s="456" t="str">
        <f t="shared" si="12"/>
        <v>0.00%</v>
      </c>
      <c r="L39" s="340">
        <f>ROUND(H39*(1+M19),0)</f>
        <v>0</v>
      </c>
      <c r="M39" s="897" t="str">
        <f>TEXT(M19,"0.0%")&amp;" = Est. S &amp; C"</f>
        <v>0.0% = Est. S &amp; C</v>
      </c>
      <c r="O39" s="456" t="str">
        <f t="shared" si="13"/>
        <v>0.00%</v>
      </c>
      <c r="P39" s="340">
        <f>ROUND(L39*(1+Q19),0)</f>
        <v>0</v>
      </c>
      <c r="Q39" s="897" t="str">
        <f>TEXT(Q19,"0.0%")&amp;" = Est. S &amp; C"</f>
        <v>0.0% = Est. S &amp; C</v>
      </c>
      <c r="R39" s="592"/>
      <c r="S39" s="2238" t="str">
        <f t="shared" si="14"/>
        <v>0.00%</v>
      </c>
      <c r="T39" s="340">
        <f>ROUND(P39*(1+U19),0)</f>
        <v>0</v>
      </c>
      <c r="U39" s="455" t="str">
        <f>TEXT(U19,"0.0%")&amp;" = Est. S &amp; C"</f>
        <v>0.0% = Est. S &amp; C</v>
      </c>
      <c r="V39" s="952"/>
      <c r="W39" s="2241" t="str">
        <f t="shared" si="15"/>
        <v>0.00%</v>
      </c>
      <c r="X39" s="340">
        <f>ROUND(T39*(1+Y19),0)</f>
        <v>0</v>
      </c>
      <c r="Y39" s="455" t="str">
        <f>TEXT(Y19,"0.0%")&amp;" = Est. S &amp; C"</f>
        <v>2.0% = Est. S &amp; C</v>
      </c>
      <c r="AA39" s="456" t="str">
        <f t="shared" si="16"/>
        <v>0.00%</v>
      </c>
      <c r="AB39" s="340">
        <f>ROUND(X39*(1+AC19),0)</f>
        <v>0</v>
      </c>
      <c r="AC39" s="455" t="str">
        <f>TEXT(AC19,"0.0%")&amp;" = Est. S &amp; C"</f>
        <v>2.0% = Est. S &amp; C</v>
      </c>
    </row>
    <row r="40" spans="1:29" s="457" customFormat="1" ht="6" hidden="1" customHeight="1" x14ac:dyDescent="0.25">
      <c r="A40" s="897"/>
      <c r="B40" s="2385"/>
      <c r="C40" s="1656"/>
      <c r="D40" s="340"/>
      <c r="E40" s="2386"/>
      <c r="F40" s="340"/>
      <c r="G40" s="2338"/>
      <c r="H40" s="340"/>
      <c r="I40" s="897"/>
      <c r="J40" s="455"/>
      <c r="K40" s="1668"/>
      <c r="L40" s="340"/>
      <c r="M40" s="901"/>
      <c r="O40" s="1668"/>
      <c r="P40" s="340"/>
      <c r="Q40" s="901"/>
      <c r="R40" s="592"/>
      <c r="S40" s="2341"/>
      <c r="T40" s="340"/>
      <c r="U40" s="2344"/>
      <c r="V40" s="952"/>
      <c r="W40" s="2343"/>
      <c r="X40" s="340"/>
      <c r="Y40" s="2344"/>
      <c r="AA40" s="1668"/>
      <c r="AB40" s="340"/>
      <c r="AC40" s="2344"/>
    </row>
    <row r="41" spans="1:29" s="457" customFormat="1" hidden="1" x14ac:dyDescent="0.25">
      <c r="A41" s="898"/>
      <c r="B41" s="2385"/>
      <c r="C41" s="1656"/>
      <c r="D41" s="458">
        <f>SUM(D33:D40)</f>
        <v>0</v>
      </c>
      <c r="E41" s="2386"/>
      <c r="F41" s="340"/>
      <c r="G41" s="456" t="str">
        <f>IF(D41=0,"0.00%",(H41-D41)/D41)</f>
        <v>0.00%</v>
      </c>
      <c r="H41" s="458">
        <f>SUM(H33:H40)</f>
        <v>0</v>
      </c>
      <c r="I41" s="898"/>
      <c r="J41" s="459"/>
      <c r="K41" s="456" t="str">
        <f>IF(H41=0,"0.00%",(L41-H41)/H41)</f>
        <v>0.00%</v>
      </c>
      <c r="L41" s="458">
        <f>SUM(L33:L40)</f>
        <v>0</v>
      </c>
      <c r="M41" s="901"/>
      <c r="O41" s="456" t="str">
        <f>IF(L41=0,"0.00%",(P41-L41)/L41)</f>
        <v>0.00%</v>
      </c>
      <c r="P41" s="458">
        <f>SUM(P33:P40)</f>
        <v>0</v>
      </c>
      <c r="Q41" s="901"/>
      <c r="R41" s="592"/>
      <c r="S41" s="2238" t="str">
        <f>IF(P41=0,"0.00%",(T41-P41)/P41)</f>
        <v>0.00%</v>
      </c>
      <c r="T41" s="458">
        <f>SUM(T33:T40)</f>
        <v>0</v>
      </c>
      <c r="U41" s="2344"/>
      <c r="V41" s="952"/>
      <c r="W41" s="2241" t="str">
        <f>IF(T41=0,"0.00%",(X41-T41)/T41)</f>
        <v>0.00%</v>
      </c>
      <c r="X41" s="458">
        <f>SUM(X33:X40)</f>
        <v>0</v>
      </c>
      <c r="Y41" s="2344"/>
      <c r="AA41" s="456" t="str">
        <f>IF(X41=0,"0.00%",(AB41-X41)/X41)</f>
        <v>0.00%</v>
      </c>
      <c r="AB41" s="458">
        <f>SUM(AB33:AB40)</f>
        <v>0</v>
      </c>
      <c r="AC41" s="2344"/>
    </row>
    <row r="42" spans="1:29" s="457" customFormat="1" hidden="1" x14ac:dyDescent="0.25">
      <c r="A42" s="897"/>
      <c r="B42" s="2345" t="s">
        <v>28</v>
      </c>
      <c r="C42" s="1656"/>
      <c r="D42" s="340"/>
      <c r="E42" s="2386"/>
      <c r="F42" s="340"/>
      <c r="G42" s="2338"/>
      <c r="H42" s="340"/>
      <c r="I42" s="897"/>
      <c r="J42" s="455"/>
      <c r="K42" s="1668"/>
      <c r="L42" s="340"/>
      <c r="M42" s="901"/>
      <c r="O42" s="1668"/>
      <c r="P42" s="340"/>
      <c r="Q42" s="901"/>
      <c r="R42" s="592"/>
      <c r="S42" s="2341"/>
      <c r="T42" s="340"/>
      <c r="U42" s="2344"/>
      <c r="V42" s="952"/>
      <c r="W42" s="2343"/>
      <c r="X42" s="340"/>
      <c r="Y42" s="2344"/>
      <c r="AA42" s="1668"/>
      <c r="AB42" s="340"/>
      <c r="AC42" s="2344"/>
    </row>
    <row r="43" spans="1:29" s="457" customFormat="1" hidden="1" x14ac:dyDescent="0.25">
      <c r="A43" s="868"/>
      <c r="B43" s="2337" t="s">
        <v>27</v>
      </c>
      <c r="C43" s="1656"/>
      <c r="D43" s="340"/>
      <c r="E43" s="2386"/>
      <c r="F43" s="340"/>
      <c r="G43" s="2338"/>
      <c r="H43" s="340"/>
      <c r="I43" s="897"/>
      <c r="J43" s="455"/>
      <c r="K43" s="1668"/>
      <c r="L43" s="340"/>
      <c r="M43" s="901"/>
      <c r="O43" s="1668"/>
      <c r="P43" s="340"/>
      <c r="Q43" s="901"/>
      <c r="R43" s="592"/>
      <c r="S43" s="2341"/>
      <c r="T43" s="340"/>
      <c r="U43" s="2344"/>
      <c r="V43" s="952"/>
      <c r="W43" s="2343"/>
      <c r="X43" s="340"/>
      <c r="Y43" s="2344"/>
      <c r="AA43" s="1668"/>
      <c r="AB43" s="340"/>
      <c r="AC43" s="2344"/>
    </row>
    <row r="44" spans="1:29" s="457" customFormat="1" hidden="1" x14ac:dyDescent="0.25">
      <c r="A44" s="897"/>
      <c r="B44" s="2385" t="s">
        <v>83</v>
      </c>
      <c r="C44" s="1656" t="s">
        <v>76</v>
      </c>
      <c r="D44" s="340">
        <v>0</v>
      </c>
      <c r="E44" s="899" t="str">
        <f>TEXT('MYP Assumptions'!$D$57,"0.00%")&amp;", STRS rate"</f>
        <v>12.58%, STRS rate</v>
      </c>
      <c r="F44" s="340"/>
      <c r="G44" s="456" t="str">
        <f t="shared" ref="G44:G53" si="17">IF(D44=0,"0.00%",(H44-D44)/D44)</f>
        <v>0.00%</v>
      </c>
      <c r="H44" s="340">
        <f>ROUND(H30*LEFT(I44,6),0)</f>
        <v>0</v>
      </c>
      <c r="I44" s="899" t="str">
        <f>TEXT('MYP Assumptions'!E57,"0.00%")&amp;", projected STRS rate"</f>
        <v>14.43%, projected STRS rate</v>
      </c>
      <c r="J44" s="455"/>
      <c r="K44" s="456" t="str">
        <f t="shared" ref="K44:K53" si="18">IF(H44=0,"0.00%",(L44-H44)/H44)</f>
        <v>0.00%</v>
      </c>
      <c r="L44" s="340">
        <f>ROUND(L30*LEFT(M44,6),0)</f>
        <v>0</v>
      </c>
      <c r="M44" s="899" t="str">
        <f>TEXT('MYP Assumptions'!F57,"0.00%")&amp;", projected STRS rate"</f>
        <v>16.28%, projected STRS rate</v>
      </c>
      <c r="O44" s="456" t="str">
        <f t="shared" ref="O44:O53" si="19">IF(L44=0,"0.00%",(P44-L44)/L44)</f>
        <v>0.00%</v>
      </c>
      <c r="P44" s="340">
        <f>ROUND(P30*LEFT(Q44,6),0)</f>
        <v>0</v>
      </c>
      <c r="Q44" s="899" t="str">
        <f>TEXT('MYP Assumptions'!G57,"0.00%")&amp;", projected STRS rate"</f>
        <v>18.13%, projected STRS rate</v>
      </c>
      <c r="R44" s="592"/>
      <c r="S44" s="2238" t="str">
        <f t="shared" ref="S44:S53" si="20">IF(P44=0,"0.00%",(T44-P44)/P44)</f>
        <v>0.00%</v>
      </c>
      <c r="T44" s="340">
        <f>ROUND(T30*LEFT(U44,6),0)</f>
        <v>0</v>
      </c>
      <c r="U44" s="953" t="str">
        <f>TEXT('MYP Assumptions'!H57,"0.00%")&amp;", projected STRS rate"</f>
        <v>19.10%, projected STRS rate</v>
      </c>
      <c r="V44" s="952"/>
      <c r="W44" s="2241" t="str">
        <f t="shared" ref="W44:W53" si="21">IF(T44=0,"0.00%",(X44-T44)/T44)</f>
        <v>0.00%</v>
      </c>
      <c r="X44" s="340">
        <f>ROUND(X30*LEFT(Y44,6),0)</f>
        <v>0</v>
      </c>
      <c r="Y44" s="953" t="str">
        <f>TEXT('MYP Assumptions'!I57,"0.00%")&amp;", projected STRS rate"</f>
        <v>19.10%, projected STRS rate</v>
      </c>
      <c r="AA44" s="456" t="str">
        <f t="shared" ref="AA44:AA53" si="22">IF(X44=0,"0.00%",(AB44-X44)/X44)</f>
        <v>0.00%</v>
      </c>
      <c r="AB44" s="340" t="e">
        <f>ROUND(AB30*LEFT(AC44,6),0)</f>
        <v>#VALUE!</v>
      </c>
      <c r="AC44" s="953" t="str">
        <f>TEXT('MYP Assumptions'!J57,"0.00%")&amp;", projected STRS rate"</f>
        <v>0.00%, projected STRS rate</v>
      </c>
    </row>
    <row r="45" spans="1:29" s="457" customFormat="1" hidden="1" x14ac:dyDescent="0.25">
      <c r="A45" s="897"/>
      <c r="B45" s="2385" t="s">
        <v>84</v>
      </c>
      <c r="C45" s="1656" t="s">
        <v>77</v>
      </c>
      <c r="D45" s="340">
        <v>0</v>
      </c>
      <c r="E45" s="899" t="str">
        <f>TEXT('MYP Assumptions'!$D$58,"0.00%")&amp;", PERS rate"</f>
        <v>13.89%, PERS rate</v>
      </c>
      <c r="F45" s="340"/>
      <c r="G45" s="456" t="str">
        <f t="shared" si="17"/>
        <v>0.00%</v>
      </c>
      <c r="H45" s="340">
        <f>ROUND(H41*LEFT(I45,6),0)</f>
        <v>0</v>
      </c>
      <c r="I45" s="899" t="str">
        <f>TEXT('MYP Assumptions'!E58,"0.00%")&amp;", projected PERS rate"</f>
        <v>15.53%, projected PERS rate</v>
      </c>
      <c r="J45" s="455"/>
      <c r="K45" s="456" t="str">
        <f t="shared" si="18"/>
        <v>0.00%</v>
      </c>
      <c r="L45" s="340">
        <f>ROUND(L41*LEFT(M45,6),0)</f>
        <v>0</v>
      </c>
      <c r="M45" s="899" t="str">
        <f>TEXT('MYP Assumptions'!F58,"0.00%")&amp;", projected PERS rate"</f>
        <v>18.06%, projected PERS rate</v>
      </c>
      <c r="O45" s="456" t="str">
        <f t="shared" si="19"/>
        <v>0.00%</v>
      </c>
      <c r="P45" s="340">
        <f>ROUND(P41*LEFT(Q45,6),0)</f>
        <v>0</v>
      </c>
      <c r="Q45" s="899" t="str">
        <f>TEXT('MYP Assumptions'!G58,"0.00%")&amp;", projected PERS rate"</f>
        <v>20.80%, projected PERS rate</v>
      </c>
      <c r="R45" s="592"/>
      <c r="S45" s="2238" t="str">
        <f t="shared" si="20"/>
        <v>0.00%</v>
      </c>
      <c r="T45" s="340">
        <f>ROUND(T41*LEFT(U45,6),0)</f>
        <v>0</v>
      </c>
      <c r="U45" s="953" t="str">
        <f>TEXT('MYP Assumptions'!H58,"0.00%")&amp;", projected PERS rate"</f>
        <v>23.50%, projected PERS rate</v>
      </c>
      <c r="V45" s="952"/>
      <c r="W45" s="2241" t="str">
        <f t="shared" si="21"/>
        <v>0.00%</v>
      </c>
      <c r="X45" s="340">
        <f>ROUND(X41*LEFT(Y45,6),0)</f>
        <v>0</v>
      </c>
      <c r="Y45" s="953" t="str">
        <f>TEXT('MYP Assumptions'!I58,"0.00%")&amp;", projected PERS rate"</f>
        <v>24.60%, projected PERS rate</v>
      </c>
      <c r="AA45" s="456" t="str">
        <f t="shared" si="22"/>
        <v>0.00%</v>
      </c>
      <c r="AB45" s="340" t="e">
        <f>ROUND(AB41*LEFT(AC45,6),0)</f>
        <v>#VALUE!</v>
      </c>
      <c r="AC45" s="953" t="str">
        <f>TEXT('MYP Assumptions'!J58,"0.00%")&amp;", projected PERS rate"</f>
        <v>0.00%, projected PERS rate</v>
      </c>
    </row>
    <row r="46" spans="1:29" s="457" customFormat="1" hidden="1" x14ac:dyDescent="0.25">
      <c r="A46" s="897"/>
      <c r="B46" s="2385" t="s">
        <v>85</v>
      </c>
      <c r="C46" s="1656" t="s">
        <v>78</v>
      </c>
      <c r="D46" s="340">
        <v>0</v>
      </c>
      <c r="E46" s="899" t="str">
        <f>TEXT('MYP Assumptions'!$D$60,"0.00%")&amp;", SS rate"</f>
        <v>6.20%, SS rate</v>
      </c>
      <c r="F46" s="340"/>
      <c r="G46" s="456" t="str">
        <f t="shared" si="17"/>
        <v>0.00%</v>
      </c>
      <c r="H46" s="340">
        <f>ROUND(H41*LEFT(I46,5),0)</f>
        <v>0</v>
      </c>
      <c r="I46" s="899" t="str">
        <f>TEXT('MYP Assumptions'!E60,"0.00%")&amp;", no rate change"</f>
        <v>6.20%, no rate change</v>
      </c>
      <c r="J46" s="455"/>
      <c r="K46" s="456" t="str">
        <f t="shared" si="18"/>
        <v>0.00%</v>
      </c>
      <c r="L46" s="340">
        <f>ROUND(L41*LEFT(M46,5),0)</f>
        <v>0</v>
      </c>
      <c r="M46" s="899" t="str">
        <f>TEXT('MYP Assumptions'!F60,"0.00%")&amp;", no rate change"</f>
        <v>6.20%, no rate change</v>
      </c>
      <c r="O46" s="456" t="str">
        <f t="shared" si="19"/>
        <v>0.00%</v>
      </c>
      <c r="P46" s="340">
        <f>ROUND(P41*LEFT(Q46,5),0)</f>
        <v>0</v>
      </c>
      <c r="Q46" s="899" t="str">
        <f>TEXT('MYP Assumptions'!G60,"0.00%")&amp;", no rate change"</f>
        <v>6.20%, no rate change</v>
      </c>
      <c r="R46" s="592"/>
      <c r="S46" s="2238" t="str">
        <f t="shared" si="20"/>
        <v>0.00%</v>
      </c>
      <c r="T46" s="340">
        <f>ROUND(T41*LEFT(U46,5),0)</f>
        <v>0</v>
      </c>
      <c r="U46" s="953" t="str">
        <f>TEXT('MYP Assumptions'!H60,"0.00%")&amp;", no rate change"</f>
        <v>6.20%, no rate change</v>
      </c>
      <c r="V46" s="952"/>
      <c r="W46" s="2241" t="str">
        <f t="shared" si="21"/>
        <v>0.00%</v>
      </c>
      <c r="X46" s="340">
        <f>ROUND(X41*LEFT(Y46,5),0)</f>
        <v>0</v>
      </c>
      <c r="Y46" s="953" t="str">
        <f>TEXT('MYP Assumptions'!I60,"0.00%")&amp;", no rate change"</f>
        <v>6.20%, no rate change</v>
      </c>
      <c r="AA46" s="456" t="str">
        <f t="shared" si="22"/>
        <v>0.00%</v>
      </c>
      <c r="AB46" s="340">
        <f>ROUND(AB41*LEFT(AC46,5),0)</f>
        <v>0</v>
      </c>
      <c r="AC46" s="953" t="str">
        <f>TEXT('MYP Assumptions'!J60,"0.00%")&amp;", no rate change"</f>
        <v>0.00%, no rate change</v>
      </c>
    </row>
    <row r="47" spans="1:29" s="457" customFormat="1" hidden="1" x14ac:dyDescent="0.25">
      <c r="A47" s="897"/>
      <c r="B47" s="2385" t="s">
        <v>86</v>
      </c>
      <c r="C47" s="1656" t="s">
        <v>79</v>
      </c>
      <c r="D47" s="340">
        <v>0</v>
      </c>
      <c r="E47" s="899" t="str">
        <f>TEXT('MYP Assumptions'!$D$61,"0.00%")&amp;", Medicare rate"</f>
        <v>1.45%, Medicare rate</v>
      </c>
      <c r="F47" s="340"/>
      <c r="G47" s="456" t="str">
        <f t="shared" si="17"/>
        <v>0.00%</v>
      </c>
      <c r="H47" s="340">
        <f>ROUND((H41+H30)*LEFT(I47,5),0)</f>
        <v>0</v>
      </c>
      <c r="I47" s="899" t="str">
        <f>TEXT('MYP Assumptions'!E61,"0.00%")&amp;", no rate change"</f>
        <v>1.45%, no rate change</v>
      </c>
      <c r="J47" s="455"/>
      <c r="K47" s="456" t="str">
        <f t="shared" si="18"/>
        <v>0.00%</v>
      </c>
      <c r="L47" s="340">
        <f>ROUND((L41+L30)*LEFT(M47,5),0)</f>
        <v>0</v>
      </c>
      <c r="M47" s="899" t="str">
        <f>TEXT('MYP Assumptions'!F61,"0.00%")&amp;", no rate change"</f>
        <v>1.45%, no rate change</v>
      </c>
      <c r="O47" s="456" t="str">
        <f t="shared" si="19"/>
        <v>0.00%</v>
      </c>
      <c r="P47" s="340">
        <f>ROUND((P41+P30)*LEFT(Q47,5),0)</f>
        <v>0</v>
      </c>
      <c r="Q47" s="899" t="str">
        <f>TEXT('MYP Assumptions'!G61,"0.00%")&amp;", no rate change"</f>
        <v>1.45%, no rate change</v>
      </c>
      <c r="R47" s="592"/>
      <c r="S47" s="2238" t="str">
        <f t="shared" si="20"/>
        <v>0.00%</v>
      </c>
      <c r="T47" s="340">
        <f>ROUND((T41+T30)*LEFT(U47,5),0)</f>
        <v>0</v>
      </c>
      <c r="U47" s="953" t="str">
        <f>TEXT('MYP Assumptions'!H61,"0.00%")&amp;", no rate change"</f>
        <v>1.45%, no rate change</v>
      </c>
      <c r="V47" s="952"/>
      <c r="W47" s="2241" t="str">
        <f t="shared" si="21"/>
        <v>0.00%</v>
      </c>
      <c r="X47" s="340">
        <f>ROUND((X41+X30)*LEFT(Y47,5),0)</f>
        <v>0</v>
      </c>
      <c r="Y47" s="953" t="str">
        <f>TEXT('MYP Assumptions'!I61,"0.00%")&amp;", no rate change"</f>
        <v>1.45%, no rate change</v>
      </c>
      <c r="AA47" s="456" t="str">
        <f t="shared" si="22"/>
        <v>0.00%</v>
      </c>
      <c r="AB47" s="340">
        <f>ROUND((AB41+AB30)*LEFT(AC47,5),0)</f>
        <v>0</v>
      </c>
      <c r="AC47" s="953" t="str">
        <f>TEXT('MYP Assumptions'!J61,"0.00%")&amp;", no rate change"</f>
        <v>0.00%, no rate change</v>
      </c>
    </row>
    <row r="48" spans="1:29" s="457" customFormat="1" hidden="1" x14ac:dyDescent="0.25">
      <c r="A48" s="897"/>
      <c r="B48" s="2385" t="s">
        <v>87</v>
      </c>
      <c r="C48" s="1656" t="s">
        <v>80</v>
      </c>
      <c r="D48" s="340">
        <v>0</v>
      </c>
      <c r="E48" s="899"/>
      <c r="F48" s="340"/>
      <c r="G48" s="456" t="str">
        <f t="shared" si="17"/>
        <v>0.00%</v>
      </c>
      <c r="H48" s="340">
        <f>ROUND((D48)*(LEFT(I48,5)+1),0)</f>
        <v>0</v>
      </c>
      <c r="I48" s="899" t="str">
        <f>TEXT('MYP Assumptions'!$I$68,"0.00%")&amp;", projected increase"</f>
        <v>5.00%, projected increase</v>
      </c>
      <c r="J48" s="455"/>
      <c r="K48" s="456" t="str">
        <f t="shared" si="18"/>
        <v>0.00%</v>
      </c>
      <c r="L48" s="340">
        <f>ROUND((H48)*(LEFT(M48,5)+1),0)</f>
        <v>0</v>
      </c>
      <c r="M48" s="899" t="str">
        <f>TEXT('MYP Assumptions'!$I$68,"0.00%")&amp;", projected increase"</f>
        <v>5.00%, projected increase</v>
      </c>
      <c r="O48" s="456" t="str">
        <f t="shared" si="19"/>
        <v>0.00%</v>
      </c>
      <c r="P48" s="340">
        <f>ROUND((L48)*(LEFT(Q48,5)+1),0)</f>
        <v>0</v>
      </c>
      <c r="Q48" s="899" t="str">
        <f>TEXT('MYP Assumptions'!$I$68,"0.00%")&amp;", projected increase"</f>
        <v>5.00%, projected increase</v>
      </c>
      <c r="R48" s="592"/>
      <c r="S48" s="2238" t="str">
        <f t="shared" si="20"/>
        <v>0.00%</v>
      </c>
      <c r="T48" s="340">
        <f>ROUND((P48)*(LEFT(U48,5)+1),0)</f>
        <v>0</v>
      </c>
      <c r="U48" s="953" t="str">
        <f>TEXT('MYP Assumptions'!$I$68,"0.00%")&amp;", projected increase"</f>
        <v>5.00%, projected increase</v>
      </c>
      <c r="V48" s="952"/>
      <c r="W48" s="2241" t="str">
        <f t="shared" si="21"/>
        <v>0.00%</v>
      </c>
      <c r="X48" s="340">
        <f>ROUND((T48)*(LEFT(Y48,5)+1),0)</f>
        <v>0</v>
      </c>
      <c r="Y48" s="953" t="str">
        <f>TEXT('MYP Assumptions'!$I$68,"0.00%")&amp;", projected increase"</f>
        <v>5.00%, projected increase</v>
      </c>
      <c r="AA48" s="456" t="str">
        <f t="shared" si="22"/>
        <v>0.00%</v>
      </c>
      <c r="AB48" s="340">
        <f>ROUND((X48)*(LEFT(AC48,5)+1),0)</f>
        <v>0</v>
      </c>
      <c r="AC48" s="953" t="str">
        <f>TEXT('MYP Assumptions'!$I$68,"0.00%")&amp;", projected increase"</f>
        <v>5.00%, projected increase</v>
      </c>
    </row>
    <row r="49" spans="1:29" s="457" customFormat="1" hidden="1" x14ac:dyDescent="0.25">
      <c r="A49" s="897"/>
      <c r="B49" s="2385" t="s">
        <v>88</v>
      </c>
      <c r="C49" s="1656" t="s">
        <v>81</v>
      </c>
      <c r="D49" s="340">
        <v>0</v>
      </c>
      <c r="E49" s="899" t="str">
        <f>TEXT('MYP Assumptions'!$D$62,"0.00%")&amp;", SUI rate"</f>
        <v>0.05%, SUI rate</v>
      </c>
      <c r="F49" s="340"/>
      <c r="G49" s="456" t="str">
        <f t="shared" si="17"/>
        <v>0.00%</v>
      </c>
      <c r="H49" s="340">
        <f>ROUND((H41+H30)*LEFT(I49,5),0)</f>
        <v>0</v>
      </c>
      <c r="I49" s="899" t="str">
        <f>TEXT('MYP Assumptions'!E62,"0.00%")&amp;", no rate change"</f>
        <v>0.05%, no rate change</v>
      </c>
      <c r="J49" s="455"/>
      <c r="K49" s="456" t="str">
        <f t="shared" si="18"/>
        <v>0.00%</v>
      </c>
      <c r="L49" s="340">
        <f>ROUND((L41+L30)*LEFT(M49,5),0)</f>
        <v>0</v>
      </c>
      <c r="M49" s="899" t="str">
        <f>TEXT('MYP Assumptions'!F62,"0.00%")&amp;", no rate change"</f>
        <v>0.05%, no rate change</v>
      </c>
      <c r="O49" s="456" t="str">
        <f t="shared" si="19"/>
        <v>0.00%</v>
      </c>
      <c r="P49" s="340">
        <f>ROUND((P41+P30)*LEFT(Q49,5),0)</f>
        <v>0</v>
      </c>
      <c r="Q49" s="899" t="str">
        <f>TEXT('MYP Assumptions'!G62,"0.00%")&amp;", no rate change"</f>
        <v>0.05%, no rate change</v>
      </c>
      <c r="R49" s="592"/>
      <c r="S49" s="2238" t="str">
        <f t="shared" si="20"/>
        <v>0.00%</v>
      </c>
      <c r="T49" s="340">
        <f>ROUND((T41+T30)*LEFT(U49,5),0)</f>
        <v>0</v>
      </c>
      <c r="U49" s="953" t="str">
        <f>TEXT('MYP Assumptions'!H62,"0.00%")&amp;", no rate change"</f>
        <v>0.05%, no rate change</v>
      </c>
      <c r="V49" s="952"/>
      <c r="W49" s="2241" t="str">
        <f t="shared" si="21"/>
        <v>0.00%</v>
      </c>
      <c r="X49" s="340">
        <f>ROUND((X41+X30)*LEFT(Y49,5),0)</f>
        <v>0</v>
      </c>
      <c r="Y49" s="953" t="str">
        <f>TEXT('MYP Assumptions'!I62,"0.00%")&amp;", no rate change"</f>
        <v>0.05%, no rate change</v>
      </c>
      <c r="AA49" s="456" t="str">
        <f t="shared" si="22"/>
        <v>0.00%</v>
      </c>
      <c r="AB49" s="340">
        <f>ROUND((AB41+AB30)*LEFT(AC49,5),0)</f>
        <v>0</v>
      </c>
      <c r="AC49" s="953" t="str">
        <f>TEXT('MYP Assumptions'!J62,"0.00%")&amp;", no rate change"</f>
        <v>0.00%, no rate change</v>
      </c>
    </row>
    <row r="50" spans="1:29" s="457" customFormat="1" hidden="1" x14ac:dyDescent="0.25">
      <c r="A50" s="897"/>
      <c r="B50" s="2385" t="s">
        <v>89</v>
      </c>
      <c r="C50" s="1656" t="s">
        <v>82</v>
      </c>
      <c r="D50" s="340">
        <v>0</v>
      </c>
      <c r="E50" s="899" t="str">
        <f>TEXT('MYP Assumptions'!$D$63,"0.00%")&amp;", W/C rate"</f>
        <v>1.10%, W/C rate</v>
      </c>
      <c r="F50" s="340"/>
      <c r="G50" s="456" t="str">
        <f t="shared" si="17"/>
        <v>0.00%</v>
      </c>
      <c r="H50" s="340">
        <f>ROUND((H41+H30)*LEFT(I50,5),0)</f>
        <v>0</v>
      </c>
      <c r="I50" s="899" t="str">
        <f>TEXT('MYP Assumptions'!E63,"0.00%")&amp;", no rate change"</f>
        <v>0.80%, no rate change</v>
      </c>
      <c r="J50" s="455"/>
      <c r="K50" s="456" t="str">
        <f t="shared" si="18"/>
        <v>0.00%</v>
      </c>
      <c r="L50" s="340">
        <f>ROUND((L41+L30)*LEFT(M50,5),0)</f>
        <v>0</v>
      </c>
      <c r="M50" s="899" t="str">
        <f>TEXT('MYP Assumptions'!F63,"0.00%")&amp;", no rate change"</f>
        <v>0.80%, no rate change</v>
      </c>
      <c r="O50" s="456" t="str">
        <f t="shared" si="19"/>
        <v>0.00%</v>
      </c>
      <c r="P50" s="340">
        <f>ROUND((P41+P30)*LEFT(Q50,5),0)</f>
        <v>0</v>
      </c>
      <c r="Q50" s="899" t="str">
        <f>TEXT('MYP Assumptions'!G63,"0.00%")&amp;", no rate change"</f>
        <v>0.80%, no rate change</v>
      </c>
      <c r="R50" s="592"/>
      <c r="S50" s="2238" t="str">
        <f t="shared" si="20"/>
        <v>0.00%</v>
      </c>
      <c r="T50" s="340">
        <f>ROUND((T41+T30)*LEFT(U50,5),0)</f>
        <v>0</v>
      </c>
      <c r="U50" s="953" t="str">
        <f>TEXT('MYP Assumptions'!H63,"0.00%")&amp;", no rate change"</f>
        <v>0.80%, no rate change</v>
      </c>
      <c r="V50" s="952"/>
      <c r="W50" s="2241" t="str">
        <f t="shared" si="21"/>
        <v>0.00%</v>
      </c>
      <c r="X50" s="340">
        <f>ROUND((X41+X30)*LEFT(Y50,5),0)</f>
        <v>0</v>
      </c>
      <c r="Y50" s="953" t="str">
        <f>TEXT('MYP Assumptions'!I63,"0.00%")&amp;", no rate change"</f>
        <v>0.80%, no rate change</v>
      </c>
      <c r="AA50" s="456" t="str">
        <f t="shared" si="22"/>
        <v>0.00%</v>
      </c>
      <c r="AB50" s="340">
        <f>ROUND((AB41+AB30)*LEFT(AC50,5),0)</f>
        <v>0</v>
      </c>
      <c r="AC50" s="953" t="str">
        <f>TEXT('MYP Assumptions'!J63,"0.00%")&amp;", no rate change"</f>
        <v>0.00%, no rate change</v>
      </c>
    </row>
    <row r="51" spans="1:29" s="457" customFormat="1" hidden="1" x14ac:dyDescent="0.25">
      <c r="A51" s="897"/>
      <c r="B51" s="2385" t="s">
        <v>90</v>
      </c>
      <c r="C51" s="1656" t="s">
        <v>92</v>
      </c>
      <c r="D51" s="340">
        <v>0</v>
      </c>
      <c r="E51" s="2386"/>
      <c r="F51" s="340"/>
      <c r="G51" s="456" t="str">
        <f t="shared" si="17"/>
        <v>0.00%</v>
      </c>
      <c r="H51" s="340">
        <f>D51</f>
        <v>0</v>
      </c>
      <c r="I51" s="899" t="s">
        <v>165</v>
      </c>
      <c r="J51" s="455"/>
      <c r="K51" s="456" t="str">
        <f t="shared" si="18"/>
        <v>0.00%</v>
      </c>
      <c r="L51" s="340">
        <f>H51</f>
        <v>0</v>
      </c>
      <c r="M51" s="899" t="s">
        <v>165</v>
      </c>
      <c r="O51" s="456" t="str">
        <f t="shared" si="19"/>
        <v>0.00%</v>
      </c>
      <c r="P51" s="340">
        <f>L51</f>
        <v>0</v>
      </c>
      <c r="Q51" s="899" t="s">
        <v>165</v>
      </c>
      <c r="R51" s="592"/>
      <c r="S51" s="2238" t="str">
        <f t="shared" si="20"/>
        <v>0.00%</v>
      </c>
      <c r="T51" s="340">
        <f>P51</f>
        <v>0</v>
      </c>
      <c r="U51" s="953" t="s">
        <v>165</v>
      </c>
      <c r="V51" s="952"/>
      <c r="W51" s="2241" t="str">
        <f t="shared" si="21"/>
        <v>0.00%</v>
      </c>
      <c r="X51" s="340">
        <f>T51</f>
        <v>0</v>
      </c>
      <c r="Y51" s="953" t="s">
        <v>165</v>
      </c>
      <c r="AA51" s="456" t="str">
        <f t="shared" si="22"/>
        <v>0.00%</v>
      </c>
      <c r="AB51" s="340">
        <f>X51</f>
        <v>0</v>
      </c>
      <c r="AC51" s="953" t="s">
        <v>165</v>
      </c>
    </row>
    <row r="52" spans="1:29" s="457" customFormat="1" hidden="1" x14ac:dyDescent="0.25">
      <c r="A52" s="897"/>
      <c r="B52" s="2385" t="s">
        <v>91</v>
      </c>
      <c r="C52" s="1656" t="s">
        <v>93</v>
      </c>
      <c r="D52" s="340">
        <v>0</v>
      </c>
      <c r="E52" s="2386"/>
      <c r="F52" s="340"/>
      <c r="G52" s="456" t="str">
        <f t="shared" si="17"/>
        <v>0.00%</v>
      </c>
      <c r="H52" s="340">
        <f>D52</f>
        <v>0</v>
      </c>
      <c r="I52" s="899" t="s">
        <v>165</v>
      </c>
      <c r="J52" s="455"/>
      <c r="K52" s="456" t="str">
        <f t="shared" si="18"/>
        <v>0.00%</v>
      </c>
      <c r="L52" s="340">
        <f>H52</f>
        <v>0</v>
      </c>
      <c r="M52" s="899" t="s">
        <v>165</v>
      </c>
      <c r="O52" s="456" t="str">
        <f t="shared" si="19"/>
        <v>0.00%</v>
      </c>
      <c r="P52" s="340">
        <f>L52</f>
        <v>0</v>
      </c>
      <c r="Q52" s="899" t="s">
        <v>165</v>
      </c>
      <c r="R52" s="592"/>
      <c r="S52" s="2238" t="str">
        <f t="shared" si="20"/>
        <v>0.00%</v>
      </c>
      <c r="T52" s="340">
        <f>P52</f>
        <v>0</v>
      </c>
      <c r="U52" s="953" t="s">
        <v>165</v>
      </c>
      <c r="V52" s="952"/>
      <c r="W52" s="2241" t="str">
        <f t="shared" si="21"/>
        <v>0.00%</v>
      </c>
      <c r="X52" s="340">
        <f>T52</f>
        <v>0</v>
      </c>
      <c r="Y52" s="953" t="s">
        <v>165</v>
      </c>
      <c r="AA52" s="456" t="str">
        <f t="shared" si="22"/>
        <v>0.00%</v>
      </c>
      <c r="AB52" s="340">
        <f>X52</f>
        <v>0</v>
      </c>
      <c r="AC52" s="953" t="s">
        <v>165</v>
      </c>
    </row>
    <row r="53" spans="1:29" s="457" customFormat="1" hidden="1" x14ac:dyDescent="0.25">
      <c r="A53" s="898"/>
      <c r="B53" s="2385"/>
      <c r="C53" s="1656"/>
      <c r="D53" s="458">
        <f>SUM(D44:D52)</f>
        <v>0</v>
      </c>
      <c r="E53" s="2386"/>
      <c r="F53" s="340"/>
      <c r="G53" s="456" t="str">
        <f t="shared" si="17"/>
        <v>0.00%</v>
      </c>
      <c r="H53" s="458">
        <f>SUM(H44:H52)</f>
        <v>0</v>
      </c>
      <c r="I53" s="898"/>
      <c r="J53" s="459"/>
      <c r="K53" s="456" t="str">
        <f t="shared" si="18"/>
        <v>0.00%</v>
      </c>
      <c r="L53" s="458">
        <f>SUM(L44:L52)</f>
        <v>0</v>
      </c>
      <c r="M53" s="901"/>
      <c r="O53" s="456" t="str">
        <f t="shared" si="19"/>
        <v>0.00%</v>
      </c>
      <c r="P53" s="458">
        <f>SUM(P44:P52)</f>
        <v>0</v>
      </c>
      <c r="Q53" s="901"/>
      <c r="R53" s="592"/>
      <c r="S53" s="2238" t="str">
        <f t="shared" si="20"/>
        <v>0.00%</v>
      </c>
      <c r="T53" s="458">
        <f>SUM(T44:T52)</f>
        <v>0</v>
      </c>
      <c r="U53" s="2344"/>
      <c r="V53" s="952"/>
      <c r="W53" s="2241" t="str">
        <f t="shared" si="21"/>
        <v>0.00%</v>
      </c>
      <c r="X53" s="458">
        <f>SUM(X44:X52)</f>
        <v>0</v>
      </c>
      <c r="Y53" s="2344"/>
      <c r="AA53" s="456" t="str">
        <f t="shared" si="22"/>
        <v>0.00%</v>
      </c>
      <c r="AB53" s="458" t="e">
        <f>SUM(AB44:AB52)</f>
        <v>#VALUE!</v>
      </c>
      <c r="AC53" s="2344"/>
    </row>
    <row r="54" spans="1:29" s="457" customFormat="1" hidden="1" x14ac:dyDescent="0.25">
      <c r="A54" s="868"/>
      <c r="B54" s="2385"/>
      <c r="C54" s="1656"/>
      <c r="D54" s="340"/>
      <c r="E54" s="2386"/>
      <c r="F54" s="340"/>
      <c r="G54" s="2338"/>
      <c r="H54" s="340"/>
      <c r="I54" s="897"/>
      <c r="J54" s="455"/>
      <c r="K54" s="1668"/>
      <c r="L54" s="340"/>
      <c r="M54" s="901"/>
      <c r="O54" s="1668"/>
      <c r="P54" s="340"/>
      <c r="Q54" s="901"/>
      <c r="R54" s="592"/>
      <c r="S54" s="2341"/>
      <c r="T54" s="340"/>
      <c r="U54" s="2344"/>
      <c r="V54" s="952"/>
      <c r="W54" s="2343"/>
      <c r="X54" s="340"/>
      <c r="Y54" s="2344"/>
      <c r="AA54" s="1668"/>
      <c r="AB54" s="340"/>
      <c r="AC54" s="2344"/>
    </row>
    <row r="55" spans="1:29" s="457" customFormat="1" hidden="1" x14ac:dyDescent="0.25">
      <c r="A55" s="898"/>
      <c r="B55" s="2337" t="s">
        <v>26</v>
      </c>
      <c r="C55" s="1656"/>
      <c r="D55" s="458">
        <f>SUM(D53,D41,D30)</f>
        <v>0</v>
      </c>
      <c r="E55" s="2386"/>
      <c r="F55" s="340"/>
      <c r="G55" s="456" t="str">
        <f>IF(D55=0,"0.00%",(H55-D55)/D55)</f>
        <v>0.00%</v>
      </c>
      <c r="H55" s="458">
        <f>SUM(H53,H41,H30)</f>
        <v>0</v>
      </c>
      <c r="I55" s="898"/>
      <c r="J55" s="459"/>
      <c r="K55" s="456" t="str">
        <f>IF(H55=0,"0.00%",(L55-H55)/H55)</f>
        <v>0.00%</v>
      </c>
      <c r="L55" s="458">
        <f>SUM(L53,L41,L30)</f>
        <v>0</v>
      </c>
      <c r="M55" s="901"/>
      <c r="O55" s="456" t="str">
        <f>IF(L55=0,"0.00%",(P55-L55)/L55)</f>
        <v>0.00%</v>
      </c>
      <c r="P55" s="458">
        <f>SUM(P53,P41,P30)</f>
        <v>0</v>
      </c>
      <c r="Q55" s="901"/>
      <c r="R55" s="592"/>
      <c r="S55" s="2238" t="str">
        <f>IF(P55=0,"0.00%",(T55-P55)/P55)</f>
        <v>0.00%</v>
      </c>
      <c r="T55" s="458">
        <f>SUM(T53,T41,T30)</f>
        <v>0</v>
      </c>
      <c r="U55" s="2344"/>
      <c r="V55" s="952"/>
      <c r="W55" s="2241" t="str">
        <f>IF(T55=0,"0.00%",(X55-T55)/T55)</f>
        <v>0.00%</v>
      </c>
      <c r="X55" s="458">
        <f>SUM(X53,X41,X30)</f>
        <v>0</v>
      </c>
      <c r="Y55" s="2344"/>
      <c r="AA55" s="456" t="str">
        <f>IF(X55=0,"0.00%",(AB55-X55)/X55)</f>
        <v>0.00%</v>
      </c>
      <c r="AB55" s="458" t="e">
        <f>SUM(AB53,AB41,AB30)</f>
        <v>#VALUE!</v>
      </c>
      <c r="AC55" s="2344"/>
    </row>
    <row r="56" spans="1:29" s="457" customFormat="1" hidden="1" x14ac:dyDescent="0.25">
      <c r="A56" s="2339"/>
      <c r="B56" s="2345"/>
      <c r="C56" s="1656"/>
      <c r="D56" s="340"/>
      <c r="E56" s="2386"/>
      <c r="F56" s="340"/>
      <c r="G56" s="2338"/>
      <c r="H56" s="340"/>
      <c r="I56" s="897"/>
      <c r="J56" s="455"/>
      <c r="K56" s="1668"/>
      <c r="L56" s="340"/>
      <c r="M56" s="901"/>
      <c r="O56" s="1668"/>
      <c r="P56" s="340"/>
      <c r="Q56" s="901"/>
      <c r="R56" s="592"/>
      <c r="S56" s="2341"/>
      <c r="T56" s="340"/>
      <c r="U56" s="2344"/>
      <c r="V56" s="952"/>
      <c r="W56" s="2343"/>
      <c r="X56" s="340"/>
      <c r="Y56" s="2344"/>
      <c r="AA56" s="1668"/>
      <c r="AB56" s="340"/>
      <c r="AC56" s="2344"/>
    </row>
    <row r="57" spans="1:29" s="457" customFormat="1" x14ac:dyDescent="0.25">
      <c r="A57" s="897"/>
      <c r="B57" s="2345"/>
      <c r="C57" s="1656"/>
      <c r="D57" s="340"/>
      <c r="E57" s="2386"/>
      <c r="F57" s="340"/>
      <c r="G57" s="2338"/>
      <c r="H57" s="340"/>
      <c r="I57" s="897"/>
      <c r="J57" s="455"/>
      <c r="K57" s="1668"/>
      <c r="L57" s="340"/>
      <c r="M57" s="901"/>
      <c r="O57" s="1668"/>
      <c r="P57" s="340"/>
      <c r="Q57" s="901"/>
      <c r="R57" s="592"/>
      <c r="S57" s="2341"/>
      <c r="T57" s="340"/>
      <c r="U57" s="2344"/>
      <c r="V57" s="952"/>
      <c r="W57" s="2343"/>
      <c r="X57" s="340"/>
      <c r="Y57" s="2344"/>
      <c r="AA57" s="1668"/>
      <c r="AB57" s="340"/>
      <c r="AC57" s="2344"/>
    </row>
    <row r="58" spans="1:29" s="457" customFormat="1" x14ac:dyDescent="0.25">
      <c r="A58" s="2339"/>
      <c r="B58" s="2440" t="s">
        <v>25</v>
      </c>
      <c r="C58" s="900"/>
      <c r="D58" s="340"/>
      <c r="E58" s="2386"/>
      <c r="F58" s="340"/>
      <c r="G58" s="2338"/>
      <c r="H58" s="340"/>
      <c r="I58" s="897"/>
      <c r="J58" s="455"/>
      <c r="K58" s="1668"/>
      <c r="L58" s="340"/>
      <c r="M58" s="901"/>
      <c r="O58" s="1668"/>
      <c r="P58" s="340"/>
      <c r="Q58" s="901"/>
      <c r="R58" s="592"/>
      <c r="S58" s="2341"/>
      <c r="T58" s="340"/>
      <c r="U58" s="2344"/>
      <c r="V58" s="952"/>
      <c r="W58" s="2343"/>
      <c r="X58" s="340"/>
      <c r="Y58" s="2344"/>
      <c r="AA58" s="1668"/>
      <c r="AB58" s="340"/>
      <c r="AC58" s="2344"/>
    </row>
    <row r="59" spans="1:29" s="457" customFormat="1" x14ac:dyDescent="0.25">
      <c r="A59" s="897"/>
      <c r="B59" s="2385">
        <v>4110</v>
      </c>
      <c r="C59" s="1656" t="s">
        <v>275</v>
      </c>
      <c r="D59" s="340">
        <v>587918.12</v>
      </c>
      <c r="E59" s="2386"/>
      <c r="F59" s="340"/>
      <c r="G59" s="456">
        <f t="shared" ref="G59:G62" si="23">IF(D59=0,"0.00%",(H59-D59)/D59)</f>
        <v>-0.38576480684078934</v>
      </c>
      <c r="H59" s="340">
        <v>361120</v>
      </c>
      <c r="I59" s="899" t="s">
        <v>772</v>
      </c>
      <c r="J59" s="455"/>
      <c r="K59" s="456">
        <f t="shared" ref="K59:K62" si="24">IF(H59=0,"0.00%",(L59-H59)/H59)</f>
        <v>-1</v>
      </c>
      <c r="L59" s="340">
        <v>0</v>
      </c>
      <c r="M59" s="899"/>
      <c r="O59" s="456" t="str">
        <f t="shared" ref="O59:O62" si="25">IF(L59=0,"0.00%",(P59-L59)/L59)</f>
        <v>0.00%</v>
      </c>
      <c r="P59" s="340">
        <v>1800000</v>
      </c>
      <c r="Q59" s="899"/>
      <c r="R59" s="592"/>
      <c r="S59" s="2238">
        <f t="shared" ref="S59:S62" si="26">IF(P59=0,"0.00%",(T59-P59)/P59)</f>
        <v>-1</v>
      </c>
      <c r="T59" s="340">
        <v>0</v>
      </c>
      <c r="U59" s="953"/>
      <c r="V59" s="952"/>
      <c r="W59" s="2241" t="str">
        <f t="shared" ref="W59:W62" si="27">IF(T59=0,"0.00%",(X59-T59)/T59)</f>
        <v>0.00%</v>
      </c>
      <c r="X59" s="340" t="e">
        <f>ROUND(T59*(LEFT(Y59,5)+1),0)</f>
        <v>#VALUE!</v>
      </c>
      <c r="Y59" s="953" t="s">
        <v>276</v>
      </c>
      <c r="AA59" s="456" t="e">
        <f t="shared" ref="AA59:AA62" si="28">IF(X59=0,"0.00%",(AB59-X59)/X59)</f>
        <v>#VALUE!</v>
      </c>
      <c r="AB59" s="340" t="e">
        <f>ROUND(X59*(LEFT(AC59,5)+1),0)</f>
        <v>#VALUE!</v>
      </c>
      <c r="AC59" s="953" t="s">
        <v>276</v>
      </c>
    </row>
    <row r="60" spans="1:29" s="457" customFormat="1" x14ac:dyDescent="0.25">
      <c r="A60" s="897"/>
      <c r="B60" s="2385">
        <v>4310</v>
      </c>
      <c r="C60" s="1656" t="s">
        <v>274</v>
      </c>
      <c r="D60" s="340">
        <v>52126.02</v>
      </c>
      <c r="E60" s="2386"/>
      <c r="F60" s="340"/>
      <c r="G60" s="456">
        <f t="shared" si="23"/>
        <v>-7.7892000962282715E-3</v>
      </c>
      <c r="H60" s="340">
        <v>51720</v>
      </c>
      <c r="I60" s="899" t="s">
        <v>173</v>
      </c>
      <c r="J60" s="455"/>
      <c r="K60" s="456">
        <f t="shared" si="24"/>
        <v>1.3009667440061872</v>
      </c>
      <c r="L60" s="340">
        <v>119006</v>
      </c>
      <c r="M60" s="899"/>
      <c r="O60" s="456">
        <f t="shared" si="25"/>
        <v>0.68058753340167721</v>
      </c>
      <c r="P60" s="340">
        <v>200000</v>
      </c>
      <c r="Q60" s="899"/>
      <c r="R60" s="592"/>
      <c r="S60" s="2238">
        <f t="shared" si="26"/>
        <v>0.25</v>
      </c>
      <c r="T60" s="340">
        <v>250000</v>
      </c>
      <c r="U60" s="953"/>
      <c r="V60" s="952"/>
      <c r="W60" s="2241">
        <f t="shared" si="27"/>
        <v>0</v>
      </c>
      <c r="X60" s="340">
        <f>+T60</f>
        <v>250000</v>
      </c>
      <c r="Y60" s="953" t="s">
        <v>173</v>
      </c>
      <c r="AA60" s="456">
        <f t="shared" si="28"/>
        <v>0</v>
      </c>
      <c r="AB60" s="340">
        <f>+X60</f>
        <v>250000</v>
      </c>
      <c r="AC60" s="953" t="s">
        <v>173</v>
      </c>
    </row>
    <row r="61" spans="1:29" s="457" customFormat="1" x14ac:dyDescent="0.25">
      <c r="A61" s="897"/>
      <c r="B61" s="2385"/>
      <c r="C61" s="2348"/>
      <c r="D61" s="340"/>
      <c r="E61" s="2386"/>
      <c r="F61" s="340"/>
      <c r="G61" s="456"/>
      <c r="H61" s="340"/>
      <c r="I61" s="899"/>
      <c r="J61" s="455"/>
      <c r="K61" s="456"/>
      <c r="L61" s="340"/>
      <c r="M61" s="899"/>
      <c r="O61" s="456"/>
      <c r="P61" s="340"/>
      <c r="Q61" s="899"/>
      <c r="R61" s="592"/>
      <c r="S61" s="2238"/>
      <c r="T61" s="340"/>
      <c r="U61" s="953"/>
      <c r="V61" s="952"/>
      <c r="W61" s="2241"/>
      <c r="X61" s="340"/>
      <c r="Y61" s="953"/>
      <c r="AA61" s="456"/>
      <c r="AB61" s="340"/>
      <c r="AC61" s="953"/>
    </row>
    <row r="62" spans="1:29" s="457" customFormat="1" x14ac:dyDescent="0.25">
      <c r="A62" s="898"/>
      <c r="B62" s="2215"/>
      <c r="C62" s="1656"/>
      <c r="D62" s="458">
        <f>SUM(D59:D61)</f>
        <v>640044.14</v>
      </c>
      <c r="E62" s="2386"/>
      <c r="F62" s="340"/>
      <c r="G62" s="456">
        <f t="shared" si="23"/>
        <v>-0.35498198608614712</v>
      </c>
      <c r="H62" s="458">
        <f>SUM(H59:H61)</f>
        <v>412840</v>
      </c>
      <c r="I62" s="2316">
        <f>+H62-D62</f>
        <v>-227204.14</v>
      </c>
      <c r="J62" s="459"/>
      <c r="K62" s="456">
        <f t="shared" si="24"/>
        <v>-0.71173820366243579</v>
      </c>
      <c r="L62" s="458">
        <f>SUM(L59:L61)</f>
        <v>119006</v>
      </c>
      <c r="M62" s="2316">
        <f>+L62-H62</f>
        <v>-293834</v>
      </c>
      <c r="O62" s="456">
        <f t="shared" si="25"/>
        <v>15.805875334016772</v>
      </c>
      <c r="P62" s="458">
        <f>SUM(P59:P61)</f>
        <v>2000000</v>
      </c>
      <c r="Q62" s="2316">
        <f>+P62-L62</f>
        <v>1880994</v>
      </c>
      <c r="R62" s="592"/>
      <c r="S62" s="2238">
        <f t="shared" si="26"/>
        <v>-0.875</v>
      </c>
      <c r="T62" s="458">
        <f>SUM(T59:T61)</f>
        <v>250000</v>
      </c>
      <c r="U62" s="2344"/>
      <c r="V62" s="952"/>
      <c r="W62" s="2241" t="e">
        <f t="shared" si="27"/>
        <v>#VALUE!</v>
      </c>
      <c r="X62" s="458" t="e">
        <f>SUM(X59:X61)</f>
        <v>#VALUE!</v>
      </c>
      <c r="Y62" s="2344"/>
      <c r="AA62" s="456" t="e">
        <f t="shared" si="28"/>
        <v>#VALUE!</v>
      </c>
      <c r="AB62" s="458" t="e">
        <f>SUM(AB59:AB61)</f>
        <v>#VALUE!</v>
      </c>
      <c r="AC62" s="2344"/>
    </row>
    <row r="63" spans="1:29" s="457" customFormat="1" x14ac:dyDescent="0.25">
      <c r="A63" s="897"/>
      <c r="B63" s="2345"/>
      <c r="C63" s="1656"/>
      <c r="D63" s="340"/>
      <c r="E63" s="2386"/>
      <c r="F63" s="340"/>
      <c r="G63" s="2338"/>
      <c r="H63" s="340"/>
      <c r="I63" s="897"/>
      <c r="J63" s="455"/>
      <c r="K63" s="1668"/>
      <c r="L63" s="340"/>
      <c r="M63" s="901"/>
      <c r="O63" s="1668"/>
      <c r="P63" s="340"/>
      <c r="Q63" s="901"/>
      <c r="R63" s="592"/>
      <c r="S63" s="2341"/>
      <c r="T63" s="340"/>
      <c r="U63" s="2344"/>
      <c r="V63" s="952"/>
      <c r="W63" s="2343"/>
      <c r="X63" s="340"/>
      <c r="Y63" s="2344"/>
      <c r="AA63" s="1668"/>
      <c r="AB63" s="340"/>
      <c r="AC63" s="2344"/>
    </row>
    <row r="64" spans="1:29" s="461" customFormat="1" x14ac:dyDescent="0.25">
      <c r="A64" s="900"/>
      <c r="B64" s="2337" t="s">
        <v>16</v>
      </c>
      <c r="C64" s="900"/>
      <c r="D64" s="460"/>
      <c r="E64" s="868"/>
      <c r="F64" s="460"/>
      <c r="G64" s="2389"/>
      <c r="H64" s="460"/>
      <c r="I64" s="900"/>
      <c r="K64" s="1669"/>
      <c r="L64" s="460"/>
      <c r="M64" s="902"/>
      <c r="O64" s="1669"/>
      <c r="P64" s="460"/>
      <c r="Q64" s="902"/>
      <c r="S64" s="1669"/>
      <c r="U64" s="2392"/>
      <c r="V64" s="2381"/>
      <c r="W64" s="2382"/>
      <c r="Y64" s="2392"/>
      <c r="AA64" s="1669"/>
      <c r="AC64" s="2392"/>
    </row>
    <row r="65" spans="1:29" s="457" customFormat="1" hidden="1" x14ac:dyDescent="0.25">
      <c r="A65" s="897"/>
      <c r="B65" s="2385"/>
      <c r="C65" s="1656"/>
      <c r="D65" s="340">
        <v>0</v>
      </c>
      <c r="E65" s="2386"/>
      <c r="F65" s="340"/>
      <c r="G65" s="456" t="str">
        <f t="shared" ref="G65:G70" si="29">IF(D65=0,"0.00%",(H65-D65)/D65)</f>
        <v>0.00%</v>
      </c>
      <c r="H65" s="340">
        <f>ROUND(D65*(LEFT(I65,5)+1),0)</f>
        <v>0</v>
      </c>
      <c r="I65" s="899" t="str">
        <f>TEXT('MYP Assumptions'!E78,"0.00%")&amp;", CPI"</f>
        <v>3.37%, CPI</v>
      </c>
      <c r="J65" s="455"/>
      <c r="K65" s="456" t="str">
        <f t="shared" ref="K65:K78" si="30">IF(H65=0,"0.00%",(L65-H65)/H65)</f>
        <v>0.00%</v>
      </c>
      <c r="L65" s="340">
        <f>ROUND(H65*(LEFT(M65,5)+1),0)</f>
        <v>0</v>
      </c>
      <c r="M65" s="899" t="str">
        <f>TEXT('MYP Assumptions'!F78,"0.00%")&amp;", CPI"</f>
        <v>3.58%, CPI</v>
      </c>
      <c r="O65" s="456" t="str">
        <f t="shared" ref="O65:O78" si="31">IF(L65=0,"0.00%",(P65-L65)/L65)</f>
        <v>0.00%</v>
      </c>
      <c r="P65" s="340">
        <f>ROUND(L65*(LEFT(Q65,5)+1),0)</f>
        <v>0</v>
      </c>
      <c r="Q65" s="899" t="str">
        <f>TEXT('MYP Assumptions'!G78,"0.00%")&amp;", CPI"</f>
        <v>3.36%, CPI</v>
      </c>
      <c r="R65" s="592"/>
      <c r="S65" s="2238" t="str">
        <f t="shared" ref="S65:S78" si="32">IF(P65=0,"0.00%",(T65-P65)/P65)</f>
        <v>0.00%</v>
      </c>
      <c r="T65" s="340">
        <f>ROUND(P65*(LEFT(U65,5)+1),0)</f>
        <v>0</v>
      </c>
      <c r="U65" s="953" t="str">
        <f>TEXT('MYP Assumptions'!H78,"0.00%")&amp;", CPI"</f>
        <v>3.23%, CPI</v>
      </c>
      <c r="V65" s="952"/>
      <c r="W65" s="2241" t="str">
        <f t="shared" ref="W65:W78" si="33">IF(T65=0,"0.00%",(X65-T65)/T65)</f>
        <v>0.00%</v>
      </c>
      <c r="X65" s="340">
        <f>ROUND(T65*(LEFT(Y65,5)+1),0)</f>
        <v>0</v>
      </c>
      <c r="Y65" s="953" t="str">
        <f>TEXT('MYP Assumptions'!I78,"0.00%")&amp;", CPI"</f>
        <v>2.73%, CPI</v>
      </c>
      <c r="AA65" s="456" t="str">
        <f t="shared" ref="AA65:AA78" si="34">IF(X65=0,"0.00%",(AB65-X65)/X65)</f>
        <v>0.00%</v>
      </c>
      <c r="AB65" s="340">
        <f>ROUND(X65*(LEFT(AC65,5)+1),0)</f>
        <v>0</v>
      </c>
      <c r="AC65" s="953" t="str">
        <f>TEXT('MYP Assumptions'!J78,"0.00%")&amp;", CPI"</f>
        <v>2.73%, CPI</v>
      </c>
    </row>
    <row r="66" spans="1:29" s="457" customFormat="1" hidden="1" x14ac:dyDescent="0.25">
      <c r="A66" s="897"/>
      <c r="B66" s="2385"/>
      <c r="C66" s="1656"/>
      <c r="D66" s="340">
        <v>0</v>
      </c>
      <c r="E66" s="2386"/>
      <c r="F66" s="340"/>
      <c r="G66" s="456" t="str">
        <f t="shared" si="29"/>
        <v>0.00%</v>
      </c>
      <c r="H66" s="340">
        <f>ROUND(D66*(LEFT(I66,5)+1),0)</f>
        <v>0</v>
      </c>
      <c r="I66" s="899" t="str">
        <f>TEXT('MYP Assumptions'!E78,"0.00%")&amp;", CPI"</f>
        <v>3.37%, CPI</v>
      </c>
      <c r="J66" s="455"/>
      <c r="K66" s="456" t="str">
        <f t="shared" si="30"/>
        <v>0.00%</v>
      </c>
      <c r="L66" s="340">
        <f t="shared" ref="L66:L77" si="35">ROUND(H66*(LEFT(M66,5)+1),0)</f>
        <v>0</v>
      </c>
      <c r="M66" s="899" t="str">
        <f>TEXT('MYP Assumptions'!F78,"0.00%")&amp;", CPI"</f>
        <v>3.58%, CPI</v>
      </c>
      <c r="O66" s="456" t="str">
        <f t="shared" si="31"/>
        <v>0.00%</v>
      </c>
      <c r="P66" s="340">
        <f t="shared" ref="P66:P77" si="36">ROUND(L66*(LEFT(Q66,5)+1),0)</f>
        <v>0</v>
      </c>
      <c r="Q66" s="899" t="str">
        <f>TEXT('MYP Assumptions'!G78,"0.00%")&amp;", CPI"</f>
        <v>3.36%, CPI</v>
      </c>
      <c r="R66" s="592"/>
      <c r="S66" s="2238" t="str">
        <f t="shared" si="32"/>
        <v>0.00%</v>
      </c>
      <c r="T66" s="340">
        <f t="shared" ref="T66:T77" si="37">ROUND(P66*(LEFT(U66,5)+1),0)</f>
        <v>0</v>
      </c>
      <c r="U66" s="953" t="str">
        <f>TEXT('MYP Assumptions'!H78,"0.00%")&amp;", CPI"</f>
        <v>3.23%, CPI</v>
      </c>
      <c r="V66" s="952"/>
      <c r="W66" s="2241" t="str">
        <f t="shared" si="33"/>
        <v>0.00%</v>
      </c>
      <c r="X66" s="340">
        <f t="shared" ref="X66:X77" si="38">ROUND(T66*(LEFT(Y66,5)+1),0)</f>
        <v>0</v>
      </c>
      <c r="Y66" s="953" t="str">
        <f>TEXT('MYP Assumptions'!I78,"0.00%")&amp;", CPI"</f>
        <v>2.73%, CPI</v>
      </c>
      <c r="AA66" s="456" t="str">
        <f t="shared" si="34"/>
        <v>0.00%</v>
      </c>
      <c r="AB66" s="340">
        <f t="shared" ref="AB66:AB77" si="39">ROUND(X66*(LEFT(AC66,5)+1),0)</f>
        <v>0</v>
      </c>
      <c r="AC66" s="953" t="str">
        <f>TEXT('MYP Assumptions'!J78,"0.00%")&amp;", CPI"</f>
        <v>2.73%, CPI</v>
      </c>
    </row>
    <row r="67" spans="1:29" s="457" customFormat="1" hidden="1" x14ac:dyDescent="0.25">
      <c r="A67" s="897"/>
      <c r="B67" s="2385"/>
      <c r="C67" s="1656"/>
      <c r="D67" s="340">
        <v>0</v>
      </c>
      <c r="E67" s="2386"/>
      <c r="F67" s="340"/>
      <c r="G67" s="456" t="str">
        <f t="shared" si="29"/>
        <v>0.00%</v>
      </c>
      <c r="H67" s="340">
        <f t="shared" ref="H67:H72" si="40">ROUND(D67*(LEFT(I67,5)+1),0)</f>
        <v>0</v>
      </c>
      <c r="I67" s="899" t="str">
        <f>TEXT('MYP Assumptions'!E78,"0.00%")&amp;", CPI"</f>
        <v>3.37%, CPI</v>
      </c>
      <c r="J67" s="455"/>
      <c r="K67" s="456" t="str">
        <f t="shared" si="30"/>
        <v>0.00%</v>
      </c>
      <c r="L67" s="340">
        <f t="shared" si="35"/>
        <v>0</v>
      </c>
      <c r="M67" s="899" t="str">
        <f>TEXT('MYP Assumptions'!F78,"0.00%")&amp;", CPI"</f>
        <v>3.58%, CPI</v>
      </c>
      <c r="O67" s="456" t="str">
        <f t="shared" si="31"/>
        <v>0.00%</v>
      </c>
      <c r="P67" s="340">
        <f t="shared" si="36"/>
        <v>0</v>
      </c>
      <c r="Q67" s="899" t="str">
        <f>TEXT('MYP Assumptions'!G78,"0.00%")&amp;", CPI"</f>
        <v>3.36%, CPI</v>
      </c>
      <c r="R67" s="592"/>
      <c r="S67" s="2238" t="str">
        <f t="shared" si="32"/>
        <v>0.00%</v>
      </c>
      <c r="T67" s="340">
        <f t="shared" si="37"/>
        <v>0</v>
      </c>
      <c r="U67" s="953" t="str">
        <f>TEXT('MYP Assumptions'!H78,"0.00%")&amp;", CPI"</f>
        <v>3.23%, CPI</v>
      </c>
      <c r="V67" s="952"/>
      <c r="W67" s="2241" t="str">
        <f t="shared" si="33"/>
        <v>0.00%</v>
      </c>
      <c r="X67" s="340">
        <f t="shared" si="38"/>
        <v>0</v>
      </c>
      <c r="Y67" s="953" t="str">
        <f>TEXT('MYP Assumptions'!I78,"0.00%")&amp;", CPI"</f>
        <v>2.73%, CPI</v>
      </c>
      <c r="AA67" s="456" t="str">
        <f t="shared" si="34"/>
        <v>0.00%</v>
      </c>
      <c r="AB67" s="340">
        <f t="shared" si="39"/>
        <v>0</v>
      </c>
      <c r="AC67" s="953" t="str">
        <f>TEXT('MYP Assumptions'!J78,"0.00%")&amp;", CPI"</f>
        <v>2.73%, CPI</v>
      </c>
    </row>
    <row r="68" spans="1:29" s="457" customFormat="1" hidden="1" x14ac:dyDescent="0.25">
      <c r="A68" s="897"/>
      <c r="B68" s="2385"/>
      <c r="C68" s="1656"/>
      <c r="D68" s="340">
        <v>0</v>
      </c>
      <c r="E68" s="2386"/>
      <c r="F68" s="340"/>
      <c r="G68" s="456" t="str">
        <f t="shared" si="29"/>
        <v>0.00%</v>
      </c>
      <c r="H68" s="340">
        <f t="shared" si="40"/>
        <v>0</v>
      </c>
      <c r="I68" s="899" t="str">
        <f>TEXT('MYP Assumptions'!E78,"0.00%")&amp;", CPI"</f>
        <v>3.37%, CPI</v>
      </c>
      <c r="J68" s="455"/>
      <c r="K68" s="456" t="str">
        <f t="shared" si="30"/>
        <v>0.00%</v>
      </c>
      <c r="L68" s="340">
        <f t="shared" si="35"/>
        <v>0</v>
      </c>
      <c r="M68" s="899" t="str">
        <f>TEXT('MYP Assumptions'!F78,"0.00%")&amp;", CPI"</f>
        <v>3.58%, CPI</v>
      </c>
      <c r="O68" s="456" t="str">
        <f t="shared" si="31"/>
        <v>0.00%</v>
      </c>
      <c r="P68" s="340">
        <f t="shared" si="36"/>
        <v>0</v>
      </c>
      <c r="Q68" s="899" t="str">
        <f>TEXT('MYP Assumptions'!G78,"0.00%")&amp;", CPI"</f>
        <v>3.36%, CPI</v>
      </c>
      <c r="R68" s="592"/>
      <c r="S68" s="2238" t="str">
        <f t="shared" si="32"/>
        <v>0.00%</v>
      </c>
      <c r="T68" s="340">
        <f t="shared" si="37"/>
        <v>0</v>
      </c>
      <c r="U68" s="953" t="str">
        <f>TEXT('MYP Assumptions'!H78,"0.00%")&amp;", CPI"</f>
        <v>3.23%, CPI</v>
      </c>
      <c r="V68" s="952"/>
      <c r="W68" s="2241" t="str">
        <f t="shared" si="33"/>
        <v>0.00%</v>
      </c>
      <c r="X68" s="340">
        <f t="shared" si="38"/>
        <v>0</v>
      </c>
      <c r="Y68" s="953" t="str">
        <f>TEXT('MYP Assumptions'!I78,"0.00%")&amp;", CPI"</f>
        <v>2.73%, CPI</v>
      </c>
      <c r="AA68" s="456" t="str">
        <f t="shared" si="34"/>
        <v>0.00%</v>
      </c>
      <c r="AB68" s="340">
        <f t="shared" si="39"/>
        <v>0</v>
      </c>
      <c r="AC68" s="953" t="str">
        <f>TEXT('MYP Assumptions'!J78,"0.00%")&amp;", CPI"</f>
        <v>2.73%, CPI</v>
      </c>
    </row>
    <row r="69" spans="1:29" s="457" customFormat="1" hidden="1" x14ac:dyDescent="0.25">
      <c r="A69" s="897"/>
      <c r="B69" s="2385"/>
      <c r="C69" s="1656"/>
      <c r="D69" s="340">
        <v>0</v>
      </c>
      <c r="E69" s="2386"/>
      <c r="F69" s="340"/>
      <c r="G69" s="456" t="str">
        <f t="shared" si="29"/>
        <v>0.00%</v>
      </c>
      <c r="H69" s="340">
        <f t="shared" si="40"/>
        <v>0</v>
      </c>
      <c r="I69" s="899" t="str">
        <f>TEXT('MYP Assumptions'!E78,"0.00%")&amp;", CPI"</f>
        <v>3.37%, CPI</v>
      </c>
      <c r="J69" s="455"/>
      <c r="K69" s="456" t="str">
        <f t="shared" si="30"/>
        <v>0.00%</v>
      </c>
      <c r="L69" s="340">
        <f t="shared" si="35"/>
        <v>0</v>
      </c>
      <c r="M69" s="899" t="str">
        <f>TEXT('MYP Assumptions'!F78,"0.00%")&amp;", CPI"</f>
        <v>3.58%, CPI</v>
      </c>
      <c r="O69" s="456" t="str">
        <f t="shared" si="31"/>
        <v>0.00%</v>
      </c>
      <c r="P69" s="340">
        <f t="shared" si="36"/>
        <v>0</v>
      </c>
      <c r="Q69" s="899" t="str">
        <f>TEXT('MYP Assumptions'!G78,"0.00%")&amp;", CPI"</f>
        <v>3.36%, CPI</v>
      </c>
      <c r="R69" s="592"/>
      <c r="S69" s="2238" t="str">
        <f t="shared" si="32"/>
        <v>0.00%</v>
      </c>
      <c r="T69" s="340">
        <f t="shared" si="37"/>
        <v>0</v>
      </c>
      <c r="U69" s="953" t="str">
        <f>TEXT('MYP Assumptions'!H78,"0.00%")&amp;", CPI"</f>
        <v>3.23%, CPI</v>
      </c>
      <c r="V69" s="952"/>
      <c r="W69" s="2241" t="str">
        <f t="shared" si="33"/>
        <v>0.00%</v>
      </c>
      <c r="X69" s="340">
        <f t="shared" si="38"/>
        <v>0</v>
      </c>
      <c r="Y69" s="953" t="str">
        <f>TEXT('MYP Assumptions'!I78,"0.00%")&amp;", CPI"</f>
        <v>2.73%, CPI</v>
      </c>
      <c r="AA69" s="456" t="str">
        <f t="shared" si="34"/>
        <v>0.00%</v>
      </c>
      <c r="AB69" s="340">
        <f t="shared" si="39"/>
        <v>0</v>
      </c>
      <c r="AC69" s="953" t="str">
        <f>TEXT('MYP Assumptions'!J78,"0.00%")&amp;", CPI"</f>
        <v>2.73%, CPI</v>
      </c>
    </row>
    <row r="70" spans="1:29" s="457" customFormat="1" hidden="1" x14ac:dyDescent="0.25">
      <c r="A70" s="897"/>
      <c r="B70" s="2385"/>
      <c r="C70" s="1656"/>
      <c r="D70" s="340">
        <v>0</v>
      </c>
      <c r="E70" s="2386"/>
      <c r="F70" s="340"/>
      <c r="G70" s="456" t="str">
        <f t="shared" si="29"/>
        <v>0.00%</v>
      </c>
      <c r="H70" s="340">
        <f t="shared" si="40"/>
        <v>0</v>
      </c>
      <c r="I70" s="899" t="str">
        <f>TEXT('MYP Assumptions'!E78,"0.00%")&amp;", CPI"</f>
        <v>3.37%, CPI</v>
      </c>
      <c r="J70" s="455"/>
      <c r="K70" s="456" t="str">
        <f t="shared" si="30"/>
        <v>0.00%</v>
      </c>
      <c r="L70" s="340">
        <f t="shared" si="35"/>
        <v>0</v>
      </c>
      <c r="M70" s="899" t="str">
        <f>TEXT('MYP Assumptions'!F78,"0.00%")&amp;", CPI"</f>
        <v>3.58%, CPI</v>
      </c>
      <c r="O70" s="456" t="str">
        <f t="shared" si="31"/>
        <v>0.00%</v>
      </c>
      <c r="P70" s="340">
        <f t="shared" si="36"/>
        <v>0</v>
      </c>
      <c r="Q70" s="899" t="str">
        <f>TEXT('MYP Assumptions'!G78,"0.00%")&amp;", CPI"</f>
        <v>3.36%, CPI</v>
      </c>
      <c r="R70" s="592"/>
      <c r="S70" s="2238" t="str">
        <f t="shared" si="32"/>
        <v>0.00%</v>
      </c>
      <c r="T70" s="340">
        <f t="shared" si="37"/>
        <v>0</v>
      </c>
      <c r="U70" s="953" t="str">
        <f>TEXT('MYP Assumptions'!H78,"0.00%")&amp;", CPI"</f>
        <v>3.23%, CPI</v>
      </c>
      <c r="V70" s="952"/>
      <c r="W70" s="2241" t="str">
        <f t="shared" si="33"/>
        <v>0.00%</v>
      </c>
      <c r="X70" s="340">
        <f t="shared" si="38"/>
        <v>0</v>
      </c>
      <c r="Y70" s="953" t="str">
        <f>TEXT('MYP Assumptions'!I78,"0.00%")&amp;", CPI"</f>
        <v>2.73%, CPI</v>
      </c>
      <c r="AA70" s="456" t="str">
        <f t="shared" si="34"/>
        <v>0.00%</v>
      </c>
      <c r="AB70" s="340">
        <f t="shared" si="39"/>
        <v>0</v>
      </c>
      <c r="AC70" s="953" t="str">
        <f>TEXT('MYP Assumptions'!J78,"0.00%")&amp;", CPI"</f>
        <v>2.73%, CPI</v>
      </c>
    </row>
    <row r="71" spans="1:29" s="457" customFormat="1" hidden="1" x14ac:dyDescent="0.25">
      <c r="A71" s="897"/>
      <c r="B71" s="2385"/>
      <c r="C71" s="1656"/>
      <c r="D71" s="340">
        <v>0</v>
      </c>
      <c r="E71" s="2386"/>
      <c r="F71" s="340"/>
      <c r="G71" s="456" t="str">
        <f>IF(D71=0,"0.00%",(H71-D71)/D71)</f>
        <v>0.00%</v>
      </c>
      <c r="H71" s="340">
        <f t="shared" si="40"/>
        <v>0</v>
      </c>
      <c r="I71" s="899" t="str">
        <f>TEXT('MYP Assumptions'!E78,"0.00%")&amp;", CPI"</f>
        <v>3.37%, CPI</v>
      </c>
      <c r="J71" s="455"/>
      <c r="K71" s="456" t="str">
        <f t="shared" si="30"/>
        <v>0.00%</v>
      </c>
      <c r="L71" s="340">
        <f t="shared" si="35"/>
        <v>0</v>
      </c>
      <c r="M71" s="899" t="str">
        <f>TEXT('MYP Assumptions'!F78,"0.00%")&amp;", CPI"</f>
        <v>3.58%, CPI</v>
      </c>
      <c r="O71" s="456" t="str">
        <f t="shared" si="31"/>
        <v>0.00%</v>
      </c>
      <c r="P71" s="340">
        <f t="shared" si="36"/>
        <v>0</v>
      </c>
      <c r="Q71" s="899" t="str">
        <f>TEXT('MYP Assumptions'!G78,"0.00%")&amp;", CPI"</f>
        <v>3.36%, CPI</v>
      </c>
      <c r="R71" s="592"/>
      <c r="S71" s="2238" t="str">
        <f t="shared" si="32"/>
        <v>0.00%</v>
      </c>
      <c r="T71" s="340">
        <f t="shared" si="37"/>
        <v>0</v>
      </c>
      <c r="U71" s="953" t="str">
        <f>TEXT('MYP Assumptions'!H78,"0.00%")&amp;", CPI"</f>
        <v>3.23%, CPI</v>
      </c>
      <c r="V71" s="952"/>
      <c r="W71" s="2241" t="str">
        <f t="shared" si="33"/>
        <v>0.00%</v>
      </c>
      <c r="X71" s="340">
        <f t="shared" si="38"/>
        <v>0</v>
      </c>
      <c r="Y71" s="953" t="str">
        <f>TEXT('MYP Assumptions'!I78,"0.00%")&amp;", CPI"</f>
        <v>2.73%, CPI</v>
      </c>
      <c r="AA71" s="456" t="str">
        <f t="shared" si="34"/>
        <v>0.00%</v>
      </c>
      <c r="AB71" s="340">
        <f t="shared" si="39"/>
        <v>0</v>
      </c>
      <c r="AC71" s="953" t="str">
        <f>TEXT('MYP Assumptions'!J78,"0.00%")&amp;", CPI"</f>
        <v>2.73%, CPI</v>
      </c>
    </row>
    <row r="72" spans="1:29" s="457" customFormat="1" hidden="1" x14ac:dyDescent="0.25">
      <c r="A72" s="897"/>
      <c r="B72" s="2385"/>
      <c r="C72" s="1656"/>
      <c r="D72" s="340">
        <v>0</v>
      </c>
      <c r="E72" s="2386"/>
      <c r="F72" s="340"/>
      <c r="G72" s="456" t="str">
        <f t="shared" ref="G72:G78" si="41">IF(D72=0,"0.00%",(H72-D72)/D72)</f>
        <v>0.00%</v>
      </c>
      <c r="H72" s="340">
        <f t="shared" si="40"/>
        <v>0</v>
      </c>
      <c r="I72" s="899" t="str">
        <f>TEXT('MYP Assumptions'!E78,"0.00%")&amp;", CPI"</f>
        <v>3.37%, CPI</v>
      </c>
      <c r="J72" s="455"/>
      <c r="K72" s="456" t="str">
        <f t="shared" si="30"/>
        <v>0.00%</v>
      </c>
      <c r="L72" s="340">
        <f t="shared" si="35"/>
        <v>0</v>
      </c>
      <c r="M72" s="899" t="str">
        <f>TEXT('MYP Assumptions'!F78,"0.00%")&amp;", CPI"</f>
        <v>3.58%, CPI</v>
      </c>
      <c r="O72" s="456" t="str">
        <f t="shared" si="31"/>
        <v>0.00%</v>
      </c>
      <c r="P72" s="340">
        <f t="shared" si="36"/>
        <v>0</v>
      </c>
      <c r="Q72" s="899" t="str">
        <f>TEXT('MYP Assumptions'!G78,"0.00%")&amp;", CPI"</f>
        <v>3.36%, CPI</v>
      </c>
      <c r="R72" s="592"/>
      <c r="S72" s="2238" t="str">
        <f t="shared" si="32"/>
        <v>0.00%</v>
      </c>
      <c r="T72" s="340">
        <f t="shared" si="37"/>
        <v>0</v>
      </c>
      <c r="U72" s="953" t="str">
        <f>TEXT('MYP Assumptions'!H78,"0.00%")&amp;", CPI"</f>
        <v>3.23%, CPI</v>
      </c>
      <c r="V72" s="952"/>
      <c r="W72" s="2241" t="str">
        <f t="shared" si="33"/>
        <v>0.00%</v>
      </c>
      <c r="X72" s="340">
        <f t="shared" si="38"/>
        <v>0</v>
      </c>
      <c r="Y72" s="953" t="str">
        <f>TEXT('MYP Assumptions'!I78,"0.00%")&amp;", CPI"</f>
        <v>2.73%, CPI</v>
      </c>
      <c r="AA72" s="456" t="str">
        <f t="shared" si="34"/>
        <v>0.00%</v>
      </c>
      <c r="AB72" s="340">
        <f t="shared" si="39"/>
        <v>0</v>
      </c>
      <c r="AC72" s="953" t="str">
        <f>TEXT('MYP Assumptions'!J78,"0.00%")&amp;", CPI"</f>
        <v>2.73%, CPI</v>
      </c>
    </row>
    <row r="73" spans="1:29" s="457" customFormat="1" hidden="1" x14ac:dyDescent="0.25">
      <c r="A73" s="897"/>
      <c r="B73" s="2385"/>
      <c r="C73" s="1656"/>
      <c r="D73" s="340">
        <v>0</v>
      </c>
      <c r="E73" s="2386"/>
      <c r="F73" s="340"/>
      <c r="G73" s="456" t="str">
        <f t="shared" si="41"/>
        <v>0.00%</v>
      </c>
      <c r="H73" s="340">
        <f>ROUND(D73*(LEFT(I73,5)+1),0)</f>
        <v>0</v>
      </c>
      <c r="I73" s="899" t="str">
        <f>TEXT('MYP Assumptions'!E78,"0.00%")&amp;", CPI"</f>
        <v>3.37%, CPI</v>
      </c>
      <c r="J73" s="455"/>
      <c r="K73" s="456" t="str">
        <f t="shared" si="30"/>
        <v>0.00%</v>
      </c>
      <c r="L73" s="340">
        <f t="shared" si="35"/>
        <v>0</v>
      </c>
      <c r="M73" s="899" t="str">
        <f>TEXT('MYP Assumptions'!F78,"0.00%")&amp;", CPI"</f>
        <v>3.58%, CPI</v>
      </c>
      <c r="O73" s="456" t="str">
        <f t="shared" si="31"/>
        <v>0.00%</v>
      </c>
      <c r="P73" s="340">
        <f t="shared" si="36"/>
        <v>0</v>
      </c>
      <c r="Q73" s="899" t="str">
        <f>TEXT('MYP Assumptions'!G78,"0.00%")&amp;", CPI"</f>
        <v>3.36%, CPI</v>
      </c>
      <c r="R73" s="592"/>
      <c r="S73" s="2238" t="str">
        <f t="shared" si="32"/>
        <v>0.00%</v>
      </c>
      <c r="T73" s="340">
        <f t="shared" si="37"/>
        <v>0</v>
      </c>
      <c r="U73" s="953" t="str">
        <f>TEXT('MYP Assumptions'!H78,"0.00%")&amp;", CPI"</f>
        <v>3.23%, CPI</v>
      </c>
      <c r="V73" s="952"/>
      <c r="W73" s="2241" t="str">
        <f t="shared" si="33"/>
        <v>0.00%</v>
      </c>
      <c r="X73" s="340">
        <f t="shared" si="38"/>
        <v>0</v>
      </c>
      <c r="Y73" s="953" t="str">
        <f>TEXT('MYP Assumptions'!I78,"0.00%")&amp;", CPI"</f>
        <v>2.73%, CPI</v>
      </c>
      <c r="AA73" s="456" t="str">
        <f t="shared" si="34"/>
        <v>0.00%</v>
      </c>
      <c r="AB73" s="340">
        <f t="shared" si="39"/>
        <v>0</v>
      </c>
      <c r="AC73" s="953" t="str">
        <f>TEXT('MYP Assumptions'!J78,"0.00%")&amp;", CPI"</f>
        <v>2.73%, CPI</v>
      </c>
    </row>
    <row r="74" spans="1:29" s="457" customFormat="1" hidden="1" x14ac:dyDescent="0.25">
      <c r="A74" s="897"/>
      <c r="B74" s="2385"/>
      <c r="C74" s="1656"/>
      <c r="D74" s="340">
        <v>0</v>
      </c>
      <c r="E74" s="2386"/>
      <c r="F74" s="340"/>
      <c r="G74" s="456" t="str">
        <f t="shared" si="41"/>
        <v>0.00%</v>
      </c>
      <c r="H74" s="340">
        <f>ROUND(D74*(LEFT(I74,5)+1),0)</f>
        <v>0</v>
      </c>
      <c r="I74" s="899" t="str">
        <f>TEXT('MYP Assumptions'!E78,"0.00%")&amp;", CPI"</f>
        <v>3.37%, CPI</v>
      </c>
      <c r="J74" s="455"/>
      <c r="K74" s="456" t="str">
        <f t="shared" si="30"/>
        <v>0.00%</v>
      </c>
      <c r="L74" s="340">
        <f t="shared" si="35"/>
        <v>0</v>
      </c>
      <c r="M74" s="899" t="str">
        <f>TEXT('MYP Assumptions'!F78,"0.00%")&amp;", CPI"</f>
        <v>3.58%, CPI</v>
      </c>
      <c r="O74" s="456" t="str">
        <f t="shared" si="31"/>
        <v>0.00%</v>
      </c>
      <c r="P74" s="340">
        <f t="shared" si="36"/>
        <v>0</v>
      </c>
      <c r="Q74" s="899" t="str">
        <f>TEXT('MYP Assumptions'!G78,"0.00%")&amp;", CPI"</f>
        <v>3.36%, CPI</v>
      </c>
      <c r="R74" s="592"/>
      <c r="S74" s="2238" t="str">
        <f t="shared" si="32"/>
        <v>0.00%</v>
      </c>
      <c r="T74" s="340">
        <f t="shared" si="37"/>
        <v>0</v>
      </c>
      <c r="U74" s="953" t="str">
        <f>TEXT('MYP Assumptions'!H78,"0.00%")&amp;", CPI"</f>
        <v>3.23%, CPI</v>
      </c>
      <c r="V74" s="952"/>
      <c r="W74" s="2241" t="str">
        <f t="shared" si="33"/>
        <v>0.00%</v>
      </c>
      <c r="X74" s="340">
        <f t="shared" si="38"/>
        <v>0</v>
      </c>
      <c r="Y74" s="953" t="str">
        <f>TEXT('MYP Assumptions'!I78,"0.00%")&amp;", CPI"</f>
        <v>2.73%, CPI</v>
      </c>
      <c r="AA74" s="456" t="str">
        <f t="shared" si="34"/>
        <v>0.00%</v>
      </c>
      <c r="AB74" s="340">
        <f t="shared" si="39"/>
        <v>0</v>
      </c>
      <c r="AC74" s="953" t="str">
        <f>TEXT('MYP Assumptions'!J78,"0.00%")&amp;", CPI"</f>
        <v>2.73%, CPI</v>
      </c>
    </row>
    <row r="75" spans="1:29" s="457" customFormat="1" hidden="1" x14ac:dyDescent="0.25">
      <c r="A75" s="897"/>
      <c r="B75" s="2385"/>
      <c r="C75" s="1656"/>
      <c r="D75" s="340">
        <v>0</v>
      </c>
      <c r="E75" s="2386"/>
      <c r="F75" s="340"/>
      <c r="G75" s="456" t="str">
        <f t="shared" si="41"/>
        <v>0.00%</v>
      </c>
      <c r="H75" s="340">
        <f>ROUND(D75*(LEFT(I75,5)+1),0)</f>
        <v>0</v>
      </c>
      <c r="I75" s="899" t="str">
        <f>TEXT('MYP Assumptions'!E78,"0.00%")&amp;", CPI"</f>
        <v>3.37%, CPI</v>
      </c>
      <c r="J75" s="455"/>
      <c r="K75" s="456" t="str">
        <f t="shared" si="30"/>
        <v>0.00%</v>
      </c>
      <c r="L75" s="340">
        <f t="shared" si="35"/>
        <v>0</v>
      </c>
      <c r="M75" s="899" t="str">
        <f>TEXT('MYP Assumptions'!F78,"0.00%")&amp;", CPI"</f>
        <v>3.58%, CPI</v>
      </c>
      <c r="O75" s="456" t="str">
        <f t="shared" si="31"/>
        <v>0.00%</v>
      </c>
      <c r="P75" s="340">
        <f t="shared" si="36"/>
        <v>0</v>
      </c>
      <c r="Q75" s="899" t="str">
        <f>TEXT('MYP Assumptions'!G78,"0.00%")&amp;", CPI"</f>
        <v>3.36%, CPI</v>
      </c>
      <c r="R75" s="592"/>
      <c r="S75" s="2238" t="str">
        <f t="shared" si="32"/>
        <v>0.00%</v>
      </c>
      <c r="T75" s="340">
        <f t="shared" si="37"/>
        <v>0</v>
      </c>
      <c r="U75" s="953" t="str">
        <f>TEXT('MYP Assumptions'!H78,"0.00%")&amp;", CPI"</f>
        <v>3.23%, CPI</v>
      </c>
      <c r="V75" s="952"/>
      <c r="W75" s="2241" t="str">
        <f t="shared" si="33"/>
        <v>0.00%</v>
      </c>
      <c r="X75" s="340">
        <f t="shared" si="38"/>
        <v>0</v>
      </c>
      <c r="Y75" s="953" t="str">
        <f>TEXT('MYP Assumptions'!I78,"0.00%")&amp;", CPI"</f>
        <v>2.73%, CPI</v>
      </c>
      <c r="AA75" s="456" t="str">
        <f t="shared" si="34"/>
        <v>0.00%</v>
      </c>
      <c r="AB75" s="340">
        <f t="shared" si="39"/>
        <v>0</v>
      </c>
      <c r="AC75" s="953" t="str">
        <f>TEXT('MYP Assumptions'!J78,"0.00%")&amp;", CPI"</f>
        <v>2.73%, CPI</v>
      </c>
    </row>
    <row r="76" spans="1:29" s="457" customFormat="1" hidden="1" x14ac:dyDescent="0.25">
      <c r="A76" s="897"/>
      <c r="B76" s="2385"/>
      <c r="C76" s="1656"/>
      <c r="D76" s="340">
        <v>0</v>
      </c>
      <c r="E76" s="2386"/>
      <c r="F76" s="340"/>
      <c r="G76" s="456" t="str">
        <f t="shared" si="41"/>
        <v>0.00%</v>
      </c>
      <c r="H76" s="340">
        <f>ROUND(D76*(LEFT(I76,5)+1),0)</f>
        <v>0</v>
      </c>
      <c r="I76" s="899" t="str">
        <f>TEXT('MYP Assumptions'!E78,"0.00%")&amp;", CPI"</f>
        <v>3.37%, CPI</v>
      </c>
      <c r="J76" s="455"/>
      <c r="K76" s="456" t="str">
        <f t="shared" si="30"/>
        <v>0.00%</v>
      </c>
      <c r="L76" s="340">
        <f t="shared" si="35"/>
        <v>0</v>
      </c>
      <c r="M76" s="899" t="str">
        <f>TEXT('MYP Assumptions'!F78,"0.00%")&amp;", CPI"</f>
        <v>3.58%, CPI</v>
      </c>
      <c r="O76" s="456" t="str">
        <f t="shared" si="31"/>
        <v>0.00%</v>
      </c>
      <c r="P76" s="340">
        <f t="shared" si="36"/>
        <v>0</v>
      </c>
      <c r="Q76" s="899" t="str">
        <f>TEXT('MYP Assumptions'!G78,"0.00%")&amp;", CPI"</f>
        <v>3.36%, CPI</v>
      </c>
      <c r="R76" s="592"/>
      <c r="S76" s="2238" t="str">
        <f t="shared" si="32"/>
        <v>0.00%</v>
      </c>
      <c r="T76" s="340">
        <f t="shared" si="37"/>
        <v>0</v>
      </c>
      <c r="U76" s="953" t="str">
        <f>TEXT('MYP Assumptions'!H78,"0.00%")&amp;", CPI"</f>
        <v>3.23%, CPI</v>
      </c>
      <c r="V76" s="952"/>
      <c r="W76" s="2241" t="str">
        <f t="shared" si="33"/>
        <v>0.00%</v>
      </c>
      <c r="X76" s="340">
        <f t="shared" si="38"/>
        <v>0</v>
      </c>
      <c r="Y76" s="953" t="str">
        <f>TEXT('MYP Assumptions'!I78,"0.00%")&amp;", CPI"</f>
        <v>2.73%, CPI</v>
      </c>
      <c r="AA76" s="456" t="str">
        <f t="shared" si="34"/>
        <v>0.00%</v>
      </c>
      <c r="AB76" s="340">
        <f t="shared" si="39"/>
        <v>0</v>
      </c>
      <c r="AC76" s="953" t="str">
        <f>TEXT('MYP Assumptions'!J78,"0.00%")&amp;", CPI"</f>
        <v>2.73%, CPI</v>
      </c>
    </row>
    <row r="77" spans="1:29" s="457" customFormat="1" hidden="1" x14ac:dyDescent="0.25">
      <c r="A77" s="897"/>
      <c r="B77" s="2385"/>
      <c r="C77" s="1656"/>
      <c r="D77" s="340">
        <f>'18-19 Budget RS 3010-ALL'!AF80</f>
        <v>0</v>
      </c>
      <c r="E77" s="2386"/>
      <c r="F77" s="340"/>
      <c r="G77" s="456" t="str">
        <f t="shared" si="41"/>
        <v>0.00%</v>
      </c>
      <c r="H77" s="340">
        <f>ROUND(D77*(LEFT(I77,5)+1),0)</f>
        <v>0</v>
      </c>
      <c r="I77" s="899" t="str">
        <f>TEXT('MYP Assumptions'!E78,"0.00%")&amp;", CPI"</f>
        <v>3.37%, CPI</v>
      </c>
      <c r="J77" s="455"/>
      <c r="K77" s="456" t="str">
        <f t="shared" si="30"/>
        <v>0.00%</v>
      </c>
      <c r="L77" s="340">
        <f t="shared" si="35"/>
        <v>0</v>
      </c>
      <c r="M77" s="899" t="str">
        <f>TEXT('MYP Assumptions'!F78,"0.00%")&amp;", CPI"</f>
        <v>3.58%, CPI</v>
      </c>
      <c r="O77" s="456" t="str">
        <f t="shared" si="31"/>
        <v>0.00%</v>
      </c>
      <c r="P77" s="340">
        <f t="shared" si="36"/>
        <v>0</v>
      </c>
      <c r="Q77" s="899" t="str">
        <f>TEXT('MYP Assumptions'!G78,"0.00%")&amp;", CPI"</f>
        <v>3.36%, CPI</v>
      </c>
      <c r="R77" s="592"/>
      <c r="S77" s="2238" t="str">
        <f t="shared" si="32"/>
        <v>0.00%</v>
      </c>
      <c r="T77" s="340">
        <f t="shared" si="37"/>
        <v>0</v>
      </c>
      <c r="U77" s="953" t="str">
        <f>TEXT('MYP Assumptions'!H78,"0.00%")&amp;", CPI"</f>
        <v>3.23%, CPI</v>
      </c>
      <c r="V77" s="952"/>
      <c r="W77" s="2241" t="str">
        <f t="shared" si="33"/>
        <v>0.00%</v>
      </c>
      <c r="X77" s="340">
        <f t="shared" si="38"/>
        <v>0</v>
      </c>
      <c r="Y77" s="953" t="str">
        <f>TEXT('MYP Assumptions'!I78,"0.00%")&amp;", CPI"</f>
        <v>2.73%, CPI</v>
      </c>
      <c r="AA77" s="456" t="str">
        <f t="shared" si="34"/>
        <v>0.00%</v>
      </c>
      <c r="AB77" s="340">
        <f t="shared" si="39"/>
        <v>0</v>
      </c>
      <c r="AC77" s="953" t="str">
        <f>TEXT('MYP Assumptions'!J78,"0.00%")&amp;", CPI"</f>
        <v>2.73%, CPI</v>
      </c>
    </row>
    <row r="78" spans="1:29" s="457" customFormat="1" x14ac:dyDescent="0.25">
      <c r="A78" s="898"/>
      <c r="B78" s="2345"/>
      <c r="C78" s="1656"/>
      <c r="D78" s="458">
        <f>SUM(D65:D77)</f>
        <v>0</v>
      </c>
      <c r="E78" s="2386"/>
      <c r="F78" s="340"/>
      <c r="G78" s="456" t="str">
        <f t="shared" si="41"/>
        <v>0.00%</v>
      </c>
      <c r="H78" s="458">
        <f>SUM(H65:H77)</f>
        <v>0</v>
      </c>
      <c r="I78" s="898"/>
      <c r="J78" s="459"/>
      <c r="K78" s="456" t="str">
        <f t="shared" si="30"/>
        <v>0.00%</v>
      </c>
      <c r="L78" s="458">
        <f>SUM(L65:L77)</f>
        <v>0</v>
      </c>
      <c r="M78" s="901"/>
      <c r="O78" s="456" t="str">
        <f t="shared" si="31"/>
        <v>0.00%</v>
      </c>
      <c r="P78" s="458">
        <f>SUM(P65:P77)</f>
        <v>0</v>
      </c>
      <c r="Q78" s="901"/>
      <c r="R78" s="592"/>
      <c r="S78" s="2238" t="str">
        <f t="shared" si="32"/>
        <v>0.00%</v>
      </c>
      <c r="T78" s="458">
        <f>SUM(T65:T77)</f>
        <v>0</v>
      </c>
      <c r="U78" s="2344"/>
      <c r="V78" s="952"/>
      <c r="W78" s="2241" t="str">
        <f t="shared" si="33"/>
        <v>0.00%</v>
      </c>
      <c r="X78" s="458">
        <f>SUM(X65:X77)</f>
        <v>0</v>
      </c>
      <c r="Y78" s="2344"/>
      <c r="AA78" s="456" t="str">
        <f t="shared" si="34"/>
        <v>0.00%</v>
      </c>
      <c r="AB78" s="458">
        <f>SUM(AB65:AB77)</f>
        <v>0</v>
      </c>
      <c r="AC78" s="2344"/>
    </row>
    <row r="79" spans="1:29" s="457" customFormat="1" x14ac:dyDescent="0.25">
      <c r="A79" s="897"/>
      <c r="B79" s="2337"/>
      <c r="C79" s="1656"/>
      <c r="D79" s="340"/>
      <c r="E79" s="2386"/>
      <c r="F79" s="340"/>
      <c r="G79" s="456"/>
      <c r="H79" s="340"/>
      <c r="I79" s="897"/>
      <c r="J79" s="455"/>
      <c r="K79" s="1668"/>
      <c r="L79" s="340"/>
      <c r="M79" s="901"/>
      <c r="O79" s="1668"/>
      <c r="P79" s="340"/>
      <c r="Q79" s="901"/>
      <c r="R79" s="592"/>
      <c r="S79" s="2341"/>
      <c r="T79" s="340"/>
      <c r="U79" s="2344"/>
      <c r="V79" s="952"/>
      <c r="W79" s="2343"/>
      <c r="X79" s="340"/>
      <c r="Y79" s="2344"/>
      <c r="AA79" s="1668"/>
      <c r="AB79" s="340"/>
      <c r="AC79" s="2344"/>
    </row>
    <row r="80" spans="1:29" s="457" customFormat="1" x14ac:dyDescent="0.25">
      <c r="A80" s="897"/>
      <c r="B80" s="2345"/>
      <c r="C80" s="1656"/>
      <c r="D80" s="340"/>
      <c r="E80" s="2386"/>
      <c r="F80" s="340"/>
      <c r="G80" s="2338"/>
      <c r="H80" s="340"/>
      <c r="I80" s="897"/>
      <c r="J80" s="455"/>
      <c r="K80" s="1668"/>
      <c r="L80" s="340"/>
      <c r="M80" s="901"/>
      <c r="O80" s="1668"/>
      <c r="P80" s="340"/>
      <c r="Q80" s="901"/>
      <c r="R80" s="592"/>
      <c r="S80" s="2341"/>
      <c r="T80" s="340"/>
      <c r="U80" s="2344"/>
      <c r="V80" s="952"/>
      <c r="W80" s="2343"/>
      <c r="X80" s="340"/>
      <c r="Y80" s="2344"/>
      <c r="AA80" s="1668"/>
      <c r="AB80" s="340"/>
      <c r="AC80" s="2344"/>
    </row>
    <row r="81" spans="1:29" s="457" customFormat="1" x14ac:dyDescent="0.25">
      <c r="A81" s="898"/>
      <c r="B81" s="2337" t="s">
        <v>0</v>
      </c>
      <c r="C81" s="1656"/>
      <c r="D81" s="458">
        <f>SUM(D78,D62,D55,D13)</f>
        <v>640044.14</v>
      </c>
      <c r="E81" s="2386"/>
      <c r="F81" s="340"/>
      <c r="G81" s="456">
        <f>IF(D81=0,"0.00%",(H81-D81)/D81)</f>
        <v>-0.35498198608614712</v>
      </c>
      <c r="H81" s="458">
        <f>SUM(H78,H62,H55,H13)</f>
        <v>412840</v>
      </c>
      <c r="I81" s="2316">
        <f>+H81-D81</f>
        <v>-227204.14</v>
      </c>
      <c r="J81" s="459"/>
      <c r="K81" s="456">
        <f>IF(H81=0,"0.00%",(L81-H81)/H81)</f>
        <v>-0.71173820366243579</v>
      </c>
      <c r="L81" s="458">
        <f>SUM(L78,L62,L55,L13)</f>
        <v>119006</v>
      </c>
      <c r="M81" s="2316">
        <f>+L81-H81</f>
        <v>-293834</v>
      </c>
      <c r="O81" s="456">
        <f>IF(L81=0,"0.00%",(P81-L81)/L81)</f>
        <v>15.805875334016772</v>
      </c>
      <c r="P81" s="458">
        <f>SUM(P78,P62,P55,P13)</f>
        <v>2000000</v>
      </c>
      <c r="Q81" s="2316">
        <f>+P81-L81</f>
        <v>1880994</v>
      </c>
      <c r="R81" s="592"/>
      <c r="S81" s="2238">
        <f>IF(P81=0,"0.00%",(T81-P81)/P81)</f>
        <v>-0.875</v>
      </c>
      <c r="T81" s="458">
        <f>SUM(T78,T62,T55,T13)</f>
        <v>250000</v>
      </c>
      <c r="U81" s="2344"/>
      <c r="V81" s="952"/>
      <c r="W81" s="2241" t="e">
        <f>IF(T81=0,"0.00%",(X81-T81)/T81)</f>
        <v>#VALUE!</v>
      </c>
      <c r="X81" s="458" t="e">
        <f>SUM(X78,X62,X55,X13)</f>
        <v>#VALUE!</v>
      </c>
      <c r="Y81" s="2344"/>
      <c r="AA81" s="456" t="e">
        <f>IF(X81=0,"0.00%",(AB81-X81)/X81)</f>
        <v>#VALUE!</v>
      </c>
      <c r="AB81" s="458" t="e">
        <f>SUM(AB78,AB62,AB55,AB13)</f>
        <v>#VALUE!</v>
      </c>
      <c r="AC81" s="2344"/>
    </row>
    <row r="82" spans="1:29" s="457" customFormat="1" x14ac:dyDescent="0.25">
      <c r="A82" s="897"/>
      <c r="B82" s="2345"/>
      <c r="C82" s="1656"/>
      <c r="D82" s="340"/>
      <c r="E82" s="2386"/>
      <c r="F82" s="340"/>
      <c r="G82" s="2338"/>
      <c r="H82" s="340"/>
      <c r="I82" s="897"/>
      <c r="J82" s="455"/>
      <c r="K82" s="1668"/>
      <c r="L82" s="340"/>
      <c r="M82" s="901"/>
      <c r="O82" s="1668"/>
      <c r="P82" s="340"/>
      <c r="Q82" s="901"/>
      <c r="R82" s="592"/>
      <c r="S82" s="2341"/>
      <c r="T82" s="340"/>
      <c r="U82" s="2344"/>
      <c r="V82" s="952"/>
      <c r="W82" s="2343"/>
      <c r="X82" s="340"/>
      <c r="Y82" s="2344"/>
      <c r="AA82" s="1668"/>
      <c r="AB82" s="340"/>
      <c r="AC82" s="2344"/>
    </row>
    <row r="83" spans="1:29" s="457" customFormat="1" x14ac:dyDescent="0.25">
      <c r="A83" s="897"/>
      <c r="B83" s="2337" t="s">
        <v>138</v>
      </c>
      <c r="C83" s="1656"/>
      <c r="D83" s="833">
        <f>D11-D81</f>
        <v>-246464.23000000004</v>
      </c>
      <c r="E83" s="1656"/>
      <c r="G83" s="456">
        <f>IF(D83=0,"0.00%",(H83-D83)/D83)</f>
        <v>-0.98439530150074916</v>
      </c>
      <c r="H83" s="833">
        <f>H11-H81</f>
        <v>-3846</v>
      </c>
      <c r="I83" s="897"/>
      <c r="J83" s="455"/>
      <c r="K83" s="456">
        <f>IF(H83=0,"0.00%",(L83-H83)/H83)</f>
        <v>-66.377275091003639</v>
      </c>
      <c r="L83" s="833">
        <f>L11-L81</f>
        <v>251441</v>
      </c>
      <c r="M83" s="901"/>
      <c r="O83" s="456">
        <f>IF(L83=0,"0.00%",(P83-L83)/L83)</f>
        <v>-7.4429945792452301</v>
      </c>
      <c r="P83" s="833">
        <f>P11-P81</f>
        <v>-1620033</v>
      </c>
      <c r="Q83" s="901"/>
      <c r="R83" s="592"/>
      <c r="S83" s="2238">
        <f>IF(P83=0,"0.00%",(T83-P83)/P83)</f>
        <v>-1.0864871271140772</v>
      </c>
      <c r="T83" s="833">
        <f>T11-T81</f>
        <v>140112</v>
      </c>
      <c r="U83" s="2344"/>
      <c r="V83" s="952"/>
      <c r="W83" s="2241" t="e">
        <f>IF(T83=0,"0.00%",(X83-T83)/T83)</f>
        <v>#VALUE!</v>
      </c>
      <c r="X83" s="833" t="e">
        <f>X11-X81</f>
        <v>#VALUE!</v>
      </c>
      <c r="Y83" s="2344"/>
      <c r="AA83" s="456" t="e">
        <f>IF(X83=0,"0.00%",(AB83-X83)/X83)</f>
        <v>#VALUE!</v>
      </c>
      <c r="AB83" s="833" t="e">
        <f>AB11-AB81</f>
        <v>#VALUE!</v>
      </c>
      <c r="AC83" s="2344"/>
    </row>
    <row r="84" spans="1:29" s="457" customFormat="1" x14ac:dyDescent="0.25">
      <c r="A84" s="1656"/>
      <c r="B84" s="2337"/>
      <c r="C84" s="2432"/>
      <c r="D84" s="833"/>
      <c r="E84" s="1656"/>
      <c r="G84" s="2338"/>
      <c r="H84" s="833"/>
      <c r="I84" s="897"/>
      <c r="J84" s="455"/>
      <c r="K84" s="1668"/>
      <c r="L84" s="833"/>
      <c r="M84" s="901"/>
      <c r="O84" s="1668"/>
      <c r="P84" s="833"/>
      <c r="Q84" s="901"/>
      <c r="R84" s="592"/>
      <c r="S84" s="2341"/>
      <c r="T84" s="2356"/>
      <c r="U84" s="2344"/>
      <c r="V84" s="952"/>
      <c r="W84" s="2343"/>
      <c r="X84" s="2356"/>
      <c r="Y84" s="2344"/>
      <c r="AA84" s="1668"/>
      <c r="AB84" s="2356"/>
      <c r="AC84" s="2344"/>
    </row>
    <row r="85" spans="1:29" s="457" customFormat="1" x14ac:dyDescent="0.25">
      <c r="A85" s="1656"/>
      <c r="B85" s="2337" t="s">
        <v>136</v>
      </c>
      <c r="C85" s="2443"/>
      <c r="D85" s="833">
        <f>D7+D83</f>
        <v>1379641.85</v>
      </c>
      <c r="E85" s="1656"/>
      <c r="G85" s="456">
        <f>IF(D85=0,"0.00%",(H85-D85)/D85)</f>
        <v>-2.7876800055028771E-3</v>
      </c>
      <c r="H85" s="833">
        <f>H7+H83</f>
        <v>1375795.85</v>
      </c>
      <c r="I85" s="2316">
        <f>+H85-D85</f>
        <v>-3846</v>
      </c>
      <c r="J85" s="455"/>
      <c r="K85" s="456">
        <f>IF(H85=0,"0.00%",(L85-H85)/H85)</f>
        <v>0.18276040009860473</v>
      </c>
      <c r="L85" s="833">
        <f>L7+L83</f>
        <v>1627236.85</v>
      </c>
      <c r="M85" s="2316">
        <f>+L85-H85</f>
        <v>251441</v>
      </c>
      <c r="O85" s="456">
        <f>IF(L85=0,"0.00%",(P85-L85)/L85)</f>
        <v>-0.99557295546742319</v>
      </c>
      <c r="P85" s="833">
        <f>P7+P83</f>
        <v>7203.8500000000931</v>
      </c>
      <c r="Q85" s="2316">
        <f>+P85-L85</f>
        <v>-1620033</v>
      </c>
      <c r="R85" s="592"/>
      <c r="S85" s="2238">
        <f>IF(P85=0,"0.00%",(T85-P85)/P85)</f>
        <v>19.449599866737675</v>
      </c>
      <c r="T85" s="2367">
        <f>T7+T83</f>
        <v>147315.85000000009</v>
      </c>
      <c r="U85" s="2344"/>
      <c r="V85" s="952"/>
      <c r="W85" s="2241" t="e">
        <f>IF(T85=0,"0.00%",(X85-T85)/T85)</f>
        <v>#VALUE!</v>
      </c>
      <c r="X85" s="2367" t="e">
        <f>X7+X83</f>
        <v>#VALUE!</v>
      </c>
      <c r="Y85" s="2344"/>
      <c r="AA85" s="456" t="e">
        <f>IF(X85=0,"0.00%",(AB85-X85)/X85)</f>
        <v>#VALUE!</v>
      </c>
      <c r="AB85" s="2367" t="e">
        <f>AB7+AB83</f>
        <v>#VALUE!</v>
      </c>
      <c r="AC85" s="2344"/>
    </row>
    <row r="86" spans="1:29" s="457" customFormat="1" x14ac:dyDescent="0.25">
      <c r="A86" s="1656"/>
      <c r="B86" s="2345"/>
      <c r="C86" s="900"/>
      <c r="D86" s="340"/>
      <c r="E86" s="1656"/>
      <c r="G86" s="2355"/>
      <c r="H86" s="459"/>
      <c r="I86" s="898"/>
      <c r="J86" s="459"/>
      <c r="K86" s="1668"/>
      <c r="L86" s="459"/>
      <c r="M86" s="901"/>
      <c r="O86" s="1668"/>
      <c r="P86" s="459"/>
      <c r="Q86" s="901"/>
      <c r="R86" s="592"/>
      <c r="S86" s="2341"/>
      <c r="T86" s="459"/>
      <c r="U86" s="2344"/>
      <c r="V86" s="952"/>
      <c r="W86" s="2343"/>
      <c r="X86" s="459"/>
      <c r="Y86" s="2344"/>
      <c r="AA86" s="1668"/>
      <c r="AB86" s="459"/>
      <c r="AC86" s="2344"/>
    </row>
    <row r="87" spans="1:29" s="457" customFormat="1" x14ac:dyDescent="0.25">
      <c r="A87" s="1656"/>
      <c r="B87" s="2345"/>
      <c r="C87" s="2339"/>
      <c r="D87" s="340"/>
      <c r="E87" s="1656"/>
      <c r="G87" s="2355"/>
      <c r="H87" s="455"/>
      <c r="I87" s="897"/>
      <c r="J87" s="455"/>
      <c r="K87" s="1668"/>
      <c r="L87" s="340"/>
      <c r="M87" s="901"/>
      <c r="O87" s="1668"/>
      <c r="P87" s="340"/>
      <c r="Q87" s="901"/>
      <c r="R87" s="592"/>
      <c r="S87" s="2341"/>
      <c r="T87" s="340"/>
      <c r="U87" s="2344"/>
      <c r="V87" s="952"/>
      <c r="W87" s="2343"/>
      <c r="X87" s="340"/>
      <c r="Y87" s="2344"/>
      <c r="AA87" s="1668"/>
      <c r="AB87" s="340"/>
      <c r="AC87" s="2344"/>
    </row>
    <row r="88" spans="1:29" s="457" customFormat="1" x14ac:dyDescent="0.25">
      <c r="A88" s="1656"/>
      <c r="B88" s="2345"/>
      <c r="C88" s="2339"/>
      <c r="D88" s="340"/>
      <c r="E88" s="1656"/>
      <c r="G88" s="2355"/>
      <c r="H88" s="455"/>
      <c r="I88" s="897"/>
      <c r="J88" s="455"/>
      <c r="K88" s="1668"/>
      <c r="L88" s="340"/>
      <c r="M88" s="901"/>
      <c r="O88" s="1668"/>
      <c r="P88" s="340"/>
      <c r="Q88" s="901"/>
      <c r="R88" s="592"/>
      <c r="S88" s="2341"/>
      <c r="T88" s="340"/>
      <c r="U88" s="2344"/>
      <c r="V88" s="952"/>
      <c r="W88" s="2343"/>
      <c r="X88" s="340"/>
      <c r="Y88" s="2344"/>
      <c r="AA88" s="1668"/>
      <c r="AB88" s="340"/>
      <c r="AC88" s="2344"/>
    </row>
    <row r="89" spans="1:29" s="457" customFormat="1" x14ac:dyDescent="0.25">
      <c r="A89" s="1656"/>
      <c r="B89" s="2345"/>
      <c r="C89" s="2339"/>
      <c r="D89" s="340"/>
      <c r="E89" s="1656"/>
      <c r="G89" s="2355"/>
      <c r="H89" s="455"/>
      <c r="I89" s="897"/>
      <c r="J89" s="455"/>
      <c r="K89" s="1668"/>
      <c r="L89" s="340"/>
      <c r="M89" s="901"/>
      <c r="O89" s="1668"/>
      <c r="P89" s="340"/>
      <c r="Q89" s="901"/>
      <c r="R89" s="592"/>
      <c r="S89" s="2341"/>
      <c r="T89" s="340"/>
      <c r="U89" s="2344"/>
      <c r="V89" s="952"/>
      <c r="W89" s="2343"/>
      <c r="X89" s="340"/>
      <c r="Y89" s="2344"/>
      <c r="AA89" s="1668"/>
      <c r="AB89" s="340"/>
      <c r="AC89" s="2344"/>
    </row>
    <row r="90" spans="1:29" s="457" customFormat="1" x14ac:dyDescent="0.25">
      <c r="A90" s="1656"/>
      <c r="B90" s="2345"/>
      <c r="C90" s="2339"/>
      <c r="D90" s="340"/>
      <c r="E90" s="1656"/>
      <c r="G90" s="2355"/>
      <c r="H90" s="455"/>
      <c r="I90" s="897"/>
      <c r="J90" s="455"/>
      <c r="K90" s="1668"/>
      <c r="L90" s="340"/>
      <c r="M90" s="901"/>
      <c r="O90" s="1668"/>
      <c r="P90" s="340"/>
      <c r="Q90" s="901"/>
      <c r="R90" s="592"/>
      <c r="S90" s="2341"/>
      <c r="T90" s="340"/>
      <c r="U90" s="2344"/>
      <c r="V90" s="952"/>
      <c r="W90" s="2343"/>
      <c r="X90" s="340"/>
      <c r="Y90" s="2344"/>
      <c r="AA90" s="1668"/>
      <c r="AB90" s="340"/>
      <c r="AC90" s="2344"/>
    </row>
    <row r="91" spans="1:29" s="2402" customFormat="1" ht="11.25" x14ac:dyDescent="0.2">
      <c r="A91" s="2363"/>
      <c r="B91" s="2395"/>
      <c r="C91" s="2444" t="s">
        <v>221</v>
      </c>
      <c r="D91" s="2397">
        <f>+D78+D62+D53+D41+D30</f>
        <v>640044.14</v>
      </c>
      <c r="E91" s="2363"/>
      <c r="G91" s="2399" t="s">
        <v>221</v>
      </c>
      <c r="H91" s="2397">
        <f>+H78+H62+H53+H41+H30</f>
        <v>412840</v>
      </c>
      <c r="I91" s="2400"/>
      <c r="J91" s="607"/>
      <c r="K91" s="2399" t="s">
        <v>221</v>
      </c>
      <c r="L91" s="2397">
        <f>+L78+L62+L53+L41+L30</f>
        <v>119006</v>
      </c>
      <c r="M91" s="2404"/>
      <c r="O91" s="2399" t="s">
        <v>221</v>
      </c>
      <c r="P91" s="2397">
        <f>+P78+P62+P53+P41+P30</f>
        <v>2000000</v>
      </c>
      <c r="Q91" s="2404"/>
      <c r="R91" s="608"/>
      <c r="S91" s="2405" t="s">
        <v>221</v>
      </c>
      <c r="T91" s="2397">
        <f>+T78+T62+T53+T41+T30</f>
        <v>250000</v>
      </c>
      <c r="U91" s="2409"/>
      <c r="V91" s="2407"/>
      <c r="W91" s="2408" t="s">
        <v>221</v>
      </c>
      <c r="X91" s="2397" t="e">
        <f>+X78+X62+X53+X41+X30</f>
        <v>#VALUE!</v>
      </c>
      <c r="Y91" s="2409"/>
      <c r="AA91" s="2399" t="s">
        <v>221</v>
      </c>
      <c r="AB91" s="2397" t="e">
        <f>+AB78+AB62+AB53+AB41+AB30</f>
        <v>#VALUE!</v>
      </c>
      <c r="AC91" s="2409"/>
    </row>
    <row r="92" spans="1:29" s="2402" customFormat="1" ht="11.25" x14ac:dyDescent="0.2">
      <c r="A92" s="2413"/>
      <c r="B92" s="2395"/>
      <c r="C92" s="2445" t="s">
        <v>222</v>
      </c>
      <c r="D92" s="2412">
        <f>+D13</f>
        <v>0</v>
      </c>
      <c r="E92" s="2419"/>
      <c r="F92" s="2410"/>
      <c r="G92" s="2415" t="s">
        <v>222</v>
      </c>
      <c r="H92" s="2412">
        <f>+H13</f>
        <v>0</v>
      </c>
      <c r="I92" s="2398"/>
      <c r="J92" s="608"/>
      <c r="K92" s="2415" t="s">
        <v>222</v>
      </c>
      <c r="L92" s="2412">
        <f>+L13</f>
        <v>0</v>
      </c>
      <c r="M92" s="2404"/>
      <c r="O92" s="2415" t="s">
        <v>222</v>
      </c>
      <c r="P92" s="2412">
        <f>+P13</f>
        <v>0</v>
      </c>
      <c r="Q92" s="2363"/>
      <c r="R92" s="608"/>
      <c r="S92" s="2416" t="s">
        <v>222</v>
      </c>
      <c r="T92" s="2412">
        <f>+T13</f>
        <v>0</v>
      </c>
      <c r="V92" s="2407"/>
      <c r="W92" s="2417" t="s">
        <v>222</v>
      </c>
      <c r="X92" s="2412">
        <f>+X13</f>
        <v>0</v>
      </c>
      <c r="AA92" s="2415" t="s">
        <v>222</v>
      </c>
      <c r="AB92" s="2412">
        <f>+AB13</f>
        <v>0</v>
      </c>
    </row>
    <row r="93" spans="1:29" s="2402" customFormat="1" ht="11.25" x14ac:dyDescent="0.2">
      <c r="A93" s="2413"/>
      <c r="B93" s="2395"/>
      <c r="C93" s="2445"/>
      <c r="D93" s="2418">
        <f>+D91+D92</f>
        <v>640044.14</v>
      </c>
      <c r="E93" s="2419"/>
      <c r="F93" s="2410"/>
      <c r="G93" s="2415"/>
      <c r="H93" s="2418">
        <f>+H91+H92</f>
        <v>412840</v>
      </c>
      <c r="I93" s="2398"/>
      <c r="J93" s="608"/>
      <c r="K93" s="2415"/>
      <c r="L93" s="2418">
        <f>+L91+L92</f>
        <v>119006</v>
      </c>
      <c r="M93" s="2363"/>
      <c r="O93" s="2415"/>
      <c r="P93" s="2418">
        <f>+P91+P92</f>
        <v>2000000</v>
      </c>
      <c r="Q93" s="2363"/>
      <c r="R93" s="608"/>
      <c r="S93" s="2416"/>
      <c r="T93" s="2418">
        <f>+T91+T92</f>
        <v>250000</v>
      </c>
      <c r="V93" s="2407"/>
      <c r="W93" s="2417"/>
      <c r="X93" s="2418" t="e">
        <f>+X91+X92</f>
        <v>#VALUE!</v>
      </c>
      <c r="AA93" s="2415"/>
      <c r="AB93" s="2418" t="e">
        <f>+AB91+AB92</f>
        <v>#VALUE!</v>
      </c>
    </row>
    <row r="94" spans="1:29" s="457" customFormat="1" ht="15" customHeight="1" x14ac:dyDescent="0.25">
      <c r="A94" s="897"/>
      <c r="B94" s="2422"/>
      <c r="C94" s="2446"/>
      <c r="D94" s="459">
        <f>+D81-D93</f>
        <v>0</v>
      </c>
      <c r="E94" s="2386"/>
      <c r="F94" s="340"/>
      <c r="G94" s="2447"/>
      <c r="H94" s="459">
        <f>+H81-H93</f>
        <v>0</v>
      </c>
      <c r="I94" s="2339"/>
      <c r="J94" s="592"/>
      <c r="K94" s="2447"/>
      <c r="L94" s="459">
        <f>+L81-L93</f>
        <v>0</v>
      </c>
      <c r="M94" s="1656"/>
      <c r="O94" s="2447"/>
      <c r="P94" s="459">
        <f>+P81-P93</f>
        <v>0</v>
      </c>
      <c r="Q94" s="1656"/>
      <c r="R94" s="592"/>
      <c r="S94" s="2447"/>
      <c r="T94" s="459">
        <f>+T81-T93</f>
        <v>0</v>
      </c>
      <c r="V94" s="952"/>
      <c r="W94" s="2448"/>
      <c r="X94" s="459" t="e">
        <f>+X81-X93</f>
        <v>#VALUE!</v>
      </c>
      <c r="AA94" s="2447"/>
      <c r="AB94" s="459" t="e">
        <f>+AB81-AB93</f>
        <v>#VALUE!</v>
      </c>
    </row>
    <row r="95" spans="1:29" s="457" customFormat="1" x14ac:dyDescent="0.25">
      <c r="A95" s="897"/>
      <c r="B95" s="2422"/>
      <c r="C95" s="2446"/>
      <c r="D95" s="455"/>
      <c r="E95" s="2386"/>
      <c r="F95" s="340"/>
      <c r="G95" s="2338"/>
      <c r="H95" s="2424"/>
      <c r="I95" s="2339"/>
      <c r="J95" s="592"/>
      <c r="K95" s="1668"/>
      <c r="L95" s="2370"/>
      <c r="M95" s="1656"/>
      <c r="O95" s="1668"/>
      <c r="P95" s="340"/>
      <c r="Q95" s="1656"/>
      <c r="R95" s="592"/>
      <c r="S95" s="2341"/>
      <c r="V95" s="952"/>
      <c r="W95" s="2343"/>
      <c r="AA95" s="1668"/>
    </row>
    <row r="96" spans="1:29" s="457" customFormat="1" x14ac:dyDescent="0.25">
      <c r="A96" s="897"/>
      <c r="B96" s="2394"/>
      <c r="C96" s="2339"/>
      <c r="D96" s="342"/>
      <c r="E96" s="2386"/>
      <c r="F96" s="340"/>
      <c r="G96" s="2338"/>
      <c r="H96" s="2424"/>
      <c r="I96" s="2339"/>
      <c r="J96" s="592"/>
      <c r="K96" s="1668"/>
      <c r="L96" s="2370"/>
      <c r="M96" s="1656"/>
      <c r="O96" s="1668"/>
      <c r="P96" s="340"/>
      <c r="Q96" s="1656"/>
      <c r="R96" s="592"/>
      <c r="S96" s="2341"/>
      <c r="V96" s="952"/>
      <c r="W96" s="2343"/>
      <c r="AA96" s="1668"/>
    </row>
    <row r="97" spans="1:27" s="457" customFormat="1" x14ac:dyDescent="0.25">
      <c r="A97" s="1656"/>
      <c r="B97" s="2394"/>
      <c r="C97" s="2339"/>
      <c r="D97" s="455"/>
      <c r="E97" s="1656"/>
      <c r="G97" s="2338"/>
      <c r="H97" s="2424"/>
      <c r="I97" s="2339"/>
      <c r="J97" s="592"/>
      <c r="K97" s="1668"/>
      <c r="L97" s="2370"/>
      <c r="M97" s="1656"/>
      <c r="O97" s="1668"/>
      <c r="P97" s="340"/>
      <c r="Q97" s="1656"/>
      <c r="R97" s="592"/>
      <c r="S97" s="2341"/>
      <c r="V97" s="952"/>
      <c r="W97" s="2343"/>
      <c r="AA97" s="1668"/>
    </row>
    <row r="98" spans="1:27" s="457" customFormat="1" x14ac:dyDescent="0.25">
      <c r="A98" s="1656"/>
      <c r="B98" s="2394"/>
      <c r="C98" s="2339"/>
      <c r="D98" s="455"/>
      <c r="E98" s="1656"/>
      <c r="G98" s="2338"/>
      <c r="H98" s="2424"/>
      <c r="I98" s="2339"/>
      <c r="J98" s="592"/>
      <c r="K98" s="1668"/>
      <c r="L98" s="2370"/>
      <c r="M98" s="1656"/>
      <c r="O98" s="1668"/>
      <c r="P98" s="340"/>
      <c r="Q98" s="1656"/>
      <c r="R98" s="592"/>
      <c r="S98" s="2341"/>
      <c r="V98" s="952"/>
      <c r="W98" s="2343"/>
      <c r="AA98" s="1668"/>
    </row>
    <row r="99" spans="1:27" s="457" customFormat="1" ht="15" customHeight="1" x14ac:dyDescent="0.25">
      <c r="A99" s="1656"/>
      <c r="B99" s="2394"/>
      <c r="C99" s="2339"/>
      <c r="D99" s="455"/>
      <c r="E99" s="1656"/>
      <c r="G99" s="2338"/>
      <c r="H99" s="2424"/>
      <c r="I99" s="2339"/>
      <c r="J99" s="592"/>
      <c r="K99" s="1668"/>
      <c r="L99" s="2370"/>
      <c r="M99" s="1656"/>
      <c r="O99" s="1668"/>
      <c r="P99" s="340"/>
      <c r="Q99" s="1656"/>
      <c r="R99" s="592"/>
      <c r="S99" s="2341"/>
      <c r="V99" s="952"/>
      <c r="W99" s="2343"/>
      <c r="AA99" s="1668"/>
    </row>
    <row r="100" spans="1:27" s="457" customFormat="1" x14ac:dyDescent="0.25">
      <c r="A100" s="1656"/>
      <c r="B100" s="2394"/>
      <c r="C100" s="2339"/>
      <c r="D100" s="455"/>
      <c r="E100" s="1656"/>
      <c r="G100" s="2338"/>
      <c r="H100" s="2424"/>
      <c r="I100" s="2339"/>
      <c r="J100" s="592"/>
      <c r="K100" s="1668"/>
      <c r="L100" s="2370"/>
      <c r="M100" s="1656"/>
      <c r="O100" s="1668"/>
      <c r="P100" s="340"/>
      <c r="Q100" s="1656"/>
      <c r="R100" s="592"/>
      <c r="S100" s="2341"/>
      <c r="V100" s="952"/>
      <c r="W100" s="2343"/>
      <c r="AA100" s="1668"/>
    </row>
    <row r="101" spans="1:27" s="457" customFormat="1" x14ac:dyDescent="0.25">
      <c r="A101" s="1656"/>
      <c r="B101" s="2394"/>
      <c r="C101" s="2339"/>
      <c r="D101" s="455"/>
      <c r="E101" s="1656"/>
      <c r="G101" s="2338"/>
      <c r="H101" s="2424"/>
      <c r="I101" s="2339"/>
      <c r="J101" s="592"/>
      <c r="K101" s="1668"/>
      <c r="L101" s="2370"/>
      <c r="M101" s="1656"/>
      <c r="O101" s="1668"/>
      <c r="P101" s="340"/>
      <c r="Q101" s="1656"/>
      <c r="R101" s="592"/>
      <c r="S101" s="2341"/>
      <c r="V101" s="952"/>
      <c r="W101" s="2343"/>
      <c r="AA101" s="1668"/>
    </row>
    <row r="102" spans="1:27" s="457" customFormat="1" ht="15" customHeight="1" x14ac:dyDescent="0.25">
      <c r="A102" s="1656"/>
      <c r="B102" s="2565"/>
      <c r="C102" s="2565"/>
      <c r="D102" s="455"/>
      <c r="E102" s="1656"/>
      <c r="G102" s="2338"/>
      <c r="H102" s="2424"/>
      <c r="I102" s="2339"/>
      <c r="J102" s="592"/>
      <c r="K102" s="1668"/>
      <c r="L102" s="2370"/>
      <c r="M102" s="1656"/>
      <c r="O102" s="1668"/>
      <c r="P102" s="340"/>
      <c r="Q102" s="1656"/>
      <c r="R102" s="592"/>
      <c r="S102" s="2341"/>
      <c r="V102" s="952"/>
      <c r="W102" s="2343"/>
      <c r="AA102" s="1668"/>
    </row>
    <row r="103" spans="1:27" s="457" customFormat="1" x14ac:dyDescent="0.25">
      <c r="A103" s="1656"/>
      <c r="B103" s="2565"/>
      <c r="C103" s="2565"/>
      <c r="D103" s="455"/>
      <c r="E103" s="1656"/>
      <c r="G103" s="2338"/>
      <c r="H103" s="2424"/>
      <c r="I103" s="2339"/>
      <c r="J103" s="592"/>
      <c r="K103" s="1668"/>
      <c r="L103" s="2370"/>
      <c r="M103" s="1656"/>
      <c r="O103" s="1668"/>
      <c r="P103" s="340"/>
      <c r="Q103" s="1656"/>
      <c r="R103" s="592"/>
      <c r="S103" s="2341"/>
      <c r="V103" s="952"/>
      <c r="W103" s="2343"/>
      <c r="AA103" s="1668"/>
    </row>
    <row r="104" spans="1:27" s="457" customFormat="1" x14ac:dyDescent="0.25">
      <c r="A104" s="1656"/>
      <c r="B104" s="2394"/>
      <c r="C104" s="2339"/>
      <c r="D104" s="460"/>
      <c r="E104" s="1656"/>
      <c r="G104" s="2338"/>
      <c r="H104" s="2424"/>
      <c r="I104" s="2339"/>
      <c r="J104" s="592"/>
      <c r="K104" s="1668"/>
      <c r="L104" s="2370"/>
      <c r="M104" s="1656"/>
      <c r="O104" s="1668"/>
      <c r="P104" s="340"/>
      <c r="Q104" s="1656"/>
      <c r="R104" s="592"/>
      <c r="S104" s="2341"/>
      <c r="V104" s="952"/>
      <c r="W104" s="2343"/>
      <c r="AA104" s="1668"/>
    </row>
    <row r="105" spans="1:27" s="457" customFormat="1" x14ac:dyDescent="0.25">
      <c r="A105" s="1656"/>
      <c r="B105" s="2394"/>
      <c r="C105" s="2339"/>
      <c r="D105" s="455"/>
      <c r="E105" s="1656"/>
      <c r="G105" s="2338"/>
      <c r="H105" s="2424"/>
      <c r="I105" s="2339"/>
      <c r="J105" s="592"/>
      <c r="K105" s="1668"/>
      <c r="L105" s="2370"/>
      <c r="M105" s="1656"/>
      <c r="O105" s="1668"/>
      <c r="P105" s="340"/>
      <c r="Q105" s="1656"/>
      <c r="R105" s="592"/>
      <c r="S105" s="2341"/>
      <c r="V105" s="952"/>
      <c r="W105" s="2343"/>
      <c r="AA105" s="1668"/>
    </row>
    <row r="106" spans="1:27" s="457" customFormat="1" x14ac:dyDescent="0.25">
      <c r="A106" s="1656"/>
      <c r="B106" s="2394"/>
      <c r="C106" s="2339"/>
      <c r="D106" s="455"/>
      <c r="E106" s="1656"/>
      <c r="G106" s="2338"/>
      <c r="H106" s="2424"/>
      <c r="I106" s="2339"/>
      <c r="J106" s="592"/>
      <c r="K106" s="1668"/>
      <c r="L106" s="2370"/>
      <c r="M106" s="1656"/>
      <c r="O106" s="1668"/>
      <c r="P106" s="340"/>
      <c r="Q106" s="1656"/>
      <c r="R106" s="592"/>
      <c r="S106" s="2341"/>
      <c r="V106" s="952"/>
      <c r="W106" s="2343"/>
      <c r="AA106" s="1668"/>
    </row>
    <row r="107" spans="1:27" s="457" customFormat="1" ht="28.5" customHeight="1" x14ac:dyDescent="0.25">
      <c r="A107" s="1656"/>
      <c r="B107" s="2394"/>
      <c r="C107" s="2339"/>
      <c r="D107" s="342"/>
      <c r="E107" s="1656"/>
      <c r="G107" s="2338"/>
      <c r="H107" s="2424"/>
      <c r="I107" s="2339"/>
      <c r="J107" s="592"/>
      <c r="K107" s="1668"/>
      <c r="L107" s="2370"/>
      <c r="M107" s="1656"/>
      <c r="O107" s="1668"/>
      <c r="P107" s="340"/>
      <c r="Q107" s="1656"/>
      <c r="R107" s="592"/>
      <c r="S107" s="2341"/>
      <c r="V107" s="952"/>
      <c r="W107" s="2343"/>
      <c r="AA107" s="1668"/>
    </row>
    <row r="108" spans="1:27" s="457" customFormat="1" x14ac:dyDescent="0.25">
      <c r="A108" s="1656"/>
      <c r="B108" s="2394"/>
      <c r="C108" s="2339"/>
      <c r="D108" s="455"/>
      <c r="E108" s="1656"/>
      <c r="G108" s="2338"/>
      <c r="H108" s="2424"/>
      <c r="I108" s="2339"/>
      <c r="J108" s="592"/>
      <c r="K108" s="1668"/>
      <c r="L108" s="2370"/>
      <c r="M108" s="1656"/>
      <c r="O108" s="1668"/>
      <c r="P108" s="340"/>
      <c r="Q108" s="1656"/>
      <c r="R108" s="592"/>
      <c r="S108" s="2341"/>
      <c r="V108" s="952"/>
      <c r="W108" s="2343"/>
      <c r="AA108" s="1668"/>
    </row>
    <row r="109" spans="1:27" s="457" customFormat="1" x14ac:dyDescent="0.25">
      <c r="A109" s="1656"/>
      <c r="B109" s="2394"/>
      <c r="C109" s="2339"/>
      <c r="D109" s="455"/>
      <c r="E109" s="1656"/>
      <c r="G109" s="2338"/>
      <c r="H109" s="2424"/>
      <c r="I109" s="2339"/>
      <c r="J109" s="592"/>
      <c r="K109" s="1668"/>
      <c r="L109" s="2370"/>
      <c r="M109" s="1656"/>
      <c r="O109" s="1668"/>
      <c r="P109" s="340"/>
      <c r="Q109" s="1656"/>
      <c r="R109" s="592"/>
      <c r="S109" s="2341"/>
      <c r="V109" s="952"/>
      <c r="W109" s="2343"/>
      <c r="AA109" s="1668"/>
    </row>
    <row r="110" spans="1:27" s="457" customFormat="1" x14ac:dyDescent="0.25">
      <c r="A110" s="1656"/>
      <c r="B110" s="2394"/>
      <c r="C110" s="2339"/>
      <c r="D110" s="455"/>
      <c r="E110" s="1656"/>
      <c r="G110" s="2338"/>
      <c r="H110" s="2424"/>
      <c r="I110" s="2339"/>
      <c r="J110" s="592"/>
      <c r="K110" s="1668"/>
      <c r="L110" s="2370"/>
      <c r="M110" s="1656"/>
      <c r="O110" s="1668"/>
      <c r="P110" s="340"/>
      <c r="Q110" s="1656"/>
      <c r="R110" s="592"/>
      <c r="S110" s="2341"/>
      <c r="V110" s="952"/>
      <c r="W110" s="2343"/>
      <c r="AA110" s="1668"/>
    </row>
    <row r="111" spans="1:27" s="457" customFormat="1" x14ac:dyDescent="0.25">
      <c r="A111" s="1656"/>
      <c r="B111" s="2394"/>
      <c r="C111" s="2339"/>
      <c r="D111" s="455"/>
      <c r="E111" s="1656"/>
      <c r="G111" s="2338"/>
      <c r="H111" s="2424"/>
      <c r="I111" s="2339"/>
      <c r="J111" s="592"/>
      <c r="K111" s="1668"/>
      <c r="L111" s="2370"/>
      <c r="M111" s="1656"/>
      <c r="O111" s="1668"/>
      <c r="P111" s="340"/>
      <c r="Q111" s="1656"/>
      <c r="R111" s="592"/>
      <c r="S111" s="2341"/>
      <c r="V111" s="952"/>
      <c r="W111" s="2343"/>
      <c r="AA111" s="1668"/>
    </row>
    <row r="112" spans="1:27" s="457" customFormat="1" x14ac:dyDescent="0.25">
      <c r="A112" s="1656"/>
      <c r="B112" s="2394"/>
      <c r="C112" s="2339"/>
      <c r="D112" s="455"/>
      <c r="E112" s="1656"/>
      <c r="G112" s="2338"/>
      <c r="H112" s="2424"/>
      <c r="I112" s="2339"/>
      <c r="J112" s="592"/>
      <c r="K112" s="1668"/>
      <c r="L112" s="2370"/>
      <c r="M112" s="1656"/>
      <c r="O112" s="1668"/>
      <c r="P112" s="340"/>
      <c r="Q112" s="1656"/>
      <c r="R112" s="592"/>
      <c r="S112" s="2341"/>
      <c r="V112" s="952"/>
      <c r="W112" s="2343"/>
      <c r="AA112" s="1668"/>
    </row>
    <row r="113" spans="1:27" s="457" customFormat="1" x14ac:dyDescent="0.25">
      <c r="A113" s="1656"/>
      <c r="B113" s="2394"/>
      <c r="C113" s="2339"/>
      <c r="D113" s="455"/>
      <c r="E113" s="1656"/>
      <c r="G113" s="2338"/>
      <c r="H113" s="2424"/>
      <c r="I113" s="2339"/>
      <c r="J113" s="592"/>
      <c r="K113" s="1668"/>
      <c r="L113" s="2370"/>
      <c r="M113" s="1656"/>
      <c r="O113" s="1668"/>
      <c r="P113" s="340"/>
      <c r="Q113" s="1656"/>
      <c r="R113" s="592"/>
      <c r="S113" s="2341"/>
      <c r="V113" s="952"/>
      <c r="W113" s="2343"/>
      <c r="AA113" s="1668"/>
    </row>
    <row r="114" spans="1:27" s="457" customFormat="1" x14ac:dyDescent="0.25">
      <c r="A114" s="1656"/>
      <c r="B114" s="2394"/>
      <c r="C114" s="2339"/>
      <c r="D114" s="455"/>
      <c r="E114" s="1656"/>
      <c r="G114" s="2338"/>
      <c r="H114" s="2424"/>
      <c r="I114" s="2339"/>
      <c r="J114" s="592"/>
      <c r="K114" s="1668"/>
      <c r="L114" s="2370"/>
      <c r="M114" s="1656"/>
      <c r="O114" s="1668"/>
      <c r="P114" s="340"/>
      <c r="Q114" s="1656"/>
      <c r="R114" s="592"/>
      <c r="S114" s="2341"/>
      <c r="V114" s="952"/>
      <c r="W114" s="2343"/>
      <c r="AA114" s="1668"/>
    </row>
    <row r="115" spans="1:27" s="457" customFormat="1" x14ac:dyDescent="0.25">
      <c r="A115" s="1656"/>
      <c r="B115" s="2394"/>
      <c r="C115" s="2339"/>
      <c r="D115" s="455"/>
      <c r="E115" s="1656"/>
      <c r="G115" s="2338"/>
      <c r="H115" s="2424"/>
      <c r="I115" s="2339"/>
      <c r="J115" s="592"/>
      <c r="K115" s="1668"/>
      <c r="L115" s="2370"/>
      <c r="M115" s="1656"/>
      <c r="O115" s="1668"/>
      <c r="P115" s="340"/>
      <c r="Q115" s="1656"/>
      <c r="R115" s="592"/>
      <c r="S115" s="2341"/>
      <c r="V115" s="952"/>
      <c r="W115" s="2343"/>
      <c r="AA115" s="1668"/>
    </row>
    <row r="116" spans="1:27" s="457" customFormat="1" x14ac:dyDescent="0.25">
      <c r="A116" s="1656"/>
      <c r="B116" s="2394"/>
      <c r="C116" s="2339"/>
      <c r="D116" s="455"/>
      <c r="E116" s="1656"/>
      <c r="G116" s="2338"/>
      <c r="H116" s="2424"/>
      <c r="I116" s="2339"/>
      <c r="J116" s="592"/>
      <c r="K116" s="1668"/>
      <c r="L116" s="2370"/>
      <c r="M116" s="1656"/>
      <c r="O116" s="1668"/>
      <c r="P116" s="340"/>
      <c r="Q116" s="1656"/>
      <c r="R116" s="592"/>
      <c r="S116" s="2341"/>
      <c r="V116" s="952"/>
      <c r="W116" s="2343"/>
      <c r="AA116" s="1668"/>
    </row>
    <row r="117" spans="1:27" s="457" customFormat="1" x14ac:dyDescent="0.25">
      <c r="A117" s="1656"/>
      <c r="B117" s="2394"/>
      <c r="C117" s="2339"/>
      <c r="D117" s="455"/>
      <c r="E117" s="1656"/>
      <c r="G117" s="2338"/>
      <c r="H117" s="2424"/>
      <c r="I117" s="2339"/>
      <c r="J117" s="592"/>
      <c r="K117" s="1668"/>
      <c r="L117" s="2370"/>
      <c r="M117" s="1656"/>
      <c r="O117" s="1668"/>
      <c r="P117" s="340"/>
      <c r="Q117" s="1656"/>
      <c r="R117" s="592"/>
      <c r="S117" s="2341"/>
      <c r="V117" s="952"/>
      <c r="W117" s="2343"/>
      <c r="AA117" s="1668"/>
    </row>
    <row r="118" spans="1:27" s="457" customFormat="1" x14ac:dyDescent="0.25">
      <c r="A118" s="1656"/>
      <c r="B118" s="2394"/>
      <c r="C118" s="2339"/>
      <c r="D118" s="455"/>
      <c r="E118" s="1656"/>
      <c r="G118" s="2338"/>
      <c r="H118" s="2424"/>
      <c r="I118" s="2339"/>
      <c r="J118" s="592"/>
      <c r="K118" s="1668"/>
      <c r="L118" s="2370"/>
      <c r="M118" s="1656"/>
      <c r="O118" s="1668"/>
      <c r="P118" s="340"/>
      <c r="Q118" s="1656"/>
      <c r="R118" s="592"/>
      <c r="S118" s="2341"/>
      <c r="V118" s="952"/>
      <c r="W118" s="2343"/>
      <c r="AA118" s="1668"/>
    </row>
    <row r="119" spans="1:27" s="457" customFormat="1" x14ac:dyDescent="0.25">
      <c r="A119" s="1656"/>
      <c r="B119" s="2394"/>
      <c r="C119" s="2339"/>
      <c r="D119" s="455"/>
      <c r="E119" s="1656"/>
      <c r="G119" s="2338"/>
      <c r="H119" s="2424"/>
      <c r="I119" s="2339"/>
      <c r="J119" s="592"/>
      <c r="K119" s="1668"/>
      <c r="L119" s="2370"/>
      <c r="M119" s="1656"/>
      <c r="O119" s="1668"/>
      <c r="P119" s="340"/>
      <c r="Q119" s="1656"/>
      <c r="R119" s="592"/>
      <c r="S119" s="2341"/>
      <c r="V119" s="952"/>
      <c r="W119" s="2343"/>
      <c r="AA119" s="1668"/>
    </row>
    <row r="120" spans="1:27" s="457" customFormat="1" x14ac:dyDescent="0.25">
      <c r="A120" s="1656"/>
      <c r="B120" s="2394"/>
      <c r="C120" s="2339"/>
      <c r="D120" s="455"/>
      <c r="E120" s="1656"/>
      <c r="G120" s="2338"/>
      <c r="H120" s="2424"/>
      <c r="I120" s="2339"/>
      <c r="J120" s="592"/>
      <c r="K120" s="1668"/>
      <c r="L120" s="2370"/>
      <c r="M120" s="1656"/>
      <c r="O120" s="1668"/>
      <c r="P120" s="340"/>
      <c r="Q120" s="1656"/>
      <c r="R120" s="592"/>
      <c r="S120" s="2341"/>
      <c r="V120" s="952"/>
      <c r="W120" s="2343"/>
      <c r="AA120" s="1668"/>
    </row>
    <row r="121" spans="1:27" s="457" customFormat="1" x14ac:dyDescent="0.25">
      <c r="A121" s="1656"/>
      <c r="B121" s="2394"/>
      <c r="C121" s="2339"/>
      <c r="D121" s="455"/>
      <c r="E121" s="1656"/>
      <c r="G121" s="2338"/>
      <c r="H121" s="2424"/>
      <c r="I121" s="2339"/>
      <c r="J121" s="592"/>
      <c r="K121" s="1668"/>
      <c r="L121" s="2370"/>
      <c r="M121" s="1656"/>
      <c r="O121" s="1668"/>
      <c r="P121" s="340"/>
      <c r="Q121" s="1656"/>
      <c r="R121" s="592"/>
      <c r="S121" s="2341"/>
      <c r="V121" s="952"/>
      <c r="W121" s="2343"/>
      <c r="AA121" s="1668"/>
    </row>
    <row r="122" spans="1:27" s="457" customFormat="1" x14ac:dyDescent="0.25">
      <c r="A122" s="1656"/>
      <c r="B122" s="2394"/>
      <c r="C122" s="2339"/>
      <c r="D122" s="455"/>
      <c r="E122" s="1656"/>
      <c r="G122" s="2338"/>
      <c r="H122" s="2424"/>
      <c r="I122" s="2339"/>
      <c r="J122" s="592"/>
      <c r="K122" s="1668"/>
      <c r="L122" s="2370"/>
      <c r="M122" s="1656"/>
      <c r="O122" s="1668"/>
      <c r="P122" s="340"/>
      <c r="Q122" s="1656"/>
      <c r="R122" s="592"/>
      <c r="S122" s="2341"/>
      <c r="V122" s="952"/>
      <c r="W122" s="2343"/>
      <c r="AA122" s="1668"/>
    </row>
    <row r="123" spans="1:27" s="457" customFormat="1" x14ac:dyDescent="0.25">
      <c r="A123" s="1656"/>
      <c r="B123" s="2345"/>
      <c r="C123" s="1656"/>
      <c r="D123" s="340"/>
      <c r="E123" s="1656"/>
      <c r="G123" s="2338"/>
      <c r="H123" s="2424"/>
      <c r="I123" s="2339"/>
      <c r="J123" s="592"/>
      <c r="K123" s="1668"/>
      <c r="L123" s="2370"/>
      <c r="M123" s="1656"/>
      <c r="O123" s="1668"/>
      <c r="P123" s="340"/>
      <c r="Q123" s="1656"/>
      <c r="R123" s="592"/>
      <c r="S123" s="2341"/>
      <c r="V123" s="952"/>
      <c r="W123" s="2343"/>
      <c r="AA123" s="1668"/>
    </row>
    <row r="124" spans="1:27" s="457" customFormat="1" x14ac:dyDescent="0.25">
      <c r="A124" s="1656"/>
      <c r="B124" s="2345"/>
      <c r="C124" s="1656"/>
      <c r="D124" s="340"/>
      <c r="E124" s="1656"/>
      <c r="G124" s="2338"/>
      <c r="H124" s="2424"/>
      <c r="I124" s="2339"/>
      <c r="J124" s="592"/>
      <c r="K124" s="1668"/>
      <c r="L124" s="2370"/>
      <c r="M124" s="1656"/>
      <c r="O124" s="1668"/>
      <c r="P124" s="340"/>
      <c r="Q124" s="1656"/>
      <c r="R124" s="592"/>
      <c r="S124" s="2341"/>
      <c r="V124" s="952"/>
      <c r="W124" s="2343"/>
      <c r="AA124" s="1668"/>
    </row>
    <row r="125" spans="1:27" s="457" customFormat="1" x14ac:dyDescent="0.25">
      <c r="A125" s="1656"/>
      <c r="B125" s="2345"/>
      <c r="C125" s="1656"/>
      <c r="D125" s="340"/>
      <c r="E125" s="1656"/>
      <c r="G125" s="2338"/>
      <c r="H125" s="2424"/>
      <c r="I125" s="2339"/>
      <c r="J125" s="592"/>
      <c r="K125" s="1668"/>
      <c r="L125" s="2370"/>
      <c r="M125" s="1656"/>
      <c r="O125" s="1668"/>
      <c r="P125" s="340"/>
      <c r="Q125" s="1656"/>
      <c r="R125" s="592"/>
      <c r="S125" s="2341"/>
      <c r="V125" s="952"/>
      <c r="W125" s="2343"/>
      <c r="AA125" s="1668"/>
    </row>
    <row r="126" spans="1:27" s="457" customFormat="1" x14ac:dyDescent="0.25">
      <c r="A126" s="1656"/>
      <c r="B126" s="2345"/>
      <c r="C126" s="1656"/>
      <c r="D126" s="340"/>
      <c r="E126" s="1656"/>
      <c r="G126" s="2338"/>
      <c r="H126" s="2424"/>
      <c r="I126" s="2339"/>
      <c r="J126" s="592"/>
      <c r="K126" s="1668"/>
      <c r="L126" s="2370"/>
      <c r="M126" s="1656"/>
      <c r="O126" s="1668"/>
      <c r="P126" s="340"/>
      <c r="Q126" s="1656"/>
      <c r="R126" s="592"/>
      <c r="S126" s="2341"/>
      <c r="V126" s="952"/>
      <c r="W126" s="2343"/>
      <c r="AA126" s="1668"/>
    </row>
    <row r="127" spans="1:27" s="457" customFormat="1" x14ac:dyDescent="0.25">
      <c r="A127" s="1656"/>
      <c r="B127" s="2345"/>
      <c r="C127" s="1656"/>
      <c r="D127" s="340"/>
      <c r="E127" s="1656"/>
      <c r="G127" s="2338"/>
      <c r="H127" s="2424"/>
      <c r="I127" s="2339"/>
      <c r="J127" s="592"/>
      <c r="K127" s="1668"/>
      <c r="L127" s="2370"/>
      <c r="M127" s="1656"/>
      <c r="O127" s="1668"/>
      <c r="P127" s="340"/>
      <c r="Q127" s="1656"/>
      <c r="R127" s="592"/>
      <c r="S127" s="2341"/>
      <c r="V127" s="952"/>
      <c r="W127" s="2343"/>
      <c r="AA127" s="1668"/>
    </row>
    <row r="128" spans="1:27" s="457" customFormat="1" x14ac:dyDescent="0.25">
      <c r="A128" s="1656"/>
      <c r="B128" s="2345"/>
      <c r="C128" s="1656"/>
      <c r="D128" s="340"/>
      <c r="E128" s="1656"/>
      <c r="G128" s="2338"/>
      <c r="H128" s="2424"/>
      <c r="I128" s="2339"/>
      <c r="J128" s="592"/>
      <c r="K128" s="1668"/>
      <c r="L128" s="2370"/>
      <c r="M128" s="1656"/>
      <c r="O128" s="1668"/>
      <c r="P128" s="340"/>
      <c r="Q128" s="1656"/>
      <c r="R128" s="592"/>
      <c r="S128" s="2341"/>
      <c r="V128" s="952"/>
      <c r="W128" s="2343"/>
      <c r="AA128" s="1668"/>
    </row>
    <row r="129" spans="1:27" s="457" customFormat="1" x14ac:dyDescent="0.25">
      <c r="A129" s="1656"/>
      <c r="B129" s="2345"/>
      <c r="C129" s="1656"/>
      <c r="D129" s="340"/>
      <c r="E129" s="1656"/>
      <c r="G129" s="2338"/>
      <c r="H129" s="2424"/>
      <c r="I129" s="2339"/>
      <c r="J129" s="592"/>
      <c r="K129" s="1668"/>
      <c r="L129" s="2370"/>
      <c r="M129" s="1656"/>
      <c r="O129" s="1668"/>
      <c r="P129" s="340"/>
      <c r="Q129" s="1656"/>
      <c r="R129" s="592"/>
      <c r="S129" s="2341"/>
      <c r="V129" s="952"/>
      <c r="W129" s="2343"/>
      <c r="AA129" s="1668"/>
    </row>
    <row r="130" spans="1:27" s="457" customFormat="1" x14ac:dyDescent="0.25">
      <c r="A130" s="1656"/>
      <c r="B130" s="2345"/>
      <c r="C130" s="1656"/>
      <c r="D130" s="340"/>
      <c r="E130" s="1656"/>
      <c r="G130" s="2338"/>
      <c r="H130" s="2424"/>
      <c r="I130" s="2339"/>
      <c r="J130" s="592"/>
      <c r="K130" s="1668"/>
      <c r="L130" s="2370"/>
      <c r="M130" s="1656"/>
      <c r="O130" s="1668"/>
      <c r="P130" s="340"/>
      <c r="Q130" s="1656"/>
      <c r="R130" s="592"/>
      <c r="S130" s="2341"/>
      <c r="V130" s="952"/>
      <c r="W130" s="2343"/>
      <c r="AA130" s="1668"/>
    </row>
    <row r="131" spans="1:27" s="457" customFormat="1" x14ac:dyDescent="0.25">
      <c r="A131" s="1656"/>
      <c r="B131" s="2345"/>
      <c r="C131" s="1656"/>
      <c r="D131" s="340"/>
      <c r="E131" s="1656"/>
      <c r="G131" s="2338"/>
      <c r="H131" s="2424"/>
      <c r="I131" s="2339"/>
      <c r="J131" s="592"/>
      <c r="K131" s="1668"/>
      <c r="L131" s="2370"/>
      <c r="M131" s="1656"/>
      <c r="O131" s="1668"/>
      <c r="P131" s="340"/>
      <c r="Q131" s="1656"/>
      <c r="R131" s="592"/>
      <c r="S131" s="2341"/>
      <c r="V131" s="952"/>
      <c r="W131" s="2343"/>
      <c r="AA131" s="1668"/>
    </row>
  </sheetData>
  <sheetProtection password="E247" sheet="1" objects="1" scenarios="1"/>
  <mergeCells count="1">
    <mergeCell ref="B102:C103"/>
  </mergeCells>
  <pageMargins left="0.25" right="0.25" top="0.5" bottom="0.5" header="0.25" footer="0.25"/>
  <pageSetup paperSize="5" orientation="portrait" r:id="rId1"/>
  <headerFooter>
    <oddHeader>&amp;L&amp;F</oddHeader>
    <oddFooter>&amp;R&amp;A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C154"/>
  <sheetViews>
    <sheetView zoomScaleNormal="100" workbookViewId="0">
      <pane xSplit="3" ySplit="6" topLeftCell="H7" activePane="bottomRight" state="frozen"/>
      <selection activeCell="H7" sqref="H7"/>
      <selection pane="topRight" activeCell="H7" sqref="H7"/>
      <selection pane="bottomLeft" activeCell="H7" sqref="H7"/>
      <selection pane="bottomRight" activeCell="H7" sqref="H7"/>
    </sheetView>
  </sheetViews>
  <sheetFormatPr defaultRowHeight="15" x14ac:dyDescent="0.25"/>
  <cols>
    <col min="1" max="1" width="1.5703125" style="2213" customWidth="1"/>
    <col min="2" max="2" width="8.5703125" style="2172" customWidth="1"/>
    <col min="3" max="3" width="18.28515625" style="2176" customWidth="1"/>
    <col min="4" max="4" width="16" style="2" hidden="1" customWidth="1"/>
    <col min="5" max="5" width="20" style="844" hidden="1" customWidth="1"/>
    <col min="6" max="6" width="6" style="39" hidden="1" customWidth="1"/>
    <col min="7" max="7" width="9.42578125" style="52" hidden="1" customWidth="1"/>
    <col min="8" max="8" width="15.85546875" style="121" customWidth="1"/>
    <col min="9" max="9" width="26" style="853" hidden="1" customWidth="1"/>
    <col min="10" max="10" width="5.7109375" style="59" hidden="1" customWidth="1"/>
    <col min="11" max="11" width="9.42578125" style="333" hidden="1" customWidth="1"/>
    <col min="12" max="12" width="15.42578125" style="122" customWidth="1"/>
    <col min="13" max="13" width="26" style="844" hidden="1" customWidth="1"/>
    <col min="14" max="14" width="5.7109375" style="39" hidden="1" customWidth="1"/>
    <col min="15" max="15" width="9.42578125" style="333" hidden="1" customWidth="1"/>
    <col min="16" max="16" width="15.28515625" style="2" customWidth="1"/>
    <col min="17" max="17" width="24.85546875" style="844" hidden="1" customWidth="1"/>
    <col min="18" max="18" width="5.28515625" style="51" hidden="1" customWidth="1"/>
    <col min="19" max="19" width="9.42578125" style="338" hidden="1" customWidth="1"/>
    <col min="20" max="20" width="15.85546875" style="2" customWidth="1"/>
    <col min="21" max="21" width="24.85546875" style="39" hidden="1" customWidth="1"/>
    <col min="22" max="22" width="5.7109375" style="109" customWidth="1"/>
    <col min="23" max="23" width="9.42578125" style="2244" hidden="1" customWidth="1"/>
    <col min="24" max="24" width="14" style="39" hidden="1" customWidth="1"/>
    <col min="25" max="25" width="24.85546875" style="39" hidden="1" customWidth="1"/>
    <col min="26" max="26" width="5.7109375" style="39" hidden="1" customWidth="1"/>
    <col min="27" max="27" width="9.42578125" style="333" hidden="1" customWidth="1"/>
    <col min="28" max="28" width="14" style="39" hidden="1" customWidth="1"/>
    <col min="29" max="29" width="24.85546875" style="39" hidden="1" customWidth="1"/>
    <col min="30" max="16384" width="9.140625" style="39"/>
  </cols>
  <sheetData>
    <row r="1" spans="1:29" x14ac:dyDescent="0.25">
      <c r="B1" s="2172" t="s">
        <v>61</v>
      </c>
      <c r="C1" s="2178" t="s">
        <v>234</v>
      </c>
      <c r="D1" s="933"/>
      <c r="E1" s="842"/>
      <c r="F1" s="98"/>
      <c r="G1" s="325"/>
      <c r="H1" s="934"/>
      <c r="I1" s="842"/>
      <c r="K1" s="338"/>
      <c r="L1" s="121"/>
      <c r="M1" s="842"/>
      <c r="N1" s="51"/>
      <c r="O1" s="338"/>
      <c r="P1" s="121"/>
      <c r="Q1" s="842"/>
      <c r="T1" s="121">
        <v>0</v>
      </c>
      <c r="U1" s="98"/>
      <c r="X1" s="86">
        <v>0</v>
      </c>
      <c r="Y1" s="98"/>
      <c r="AB1" s="86">
        <v>0</v>
      </c>
      <c r="AC1" s="98"/>
    </row>
    <row r="2" spans="1:29" ht="17.25" x14ac:dyDescent="0.4">
      <c r="B2" s="2173" t="s">
        <v>59</v>
      </c>
      <c r="C2" s="2177">
        <v>6500</v>
      </c>
      <c r="D2" s="934"/>
      <c r="E2" s="842"/>
      <c r="F2" s="98"/>
      <c r="G2" s="1663"/>
      <c r="H2" s="934"/>
      <c r="I2" s="842"/>
      <c r="K2" s="338"/>
      <c r="L2" s="87"/>
      <c r="M2" s="842"/>
      <c r="N2" s="51"/>
      <c r="O2" s="338"/>
      <c r="P2" s="87"/>
      <c r="Q2" s="842"/>
      <c r="T2" s="87">
        <v>0</v>
      </c>
      <c r="U2" s="98"/>
      <c r="X2" s="87">
        <v>0</v>
      </c>
      <c r="Y2" s="98"/>
      <c r="AB2" s="87">
        <v>0</v>
      </c>
      <c r="AC2" s="98"/>
    </row>
    <row r="3" spans="1:29" x14ac:dyDescent="0.25">
      <c r="D3" s="935"/>
      <c r="E3" s="852"/>
      <c r="F3" s="936"/>
      <c r="G3" s="1664"/>
      <c r="H3" s="935"/>
      <c r="I3" s="852"/>
      <c r="K3" s="338"/>
      <c r="L3" s="121"/>
      <c r="M3" s="853"/>
      <c r="N3" s="51"/>
      <c r="O3" s="338"/>
      <c r="P3" s="121"/>
      <c r="Q3" s="853"/>
      <c r="T3" s="121">
        <f>SUM(T1:T2)</f>
        <v>0</v>
      </c>
      <c r="U3" s="51"/>
      <c r="X3" s="86">
        <f>SUM(X1:X2)</f>
        <v>0</v>
      </c>
      <c r="Y3" s="51"/>
      <c r="AB3" s="86">
        <f>SUM(AB1:AB2)</f>
        <v>0</v>
      </c>
      <c r="AC3" s="51"/>
    </row>
    <row r="4" spans="1:29" x14ac:dyDescent="0.25">
      <c r="D4" s="36"/>
      <c r="E4" s="853"/>
      <c r="F4" s="51"/>
      <c r="G4" s="330"/>
      <c r="K4" s="338"/>
      <c r="L4" s="121"/>
      <c r="M4" s="853"/>
      <c r="N4" s="51"/>
      <c r="O4" s="338"/>
      <c r="P4" s="121"/>
      <c r="Q4" s="853"/>
      <c r="T4" s="121"/>
      <c r="U4" s="51"/>
      <c r="X4" s="86"/>
      <c r="Y4" s="51"/>
      <c r="AB4" s="86"/>
      <c r="AC4" s="51"/>
    </row>
    <row r="5" spans="1:29" ht="15.75" x14ac:dyDescent="0.25">
      <c r="B5" s="2174" t="s">
        <v>56</v>
      </c>
      <c r="P5" s="122">
        <f>P117</f>
        <v>0</v>
      </c>
      <c r="T5" s="122">
        <f>T117</f>
        <v>0</v>
      </c>
      <c r="X5" s="73"/>
      <c r="AB5" s="73"/>
    </row>
    <row r="6" spans="1:29" s="89" customFormat="1" ht="15.75" x14ac:dyDescent="0.25">
      <c r="A6" s="2214"/>
      <c r="B6" s="2175"/>
      <c r="C6" s="2175"/>
      <c r="D6" s="243" t="s">
        <v>55</v>
      </c>
      <c r="E6" s="845"/>
      <c r="G6" s="327"/>
      <c r="H6" s="282" t="str">
        <f>LEFT(D6,4)+1&amp;"-"&amp;RIGHT(D6,4)+1</f>
        <v>2017-2018</v>
      </c>
      <c r="I6" s="854"/>
      <c r="J6" s="93"/>
      <c r="K6" s="334"/>
      <c r="L6" s="123" t="str">
        <f>LEFT(H6,4)+1&amp;"-"&amp;RIGHT(H6,4)+1</f>
        <v>2018-2019</v>
      </c>
      <c r="M6" s="888"/>
      <c r="N6" s="96"/>
      <c r="O6" s="337"/>
      <c r="P6" s="123" t="str">
        <f>LEFT(L6,4)+1&amp;"-"&amp;RIGHT(L6,4)+1</f>
        <v>2019-2020</v>
      </c>
      <c r="Q6" s="888"/>
      <c r="R6" s="2237"/>
      <c r="S6" s="2242"/>
      <c r="T6" s="123" t="str">
        <f>LEFT(P6,4)+1&amp;"-"&amp;RIGHT(P6,4)+1</f>
        <v>2020-2021</v>
      </c>
      <c r="U6" s="95"/>
      <c r="V6" s="110"/>
      <c r="W6" s="2245"/>
      <c r="X6" s="95" t="str">
        <f>LEFT(T6,4)+1&amp;"-"&amp;RIGHT(T6,4)+1</f>
        <v>2021-2022</v>
      </c>
      <c r="Y6" s="95"/>
      <c r="Z6" s="96"/>
      <c r="AA6" s="337"/>
      <c r="AB6" s="95" t="str">
        <f>LEFT(X6,4)+1&amp;"-"&amp;RIGHT(X6,4)+1</f>
        <v>2022-2023</v>
      </c>
      <c r="AC6" s="95"/>
    </row>
    <row r="7" spans="1:29" s="457" customFormat="1" x14ac:dyDescent="0.25">
      <c r="A7" s="2215"/>
      <c r="B7" s="2337" t="s">
        <v>54</v>
      </c>
      <c r="C7" s="2215"/>
      <c r="D7" s="340">
        <v>0</v>
      </c>
      <c r="E7" s="1656"/>
      <c r="G7" s="2338"/>
      <c r="H7" s="340">
        <f>D117</f>
        <v>0</v>
      </c>
      <c r="I7" s="1656"/>
      <c r="J7" s="599"/>
      <c r="K7" s="1668"/>
      <c r="L7" s="340">
        <f>H117</f>
        <v>0</v>
      </c>
      <c r="M7" s="1656"/>
      <c r="O7" s="1668"/>
      <c r="P7" s="340">
        <f>L117</f>
        <v>0</v>
      </c>
      <c r="Q7" s="2456"/>
      <c r="R7" s="592"/>
      <c r="S7" s="2341"/>
      <c r="T7" s="340">
        <f>P117</f>
        <v>0</v>
      </c>
      <c r="V7" s="952"/>
      <c r="W7" s="2343"/>
      <c r="X7" s="340">
        <f>T117</f>
        <v>0</v>
      </c>
      <c r="AA7" s="1668"/>
      <c r="AB7" s="340">
        <f>X117</f>
        <v>-7274715</v>
      </c>
    </row>
    <row r="8" spans="1:29" s="457" customFormat="1" x14ac:dyDescent="0.25">
      <c r="A8" s="2215"/>
      <c r="B8" s="2345"/>
      <c r="C8" s="2215"/>
      <c r="D8" s="340"/>
      <c r="E8" s="1656"/>
      <c r="G8" s="2338"/>
      <c r="H8" s="340"/>
      <c r="I8" s="1656"/>
      <c r="J8" s="592"/>
      <c r="K8" s="1668"/>
      <c r="L8" s="340"/>
      <c r="M8" s="1656"/>
      <c r="O8" s="1668"/>
      <c r="P8" s="340"/>
      <c r="Q8" s="1656"/>
      <c r="R8" s="592"/>
      <c r="S8" s="2341"/>
      <c r="T8" s="340"/>
      <c r="V8" s="952"/>
      <c r="W8" s="2343"/>
      <c r="AA8" s="1668"/>
    </row>
    <row r="9" spans="1:29" s="457" customFormat="1" x14ac:dyDescent="0.25">
      <c r="A9" s="2215"/>
      <c r="B9" s="2345" t="s">
        <v>52</v>
      </c>
      <c r="C9" s="2215" t="s">
        <v>237</v>
      </c>
      <c r="D9" s="340">
        <v>1039279</v>
      </c>
      <c r="E9" s="1656" t="s">
        <v>456</v>
      </c>
      <c r="G9" s="456">
        <f>IF(D9=0,"0.00%",(H9-D9)/D9)</f>
        <v>2.4857617636842466E-2</v>
      </c>
      <c r="H9" s="833">
        <v>1065113</v>
      </c>
      <c r="I9" s="1656" t="s">
        <v>456</v>
      </c>
      <c r="J9" s="342"/>
      <c r="K9" s="456">
        <f>IF(H9=0,"0.00%",(L9-H9)/H9)</f>
        <v>-6.0979445373401699E-3</v>
      </c>
      <c r="L9" s="340">
        <v>1058618</v>
      </c>
      <c r="M9" s="1656" t="s">
        <v>456</v>
      </c>
      <c r="O9" s="456">
        <f>IF(L9=0,"0.00%",(P9-L9)/L9)</f>
        <v>2.5699544122620245E-2</v>
      </c>
      <c r="P9" s="340">
        <f>ROUND(L9*(+LEFT(Q9,5)+1),0)</f>
        <v>1085824</v>
      </c>
      <c r="Q9" s="897" t="str">
        <f>TEXT('MYP Assumptions'!$G$49,"0.00%")&amp;" = COLA"</f>
        <v>2.57% = COLA</v>
      </c>
      <c r="R9" s="592"/>
      <c r="S9" s="2238">
        <f>IF(P9=0,"0.00%",(T9-P9)/P9)</f>
        <v>2.6700459743015444E-2</v>
      </c>
      <c r="T9" s="340">
        <f>ROUND(P9*(+LEFT(U9,5)+1),0)</f>
        <v>1114816</v>
      </c>
      <c r="U9" s="455" t="str">
        <f>TEXT('MYP Assumptions'!H49,"0.00%")&amp;" = COLA"</f>
        <v>2.67% = COLA</v>
      </c>
      <c r="V9" s="952"/>
      <c r="W9" s="2241">
        <f>IF(T9=0,"0.00%",(X9-T9)/T9)</f>
        <v>0</v>
      </c>
      <c r="X9" s="833">
        <f>+T9</f>
        <v>1114816</v>
      </c>
      <c r="Y9" s="457" t="s">
        <v>173</v>
      </c>
      <c r="AA9" s="456">
        <f>IF(X9=0,"0.00%",(AB9-X9)/X9)</f>
        <v>0</v>
      </c>
      <c r="AB9" s="833">
        <f>+X9</f>
        <v>1114816</v>
      </c>
      <c r="AC9" s="457" t="s">
        <v>173</v>
      </c>
    </row>
    <row r="10" spans="1:29" s="457" customFormat="1" x14ac:dyDescent="0.25">
      <c r="A10" s="2215"/>
      <c r="B10" s="2385">
        <v>8677</v>
      </c>
      <c r="C10" s="2215" t="s">
        <v>238</v>
      </c>
      <c r="D10" s="340">
        <v>325434.21999999997</v>
      </c>
      <c r="E10" s="1656" t="s">
        <v>456</v>
      </c>
      <c r="G10" s="456">
        <f t="shared" ref="G10:G12" si="0">IF(D10=0,"0.00%",(H10-D10)/D10)</f>
        <v>2.0295284251299783E-2</v>
      </c>
      <c r="H10" s="340">
        <v>332039</v>
      </c>
      <c r="I10" s="1656" t="s">
        <v>456</v>
      </c>
      <c r="J10" s="342"/>
      <c r="K10" s="456">
        <f t="shared" ref="K10:K12" si="1">IF(H10=0,"0.00%",(L10-H10)/H10)</f>
        <v>0.84881595234294771</v>
      </c>
      <c r="L10" s="340">
        <v>613879</v>
      </c>
      <c r="M10" s="1656" t="s">
        <v>456</v>
      </c>
      <c r="O10" s="456">
        <f t="shared" ref="O10:O12" si="2">IF(L10=0,"0.00%",(P10-L10)/L10)</f>
        <v>2.5700504496814519E-2</v>
      </c>
      <c r="P10" s="340">
        <f>ROUND(L10*(+LEFT(Q10,5)+1),0)</f>
        <v>629656</v>
      </c>
      <c r="Q10" s="897" t="str">
        <f>TEXT('MYP Assumptions'!$G$49,"0.00%")&amp;" = COLA"</f>
        <v>2.57% = COLA</v>
      </c>
      <c r="R10" s="592"/>
      <c r="S10" s="2238">
        <f t="shared" ref="S10:S12" si="3">IF(P10=0,"0.00%",(T10-P10)/P10)</f>
        <v>2.6700293493590151E-2</v>
      </c>
      <c r="T10" s="340">
        <f>ROUND(P10*(+LEFT(U10,5)+1),0)</f>
        <v>646468</v>
      </c>
      <c r="U10" s="455" t="str">
        <f>TEXT('MYP Assumptions'!H49,"0.00%")&amp;" = COLA"</f>
        <v>2.67% = COLA</v>
      </c>
      <c r="V10" s="952"/>
      <c r="W10" s="2241"/>
      <c r="X10" s="340">
        <f>ROUND(T10*(+LEFT(Y10,5)+1),0)</f>
        <v>665216</v>
      </c>
      <c r="Y10" s="455" t="str">
        <f>TEXT('MYP Assumptions'!I49,"0.00%")&amp;" = COLA"</f>
        <v>2.90% = COLA</v>
      </c>
      <c r="AA10" s="456"/>
      <c r="AB10" s="340">
        <f>ROUND(X10*(+LEFT(AC10,5)+1),0)</f>
        <v>665216</v>
      </c>
      <c r="AC10" s="455" t="str">
        <f>TEXT('MYP Assumptions'!J49,"0.00%")&amp;" = COLA"</f>
        <v>0.00% = COLA</v>
      </c>
    </row>
    <row r="11" spans="1:29" s="457" customFormat="1" x14ac:dyDescent="0.25">
      <c r="A11" s="2215"/>
      <c r="B11" s="2385">
        <v>8792</v>
      </c>
      <c r="C11" s="2215" t="s">
        <v>239</v>
      </c>
      <c r="D11" s="340">
        <f>9627+3098291</f>
        <v>3107918</v>
      </c>
      <c r="E11" s="1656" t="s">
        <v>456</v>
      </c>
      <c r="G11" s="456">
        <f t="shared" si="0"/>
        <v>-2.33703077108212E-2</v>
      </c>
      <c r="H11" s="340">
        <v>3035285</v>
      </c>
      <c r="I11" s="1656" t="s">
        <v>456</v>
      </c>
      <c r="J11" s="342"/>
      <c r="K11" s="456">
        <f t="shared" si="1"/>
        <v>4.2502433873590123E-2</v>
      </c>
      <c r="L11" s="340">
        <v>3164292</v>
      </c>
      <c r="M11" s="1656" t="s">
        <v>456</v>
      </c>
      <c r="O11" s="456">
        <f t="shared" si="2"/>
        <v>2.5699903801545496E-2</v>
      </c>
      <c r="P11" s="340">
        <f>ROUND(L11*(+LEFT(Q11,5)+1),0)</f>
        <v>3245614</v>
      </c>
      <c r="Q11" s="897" t="str">
        <f>TEXT('MYP Assumptions'!G49,"0.00%")&amp;" = COLA"</f>
        <v>2.57% = COLA</v>
      </c>
      <c r="R11" s="592"/>
      <c r="S11" s="2238">
        <f t="shared" si="3"/>
        <v>2.6700032721081436E-2</v>
      </c>
      <c r="T11" s="340">
        <f>ROUND(P11*(+LEFT(U11,5)+1),0)</f>
        <v>3332272</v>
      </c>
      <c r="U11" s="455" t="str">
        <f>TEXT('MYP Assumptions'!H49,"0.00%")&amp;" = COLA"</f>
        <v>2.67% = COLA</v>
      </c>
      <c r="V11" s="952"/>
      <c r="W11" s="2241"/>
      <c r="X11" s="340">
        <f>ROUND(T11*(+LEFT(Y11,5)+1),0)</f>
        <v>3428908</v>
      </c>
      <c r="Y11" s="455" t="str">
        <f>TEXT('MYP Assumptions'!I49,"0.00%")&amp;" = COLA"</f>
        <v>2.90% = COLA</v>
      </c>
      <c r="AA11" s="456"/>
      <c r="AB11" s="340">
        <f>ROUND(X11*(+LEFT(AC11,5)+1),0)</f>
        <v>3428908</v>
      </c>
      <c r="AC11" s="455" t="str">
        <f>TEXT('MYP Assumptions'!J49,"0.00%")&amp;" = COLA"</f>
        <v>0.00% = COLA</v>
      </c>
    </row>
    <row r="12" spans="1:29" s="457" customFormat="1" x14ac:dyDescent="0.25">
      <c r="A12" s="2215"/>
      <c r="B12" s="2385">
        <v>8986</v>
      </c>
      <c r="C12" s="2215" t="s">
        <v>240</v>
      </c>
      <c r="D12" s="340">
        <v>11011522.92</v>
      </c>
      <c r="E12" s="2316"/>
      <c r="G12" s="456">
        <f t="shared" si="0"/>
        <v>0.16334271772101075</v>
      </c>
      <c r="H12" s="833">
        <v>12810175</v>
      </c>
      <c r="I12" s="2316">
        <f>+H12-D12</f>
        <v>1798652.08</v>
      </c>
      <c r="J12" s="342"/>
      <c r="K12" s="456">
        <f t="shared" si="1"/>
        <v>8.6981325391729619E-2</v>
      </c>
      <c r="L12" s="833">
        <v>13924421</v>
      </c>
      <c r="M12" s="2316">
        <f>+L12-H12</f>
        <v>1114246</v>
      </c>
      <c r="O12" s="456">
        <f t="shared" si="2"/>
        <v>1.0098804108264178E-2</v>
      </c>
      <c r="P12" s="833">
        <v>14065041</v>
      </c>
      <c r="Q12" s="2316">
        <f>+P12-L12</f>
        <v>140620</v>
      </c>
      <c r="R12" s="592"/>
      <c r="S12" s="2238">
        <f t="shared" si="3"/>
        <v>1.2209278309249151E-2</v>
      </c>
      <c r="T12" s="833">
        <v>14236765</v>
      </c>
      <c r="U12" s="2316">
        <f>+T12-P12</f>
        <v>171724</v>
      </c>
      <c r="V12" s="952"/>
      <c r="W12" s="2241"/>
      <c r="X12" s="833"/>
      <c r="AA12" s="456"/>
      <c r="AB12" s="833"/>
    </row>
    <row r="13" spans="1:29" s="457" customFormat="1" ht="6" customHeight="1" x14ac:dyDescent="0.25">
      <c r="A13" s="2215"/>
      <c r="B13" s="2345"/>
      <c r="C13" s="2215"/>
      <c r="D13" s="340"/>
      <c r="E13" s="1656"/>
      <c r="G13" s="456"/>
      <c r="H13" s="833"/>
      <c r="I13" s="1656"/>
      <c r="J13" s="342"/>
      <c r="K13" s="456"/>
      <c r="L13" s="833"/>
      <c r="M13" s="1656"/>
      <c r="O13" s="456"/>
      <c r="P13" s="833">
        <f>-L2</f>
        <v>0</v>
      </c>
      <c r="Q13" s="1656"/>
      <c r="R13" s="592"/>
      <c r="S13" s="2238"/>
      <c r="T13" s="833">
        <f>-P2</f>
        <v>0</v>
      </c>
      <c r="V13" s="952"/>
      <c r="W13" s="2241"/>
      <c r="X13" s="833">
        <f>-T2</f>
        <v>0</v>
      </c>
      <c r="AA13" s="456"/>
      <c r="AB13" s="833">
        <f>-X2</f>
        <v>0</v>
      </c>
    </row>
    <row r="14" spans="1:29" s="457" customFormat="1" x14ac:dyDescent="0.25">
      <c r="A14" s="2215"/>
      <c r="B14" s="2337" t="s">
        <v>137</v>
      </c>
      <c r="C14" s="2215"/>
      <c r="D14" s="458">
        <f>SUM(D9:D13)</f>
        <v>15484154.140000001</v>
      </c>
      <c r="E14" s="1656"/>
      <c r="G14" s="456">
        <f t="shared" ref="G14:G18" si="4">IF(D14=0,"0.00%",(H14-D14)/D14)</f>
        <v>0.11356499322474449</v>
      </c>
      <c r="H14" s="458">
        <f>SUM(H9:H13)</f>
        <v>17242612</v>
      </c>
      <c r="I14" s="2316">
        <f>+H14-D14</f>
        <v>1758457.8599999994</v>
      </c>
      <c r="J14" s="601"/>
      <c r="K14" s="456">
        <f>IF(H14=0,"0.00%",(L14-H14)/H14)</f>
        <v>8.8072387176606426E-2</v>
      </c>
      <c r="L14" s="458">
        <f>SUM(L9:L13)</f>
        <v>18761210</v>
      </c>
      <c r="M14" s="2316">
        <f>+L14-H14</f>
        <v>1518598</v>
      </c>
      <c r="O14" s="456">
        <f>IF(L14=0,"0.00%",(P14-L14)/L14)</f>
        <v>1.4120890923346629E-2</v>
      </c>
      <c r="P14" s="458">
        <f>SUM(P9:P13)</f>
        <v>19026135</v>
      </c>
      <c r="Q14" s="2316">
        <f>+P14-L14</f>
        <v>264925</v>
      </c>
      <c r="R14" s="592"/>
      <c r="S14" s="2238">
        <f>IF(P14=0,"0.00%",(T14-P14)/P14)</f>
        <v>1.5987797837027858E-2</v>
      </c>
      <c r="T14" s="458">
        <f>SUM(T9:T13)</f>
        <v>19330321</v>
      </c>
      <c r="V14" s="952"/>
      <c r="W14" s="2241">
        <f>IF(T14=0,"0.00%",(X14-T14)/T14)</f>
        <v>-0.73053008276479214</v>
      </c>
      <c r="X14" s="2353">
        <f>SUM(X9:X13)</f>
        <v>5208940</v>
      </c>
      <c r="AA14" s="456">
        <f>IF(X14=0,"0.00%",(AB14-X14)/X14)</f>
        <v>0</v>
      </c>
      <c r="AB14" s="2353">
        <f>SUM(AB9:AB13)</f>
        <v>5208940</v>
      </c>
    </row>
    <row r="15" spans="1:29" s="457" customFormat="1" x14ac:dyDescent="0.25">
      <c r="A15" s="2215"/>
      <c r="B15" s="2345"/>
      <c r="C15" s="2215"/>
      <c r="D15" s="340"/>
      <c r="E15" s="1656"/>
      <c r="G15" s="2338"/>
      <c r="H15" s="833"/>
      <c r="I15" s="1656"/>
      <c r="J15" s="602"/>
      <c r="K15" s="2338"/>
      <c r="L15" s="833"/>
      <c r="M15" s="1656"/>
      <c r="O15" s="2338"/>
      <c r="P15" s="833"/>
      <c r="Q15" s="1656"/>
      <c r="R15" s="592"/>
      <c r="S15" s="2355"/>
      <c r="T15" s="833"/>
      <c r="V15" s="952"/>
      <c r="W15" s="2357"/>
      <c r="X15" s="2356"/>
      <c r="AA15" s="2338"/>
      <c r="AB15" s="2356"/>
    </row>
    <row r="16" spans="1:29" s="457" customFormat="1" x14ac:dyDescent="0.25">
      <c r="A16" s="2215"/>
      <c r="B16" s="2345"/>
      <c r="C16" s="2358" t="s">
        <v>64</v>
      </c>
      <c r="D16" s="2359">
        <v>415500.44</v>
      </c>
      <c r="E16" s="2361">
        <v>3.6999999999999998E-2</v>
      </c>
      <c r="G16" s="456">
        <f t="shared" si="4"/>
        <v>0.32510569663897348</v>
      </c>
      <c r="H16" s="2359">
        <v>550582</v>
      </c>
      <c r="I16" s="2360">
        <v>4.4400000000000002E-2</v>
      </c>
      <c r="J16" s="603"/>
      <c r="K16" s="456">
        <f>IF(H16=0,"0.00%",(L16-H16)/H16)</f>
        <v>0.27413900200151842</v>
      </c>
      <c r="L16" s="2359">
        <v>701518</v>
      </c>
      <c r="M16" s="2360">
        <v>5.4100000000000002E-2</v>
      </c>
      <c r="O16" s="456">
        <f>IF(L16=0,"0.00%",(P16-L16)/L16)</f>
        <v>-0.14115104673009102</v>
      </c>
      <c r="P16" s="2359">
        <f>ROUNDUP((P74+P85+SUM(P90:P101))*$I$16,0)</f>
        <v>602498</v>
      </c>
      <c r="Q16" s="2360">
        <v>4.4400000000000002E-2</v>
      </c>
      <c r="R16" s="592"/>
      <c r="S16" s="2238">
        <f>IF(P16=0,"0.00%",(T16-P16)/P16)</f>
        <v>-0.14270586790329595</v>
      </c>
      <c r="T16" s="2359">
        <f>ROUNDUP((T74+T85+SUM(T90:T101))*$E$16,0)</f>
        <v>516518</v>
      </c>
      <c r="V16" s="952"/>
      <c r="W16" s="2241">
        <f>IF(T16=0,"0.00%",(X16-T16)/T16)</f>
        <v>-0.42275003000863476</v>
      </c>
      <c r="X16" s="2362">
        <f>ROUNDUP((X74+X85+SUM(X90:X101))*$E$16,0)</f>
        <v>298160</v>
      </c>
      <c r="AA16" s="456" t="e">
        <f>IF(X16=0,"0.00%",(AB16-X16)/X16)</f>
        <v>#VALUE!</v>
      </c>
      <c r="AB16" s="2362" t="e">
        <f>ROUNDUP((AB74+AB85+SUM(AB90:AB101))*$E$16,0)</f>
        <v>#VALUE!</v>
      </c>
    </row>
    <row r="17" spans="1:29" s="457" customFormat="1" x14ac:dyDescent="0.25">
      <c r="A17" s="2215"/>
      <c r="B17" s="2345"/>
      <c r="C17" s="2215"/>
      <c r="D17" s="340"/>
      <c r="E17" s="1656"/>
      <c r="G17" s="2338"/>
      <c r="H17" s="2457" t="s">
        <v>1066</v>
      </c>
      <c r="I17" s="1656"/>
      <c r="J17" s="602"/>
      <c r="K17" s="2338"/>
      <c r="L17" s="833"/>
      <c r="M17" s="1656"/>
      <c r="O17" s="2338"/>
      <c r="P17" s="833"/>
      <c r="Q17" s="1656"/>
      <c r="R17" s="592"/>
      <c r="S17" s="2355"/>
      <c r="T17" s="833"/>
      <c r="V17" s="952"/>
      <c r="W17" s="2357"/>
      <c r="X17" s="2356"/>
      <c r="AA17" s="2338"/>
      <c r="AB17" s="2356"/>
    </row>
    <row r="18" spans="1:29" s="457" customFormat="1" x14ac:dyDescent="0.25">
      <c r="A18" s="2215"/>
      <c r="B18" s="2337" t="s">
        <v>50</v>
      </c>
      <c r="C18" s="2215"/>
      <c r="D18" s="1866">
        <f>D14-D16</f>
        <v>15068653.700000001</v>
      </c>
      <c r="E18" s="1656"/>
      <c r="G18" s="456">
        <f t="shared" si="4"/>
        <v>0.10773200660919023</v>
      </c>
      <c r="H18" s="2359">
        <f>H14-H16</f>
        <v>16692030</v>
      </c>
      <c r="I18" s="2316">
        <f>+H18-D18</f>
        <v>1623376.2999999989</v>
      </c>
      <c r="J18" s="601"/>
      <c r="K18" s="456">
        <f>IF(H18=0,"0.00%",(L18-H18)/H18)</f>
        <v>8.1935031269414205E-2</v>
      </c>
      <c r="L18" s="2359">
        <f>L14-L16</f>
        <v>18059692</v>
      </c>
      <c r="M18" s="2316">
        <f>+L18-H18</f>
        <v>1367662</v>
      </c>
      <c r="O18" s="456">
        <f>IF(L18=0,"0.00%",(P18-L18)/L18)</f>
        <v>2.0152337038749055E-2</v>
      </c>
      <c r="P18" s="2359">
        <f>P14-P16</f>
        <v>18423637</v>
      </c>
      <c r="Q18" s="2316">
        <f>+P18-L18</f>
        <v>363945</v>
      </c>
      <c r="R18" s="592"/>
      <c r="S18" s="2238">
        <f>IF(P18=0,"0.00%",(T18-P18)/P18)</f>
        <v>2.1177468922124333E-2</v>
      </c>
      <c r="T18" s="2359">
        <f>T14-T16</f>
        <v>18813803</v>
      </c>
      <c r="V18" s="952"/>
      <c r="W18" s="2241">
        <f>IF(T18=0,"0.00%",(X18-T18)/T18)</f>
        <v>-0.73897993935622697</v>
      </c>
      <c r="X18" s="2366">
        <f>X14-X16</f>
        <v>4910780</v>
      </c>
      <c r="AA18" s="456" t="e">
        <f>IF(X18=0,"0.00%",(AB18-X18)/X18)</f>
        <v>#VALUE!</v>
      </c>
      <c r="AB18" s="2366" t="e">
        <f>AB14-AB16</f>
        <v>#VALUE!</v>
      </c>
    </row>
    <row r="19" spans="1:29" s="457" customFormat="1" x14ac:dyDescent="0.25">
      <c r="A19" s="2215"/>
      <c r="B19" s="2345"/>
      <c r="C19" s="2215"/>
      <c r="D19" s="340"/>
      <c r="E19" s="1656"/>
      <c r="G19" s="2338"/>
      <c r="H19" s="833"/>
      <c r="I19" s="2458"/>
      <c r="J19" s="601"/>
      <c r="K19" s="1668"/>
      <c r="L19" s="833"/>
      <c r="M19" s="2458"/>
      <c r="O19" s="1668"/>
      <c r="P19" s="833"/>
      <c r="Q19" s="2458"/>
      <c r="R19" s="592"/>
      <c r="S19" s="2341"/>
      <c r="T19" s="833"/>
      <c r="V19" s="952"/>
      <c r="W19" s="2343"/>
      <c r="X19" s="2367"/>
      <c r="AA19" s="1668"/>
      <c r="AB19" s="2367"/>
    </row>
    <row r="20" spans="1:29" s="457" customFormat="1" x14ac:dyDescent="0.25">
      <c r="A20" s="2215"/>
      <c r="B20" s="2345"/>
      <c r="C20" s="2345"/>
      <c r="D20" s="340"/>
      <c r="E20" s="1656"/>
      <c r="G20" s="2338"/>
      <c r="H20" s="833"/>
      <c r="I20" s="1656"/>
      <c r="J20" s="602"/>
      <c r="K20" s="1668"/>
      <c r="L20" s="833"/>
      <c r="M20" s="1656"/>
      <c r="O20" s="1668"/>
      <c r="P20" s="833"/>
      <c r="Q20" s="1656"/>
      <c r="R20" s="592"/>
      <c r="S20" s="2341"/>
      <c r="T20" s="833"/>
      <c r="V20" s="952"/>
      <c r="W20" s="2343"/>
      <c r="X20" s="2356"/>
      <c r="AA20" s="1668"/>
      <c r="AB20" s="2356"/>
    </row>
    <row r="21" spans="1:29" s="457" customFormat="1" x14ac:dyDescent="0.25">
      <c r="A21" s="2223"/>
      <c r="B21" s="2345"/>
      <c r="C21" s="2215"/>
      <c r="D21" s="459" t="s">
        <v>807</v>
      </c>
      <c r="E21" s="1867"/>
      <c r="F21" s="2433"/>
      <c r="G21" s="2338"/>
      <c r="H21" s="459" t="s">
        <v>176</v>
      </c>
      <c r="I21" s="2459"/>
      <c r="J21" s="604"/>
      <c r="K21" s="1668"/>
      <c r="L21" s="2370"/>
      <c r="M21" s="1867"/>
      <c r="O21" s="1668"/>
      <c r="P21" s="340"/>
      <c r="Q21" s="1867"/>
      <c r="R21" s="592"/>
      <c r="S21" s="2341"/>
      <c r="T21" s="340"/>
      <c r="U21" s="2433"/>
      <c r="V21" s="952"/>
      <c r="W21" s="2343"/>
      <c r="Y21" s="2433"/>
      <c r="AA21" s="1668"/>
      <c r="AC21" s="2433"/>
    </row>
    <row r="22" spans="1:29" s="457" customFormat="1" ht="17.25" x14ac:dyDescent="0.4">
      <c r="A22" s="2224"/>
      <c r="B22" s="2345"/>
      <c r="C22" s="2215"/>
      <c r="D22" s="2435" t="s">
        <v>808</v>
      </c>
      <c r="E22" s="2434"/>
      <c r="F22" s="2436"/>
      <c r="G22" s="2338"/>
      <c r="H22" s="2435" t="s">
        <v>48</v>
      </c>
      <c r="I22" s="2373"/>
      <c r="J22" s="459"/>
      <c r="K22" s="1668"/>
      <c r="L22" s="2372" t="s">
        <v>48</v>
      </c>
      <c r="M22" s="2438">
        <v>1.4999999999999999E-2</v>
      </c>
      <c r="O22" s="1668"/>
      <c r="P22" s="2372" t="s">
        <v>48</v>
      </c>
      <c r="Q22" s="2438">
        <v>1.4999999999999999E-2</v>
      </c>
      <c r="R22" s="592"/>
      <c r="S22" s="2341"/>
      <c r="T22" s="2372" t="s">
        <v>48</v>
      </c>
      <c r="U22" s="2374">
        <v>0.02</v>
      </c>
      <c r="V22" s="952"/>
      <c r="W22" s="2343"/>
      <c r="X22" s="2372" t="s">
        <v>48</v>
      </c>
      <c r="Y22" s="2374">
        <v>0.02</v>
      </c>
      <c r="AA22" s="1668"/>
      <c r="AB22" s="2372" t="s">
        <v>48</v>
      </c>
      <c r="AC22" s="2374">
        <v>0.02</v>
      </c>
    </row>
    <row r="23" spans="1:29" s="2378" customFormat="1" x14ac:dyDescent="0.25">
      <c r="A23" s="2225"/>
      <c r="B23" s="2337" t="s">
        <v>46</v>
      </c>
      <c r="C23" s="2358"/>
      <c r="D23" s="1866"/>
      <c r="E23" s="2375"/>
      <c r="F23" s="1866"/>
      <c r="G23" s="2376"/>
      <c r="H23" s="1866"/>
      <c r="I23" s="868"/>
      <c r="J23" s="460"/>
      <c r="K23" s="606"/>
      <c r="L23" s="1866"/>
      <c r="M23" s="2379"/>
      <c r="O23" s="606"/>
      <c r="P23" s="1866"/>
      <c r="Q23" s="2379"/>
      <c r="R23" s="461"/>
      <c r="S23" s="1669"/>
      <c r="T23" s="1866"/>
      <c r="U23" s="2383"/>
      <c r="V23" s="2381"/>
      <c r="W23" s="2382"/>
      <c r="X23" s="1866"/>
      <c r="Y23" s="2383"/>
      <c r="AA23" s="606"/>
      <c r="AB23" s="1866"/>
      <c r="AC23" s="2383"/>
    </row>
    <row r="24" spans="1:29" s="457" customFormat="1" x14ac:dyDescent="0.25">
      <c r="A24" s="2226"/>
      <c r="B24" s="2385">
        <v>1101</v>
      </c>
      <c r="C24" s="2215" t="s">
        <v>241</v>
      </c>
      <c r="D24" s="340">
        <v>9201.4500000000007</v>
      </c>
      <c r="E24" s="2386"/>
      <c r="F24" s="340"/>
      <c r="G24" s="456">
        <f>IF(D24=0," - ",(H24-D24)/D24)</f>
        <v>-1</v>
      </c>
      <c r="H24" s="2359">
        <v>0</v>
      </c>
      <c r="I24" s="897"/>
      <c r="J24" s="455"/>
      <c r="K24" s="456" t="str">
        <f>IF(H24=0," - ",(L24-H24)/H24)</f>
        <v xml:space="preserve"> - </v>
      </c>
      <c r="L24" s="340">
        <f>ROUND(H24*(1+$M$22),0)</f>
        <v>0</v>
      </c>
      <c r="M24" s="897"/>
      <c r="O24" s="456" t="str">
        <f>IF(L24=0," - ",(P24-L24)/L24)</f>
        <v xml:space="preserve"> - </v>
      </c>
      <c r="P24" s="340">
        <f>ROUND(L24*(1+$M$22),0)</f>
        <v>0</v>
      </c>
      <c r="Q24" s="897" t="str">
        <f>TEXT($M$22,"0.0%")&amp;" = Est. S &amp; C"</f>
        <v>1.5% = Est. S &amp; C</v>
      </c>
      <c r="R24" s="592"/>
      <c r="S24" s="456" t="str">
        <f>IF(P24=0," - ",(T24-P24)/P24)</f>
        <v xml:space="preserve"> - </v>
      </c>
      <c r="T24" s="340">
        <f>ROUND(P24*(1+$M$22),0)</f>
        <v>0</v>
      </c>
      <c r="U24" s="897" t="str">
        <f>TEXT($M$22,"0.0%")&amp;" = Est. S &amp; C"</f>
        <v>1.5% = Est. S &amp; C</v>
      </c>
      <c r="V24" s="952"/>
      <c r="W24" s="2241" t="str">
        <f t="shared" ref="W24:W30" si="5">IF(T24=0,"0.00%",(X24-T24)/T24)</f>
        <v>0.00%</v>
      </c>
      <c r="X24" s="340">
        <f>ROUND(T24*(1+Y22),0)</f>
        <v>0</v>
      </c>
      <c r="Y24" s="455" t="str">
        <f>TEXT(Y22,"0.0%")&amp;" = Est. S &amp; C"</f>
        <v>2.0% = Est. S &amp; C</v>
      </c>
      <c r="AA24" s="456" t="str">
        <f t="shared" ref="AA24:AA30" si="6">IF(X24=0,"0.00%",(AB24-X24)/X24)</f>
        <v>0.00%</v>
      </c>
      <c r="AB24" s="340">
        <f>ROUND(X24*(1+AC22),0)</f>
        <v>0</v>
      </c>
      <c r="AC24" s="455" t="str">
        <f>TEXT(AC22,"0.0%")&amp;" = Est. S &amp; C"</f>
        <v>2.0% = Est. S &amp; C</v>
      </c>
    </row>
    <row r="25" spans="1:29" s="457" customFormat="1" x14ac:dyDescent="0.25">
      <c r="A25" s="2226"/>
      <c r="B25" s="2385">
        <v>1104</v>
      </c>
      <c r="C25" s="2215" t="s">
        <v>813</v>
      </c>
      <c r="D25" s="340">
        <v>242346.29</v>
      </c>
      <c r="E25" s="2386"/>
      <c r="F25" s="340"/>
      <c r="G25" s="456">
        <f t="shared" ref="G25:G40" si="7">IF(D25=0," - ",(H25-D25)/D25)</f>
        <v>7.0300642935362942E-3</v>
      </c>
      <c r="H25" s="340">
        <v>244050</v>
      </c>
      <c r="I25" s="897"/>
      <c r="J25" s="455"/>
      <c r="K25" s="456">
        <f>IF(H25=0," - ",(L25-H25)/H25)</f>
        <v>8.6785494775660724E-3</v>
      </c>
      <c r="L25" s="340">
        <v>246168</v>
      </c>
      <c r="M25" s="897"/>
      <c r="O25" s="456">
        <f t="shared" ref="O25:O39" si="8">IF(L25=0," - ",(P25-L25)/L25)</f>
        <v>1.5001949887881446E-2</v>
      </c>
      <c r="P25" s="340">
        <f t="shared" ref="P25:P38" si="9">ROUND(L25*(1+$M$22),0)</f>
        <v>249861</v>
      </c>
      <c r="Q25" s="897" t="str">
        <f t="shared" ref="Q25:Q37" si="10">TEXT($M$22,"0.0%")&amp;" = Est. S &amp; C"</f>
        <v>1.5% = Est. S &amp; C</v>
      </c>
      <c r="R25" s="592"/>
      <c r="S25" s="456">
        <f t="shared" ref="S25:S40" si="11">IF(P25=0," - ",(T25-P25)/P25)</f>
        <v>1.5000340189145164E-2</v>
      </c>
      <c r="T25" s="340">
        <f t="shared" ref="T25:T31" si="12">ROUND(P25*(1+$M$22),0)</f>
        <v>253609</v>
      </c>
      <c r="U25" s="897" t="str">
        <f t="shared" ref="U25:U37" si="13">TEXT($M$22,"0.0%")&amp;" = Est. S &amp; C"</f>
        <v>1.5% = Est. S &amp; C</v>
      </c>
      <c r="V25" s="952"/>
      <c r="W25" s="2241">
        <f t="shared" si="5"/>
        <v>1.9999290246008619E-2</v>
      </c>
      <c r="X25" s="340">
        <f>ROUND(T25*(1+Y22),0)</f>
        <v>258681</v>
      </c>
      <c r="Y25" s="455" t="str">
        <f>TEXT(Y22,"0.0%")&amp;" = Est. S &amp; C"</f>
        <v>2.0% = Est. S &amp; C</v>
      </c>
      <c r="AA25" s="456">
        <f t="shared" si="6"/>
        <v>2.0001468990764687E-2</v>
      </c>
      <c r="AB25" s="340">
        <f>ROUND(X25*(1+AC22),0)</f>
        <v>263855</v>
      </c>
      <c r="AC25" s="455" t="str">
        <f>TEXT(AC22,"0.0%")&amp;" = Est. S &amp; C"</f>
        <v>2.0% = Est. S &amp; C</v>
      </c>
    </row>
    <row r="26" spans="1:29" s="457" customFormat="1" x14ac:dyDescent="0.25">
      <c r="A26" s="2226"/>
      <c r="B26" s="2385">
        <v>1106</v>
      </c>
      <c r="C26" s="2215" t="s">
        <v>814</v>
      </c>
      <c r="D26" s="340">
        <v>1097226.17</v>
      </c>
      <c r="E26" s="2386"/>
      <c r="F26" s="340"/>
      <c r="G26" s="456">
        <f t="shared" si="7"/>
        <v>6.7939347454682095E-2</v>
      </c>
      <c r="H26" s="340">
        <v>1171771</v>
      </c>
      <c r="I26" s="897"/>
      <c r="J26" s="455"/>
      <c r="K26" s="456">
        <f t="shared" ref="K26:K40" si="14">IF(H26=0," - ",(L26-H26)/H26)</f>
        <v>2.2399427874559109E-2</v>
      </c>
      <c r="L26" s="340">
        <v>1198018</v>
      </c>
      <c r="M26" s="2341"/>
      <c r="O26" s="456">
        <f t="shared" si="8"/>
        <v>1.4999774627760185E-2</v>
      </c>
      <c r="P26" s="340">
        <f t="shared" si="9"/>
        <v>1215988</v>
      </c>
      <c r="Q26" s="897" t="str">
        <f t="shared" si="10"/>
        <v>1.5% = Est. S &amp; C</v>
      </c>
      <c r="R26" s="592"/>
      <c r="S26" s="456">
        <f t="shared" si="11"/>
        <v>1.500014802777659E-2</v>
      </c>
      <c r="T26" s="340">
        <f t="shared" si="12"/>
        <v>1234228</v>
      </c>
      <c r="U26" s="897" t="str">
        <f t="shared" si="13"/>
        <v>1.5% = Est. S &amp; C</v>
      </c>
      <c r="V26" s="952"/>
      <c r="W26" s="2241">
        <f t="shared" si="5"/>
        <v>2.0000356498151069E-2</v>
      </c>
      <c r="X26" s="340">
        <f>ROUND(T26*(1+Y22),0)</f>
        <v>1258913</v>
      </c>
      <c r="Y26" s="455" t="str">
        <f>TEXT(Y22,"0.0%")&amp;" = Est. S &amp; C"</f>
        <v>2.0% = Est. S &amp; C</v>
      </c>
      <c r="AA26" s="456">
        <f t="shared" si="6"/>
        <v>1.9999793472622811E-2</v>
      </c>
      <c r="AB26" s="340">
        <f>ROUND(X26*(1+AC22),0)</f>
        <v>1284091</v>
      </c>
      <c r="AC26" s="455" t="str">
        <f>TEXT(AC22,"0.0%")&amp;" = Est. S &amp; C"</f>
        <v>2.0% = Est. S &amp; C</v>
      </c>
    </row>
    <row r="27" spans="1:29" s="457" customFormat="1" x14ac:dyDescent="0.25">
      <c r="A27" s="2226"/>
      <c r="B27" s="2385">
        <v>1108</v>
      </c>
      <c r="C27" s="2215" t="s">
        <v>815</v>
      </c>
      <c r="D27" s="340">
        <v>1325702.6299999999</v>
      </c>
      <c r="E27" s="2386"/>
      <c r="F27" s="340"/>
      <c r="G27" s="456">
        <f t="shared" si="7"/>
        <v>5.4750868224497769E-2</v>
      </c>
      <c r="H27" s="340">
        <v>1398286</v>
      </c>
      <c r="I27" s="897"/>
      <c r="J27" s="455"/>
      <c r="K27" s="456">
        <f t="shared" si="14"/>
        <v>-4.4059655893000434E-2</v>
      </c>
      <c r="L27" s="340">
        <v>1336678</v>
      </c>
      <c r="M27" s="897"/>
      <c r="O27" s="456">
        <f t="shared" si="8"/>
        <v>1.4999872819033455E-2</v>
      </c>
      <c r="P27" s="340">
        <f t="shared" si="9"/>
        <v>1356728</v>
      </c>
      <c r="Q27" s="897" t="str">
        <f t="shared" si="10"/>
        <v>1.5% = Est. S &amp; C</v>
      </c>
      <c r="R27" s="592"/>
      <c r="S27" s="456">
        <f t="shared" si="11"/>
        <v>1.500005896539321E-2</v>
      </c>
      <c r="T27" s="340">
        <f t="shared" si="12"/>
        <v>1377079</v>
      </c>
      <c r="U27" s="897" t="str">
        <f t="shared" si="13"/>
        <v>1.5% = Est. S &amp; C</v>
      </c>
      <c r="V27" s="952"/>
      <c r="W27" s="2241">
        <f t="shared" si="5"/>
        <v>2.0000304993395442E-2</v>
      </c>
      <c r="X27" s="340">
        <f>ROUND(T27*(1+Y22),0)</f>
        <v>1404621</v>
      </c>
      <c r="Y27" s="455" t="str">
        <f>TEXT(Y22,"0.0%")&amp;" = Est. S &amp; C"</f>
        <v>2.0% = Est. S &amp; C</v>
      </c>
      <c r="AA27" s="456">
        <f t="shared" si="6"/>
        <v>1.9999700986956623E-2</v>
      </c>
      <c r="AB27" s="340">
        <f>ROUND(X27*(1+AC22),0)</f>
        <v>1432713</v>
      </c>
      <c r="AC27" s="455" t="str">
        <f>TEXT(AC22,"0.0%")&amp;" = Est. S &amp; C"</f>
        <v>2.0% = Est. S &amp; C</v>
      </c>
    </row>
    <row r="28" spans="1:29" s="457" customFormat="1" x14ac:dyDescent="0.25">
      <c r="A28" s="2226"/>
      <c r="B28" s="2385">
        <v>1109</v>
      </c>
      <c r="C28" s="2215" t="s">
        <v>816</v>
      </c>
      <c r="D28" s="340">
        <v>98804.62</v>
      </c>
      <c r="E28" s="2386"/>
      <c r="F28" s="340"/>
      <c r="G28" s="456">
        <f t="shared" si="7"/>
        <v>0.47647954113886587</v>
      </c>
      <c r="H28" s="340">
        <v>145883</v>
      </c>
      <c r="I28" s="897"/>
      <c r="J28" s="455"/>
      <c r="K28" s="456">
        <f t="shared" si="14"/>
        <v>1.439509744110006E-2</v>
      </c>
      <c r="L28" s="340">
        <v>147983</v>
      </c>
      <c r="M28" s="897"/>
      <c r="O28" s="456">
        <f t="shared" si="8"/>
        <v>1.5001723170904766E-2</v>
      </c>
      <c r="P28" s="340">
        <f t="shared" si="9"/>
        <v>150203</v>
      </c>
      <c r="Q28" s="897" t="str">
        <f t="shared" si="10"/>
        <v>1.5% = Est. S &amp; C</v>
      </c>
      <c r="R28" s="592"/>
      <c r="S28" s="456">
        <f t="shared" si="11"/>
        <v>1.499970040545129E-2</v>
      </c>
      <c r="T28" s="340">
        <f t="shared" si="12"/>
        <v>152456</v>
      </c>
      <c r="U28" s="897" t="str">
        <f t="shared" si="13"/>
        <v>1.5% = Est. S &amp; C</v>
      </c>
      <c r="V28" s="952"/>
      <c r="W28" s="2241">
        <f t="shared" si="5"/>
        <v>1.9999212887652832E-2</v>
      </c>
      <c r="X28" s="340">
        <f>ROUND(T28*(1+Y22),0)</f>
        <v>155505</v>
      </c>
      <c r="Y28" s="455" t="str">
        <f>TEXT(Y22,"0.0%")&amp;" = Est. S &amp; C"</f>
        <v>2.0% = Est. S &amp; C</v>
      </c>
      <c r="AA28" s="456">
        <f t="shared" si="6"/>
        <v>1.9999356933860648E-2</v>
      </c>
      <c r="AB28" s="340">
        <f>ROUND(X28*(1+AC22),0)</f>
        <v>158615</v>
      </c>
      <c r="AC28" s="455" t="str">
        <f>TEXT(AC22,"0.0%")&amp;" = Est. S &amp; C"</f>
        <v>2.0% = Est. S &amp; C</v>
      </c>
    </row>
    <row r="29" spans="1:29" s="457" customFormat="1" x14ac:dyDescent="0.25">
      <c r="A29" s="2226"/>
      <c r="B29" s="2385">
        <v>1117</v>
      </c>
      <c r="C29" s="2215" t="s">
        <v>817</v>
      </c>
      <c r="D29" s="340">
        <v>1935052.72</v>
      </c>
      <c r="E29" s="2386"/>
      <c r="F29" s="340"/>
      <c r="G29" s="456">
        <f t="shared" si="7"/>
        <v>1.3409081691583074E-2</v>
      </c>
      <c r="H29" s="340">
        <v>1961000</v>
      </c>
      <c r="I29" s="897"/>
      <c r="J29" s="455"/>
      <c r="K29" s="456">
        <f t="shared" si="14"/>
        <v>6.9488526262111161E-2</v>
      </c>
      <c r="L29" s="340">
        <v>2097267</v>
      </c>
      <c r="M29" s="897"/>
      <c r="O29" s="456">
        <f t="shared" si="8"/>
        <v>1.4999997615944942E-2</v>
      </c>
      <c r="P29" s="340">
        <f t="shared" si="9"/>
        <v>2128726</v>
      </c>
      <c r="Q29" s="897" t="str">
        <f t="shared" si="10"/>
        <v>1.5% = Est. S &amp; C</v>
      </c>
      <c r="R29" s="592"/>
      <c r="S29" s="456">
        <f t="shared" si="11"/>
        <v>1.5000051674099908E-2</v>
      </c>
      <c r="T29" s="340">
        <f t="shared" si="12"/>
        <v>2160657</v>
      </c>
      <c r="U29" s="897" t="str">
        <f t="shared" si="13"/>
        <v>1.5% = Est. S &amp; C</v>
      </c>
      <c r="V29" s="952"/>
      <c r="W29" s="2241">
        <f t="shared" si="5"/>
        <v>1.9999935204893696E-2</v>
      </c>
      <c r="X29" s="340">
        <f>ROUND(T29*(1+Y22),0)</f>
        <v>2203870</v>
      </c>
      <c r="Y29" s="455" t="str">
        <f>TEXT(Y22,"0.0%")&amp;" = Est. S &amp; C"</f>
        <v>2.0% = Est. S &amp; C</v>
      </c>
      <c r="AA29" s="456">
        <f t="shared" si="6"/>
        <v>1.9999818501091261E-2</v>
      </c>
      <c r="AB29" s="340">
        <f>ROUND(X29*(1+AC22),0)</f>
        <v>2247947</v>
      </c>
      <c r="AC29" s="455" t="str">
        <f>TEXT(AC22,"0.0%")&amp;" = Est. S &amp; C"</f>
        <v>2.0% = Est. S &amp; C</v>
      </c>
    </row>
    <row r="30" spans="1:29" s="457" customFormat="1" x14ac:dyDescent="0.25">
      <c r="A30" s="2226"/>
      <c r="B30" s="2385">
        <v>1118</v>
      </c>
      <c r="C30" s="2215" t="s">
        <v>818</v>
      </c>
      <c r="D30" s="340">
        <v>14394.23</v>
      </c>
      <c r="E30" s="2386"/>
      <c r="F30" s="340"/>
      <c r="G30" s="456">
        <f t="shared" si="7"/>
        <v>-0.80658916802079716</v>
      </c>
      <c r="H30" s="340">
        <v>2784</v>
      </c>
      <c r="I30" s="897"/>
      <c r="J30" s="455"/>
      <c r="K30" s="456">
        <f t="shared" si="14"/>
        <v>0</v>
      </c>
      <c r="L30" s="340">
        <v>2784</v>
      </c>
      <c r="M30" s="897"/>
      <c r="O30" s="456">
        <f t="shared" si="8"/>
        <v>1.5086206896551725E-2</v>
      </c>
      <c r="P30" s="340">
        <f t="shared" si="9"/>
        <v>2826</v>
      </c>
      <c r="Q30" s="897" t="str">
        <f t="shared" si="10"/>
        <v>1.5% = Est. S &amp; C</v>
      </c>
      <c r="R30" s="592"/>
      <c r="S30" s="456">
        <f t="shared" si="11"/>
        <v>1.4861995753715499E-2</v>
      </c>
      <c r="T30" s="340">
        <f t="shared" si="12"/>
        <v>2868</v>
      </c>
      <c r="U30" s="897" t="str">
        <f t="shared" si="13"/>
        <v>1.5% = Est. S &amp; C</v>
      </c>
      <c r="V30" s="952"/>
      <c r="W30" s="2241">
        <f t="shared" si="5"/>
        <v>1.9874476987447699E-2</v>
      </c>
      <c r="X30" s="340">
        <f>ROUND(T30*(1+Y22),0)</f>
        <v>2925</v>
      </c>
      <c r="Y30" s="455" t="str">
        <f>TEXT(Y22,"0.0%")&amp;" = Est. S &amp; C"</f>
        <v>2.0% = Est. S &amp; C</v>
      </c>
      <c r="AA30" s="456">
        <f t="shared" si="6"/>
        <v>2.017094017094017E-2</v>
      </c>
      <c r="AB30" s="340">
        <f>ROUND(X30*(1+AC22),0)</f>
        <v>2984</v>
      </c>
      <c r="AC30" s="455" t="str">
        <f>TEXT(AC22,"0.0%")&amp;" = Est. S &amp; C"</f>
        <v>2.0% = Est. S &amp; C</v>
      </c>
    </row>
    <row r="31" spans="1:29" s="457" customFormat="1" x14ac:dyDescent="0.25">
      <c r="A31" s="2226"/>
      <c r="B31" s="2385">
        <v>1112</v>
      </c>
      <c r="C31" s="2215" t="s">
        <v>791</v>
      </c>
      <c r="D31" s="340">
        <v>1500</v>
      </c>
      <c r="E31" s="2386"/>
      <c r="F31" s="340"/>
      <c r="G31" s="456">
        <f t="shared" si="7"/>
        <v>-1</v>
      </c>
      <c r="H31" s="340">
        <v>0</v>
      </c>
      <c r="I31" s="897"/>
      <c r="J31" s="455"/>
      <c r="K31" s="456" t="str">
        <f t="shared" si="14"/>
        <v xml:space="preserve"> - </v>
      </c>
      <c r="L31" s="340">
        <v>0</v>
      </c>
      <c r="M31" s="897"/>
      <c r="O31" s="456" t="str">
        <f t="shared" si="8"/>
        <v xml:space="preserve"> - </v>
      </c>
      <c r="P31" s="340">
        <f t="shared" si="9"/>
        <v>0</v>
      </c>
      <c r="Q31" s="897" t="str">
        <f t="shared" si="10"/>
        <v>1.5% = Est. S &amp; C</v>
      </c>
      <c r="R31" s="592"/>
      <c r="S31" s="456" t="str">
        <f t="shared" si="11"/>
        <v xml:space="preserve"> - </v>
      </c>
      <c r="T31" s="340">
        <f t="shared" si="12"/>
        <v>0</v>
      </c>
      <c r="U31" s="897" t="str">
        <f t="shared" si="13"/>
        <v>1.5% = Est. S &amp; C</v>
      </c>
      <c r="V31" s="952"/>
      <c r="W31" s="2241"/>
      <c r="X31" s="340"/>
      <c r="Y31" s="455"/>
      <c r="AA31" s="456"/>
      <c r="AB31" s="340"/>
      <c r="AC31" s="455"/>
    </row>
    <row r="32" spans="1:29" s="457" customFormat="1" x14ac:dyDescent="0.25">
      <c r="A32" s="2226"/>
      <c r="B32" s="2385">
        <v>1181</v>
      </c>
      <c r="C32" s="2215" t="s">
        <v>402</v>
      </c>
      <c r="D32" s="340">
        <v>70806.710000000006</v>
      </c>
      <c r="E32" s="2386"/>
      <c r="F32" s="340"/>
      <c r="G32" s="456">
        <f t="shared" si="7"/>
        <v>0.23717088394588581</v>
      </c>
      <c r="H32" s="340">
        <v>87600</v>
      </c>
      <c r="I32" s="899"/>
      <c r="J32" s="455"/>
      <c r="K32" s="456">
        <f t="shared" si="14"/>
        <v>-2.7397260273972601E-2</v>
      </c>
      <c r="L32" s="340">
        <v>85200</v>
      </c>
      <c r="M32" s="897"/>
      <c r="O32" s="456">
        <f t="shared" si="8"/>
        <v>0</v>
      </c>
      <c r="P32" s="340">
        <f>+L32</f>
        <v>85200</v>
      </c>
      <c r="Q32" s="897" t="s">
        <v>173</v>
      </c>
      <c r="R32" s="592"/>
      <c r="S32" s="456">
        <f t="shared" si="11"/>
        <v>0</v>
      </c>
      <c r="T32" s="340">
        <f>+P32</f>
        <v>85200</v>
      </c>
      <c r="U32" s="897" t="s">
        <v>173</v>
      </c>
      <c r="V32" s="952"/>
      <c r="W32" s="2241">
        <f>IF(T32=0,"0.00%",(X32-T32)/T32)</f>
        <v>0</v>
      </c>
      <c r="X32" s="340">
        <f>ROUND(T32*(1+Y23),0)</f>
        <v>85200</v>
      </c>
      <c r="Y32" s="455" t="str">
        <f>TEXT(Y23,"0.0%")&amp;" = Est. S &amp; C"</f>
        <v>0.0% = Est. S &amp; C</v>
      </c>
      <c r="AA32" s="456">
        <f>IF(X32=0,"0.00%",(AB32-X32)/X32)</f>
        <v>0</v>
      </c>
      <c r="AB32" s="340">
        <f>ROUND(X32*(1+AC23),0)</f>
        <v>85200</v>
      </c>
      <c r="AC32" s="455" t="str">
        <f>TEXT(AC23,"0.0%")&amp;" = Est. S &amp; C"</f>
        <v>0.0% = Est. S &amp; C</v>
      </c>
    </row>
    <row r="33" spans="1:29" s="457" customFormat="1" x14ac:dyDescent="0.25">
      <c r="A33" s="2226"/>
      <c r="B33" s="2385">
        <v>1203</v>
      </c>
      <c r="C33" s="2215" t="s">
        <v>819</v>
      </c>
      <c r="D33" s="340">
        <v>244838.28</v>
      </c>
      <c r="E33" s="2386"/>
      <c r="F33" s="340"/>
      <c r="G33" s="456">
        <f t="shared" si="7"/>
        <v>0.11364938521868395</v>
      </c>
      <c r="H33" s="340">
        <v>272664</v>
      </c>
      <c r="I33" s="899"/>
      <c r="J33" s="455"/>
      <c r="K33" s="456">
        <f t="shared" si="14"/>
        <v>0.11586054631341137</v>
      </c>
      <c r="L33" s="340">
        <v>304255</v>
      </c>
      <c r="M33" s="897"/>
      <c r="O33" s="456">
        <f t="shared" si="8"/>
        <v>1.5000575175428505E-2</v>
      </c>
      <c r="P33" s="340">
        <f t="shared" si="9"/>
        <v>308819</v>
      </c>
      <c r="Q33" s="897" t="str">
        <f t="shared" si="10"/>
        <v>1.5% = Est. S &amp; C</v>
      </c>
      <c r="R33" s="592"/>
      <c r="S33" s="456">
        <f t="shared" si="11"/>
        <v>1.4999077129321706E-2</v>
      </c>
      <c r="T33" s="340">
        <f t="shared" ref="T33:T34" si="15">ROUND(P33*(1+$M$22),0)</f>
        <v>313451</v>
      </c>
      <c r="U33" s="897" t="str">
        <f t="shared" si="13"/>
        <v>1.5% = Est. S &amp; C</v>
      </c>
      <c r="V33" s="952"/>
      <c r="W33" s="2241"/>
      <c r="X33" s="340"/>
      <c r="Y33" s="455"/>
      <c r="AA33" s="456"/>
      <c r="AB33" s="340"/>
      <c r="AC33" s="455"/>
    </row>
    <row r="34" spans="1:29" s="457" customFormat="1" x14ac:dyDescent="0.25">
      <c r="A34" s="2226"/>
      <c r="B34" s="2385">
        <v>1206</v>
      </c>
      <c r="C34" s="2215" t="s">
        <v>820</v>
      </c>
      <c r="D34" s="340">
        <v>218698.62</v>
      </c>
      <c r="E34" s="2386"/>
      <c r="F34" s="340"/>
      <c r="G34" s="456">
        <f t="shared" si="7"/>
        <v>3.0642077211095364E-2</v>
      </c>
      <c r="H34" s="340">
        <v>225400</v>
      </c>
      <c r="I34" s="899"/>
      <c r="J34" s="455"/>
      <c r="K34" s="456">
        <f t="shared" si="14"/>
        <v>0.10828305235137534</v>
      </c>
      <c r="L34" s="340">
        <v>249807</v>
      </c>
      <c r="M34" s="897"/>
      <c r="O34" s="456">
        <f t="shared" si="8"/>
        <v>1.4999579675509493E-2</v>
      </c>
      <c r="P34" s="340">
        <f t="shared" si="9"/>
        <v>253554</v>
      </c>
      <c r="Q34" s="897" t="str">
        <f t="shared" si="10"/>
        <v>1.5% = Est. S &amp; C</v>
      </c>
      <c r="R34" s="592"/>
      <c r="S34" s="456">
        <f t="shared" si="11"/>
        <v>1.4998777380755184E-2</v>
      </c>
      <c r="T34" s="340">
        <f t="shared" si="15"/>
        <v>257357</v>
      </c>
      <c r="U34" s="897" t="str">
        <f t="shared" si="13"/>
        <v>1.5% = Est. S &amp; C</v>
      </c>
      <c r="V34" s="952"/>
      <c r="W34" s="2241"/>
      <c r="X34" s="340"/>
      <c r="Y34" s="455"/>
      <c r="AA34" s="456"/>
      <c r="AB34" s="340"/>
      <c r="AC34" s="455"/>
    </row>
    <row r="35" spans="1:29" s="457" customFormat="1" x14ac:dyDescent="0.25">
      <c r="A35" s="2226"/>
      <c r="B35" s="2385">
        <v>1281</v>
      </c>
      <c r="C35" s="2215" t="s">
        <v>821</v>
      </c>
      <c r="D35" s="340">
        <v>1365.01</v>
      </c>
      <c r="E35" s="2386"/>
      <c r="F35" s="340"/>
      <c r="G35" s="456">
        <f t="shared" si="7"/>
        <v>9.8893048402575817E-2</v>
      </c>
      <c r="H35" s="340">
        <v>1500</v>
      </c>
      <c r="I35" s="899"/>
      <c r="J35" s="455"/>
      <c r="K35" s="456">
        <f t="shared" si="14"/>
        <v>-1</v>
      </c>
      <c r="L35" s="340">
        <v>0</v>
      </c>
      <c r="M35" s="897"/>
      <c r="O35" s="456" t="str">
        <f t="shared" si="8"/>
        <v xml:space="preserve"> - </v>
      </c>
      <c r="P35" s="340">
        <f>+L35</f>
        <v>0</v>
      </c>
      <c r="Q35" s="897" t="s">
        <v>173</v>
      </c>
      <c r="R35" s="592"/>
      <c r="S35" s="456" t="str">
        <f t="shared" si="11"/>
        <v xml:space="preserve"> - </v>
      </c>
      <c r="T35" s="340">
        <f>+P35</f>
        <v>0</v>
      </c>
      <c r="U35" s="897" t="s">
        <v>173</v>
      </c>
      <c r="V35" s="952"/>
      <c r="W35" s="2241"/>
      <c r="X35" s="340"/>
      <c r="Y35" s="455"/>
      <c r="AA35" s="456"/>
      <c r="AB35" s="340"/>
      <c r="AC35" s="455"/>
    </row>
    <row r="36" spans="1:29" s="457" customFormat="1" x14ac:dyDescent="0.25">
      <c r="A36" s="2226"/>
      <c r="B36" s="2385" t="s">
        <v>242</v>
      </c>
      <c r="C36" s="2215" t="s">
        <v>823</v>
      </c>
      <c r="D36" s="340">
        <v>130140.12</v>
      </c>
      <c r="E36" s="2386"/>
      <c r="F36" s="340"/>
      <c r="G36" s="456">
        <f t="shared" si="7"/>
        <v>-0.47591104111476151</v>
      </c>
      <c r="H36" s="340">
        <f>62705+5500</f>
        <v>68205</v>
      </c>
      <c r="I36" s="899"/>
      <c r="J36" s="455"/>
      <c r="K36" s="456">
        <f t="shared" si="14"/>
        <v>0.91678029469980205</v>
      </c>
      <c r="L36" s="340">
        <v>130734</v>
      </c>
      <c r="M36" s="897" t="s">
        <v>1063</v>
      </c>
      <c r="O36" s="456">
        <f t="shared" si="8"/>
        <v>1.4999923508804136E-2</v>
      </c>
      <c r="P36" s="340">
        <f t="shared" si="9"/>
        <v>132695</v>
      </c>
      <c r="Q36" s="897" t="str">
        <f t="shared" si="10"/>
        <v>1.5% = Est. S &amp; C</v>
      </c>
      <c r="R36" s="592"/>
      <c r="S36" s="456">
        <f t="shared" si="11"/>
        <v>1.4996797166434305E-2</v>
      </c>
      <c r="T36" s="340">
        <f t="shared" ref="T36:T38" si="16">ROUND(P36*(1+$M$22),0)</f>
        <v>134685</v>
      </c>
      <c r="U36" s="897" t="str">
        <f t="shared" si="13"/>
        <v>1.5% = Est. S &amp; C</v>
      </c>
      <c r="V36" s="952"/>
      <c r="W36" s="2241"/>
      <c r="X36" s="340"/>
      <c r="Y36" s="455"/>
      <c r="AA36" s="456"/>
      <c r="AB36" s="340"/>
      <c r="AC36" s="455"/>
    </row>
    <row r="37" spans="1:29" s="457" customFormat="1" x14ac:dyDescent="0.25">
      <c r="A37" s="2226"/>
      <c r="B37" s="2385">
        <v>1903</v>
      </c>
      <c r="C37" s="2215" t="s">
        <v>822</v>
      </c>
      <c r="D37" s="340">
        <v>417723.39</v>
      </c>
      <c r="E37" s="2386"/>
      <c r="F37" s="340"/>
      <c r="G37" s="456">
        <f t="shared" si="7"/>
        <v>-6.7135096265497941E-3</v>
      </c>
      <c r="H37" s="340">
        <v>414919</v>
      </c>
      <c r="I37" s="899"/>
      <c r="J37" s="455"/>
      <c r="K37" s="456">
        <f t="shared" si="14"/>
        <v>1.4436552676546506E-2</v>
      </c>
      <c r="L37" s="340">
        <v>420909</v>
      </c>
      <c r="M37" s="897"/>
      <c r="O37" s="456">
        <f t="shared" si="8"/>
        <v>1.5000867170813644E-2</v>
      </c>
      <c r="P37" s="340">
        <f t="shared" si="9"/>
        <v>427223</v>
      </c>
      <c r="Q37" s="897" t="str">
        <f t="shared" si="10"/>
        <v>1.5% = Est. S &amp; C</v>
      </c>
      <c r="R37" s="592"/>
      <c r="S37" s="456">
        <f t="shared" si="11"/>
        <v>1.4999192459207486E-2</v>
      </c>
      <c r="T37" s="340">
        <f t="shared" si="16"/>
        <v>433631</v>
      </c>
      <c r="U37" s="897" t="str">
        <f t="shared" si="13"/>
        <v>1.5% = Est. S &amp; C</v>
      </c>
      <c r="V37" s="952"/>
      <c r="W37" s="2241"/>
      <c r="X37" s="340"/>
      <c r="Y37" s="455"/>
      <c r="AA37" s="456"/>
      <c r="AB37" s="340"/>
      <c r="AC37" s="455"/>
    </row>
    <row r="38" spans="1:29" s="457" customFormat="1" x14ac:dyDescent="0.25">
      <c r="A38" s="2226"/>
      <c r="B38" s="2385">
        <v>1923</v>
      </c>
      <c r="C38" s="2215" t="s">
        <v>243</v>
      </c>
      <c r="D38" s="340">
        <v>2000</v>
      </c>
      <c r="E38" s="2386"/>
      <c r="F38" s="340"/>
      <c r="G38" s="456">
        <f t="shared" si="7"/>
        <v>-1</v>
      </c>
      <c r="H38" s="340">
        <v>0</v>
      </c>
      <c r="I38" s="899"/>
      <c r="J38" s="455"/>
      <c r="K38" s="456" t="str">
        <f t="shared" si="14"/>
        <v xml:space="preserve"> - </v>
      </c>
      <c r="L38" s="340">
        <v>4000</v>
      </c>
      <c r="M38" s="897"/>
      <c r="O38" s="456">
        <f t="shared" si="8"/>
        <v>1.4999999999999999E-2</v>
      </c>
      <c r="P38" s="340">
        <f t="shared" si="9"/>
        <v>4060</v>
      </c>
      <c r="Q38" s="897"/>
      <c r="R38" s="592"/>
      <c r="S38" s="456">
        <f t="shared" si="11"/>
        <v>1.5024630541871921E-2</v>
      </c>
      <c r="T38" s="340">
        <f t="shared" si="16"/>
        <v>4121</v>
      </c>
      <c r="U38" s="897"/>
      <c r="V38" s="952"/>
      <c r="W38" s="2241"/>
      <c r="X38" s="340"/>
      <c r="Y38" s="455"/>
      <c r="AA38" s="456"/>
      <c r="AB38" s="340"/>
      <c r="AC38" s="455"/>
    </row>
    <row r="39" spans="1:29" s="457" customFormat="1" x14ac:dyDescent="0.25">
      <c r="A39" s="2226"/>
      <c r="B39" s="2385" t="s">
        <v>937</v>
      </c>
      <c r="C39" s="2215" t="s">
        <v>927</v>
      </c>
      <c r="D39" s="340"/>
      <c r="E39" s="2386"/>
      <c r="F39" s="340"/>
      <c r="G39" s="456"/>
      <c r="H39" s="340">
        <f>5852+150</f>
        <v>6002</v>
      </c>
      <c r="I39" s="897"/>
      <c r="J39" s="455"/>
      <c r="K39" s="456">
        <f t="shared" si="14"/>
        <v>-3.332222592469177E-4</v>
      </c>
      <c r="L39" s="340">
        <v>6000</v>
      </c>
      <c r="M39" s="897"/>
      <c r="O39" s="456">
        <f t="shared" si="8"/>
        <v>0</v>
      </c>
      <c r="P39" s="340">
        <f>+L39</f>
        <v>6000</v>
      </c>
      <c r="Q39" s="897" t="s">
        <v>173</v>
      </c>
      <c r="R39" s="592"/>
      <c r="S39" s="456">
        <f t="shared" si="11"/>
        <v>0</v>
      </c>
      <c r="T39" s="340">
        <f>+P39</f>
        <v>6000</v>
      </c>
      <c r="U39" s="897" t="s">
        <v>173</v>
      </c>
      <c r="V39" s="952"/>
      <c r="W39" s="2343"/>
      <c r="X39" s="340"/>
      <c r="Y39" s="2344"/>
      <c r="AA39" s="1668"/>
      <c r="AB39" s="340"/>
      <c r="AC39" s="2344"/>
    </row>
    <row r="40" spans="1:29" s="457" customFormat="1" x14ac:dyDescent="0.25">
      <c r="A40" s="2226"/>
      <c r="B40" s="2385"/>
      <c r="C40" s="2215"/>
      <c r="D40" s="458">
        <f>SUM(D24:D39)</f>
        <v>5809800.2400000002</v>
      </c>
      <c r="E40" s="2386"/>
      <c r="F40" s="340"/>
      <c r="G40" s="456">
        <f t="shared" si="7"/>
        <v>3.2748761083048833E-2</v>
      </c>
      <c r="H40" s="458">
        <f>SUM(H24:H39)</f>
        <v>6000064</v>
      </c>
      <c r="I40" s="2316">
        <f>+H40-D40</f>
        <v>190263.75999999978</v>
      </c>
      <c r="J40" s="459"/>
      <c r="K40" s="456">
        <f t="shared" si="14"/>
        <v>3.8289424912800928E-2</v>
      </c>
      <c r="L40" s="458">
        <f>SUM(L24:L39)</f>
        <v>6229803</v>
      </c>
      <c r="M40" s="2316">
        <f>+L40-H40</f>
        <v>229739</v>
      </c>
      <c r="O40" s="456">
        <f t="shared" ref="O40" si="17">IF(L40=0," - ",(P40-L40)/L40)</f>
        <v>1.4780563687166352E-2</v>
      </c>
      <c r="P40" s="458">
        <f>SUM(P24:P39)</f>
        <v>6321883</v>
      </c>
      <c r="Q40" s="2316">
        <f>+P40-L40</f>
        <v>92080</v>
      </c>
      <c r="R40" s="592"/>
      <c r="S40" s="456">
        <f t="shared" si="11"/>
        <v>1.4783411841060646E-2</v>
      </c>
      <c r="T40" s="458">
        <f>SUM(T24:T39)</f>
        <v>6415342</v>
      </c>
      <c r="U40" s="2344"/>
      <c r="V40" s="952"/>
      <c r="W40" s="2241">
        <f>IF(T40=0,"0.00%",(X40-T40)/T40)</f>
        <v>-0.16298850474378451</v>
      </c>
      <c r="X40" s="458">
        <f>SUM(X24:X39)</f>
        <v>5369715</v>
      </c>
      <c r="Y40" s="2344"/>
      <c r="AA40" s="456">
        <f>IF(X40=0,"0.00%",(AB40-X40)/X40)</f>
        <v>1.9682608853542505E-2</v>
      </c>
      <c r="AB40" s="458">
        <f>SUM(AB24:AB39)</f>
        <v>5475405</v>
      </c>
      <c r="AC40" s="2344"/>
    </row>
    <row r="41" spans="1:29" s="457" customFormat="1" x14ac:dyDescent="0.25">
      <c r="A41" s="2226"/>
      <c r="B41" s="2345"/>
      <c r="C41" s="2215"/>
      <c r="D41" s="340"/>
      <c r="E41" s="2386"/>
      <c r="F41" s="340"/>
      <c r="G41" s="2338"/>
      <c r="H41" s="340"/>
      <c r="I41" s="897"/>
      <c r="J41" s="455"/>
      <c r="K41" s="1668"/>
      <c r="L41" s="340"/>
      <c r="M41" s="901"/>
      <c r="O41" s="1668"/>
      <c r="P41" s="340"/>
      <c r="Q41" s="901"/>
      <c r="R41" s="592"/>
      <c r="S41" s="1668"/>
      <c r="T41" s="340"/>
      <c r="U41" s="2344"/>
      <c r="V41" s="952"/>
      <c r="W41" s="2343"/>
      <c r="X41" s="340"/>
      <c r="Y41" s="2344"/>
      <c r="AA41" s="1668"/>
      <c r="AB41" s="340"/>
      <c r="AC41" s="2344"/>
    </row>
    <row r="42" spans="1:29" s="461" customFormat="1" x14ac:dyDescent="0.25">
      <c r="A42" s="2226"/>
      <c r="B42" s="2440" t="s">
        <v>35</v>
      </c>
      <c r="C42" s="2225"/>
      <c r="D42" s="460"/>
      <c r="E42" s="868"/>
      <c r="F42" s="460"/>
      <c r="G42" s="2389"/>
      <c r="H42" s="460"/>
      <c r="I42" s="868"/>
      <c r="J42" s="460"/>
      <c r="K42" s="1669"/>
      <c r="L42" s="460"/>
      <c r="M42" s="902"/>
      <c r="O42" s="1669"/>
      <c r="P42" s="460"/>
      <c r="Q42" s="902"/>
      <c r="S42" s="1669"/>
      <c r="T42" s="460"/>
      <c r="U42" s="2392"/>
      <c r="V42" s="2381"/>
      <c r="W42" s="2382"/>
      <c r="X42" s="460"/>
      <c r="Y42" s="2392"/>
      <c r="AA42" s="1669"/>
      <c r="AB42" s="460"/>
      <c r="AC42" s="2392"/>
    </row>
    <row r="43" spans="1:29" s="457" customFormat="1" x14ac:dyDescent="0.25">
      <c r="A43" s="2227"/>
      <c r="B43" s="2385">
        <v>2100</v>
      </c>
      <c r="C43" s="2215" t="s">
        <v>936</v>
      </c>
      <c r="D43" s="340">
        <f>278454.45+684603.22+108057.38+47292.26+1055406.41+233871.26-6631.63</f>
        <v>2401053.3499999996</v>
      </c>
      <c r="E43" s="2386"/>
      <c r="F43" s="340"/>
      <c r="G43" s="456" t="s">
        <v>1038</v>
      </c>
      <c r="H43" s="1866">
        <v>-65402</v>
      </c>
      <c r="I43" s="2316">
        <f>+H43-D43</f>
        <v>-2466455.3499999996</v>
      </c>
      <c r="J43" s="455"/>
      <c r="K43" s="456">
        <f t="shared" ref="K43:K60" si="18">IF(H43=0," - ",(L43-H43)/H43)</f>
        <v>-1</v>
      </c>
      <c r="L43" s="340">
        <v>0</v>
      </c>
      <c r="M43" s="897"/>
      <c r="O43" s="456" t="str">
        <f t="shared" ref="O43:O60" si="19">IF(L43=0," - ",(P43-L43)/L43)</f>
        <v xml:space="preserve"> - </v>
      </c>
      <c r="P43" s="340">
        <v>0</v>
      </c>
      <c r="Q43" s="897"/>
      <c r="R43" s="592"/>
      <c r="S43" s="456" t="str">
        <f t="shared" ref="S43:S58" si="20">IF(P43=0," - ",(T43-P43)/P43)</f>
        <v xml:space="preserve"> - </v>
      </c>
      <c r="T43" s="340">
        <v>0</v>
      </c>
      <c r="U43" s="897"/>
      <c r="V43" s="952"/>
      <c r="W43" s="2241" t="str">
        <f t="shared" ref="W43:W58" si="21">IF(T43=0,"0.00%",(X43-T43)/T43)</f>
        <v>0.00%</v>
      </c>
      <c r="X43" s="340">
        <f>ROUND(T43*(1+Y22),0)</f>
        <v>0</v>
      </c>
      <c r="Y43" s="455" t="str">
        <f>TEXT(Y22,"0.0%")&amp;" = Est. S &amp; C"</f>
        <v>2.0% = Est. S &amp; C</v>
      </c>
      <c r="AA43" s="456" t="str">
        <f t="shared" ref="AA43:AA58" si="22">IF(X43=0,"0.00%",(AB43-X43)/X43)</f>
        <v>0.00%</v>
      </c>
      <c r="AB43" s="340">
        <f>ROUND(X43*(1+AC22),0)</f>
        <v>0</v>
      </c>
      <c r="AC43" s="455" t="str">
        <f>TEXT(AC22,"0.0%")&amp;" = Est. S &amp; C"</f>
        <v>2.0% = Est. S &amp; C</v>
      </c>
    </row>
    <row r="44" spans="1:29" s="457" customFormat="1" x14ac:dyDescent="0.25">
      <c r="A44" s="2227"/>
      <c r="B44" s="2385">
        <v>2102</v>
      </c>
      <c r="C44" s="2215" t="s">
        <v>1053</v>
      </c>
      <c r="D44" s="340">
        <v>73654.22</v>
      </c>
      <c r="E44" s="2386"/>
      <c r="F44" s="340"/>
      <c r="G44" s="456" t="s">
        <v>1038</v>
      </c>
      <c r="H44" s="340">
        <v>327092</v>
      </c>
      <c r="I44" s="2316"/>
      <c r="J44" s="455"/>
      <c r="K44" s="456">
        <f t="shared" ref="K44:K57" si="23">IF(H44=0," - ",(L44-H44)/H44)</f>
        <v>3.8982916121458183E-2</v>
      </c>
      <c r="L44" s="340">
        <v>339843</v>
      </c>
      <c r="M44" s="897"/>
      <c r="O44" s="456">
        <f t="shared" ref="O44:O57" si="24">IF(L44=0," - ",(P44-L44)/L44)</f>
        <v>1.5001044600006473E-2</v>
      </c>
      <c r="P44" s="340">
        <f t="shared" ref="P44:P57" si="25">ROUND(L44*(1+$Q$22),0)</f>
        <v>344941</v>
      </c>
      <c r="Q44" s="897" t="str">
        <f t="shared" ref="Q44:Q57" si="26">TEXT($Q$22,"0.0%")&amp;" = Est. S &amp; C"</f>
        <v>1.5% = Est. S &amp; C</v>
      </c>
      <c r="R44" s="592"/>
      <c r="S44" s="456">
        <f t="shared" si="20"/>
        <v>1.4999666609652086E-2</v>
      </c>
      <c r="T44" s="340">
        <f t="shared" ref="T44:T57" si="27">ROUND(P44*(1+$Q$22),0)</f>
        <v>350115</v>
      </c>
      <c r="U44" s="897" t="str">
        <f t="shared" ref="U44:U57" si="28">TEXT($Q$22,"0.0%")&amp;" = Est. S &amp; C"</f>
        <v>1.5% = Est. S &amp; C</v>
      </c>
      <c r="V44" s="952"/>
      <c r="W44" s="2241"/>
      <c r="X44" s="340"/>
      <c r="Y44" s="455"/>
      <c r="AA44" s="456"/>
      <c r="AB44" s="340"/>
      <c r="AC44" s="455"/>
    </row>
    <row r="45" spans="1:29" s="457" customFormat="1" x14ac:dyDescent="0.25">
      <c r="A45" s="2227"/>
      <c r="B45" s="2385">
        <v>2104</v>
      </c>
      <c r="C45" s="2215" t="s">
        <v>1053</v>
      </c>
      <c r="D45" s="340">
        <v>118058.96</v>
      </c>
      <c r="E45" s="2386"/>
      <c r="F45" s="340"/>
      <c r="G45" s="456" t="s">
        <v>1038</v>
      </c>
      <c r="H45" s="340">
        <v>936056</v>
      </c>
      <c r="I45" s="2316"/>
      <c r="J45" s="455"/>
      <c r="K45" s="456">
        <f t="shared" si="23"/>
        <v>0.17048552650696111</v>
      </c>
      <c r="L45" s="340">
        <v>1095640</v>
      </c>
      <c r="M45" s="897"/>
      <c r="O45" s="456">
        <f t="shared" si="24"/>
        <v>1.5000365083421561E-2</v>
      </c>
      <c r="P45" s="340">
        <f t="shared" si="25"/>
        <v>1112075</v>
      </c>
      <c r="Q45" s="897" t="str">
        <f t="shared" si="26"/>
        <v>1.5% = Est. S &amp; C</v>
      </c>
      <c r="R45" s="592"/>
      <c r="S45" s="456">
        <f t="shared" si="20"/>
        <v>1.499988759750916E-2</v>
      </c>
      <c r="T45" s="340">
        <f t="shared" si="27"/>
        <v>1128756</v>
      </c>
      <c r="U45" s="897" t="str">
        <f t="shared" si="28"/>
        <v>1.5% = Est. S &amp; C</v>
      </c>
      <c r="V45" s="952"/>
      <c r="W45" s="2241"/>
      <c r="X45" s="340"/>
      <c r="Y45" s="455"/>
      <c r="AA45" s="456"/>
      <c r="AB45" s="340"/>
      <c r="AC45" s="455"/>
    </row>
    <row r="46" spans="1:29" s="457" customFormat="1" x14ac:dyDescent="0.25">
      <c r="A46" s="2227"/>
      <c r="B46" s="2385">
        <v>2106</v>
      </c>
      <c r="C46" s="2215" t="s">
        <v>1053</v>
      </c>
      <c r="D46" s="340">
        <v>212255.46</v>
      </c>
      <c r="E46" s="2386"/>
      <c r="F46" s="340"/>
      <c r="G46" s="456" t="s">
        <v>1038</v>
      </c>
      <c r="H46" s="340">
        <v>138486</v>
      </c>
      <c r="I46" s="2316"/>
      <c r="J46" s="455"/>
      <c r="K46" s="456">
        <f t="shared" si="23"/>
        <v>-0.16133760813367415</v>
      </c>
      <c r="L46" s="340">
        <v>116143</v>
      </c>
      <c r="M46" s="897"/>
      <c r="O46" s="456">
        <f t="shared" si="24"/>
        <v>1.4998751539050998E-2</v>
      </c>
      <c r="P46" s="340">
        <f t="shared" si="25"/>
        <v>117885</v>
      </c>
      <c r="Q46" s="897" t="str">
        <f t="shared" si="26"/>
        <v>1.5% = Est. S &amp; C</v>
      </c>
      <c r="R46" s="592"/>
      <c r="S46" s="456">
        <f t="shared" si="20"/>
        <v>1.4997667218051491E-2</v>
      </c>
      <c r="T46" s="340">
        <f t="shared" si="27"/>
        <v>119653</v>
      </c>
      <c r="U46" s="897" t="str">
        <f t="shared" si="28"/>
        <v>1.5% = Est. S &amp; C</v>
      </c>
      <c r="V46" s="952"/>
      <c r="W46" s="2241"/>
      <c r="X46" s="340"/>
      <c r="Y46" s="455"/>
      <c r="AA46" s="456"/>
      <c r="AB46" s="340"/>
      <c r="AC46" s="455"/>
    </row>
    <row r="47" spans="1:29" s="457" customFormat="1" x14ac:dyDescent="0.25">
      <c r="A47" s="2227"/>
      <c r="B47" s="2385">
        <v>2107</v>
      </c>
      <c r="C47" s="2215" t="s">
        <v>1053</v>
      </c>
      <c r="D47" s="340">
        <f>85207.81+140+6917.64</f>
        <v>92265.45</v>
      </c>
      <c r="E47" s="2386"/>
      <c r="F47" s="340"/>
      <c r="G47" s="456" t="s">
        <v>1038</v>
      </c>
      <c r="H47" s="340">
        <v>57837</v>
      </c>
      <c r="I47" s="2316"/>
      <c r="J47" s="455"/>
      <c r="K47" s="456">
        <f t="shared" si="23"/>
        <v>2.2476961114857271E-4</v>
      </c>
      <c r="L47" s="340">
        <v>57850</v>
      </c>
      <c r="M47" s="897"/>
      <c r="O47" s="456">
        <f t="shared" si="24"/>
        <v>1.5004321521175455E-2</v>
      </c>
      <c r="P47" s="340">
        <f t="shared" si="25"/>
        <v>58718</v>
      </c>
      <c r="Q47" s="897" t="str">
        <f t="shared" si="26"/>
        <v>1.5% = Est. S &amp; C</v>
      </c>
      <c r="R47" s="592"/>
      <c r="S47" s="456">
        <f t="shared" si="20"/>
        <v>1.5003917027146702E-2</v>
      </c>
      <c r="T47" s="340">
        <f t="shared" si="27"/>
        <v>59599</v>
      </c>
      <c r="U47" s="897" t="str">
        <f t="shared" si="28"/>
        <v>1.5% = Est. S &amp; C</v>
      </c>
      <c r="V47" s="952"/>
      <c r="W47" s="2241"/>
      <c r="X47" s="340"/>
      <c r="Y47" s="455"/>
      <c r="AA47" s="456"/>
      <c r="AB47" s="340"/>
      <c r="AC47" s="455"/>
    </row>
    <row r="48" spans="1:29" s="457" customFormat="1" x14ac:dyDescent="0.25">
      <c r="A48" s="2227"/>
      <c r="B48" s="2385">
        <v>2120</v>
      </c>
      <c r="C48" s="2215" t="s">
        <v>1053</v>
      </c>
      <c r="D48" s="340">
        <f>5300.67+232</f>
        <v>5532.67</v>
      </c>
      <c r="E48" s="2386"/>
      <c r="F48" s="340"/>
      <c r="G48" s="456" t="s">
        <v>1038</v>
      </c>
      <c r="H48" s="340">
        <v>1141470</v>
      </c>
      <c r="I48" s="2316"/>
      <c r="J48" s="455"/>
      <c r="K48" s="456">
        <f t="shared" si="23"/>
        <v>1.4355173591947226E-2</v>
      </c>
      <c r="L48" s="340">
        <v>1157856</v>
      </c>
      <c r="M48" s="897"/>
      <c r="O48" s="456">
        <f t="shared" si="24"/>
        <v>1.5000138186441147E-2</v>
      </c>
      <c r="P48" s="340">
        <f t="shared" si="25"/>
        <v>1175224</v>
      </c>
      <c r="Q48" s="897" t="str">
        <f t="shared" si="26"/>
        <v>1.5% = Est. S &amp; C</v>
      </c>
      <c r="R48" s="592"/>
      <c r="S48" s="456">
        <f t="shared" si="20"/>
        <v>1.4999693675418473E-2</v>
      </c>
      <c r="T48" s="340">
        <f t="shared" si="27"/>
        <v>1192852</v>
      </c>
      <c r="U48" s="897" t="str">
        <f t="shared" si="28"/>
        <v>1.5% = Est. S &amp; C</v>
      </c>
      <c r="V48" s="952"/>
      <c r="W48" s="2241"/>
      <c r="X48" s="340"/>
      <c r="Y48" s="455"/>
      <c r="AA48" s="456"/>
      <c r="AB48" s="340"/>
      <c r="AC48" s="455"/>
    </row>
    <row r="49" spans="1:29" s="457" customFormat="1" x14ac:dyDescent="0.25">
      <c r="A49" s="2227"/>
      <c r="B49" s="2385">
        <v>2122</v>
      </c>
      <c r="C49" s="2215" t="s">
        <v>1053</v>
      </c>
      <c r="D49" s="340">
        <v>0</v>
      </c>
      <c r="E49" s="2386"/>
      <c r="F49" s="340"/>
      <c r="G49" s="456" t="s">
        <v>1038</v>
      </c>
      <c r="H49" s="340">
        <v>361419</v>
      </c>
      <c r="I49" s="2316"/>
      <c r="J49" s="455"/>
      <c r="K49" s="456">
        <f t="shared" si="23"/>
        <v>8.4829519200706111E-2</v>
      </c>
      <c r="L49" s="340">
        <v>392078</v>
      </c>
      <c r="M49" s="897"/>
      <c r="O49" s="456">
        <f t="shared" si="24"/>
        <v>1.4999566412805615E-2</v>
      </c>
      <c r="P49" s="340">
        <f t="shared" si="25"/>
        <v>397959</v>
      </c>
      <c r="Q49" s="897" t="str">
        <f t="shared" si="26"/>
        <v>1.5% = Est. S &amp; C</v>
      </c>
      <c r="R49" s="592"/>
      <c r="S49" s="456">
        <f t="shared" si="20"/>
        <v>1.4999032563656055E-2</v>
      </c>
      <c r="T49" s="340">
        <f t="shared" si="27"/>
        <v>403928</v>
      </c>
      <c r="U49" s="897" t="str">
        <f t="shared" si="28"/>
        <v>1.5% = Est. S &amp; C</v>
      </c>
      <c r="V49" s="952"/>
      <c r="W49" s="2241"/>
      <c r="X49" s="340"/>
      <c r="Y49" s="455"/>
      <c r="AA49" s="456"/>
      <c r="AB49" s="340"/>
      <c r="AC49" s="455"/>
    </row>
    <row r="50" spans="1:29" s="457" customFormat="1" x14ac:dyDescent="0.25">
      <c r="A50" s="2227"/>
      <c r="B50" s="2385">
        <v>2173</v>
      </c>
      <c r="C50" s="2215" t="s">
        <v>1054</v>
      </c>
      <c r="D50" s="340"/>
      <c r="E50" s="2386"/>
      <c r="F50" s="340"/>
      <c r="G50" s="456" t="s">
        <v>1038</v>
      </c>
      <c r="H50" s="340">
        <v>0</v>
      </c>
      <c r="I50" s="2316"/>
      <c r="J50" s="455"/>
      <c r="K50" s="456" t="str">
        <f t="shared" si="23"/>
        <v xml:space="preserve"> - </v>
      </c>
      <c r="L50" s="340">
        <v>35000</v>
      </c>
      <c r="M50" s="897"/>
      <c r="O50" s="456">
        <f t="shared" si="24"/>
        <v>1.4999999999999999E-2</v>
      </c>
      <c r="P50" s="340">
        <f t="shared" si="25"/>
        <v>35525</v>
      </c>
      <c r="Q50" s="897" t="str">
        <f t="shared" si="26"/>
        <v>1.5% = Est. S &amp; C</v>
      </c>
      <c r="R50" s="592"/>
      <c r="S50" s="456">
        <f t="shared" si="20"/>
        <v>1.5003518648838846E-2</v>
      </c>
      <c r="T50" s="340">
        <f t="shared" si="27"/>
        <v>36058</v>
      </c>
      <c r="U50" s="897" t="str">
        <f t="shared" si="28"/>
        <v>1.5% = Est. S &amp; C</v>
      </c>
      <c r="V50" s="952"/>
      <c r="W50" s="2241"/>
      <c r="X50" s="340"/>
      <c r="Y50" s="455"/>
      <c r="AA50" s="456"/>
      <c r="AB50" s="340"/>
      <c r="AC50" s="455"/>
    </row>
    <row r="51" spans="1:29" s="457" customFormat="1" x14ac:dyDescent="0.25">
      <c r="A51" s="2227"/>
      <c r="B51" s="2385">
        <v>2181</v>
      </c>
      <c r="C51" s="2215" t="s">
        <v>245</v>
      </c>
      <c r="D51" s="340"/>
      <c r="E51" s="2386"/>
      <c r="F51" s="340"/>
      <c r="G51" s="456" t="s">
        <v>1038</v>
      </c>
      <c r="H51" s="340">
        <v>57030</v>
      </c>
      <c r="I51" s="2316"/>
      <c r="J51" s="455"/>
      <c r="K51" s="456">
        <f t="shared" si="23"/>
        <v>-0.16135367350517271</v>
      </c>
      <c r="L51" s="340">
        <v>47828</v>
      </c>
      <c r="M51" s="897"/>
      <c r="O51" s="456">
        <f t="shared" si="24"/>
        <v>1.4991218533076859E-2</v>
      </c>
      <c r="P51" s="340">
        <f t="shared" si="25"/>
        <v>48545</v>
      </c>
      <c r="Q51" s="897" t="str">
        <f t="shared" si="26"/>
        <v>1.5% = Est. S &amp; C</v>
      </c>
      <c r="R51" s="592"/>
      <c r="S51" s="456">
        <f t="shared" si="20"/>
        <v>1.4996395097332372E-2</v>
      </c>
      <c r="T51" s="340">
        <f t="shared" si="27"/>
        <v>49273</v>
      </c>
      <c r="U51" s="897" t="str">
        <f t="shared" si="28"/>
        <v>1.5% = Est. S &amp; C</v>
      </c>
      <c r="V51" s="952"/>
      <c r="W51" s="2241"/>
      <c r="X51" s="340"/>
      <c r="Y51" s="455"/>
      <c r="AA51" s="456"/>
      <c r="AB51" s="340"/>
      <c r="AC51" s="455"/>
    </row>
    <row r="52" spans="1:29" s="457" customFormat="1" x14ac:dyDescent="0.25">
      <c r="A52" s="2227"/>
      <c r="B52" s="2385">
        <v>2204</v>
      </c>
      <c r="C52" s="2215" t="s">
        <v>824</v>
      </c>
      <c r="D52" s="340"/>
      <c r="E52" s="2386"/>
      <c r="F52" s="340"/>
      <c r="G52" s="456" t="s">
        <v>1038</v>
      </c>
      <c r="H52" s="340">
        <v>156844</v>
      </c>
      <c r="I52" s="2316"/>
      <c r="J52" s="455"/>
      <c r="K52" s="456">
        <f t="shared" si="23"/>
        <v>6.5383438320879339E-2</v>
      </c>
      <c r="L52" s="340">
        <v>167099</v>
      </c>
      <c r="M52" s="897"/>
      <c r="O52" s="456">
        <f t="shared" si="24"/>
        <v>1.4997097529009748E-2</v>
      </c>
      <c r="P52" s="340">
        <f t="shared" si="25"/>
        <v>169605</v>
      </c>
      <c r="Q52" s="897" t="str">
        <f t="shared" si="26"/>
        <v>1.5% = Est. S &amp; C</v>
      </c>
      <c r="R52" s="592"/>
      <c r="S52" s="456">
        <f t="shared" si="20"/>
        <v>1.4999557796055541E-2</v>
      </c>
      <c r="T52" s="340">
        <f t="shared" si="27"/>
        <v>172149</v>
      </c>
      <c r="U52" s="897" t="str">
        <f t="shared" si="28"/>
        <v>1.5% = Est. S &amp; C</v>
      </c>
      <c r="V52" s="952"/>
      <c r="W52" s="2241"/>
      <c r="X52" s="340"/>
      <c r="Y52" s="455"/>
      <c r="AA52" s="456"/>
      <c r="AB52" s="340"/>
      <c r="AC52" s="455"/>
    </row>
    <row r="53" spans="1:29" s="457" customFormat="1" x14ac:dyDescent="0.25">
      <c r="A53" s="2227"/>
      <c r="B53" s="2385">
        <v>2208</v>
      </c>
      <c r="C53" s="2215" t="s">
        <v>825</v>
      </c>
      <c r="D53" s="340"/>
      <c r="E53" s="2386"/>
      <c r="F53" s="340"/>
      <c r="G53" s="456" t="s">
        <v>1038</v>
      </c>
      <c r="H53" s="340">
        <v>185281</v>
      </c>
      <c r="I53" s="897"/>
      <c r="J53" s="455"/>
      <c r="K53" s="456">
        <f t="shared" si="23"/>
        <v>-2.1216422622934893E-2</v>
      </c>
      <c r="L53" s="340">
        <v>181350</v>
      </c>
      <c r="M53" s="897"/>
      <c r="O53" s="456">
        <f t="shared" si="24"/>
        <v>1.4998621450234353E-2</v>
      </c>
      <c r="P53" s="340">
        <f t="shared" si="25"/>
        <v>184070</v>
      </c>
      <c r="Q53" s="897" t="str">
        <f t="shared" si="26"/>
        <v>1.5% = Est. S &amp; C</v>
      </c>
      <c r="R53" s="592"/>
      <c r="S53" s="456">
        <f t="shared" si="20"/>
        <v>1.4999728364209269E-2</v>
      </c>
      <c r="T53" s="340">
        <f t="shared" si="27"/>
        <v>186831</v>
      </c>
      <c r="U53" s="897" t="str">
        <f t="shared" si="28"/>
        <v>1.5% = Est. S &amp; C</v>
      </c>
      <c r="V53" s="952"/>
      <c r="W53" s="2241">
        <f t="shared" si="21"/>
        <v>2.0002033923706451E-2</v>
      </c>
      <c r="X53" s="340">
        <f>ROUND(T53*(1+Y22),0)</f>
        <v>190568</v>
      </c>
      <c r="Y53" s="455" t="str">
        <f>TEXT(Y22,"0.0%")&amp;" = Est. S &amp; C"</f>
        <v>2.0% = Est. S &amp; C</v>
      </c>
      <c r="AA53" s="456">
        <f t="shared" si="22"/>
        <v>1.9998110910541118E-2</v>
      </c>
      <c r="AB53" s="340">
        <f>ROUND(X53*(1+AC22),0)</f>
        <v>194379</v>
      </c>
      <c r="AC53" s="455" t="str">
        <f>TEXT(AC22,"0.0%")&amp;" = Est. S &amp; C"</f>
        <v>2.0% = Est. S &amp; C</v>
      </c>
    </row>
    <row r="54" spans="1:29" s="457" customFormat="1" x14ac:dyDescent="0.25">
      <c r="A54" s="2227"/>
      <c r="B54" s="2385">
        <v>2404</v>
      </c>
      <c r="C54" s="2215" t="s">
        <v>31</v>
      </c>
      <c r="D54" s="340"/>
      <c r="E54" s="2386"/>
      <c r="F54" s="340"/>
      <c r="G54" s="456" t="s">
        <v>1038</v>
      </c>
      <c r="H54" s="340">
        <v>88390</v>
      </c>
      <c r="I54" s="897"/>
      <c r="J54" s="455"/>
      <c r="K54" s="456">
        <f t="shared" si="23"/>
        <v>1.7535920352981106E-2</v>
      </c>
      <c r="L54" s="340">
        <v>89940</v>
      </c>
      <c r="M54" s="897"/>
      <c r="O54" s="456">
        <f t="shared" si="24"/>
        <v>1.4998888147653992E-2</v>
      </c>
      <c r="P54" s="340">
        <f t="shared" si="25"/>
        <v>91289</v>
      </c>
      <c r="Q54" s="897" t="str">
        <f t="shared" si="26"/>
        <v>1.5% = Est. S &amp; C</v>
      </c>
      <c r="R54" s="592"/>
      <c r="S54" s="456">
        <f t="shared" si="20"/>
        <v>1.499633033552783E-2</v>
      </c>
      <c r="T54" s="340">
        <f t="shared" si="27"/>
        <v>92658</v>
      </c>
      <c r="U54" s="897" t="str">
        <f t="shared" si="28"/>
        <v>1.5% = Est. S &amp; C</v>
      </c>
      <c r="V54" s="952"/>
      <c r="W54" s="2241">
        <f t="shared" si="21"/>
        <v>1.9998273219797535E-2</v>
      </c>
      <c r="X54" s="340">
        <f>ROUND(T54*(1+Y22),0)</f>
        <v>94511</v>
      </c>
      <c r="Y54" s="455" t="str">
        <f>TEXT(Y22,"0.0%")&amp;" = Est. S &amp; C"</f>
        <v>2.0% = Est. S &amp; C</v>
      </c>
      <c r="AA54" s="456">
        <f t="shared" si="22"/>
        <v>1.9997672228629471E-2</v>
      </c>
      <c r="AB54" s="340">
        <f>ROUND(X54*(1+AC22),0)</f>
        <v>96401</v>
      </c>
      <c r="AC54" s="455" t="str">
        <f>TEXT(AC22,"0.0%")&amp;" = Est. S &amp; C"</f>
        <v>2.0% = Est. S &amp; C</v>
      </c>
    </row>
    <row r="55" spans="1:29" s="457" customFormat="1" x14ac:dyDescent="0.25">
      <c r="A55" s="2227"/>
      <c r="B55" s="2385">
        <v>2473</v>
      </c>
      <c r="C55" s="2215" t="s">
        <v>1055</v>
      </c>
      <c r="D55" s="340"/>
      <c r="E55" s="2386"/>
      <c r="F55" s="340"/>
      <c r="G55" s="456" t="s">
        <v>1038</v>
      </c>
      <c r="H55" s="340">
        <v>0</v>
      </c>
      <c r="I55" s="897"/>
      <c r="J55" s="455"/>
      <c r="K55" s="456" t="str">
        <f t="shared" si="23"/>
        <v xml:space="preserve"> - </v>
      </c>
      <c r="L55" s="340">
        <f t="shared" ref="L55:L57" si="29">ROUND(H55*(1+$M$22),0)</f>
        <v>0</v>
      </c>
      <c r="M55" s="897"/>
      <c r="O55" s="456" t="str">
        <f t="shared" si="24"/>
        <v xml:space="preserve"> - </v>
      </c>
      <c r="P55" s="340">
        <f t="shared" si="25"/>
        <v>0</v>
      </c>
      <c r="Q55" s="897" t="str">
        <f t="shared" si="26"/>
        <v>1.5% = Est. S &amp; C</v>
      </c>
      <c r="R55" s="592"/>
      <c r="S55" s="456" t="str">
        <f t="shared" si="20"/>
        <v xml:space="preserve"> - </v>
      </c>
      <c r="T55" s="340">
        <f t="shared" si="27"/>
        <v>0</v>
      </c>
      <c r="U55" s="897" t="str">
        <f t="shared" si="28"/>
        <v>1.5% = Est. S &amp; C</v>
      </c>
      <c r="V55" s="952"/>
      <c r="W55" s="2241" t="str">
        <f t="shared" si="21"/>
        <v>0.00%</v>
      </c>
      <c r="X55" s="340">
        <f>ROUND(T55*(1+Y22),0)</f>
        <v>0</v>
      </c>
      <c r="Y55" s="455" t="str">
        <f>TEXT(Y22,"0.0%")&amp;" = Est. S &amp; C"</f>
        <v>2.0% = Est. S &amp; C</v>
      </c>
      <c r="AA55" s="456" t="str">
        <f t="shared" si="22"/>
        <v>0.00%</v>
      </c>
      <c r="AB55" s="340">
        <f>ROUND(X55*(1+AC22),0)</f>
        <v>0</v>
      </c>
      <c r="AC55" s="455" t="str">
        <f>TEXT(AC22,"0.0%")&amp;" = Est. S &amp; C"</f>
        <v>2.0% = Est. S &amp; C</v>
      </c>
    </row>
    <row r="56" spans="1:29" s="457" customFormat="1" x14ac:dyDescent="0.25">
      <c r="A56" s="2227"/>
      <c r="B56" s="2385">
        <v>2481</v>
      </c>
      <c r="C56" s="2215" t="s">
        <v>1056</v>
      </c>
      <c r="D56" s="340"/>
      <c r="E56" s="2386"/>
      <c r="F56" s="340"/>
      <c r="G56" s="456" t="s">
        <v>1038</v>
      </c>
      <c r="H56" s="340">
        <v>3500</v>
      </c>
      <c r="I56" s="897"/>
      <c r="J56" s="455"/>
      <c r="K56" s="456">
        <f t="shared" si="23"/>
        <v>-0.8571428571428571</v>
      </c>
      <c r="L56" s="340">
        <v>500</v>
      </c>
      <c r="M56" s="897"/>
      <c r="O56" s="456">
        <f t="shared" si="24"/>
        <v>1.6E-2</v>
      </c>
      <c r="P56" s="340">
        <f t="shared" si="25"/>
        <v>508</v>
      </c>
      <c r="Q56" s="897" t="str">
        <f t="shared" si="26"/>
        <v>1.5% = Est. S &amp; C</v>
      </c>
      <c r="R56" s="592"/>
      <c r="S56" s="456">
        <f t="shared" si="20"/>
        <v>1.5748031496062992E-2</v>
      </c>
      <c r="T56" s="340">
        <f t="shared" si="27"/>
        <v>516</v>
      </c>
      <c r="U56" s="897" t="str">
        <f t="shared" si="28"/>
        <v>1.5% = Est. S &amp; C</v>
      </c>
      <c r="V56" s="952"/>
      <c r="W56" s="2241">
        <f t="shared" si="21"/>
        <v>1.937984496124031E-2</v>
      </c>
      <c r="X56" s="340">
        <f>ROUND(T56*(1+Y22),0)</f>
        <v>526</v>
      </c>
      <c r="Y56" s="455" t="str">
        <f>TEXT(Y22,"0.0%")&amp;" = Est. S &amp; C"</f>
        <v>2.0% = Est. S &amp; C</v>
      </c>
      <c r="AA56" s="456">
        <f t="shared" si="22"/>
        <v>2.0912547528517109E-2</v>
      </c>
      <c r="AB56" s="340">
        <f>ROUND(X56*(1+AC22),0)</f>
        <v>537</v>
      </c>
      <c r="AC56" s="455" t="str">
        <f>TEXT(AC22,"0.0%")&amp;" = Est. S &amp; C"</f>
        <v>2.0% = Est. S &amp; C</v>
      </c>
    </row>
    <row r="57" spans="1:29" s="457" customFormat="1" x14ac:dyDescent="0.25">
      <c r="A57" s="2227"/>
      <c r="B57" s="2385">
        <v>2910</v>
      </c>
      <c r="C57" s="2215" t="s">
        <v>117</v>
      </c>
      <c r="D57" s="340"/>
      <c r="E57" s="2386"/>
      <c r="F57" s="340"/>
      <c r="G57" s="456" t="s">
        <v>1038</v>
      </c>
      <c r="H57" s="340">
        <v>0</v>
      </c>
      <c r="I57" s="897"/>
      <c r="J57" s="455"/>
      <c r="K57" s="456" t="str">
        <f t="shared" si="23"/>
        <v xml:space="preserve"> - </v>
      </c>
      <c r="L57" s="340">
        <f t="shared" si="29"/>
        <v>0</v>
      </c>
      <c r="M57" s="897"/>
      <c r="O57" s="456" t="str">
        <f t="shared" si="24"/>
        <v xml:space="preserve"> - </v>
      </c>
      <c r="P57" s="340">
        <f t="shared" si="25"/>
        <v>0</v>
      </c>
      <c r="Q57" s="897" t="str">
        <f t="shared" si="26"/>
        <v>1.5% = Est. S &amp; C</v>
      </c>
      <c r="R57" s="592"/>
      <c r="S57" s="456" t="str">
        <f t="shared" si="20"/>
        <v xml:space="preserve"> - </v>
      </c>
      <c r="T57" s="340">
        <f t="shared" si="27"/>
        <v>0</v>
      </c>
      <c r="U57" s="897" t="str">
        <f t="shared" si="28"/>
        <v>1.5% = Est. S &amp; C</v>
      </c>
      <c r="V57" s="952"/>
      <c r="W57" s="2241" t="str">
        <f t="shared" si="21"/>
        <v>0.00%</v>
      </c>
      <c r="X57" s="340">
        <f>ROUND(T57*(1+Y22),0)</f>
        <v>0</v>
      </c>
      <c r="Y57" s="455" t="str">
        <f>TEXT(Y22,"0.0%")&amp;" = Est. S &amp; C"</f>
        <v>2.0% = Est. S &amp; C</v>
      </c>
      <c r="AA57" s="456" t="str">
        <f t="shared" si="22"/>
        <v>0.00%</v>
      </c>
      <c r="AB57" s="340">
        <f>ROUND(X57*(1+AC22),0)</f>
        <v>0</v>
      </c>
      <c r="AC57" s="455" t="str">
        <f>TEXT(AC22,"0.0%")&amp;" = Est. S &amp; C"</f>
        <v>2.0% = Est. S &amp; C</v>
      </c>
    </row>
    <row r="58" spans="1:29" s="457" customFormat="1" x14ac:dyDescent="0.25">
      <c r="A58" s="2227"/>
      <c r="B58" s="2385">
        <v>2973</v>
      </c>
      <c r="C58" s="2215" t="s">
        <v>1057</v>
      </c>
      <c r="D58" s="340"/>
      <c r="E58" s="2386"/>
      <c r="F58" s="340"/>
      <c r="G58" s="456" t="s">
        <v>1038</v>
      </c>
      <c r="H58" s="340">
        <f t="shared" ref="H58" si="30">ROUND(D58*(1+$I$22),0)</f>
        <v>0</v>
      </c>
      <c r="I58" s="897"/>
      <c r="J58" s="455"/>
      <c r="K58" s="456" t="str">
        <f t="shared" si="18"/>
        <v xml:space="preserve"> - </v>
      </c>
      <c r="L58" s="340">
        <v>0</v>
      </c>
      <c r="M58" s="897"/>
      <c r="O58" s="456" t="str">
        <f t="shared" si="19"/>
        <v xml:space="preserve"> - </v>
      </c>
      <c r="P58" s="340"/>
      <c r="Q58" s="897"/>
      <c r="R58" s="592"/>
      <c r="S58" s="456" t="str">
        <f t="shared" si="20"/>
        <v xml:space="preserve"> - </v>
      </c>
      <c r="T58" s="340"/>
      <c r="U58" s="897"/>
      <c r="V58" s="952"/>
      <c r="W58" s="2241" t="str">
        <f t="shared" si="21"/>
        <v>0.00%</v>
      </c>
      <c r="X58" s="340">
        <f>ROUND(T58*(1+Y22),0)</f>
        <v>0</v>
      </c>
      <c r="Y58" s="455" t="str">
        <f>TEXT(Y22,"0.0%")&amp;" = Est. S &amp; C"</f>
        <v>2.0% = Est. S &amp; C</v>
      </c>
      <c r="AA58" s="456" t="str">
        <f t="shared" si="22"/>
        <v>0.00%</v>
      </c>
      <c r="AB58" s="340">
        <f>ROUND(X58*(1+AC22),0)</f>
        <v>0</v>
      </c>
      <c r="AC58" s="455" t="str">
        <f>TEXT(AC22,"0.0%")&amp;" = Est. S &amp; C"</f>
        <v>2.0% = Est. S &amp; C</v>
      </c>
    </row>
    <row r="59" spans="1:29" s="457" customFormat="1" x14ac:dyDescent="0.25">
      <c r="A59" s="2227"/>
      <c r="B59" s="2385"/>
      <c r="C59" s="2215"/>
      <c r="D59" s="340"/>
      <c r="E59" s="2386"/>
      <c r="F59" s="340"/>
      <c r="G59" s="456" t="s">
        <v>1038</v>
      </c>
      <c r="H59" s="340">
        <v>0</v>
      </c>
      <c r="I59" s="897"/>
      <c r="J59" s="455"/>
      <c r="K59" s="456"/>
      <c r="L59" s="340"/>
      <c r="M59" s="901"/>
      <c r="O59" s="456"/>
      <c r="P59" s="340"/>
      <c r="Q59" s="901"/>
      <c r="R59" s="592"/>
      <c r="S59" s="2341"/>
      <c r="T59" s="340"/>
      <c r="U59" s="2344"/>
      <c r="V59" s="952"/>
      <c r="W59" s="2343"/>
      <c r="X59" s="340"/>
      <c r="Y59" s="2344"/>
      <c r="AA59" s="1668"/>
      <c r="AB59" s="340"/>
      <c r="AC59" s="2344"/>
    </row>
    <row r="60" spans="1:29" s="457" customFormat="1" x14ac:dyDescent="0.25">
      <c r="A60" s="2228"/>
      <c r="B60" s="2385"/>
      <c r="C60" s="2215"/>
      <c r="D60" s="458">
        <f>SUM(D43:D59)</f>
        <v>2902820.11</v>
      </c>
      <c r="E60" s="2386"/>
      <c r="F60" s="340"/>
      <c r="G60" s="456">
        <f t="shared" ref="G60" si="31">IF(D60=0," - ",(H60-D60)/D60)</f>
        <v>0.16714190739156762</v>
      </c>
      <c r="H60" s="458">
        <f>SUM(H43:H59)</f>
        <v>3388003</v>
      </c>
      <c r="I60" s="2316">
        <f>+H60-D60</f>
        <v>485182.89000000013</v>
      </c>
      <c r="J60" s="459"/>
      <c r="K60" s="456">
        <f t="shared" si="18"/>
        <v>8.6518223271939254E-2</v>
      </c>
      <c r="L60" s="458">
        <f>SUM(L43:L59)</f>
        <v>3681127</v>
      </c>
      <c r="M60" s="2316">
        <f>+L60-H60</f>
        <v>293124</v>
      </c>
      <c r="O60" s="456">
        <f t="shared" si="19"/>
        <v>1.5000025807313902E-2</v>
      </c>
      <c r="P60" s="458">
        <f>SUM(P43:P59)</f>
        <v>3736344</v>
      </c>
      <c r="Q60" s="2316">
        <f>+P60-L60</f>
        <v>55217</v>
      </c>
      <c r="R60" s="592"/>
      <c r="S60" s="2238">
        <f>IF(P60=0,"0.00%",(T60-P60)/P60)</f>
        <v>1.4999689536081259E-2</v>
      </c>
      <c r="T60" s="458">
        <f>SUM(T43:T59)</f>
        <v>3792388</v>
      </c>
      <c r="U60" s="2344"/>
      <c r="V60" s="952"/>
      <c r="W60" s="2241">
        <f>IF(T60=0,"0.00%",(X60-T60)/T60)</f>
        <v>-0.92468993151544621</v>
      </c>
      <c r="X60" s="458">
        <f>SUM(X43:X59)</f>
        <v>285605</v>
      </c>
      <c r="Y60" s="2344"/>
      <c r="AA60" s="456">
        <f>IF(X60=0,"0.00%",(AB60-X60)/X60)</f>
        <v>1.9999649866073773E-2</v>
      </c>
      <c r="AB60" s="458">
        <f>SUM(AB43:AB59)</f>
        <v>291317</v>
      </c>
      <c r="AC60" s="2344"/>
    </row>
    <row r="61" spans="1:29" s="457" customFormat="1" x14ac:dyDescent="0.25">
      <c r="A61" s="2227"/>
      <c r="B61" s="2345" t="s">
        <v>28</v>
      </c>
      <c r="C61" s="2215"/>
      <c r="D61" s="340"/>
      <c r="E61" s="2386"/>
      <c r="F61" s="340"/>
      <c r="G61" s="2338"/>
      <c r="H61" s="340"/>
      <c r="I61" s="897"/>
      <c r="J61" s="455"/>
      <c r="K61" s="1668"/>
      <c r="L61" s="340"/>
      <c r="M61" s="901"/>
      <c r="O61" s="1668"/>
      <c r="P61" s="340"/>
      <c r="Q61" s="901"/>
      <c r="R61" s="592"/>
      <c r="S61" s="2341"/>
      <c r="T61" s="340"/>
      <c r="U61" s="2344"/>
      <c r="V61" s="952"/>
      <c r="W61" s="2343"/>
      <c r="X61" s="340"/>
      <c r="Y61" s="2344"/>
      <c r="AA61" s="1668"/>
      <c r="AB61" s="340"/>
      <c r="AC61" s="2344"/>
    </row>
    <row r="62" spans="1:29" s="457" customFormat="1" x14ac:dyDescent="0.25">
      <c r="A62" s="2229"/>
      <c r="B62" s="2337" t="s">
        <v>27</v>
      </c>
      <c r="C62" s="2215"/>
      <c r="D62" s="340"/>
      <c r="E62" s="2386"/>
      <c r="F62" s="340"/>
      <c r="G62" s="2338"/>
      <c r="H62" s="340"/>
      <c r="I62" s="897"/>
      <c r="J62" s="455"/>
      <c r="K62" s="1668"/>
      <c r="L62" s="340"/>
      <c r="M62" s="901"/>
      <c r="O62" s="1668"/>
      <c r="P62" s="340"/>
      <c r="Q62" s="901"/>
      <c r="R62" s="592"/>
      <c r="S62" s="2341"/>
      <c r="T62" s="340"/>
      <c r="U62" s="2344"/>
      <c r="V62" s="952"/>
      <c r="W62" s="2343"/>
      <c r="X62" s="340"/>
      <c r="Y62" s="2344"/>
      <c r="AA62" s="1668"/>
      <c r="AB62" s="340"/>
      <c r="AC62" s="2344"/>
    </row>
    <row r="63" spans="1:29" s="457" customFormat="1" x14ac:dyDescent="0.25">
      <c r="A63" s="2227"/>
      <c r="B63" s="2385" t="s">
        <v>83</v>
      </c>
      <c r="C63" s="2215" t="s">
        <v>76</v>
      </c>
      <c r="D63" s="340">
        <f>719396.77+30823.76</f>
        <v>750220.53</v>
      </c>
      <c r="E63" s="899" t="str">
        <f>TEXT('MYP Assumptions'!$D$57,"0.00%")&amp;", STRS rate"</f>
        <v>12.58%, STRS rate</v>
      </c>
      <c r="F63" s="340"/>
      <c r="G63" s="456">
        <f t="shared" ref="G63:G72" si="32">IF(D63=0," - ",(H63-D63)/D63)</f>
        <v>0.18511286274717112</v>
      </c>
      <c r="H63" s="340">
        <f>852450+36646</f>
        <v>889096</v>
      </c>
      <c r="I63" s="899" t="str">
        <f>TEXT('MYP Assumptions'!E57,"0.00%")&amp;", projected STRS rate"</f>
        <v>14.43%, projected STRS rate</v>
      </c>
      <c r="J63" s="455"/>
      <c r="K63" s="456">
        <f t="shared" ref="K63" si="33">IF(H63=0," - ",(L63-H63)/H63)</f>
        <v>0.15169902912621358</v>
      </c>
      <c r="L63" s="340">
        <v>1023971</v>
      </c>
      <c r="M63" s="899" t="str">
        <f>TEXT('MYP Assumptions'!F57,"0.00%")&amp;", projected STRS rate"</f>
        <v>16.28%, projected STRS rate</v>
      </c>
      <c r="O63" s="456">
        <f t="shared" ref="O63:O74" si="34">IF(L63=0," - ",(P63-L63)/L63)</f>
        <v>0.11932564496455467</v>
      </c>
      <c r="P63" s="340">
        <f>ROUND(P40*LEFT(Q63,6),0)</f>
        <v>1146157</v>
      </c>
      <c r="Q63" s="899" t="str">
        <f>TEXT('MYP Assumptions'!G57,"0.00%")&amp;", projected STRS rate"</f>
        <v>18.13%, projected STRS rate</v>
      </c>
      <c r="R63" s="592"/>
      <c r="S63" s="2238">
        <f t="shared" ref="S63:S72" si="35">IF(P63=0,"0.00%",(T63-P63)/P63)</f>
        <v>6.9076924016517813E-2</v>
      </c>
      <c r="T63" s="340">
        <f>ROUND(T40*LEFT(U63,6),0)</f>
        <v>1225330</v>
      </c>
      <c r="U63" s="953" t="str">
        <f>TEXT('MYP Assumptions'!H57,"0.00%")&amp;", projected STRS rate"</f>
        <v>19.10%, projected STRS rate</v>
      </c>
      <c r="V63" s="952"/>
      <c r="W63" s="2241">
        <f t="shared" ref="W63:W72" si="36">IF(T63=0,"0.00%",(X63-T63)/T63)</f>
        <v>-0.16298792978218113</v>
      </c>
      <c r="X63" s="340">
        <f>ROUND(X40*LEFT(Y63,6),0)</f>
        <v>1025616</v>
      </c>
      <c r="Y63" s="953" t="str">
        <f>TEXT('MYP Assumptions'!I57,"0.00%")&amp;", projected STRS rate"</f>
        <v>19.10%, projected STRS rate</v>
      </c>
      <c r="AA63" s="456" t="e">
        <f t="shared" ref="AA63:AA72" si="37">IF(X63=0,"0.00%",(AB63-X63)/X63)</f>
        <v>#VALUE!</v>
      </c>
      <c r="AB63" s="340" t="e">
        <f>ROUND(AB40*LEFT(AC63,6),0)</f>
        <v>#VALUE!</v>
      </c>
      <c r="AC63" s="953" t="str">
        <f>TEXT('MYP Assumptions'!J57,"0.00%")&amp;", projected STRS rate"</f>
        <v>0.00%, projected STRS rate</v>
      </c>
    </row>
    <row r="64" spans="1:29" s="457" customFormat="1" x14ac:dyDescent="0.25">
      <c r="A64" s="2227"/>
      <c r="B64" s="2385" t="s">
        <v>84</v>
      </c>
      <c r="C64" s="2215" t="s">
        <v>77</v>
      </c>
      <c r="D64" s="340">
        <f>7326.13+352827.51</f>
        <v>360153.64</v>
      </c>
      <c r="E64" s="899" t="str">
        <f>TEXT('MYP Assumptions'!$D$58,"0.00%")&amp;", PERS rate"</f>
        <v>13.89%, PERS rate</v>
      </c>
      <c r="F64" s="340"/>
      <c r="G64" s="456">
        <f t="shared" si="32"/>
        <v>0.39786453359183038</v>
      </c>
      <c r="H64" s="340">
        <f>7289+496157</f>
        <v>503446</v>
      </c>
      <c r="I64" s="899" t="str">
        <f>TEXT('MYP Assumptions'!E58,"0.00%")&amp;", projected PERS rate"</f>
        <v>15.53%, projected PERS rate</v>
      </c>
      <c r="J64" s="455"/>
      <c r="K64" s="456">
        <f t="shared" ref="K64:K72" si="38">IF(H64=0,"0.00%",(L64-H64)/H64)</f>
        <v>0.38807538445036804</v>
      </c>
      <c r="L64" s="340">
        <v>698821</v>
      </c>
      <c r="M64" s="899" t="str">
        <f>TEXT('MYP Assumptions'!F58,"0.00%")&amp;", projected PERS rate"</f>
        <v>18.06%, projected PERS rate</v>
      </c>
      <c r="O64" s="456">
        <f t="shared" si="34"/>
        <v>0.11210166838145963</v>
      </c>
      <c r="P64" s="340">
        <f>ROUND(P60*LEFT(Q64,6),0)</f>
        <v>777160</v>
      </c>
      <c r="Q64" s="899" t="str">
        <f>TEXT('MYP Assumptions'!G58,"0.00%")&amp;", projected PERS rate"</f>
        <v>20.80%, projected PERS rate</v>
      </c>
      <c r="R64" s="592"/>
      <c r="S64" s="2238">
        <f t="shared" si="35"/>
        <v>0.14675356425961192</v>
      </c>
      <c r="T64" s="340">
        <f>ROUND(T60*LEFT(U64,6),0)</f>
        <v>891211</v>
      </c>
      <c r="U64" s="953" t="str">
        <f>TEXT('MYP Assumptions'!H58,"0.00%")&amp;", projected PERS rate"</f>
        <v>23.50%, projected PERS rate</v>
      </c>
      <c r="V64" s="952"/>
      <c r="W64" s="2241">
        <f t="shared" si="36"/>
        <v>-0.92116457269939445</v>
      </c>
      <c r="X64" s="340">
        <f>ROUND(X60*LEFT(Y64,6),0)</f>
        <v>70259</v>
      </c>
      <c r="Y64" s="953" t="str">
        <f>TEXT('MYP Assumptions'!I58,"0.00%")&amp;", projected PERS rate"</f>
        <v>24.60%, projected PERS rate</v>
      </c>
      <c r="AA64" s="456" t="e">
        <f t="shared" si="37"/>
        <v>#VALUE!</v>
      </c>
      <c r="AB64" s="340" t="e">
        <f>ROUND(AB60*LEFT(AC64,6),0)</f>
        <v>#VALUE!</v>
      </c>
      <c r="AC64" s="953" t="str">
        <f>TEXT('MYP Assumptions'!J58,"0.00%")&amp;", projected PERS rate"</f>
        <v>0.00%, projected PERS rate</v>
      </c>
    </row>
    <row r="65" spans="1:29" s="457" customFormat="1" x14ac:dyDescent="0.25">
      <c r="A65" s="2227"/>
      <c r="B65" s="2385" t="s">
        <v>85</v>
      </c>
      <c r="C65" s="2215" t="s">
        <v>78</v>
      </c>
      <c r="D65" s="340">
        <f>4389.86+155463.32</f>
        <v>159853.18</v>
      </c>
      <c r="E65" s="899" t="str">
        <f>TEXT('MYP Assumptions'!$D$60,"0.00%")&amp;", SS rate"</f>
        <v>6.20%, SS rate</v>
      </c>
      <c r="F65" s="340"/>
      <c r="G65" s="456">
        <f t="shared" si="32"/>
        <v>0.29537616955759033</v>
      </c>
      <c r="H65" s="340">
        <f>3266+203804</f>
        <v>207070</v>
      </c>
      <c r="I65" s="899" t="str">
        <f>TEXT('MYP Assumptions'!E60,"0.00%")&amp;", no rate change"</f>
        <v>6.20%, no rate change</v>
      </c>
      <c r="J65" s="455"/>
      <c r="K65" s="456">
        <f t="shared" si="38"/>
        <v>0.15843917515815908</v>
      </c>
      <c r="L65" s="340">
        <v>239878</v>
      </c>
      <c r="M65" s="899" t="str">
        <f>TEXT('MYP Assumptions'!F60,"0.00%")&amp;", no rate change"</f>
        <v>6.20%, no rate change</v>
      </c>
      <c r="O65" s="456">
        <f t="shared" si="34"/>
        <v>-3.4288263200460231E-2</v>
      </c>
      <c r="P65" s="340">
        <f>ROUND(P60*LEFT(Q65,5),0)</f>
        <v>231653</v>
      </c>
      <c r="Q65" s="899" t="str">
        <f>TEXT('MYP Assumptions'!G60,"0.00%")&amp;", no rate change"</f>
        <v>6.20%, no rate change</v>
      </c>
      <c r="R65" s="592"/>
      <c r="S65" s="2238">
        <f t="shared" si="35"/>
        <v>1.5000884944291677E-2</v>
      </c>
      <c r="T65" s="340">
        <f>ROUND(T60*LEFT(U65,5),0)</f>
        <v>235128</v>
      </c>
      <c r="U65" s="953" t="str">
        <f>TEXT('MYP Assumptions'!H60,"0.00%")&amp;", no rate change"</f>
        <v>6.20%, no rate change</v>
      </c>
      <c r="V65" s="952"/>
      <c r="W65" s="2241">
        <f t="shared" si="36"/>
        <v>-0.92468782960770302</v>
      </c>
      <c r="X65" s="340">
        <f>ROUND(X60*LEFT(Y65,5),0)</f>
        <v>17708</v>
      </c>
      <c r="Y65" s="953" t="str">
        <f>TEXT('MYP Assumptions'!I60,"0.00%")&amp;", no rate change"</f>
        <v>6.20%, no rate change</v>
      </c>
      <c r="AA65" s="456">
        <f t="shared" si="37"/>
        <v>-1</v>
      </c>
      <c r="AB65" s="340">
        <f>ROUND(AB60*LEFT(AC65,5),0)</f>
        <v>0</v>
      </c>
      <c r="AC65" s="953" t="str">
        <f>TEXT('MYP Assumptions'!J60,"0.00%")&amp;", no rate change"</f>
        <v>0.00%, no rate change</v>
      </c>
    </row>
    <row r="66" spans="1:29" s="457" customFormat="1" x14ac:dyDescent="0.25">
      <c r="A66" s="2227"/>
      <c r="B66" s="2385" t="s">
        <v>86</v>
      </c>
      <c r="C66" s="2215" t="s">
        <v>79</v>
      </c>
      <c r="D66" s="340">
        <f>80094.99+40390.31</f>
        <v>120485.3</v>
      </c>
      <c r="E66" s="899" t="str">
        <f>TEXT('MYP Assumptions'!$D$61,"0.00%")&amp;", Medicare rate"</f>
        <v>1.45%, Medicare rate</v>
      </c>
      <c r="F66" s="340"/>
      <c r="G66" s="456">
        <f t="shared" si="32"/>
        <v>0.15783419222095971</v>
      </c>
      <c r="H66" s="340">
        <f>87759+51743</f>
        <v>139502</v>
      </c>
      <c r="I66" s="899" t="str">
        <f>TEXT('MYP Assumptions'!E61,"0.00%")&amp;", no rate change"</f>
        <v>1.45%, no rate change</v>
      </c>
      <c r="J66" s="455"/>
      <c r="K66" s="456">
        <f t="shared" si="38"/>
        <v>5.5834324955914609E-2</v>
      </c>
      <c r="L66" s="340">
        <f>91199+56092</f>
        <v>147291</v>
      </c>
      <c r="M66" s="899" t="str">
        <f>TEXT('MYP Assumptions'!F61,"0.00%")&amp;", no rate change"</f>
        <v>1.45%, no rate change</v>
      </c>
      <c r="O66" s="456">
        <f t="shared" si="34"/>
        <v>-9.824089727138793E-3</v>
      </c>
      <c r="P66" s="340">
        <f>ROUND((P60+P40)*LEFT(Q66,5),0)</f>
        <v>145844</v>
      </c>
      <c r="Q66" s="899" t="str">
        <f>TEXT('MYP Assumptions'!G61,"0.00%")&amp;", no rate change"</f>
        <v>1.45%, no rate change</v>
      </c>
      <c r="R66" s="592"/>
      <c r="S66" s="2238">
        <f t="shared" si="35"/>
        <v>1.486519843120046E-2</v>
      </c>
      <c r="T66" s="340">
        <f>ROUND((T60+T40)*LEFT(U66,5),0)</f>
        <v>148012</v>
      </c>
      <c r="U66" s="953" t="str">
        <f>TEXT('MYP Assumptions'!H61,"0.00%")&amp;", no rate change"</f>
        <v>1.45%, no rate change</v>
      </c>
      <c r="V66" s="952"/>
      <c r="W66" s="2241">
        <f t="shared" si="36"/>
        <v>-0.44597735318757936</v>
      </c>
      <c r="X66" s="340">
        <f>ROUND((X60+X40)*LEFT(Y66,5),0)</f>
        <v>82002</v>
      </c>
      <c r="Y66" s="953" t="str">
        <f>TEXT('MYP Assumptions'!I61,"0.00%")&amp;", no rate change"</f>
        <v>1.45%, no rate change</v>
      </c>
      <c r="AA66" s="456">
        <f t="shared" si="37"/>
        <v>-1</v>
      </c>
      <c r="AB66" s="340">
        <f>ROUND((AB60+AB40)*LEFT(AC66,5),0)</f>
        <v>0</v>
      </c>
      <c r="AC66" s="953" t="str">
        <f>TEXT('MYP Assumptions'!J61,"0.00%")&amp;", no rate change"</f>
        <v>0.00%, no rate change</v>
      </c>
    </row>
    <row r="67" spans="1:29" s="457" customFormat="1" x14ac:dyDescent="0.25">
      <c r="A67" s="2227"/>
      <c r="B67" s="2385" t="s">
        <v>87</v>
      </c>
      <c r="C67" s="2215" t="s">
        <v>80</v>
      </c>
      <c r="D67" s="340">
        <f>532574.67+146868.51</f>
        <v>679443.18</v>
      </c>
      <c r="E67" s="899"/>
      <c r="F67" s="340"/>
      <c r="G67" s="456">
        <f t="shared" si="32"/>
        <v>0.1090714016733525</v>
      </c>
      <c r="H67" s="340">
        <f>568807+184744</f>
        <v>753551</v>
      </c>
      <c r="I67" s="899"/>
      <c r="J67" s="455"/>
      <c r="K67" s="456">
        <f t="shared" si="38"/>
        <v>2.4358006292872016E-2</v>
      </c>
      <c r="L67" s="340">
        <f>573519+198387</f>
        <v>771906</v>
      </c>
      <c r="M67" s="899" t="str">
        <f>TEXT('MYP Assumptions'!$I$68,"0.00%")&amp;", projected increase"</f>
        <v>5.00%, projected increase</v>
      </c>
      <c r="O67" s="456">
        <f t="shared" si="34"/>
        <v>4.9999611351641264E-2</v>
      </c>
      <c r="P67" s="340">
        <f>ROUND((L67)*(LEFT(Q67,5)+1),0)</f>
        <v>810501</v>
      </c>
      <c r="Q67" s="899" t="str">
        <f>TEXT('MYP Assumptions'!$I$68,"0.00%")&amp;", projected increase"</f>
        <v>5.00%, projected increase</v>
      </c>
      <c r="R67" s="592"/>
      <c r="S67" s="2238">
        <f t="shared" si="35"/>
        <v>4.9999938309761495E-2</v>
      </c>
      <c r="T67" s="340">
        <f>ROUND((P67)*(LEFT(U67,5)+1),0)</f>
        <v>851026</v>
      </c>
      <c r="U67" s="953" t="str">
        <f>TEXT('MYP Assumptions'!$I$68,"0.00%")&amp;", projected increase"</f>
        <v>5.00%, projected increase</v>
      </c>
      <c r="V67" s="952"/>
      <c r="W67" s="2241">
        <f t="shared" si="36"/>
        <v>4.9999647484330681E-2</v>
      </c>
      <c r="X67" s="340">
        <f>ROUND((T67)*(LEFT(Y67,5)+1),0)</f>
        <v>893577</v>
      </c>
      <c r="Y67" s="953" t="str">
        <f>TEXT('MYP Assumptions'!$I$68,"0.00%")&amp;", projected increase"</f>
        <v>5.00%, projected increase</v>
      </c>
      <c r="AA67" s="456">
        <f t="shared" si="37"/>
        <v>5.0000167864660792E-2</v>
      </c>
      <c r="AB67" s="340">
        <f>ROUND((X67)*(LEFT(AC67,5)+1),0)</f>
        <v>938256</v>
      </c>
      <c r="AC67" s="953" t="str">
        <f>TEXT('MYP Assumptions'!$I$68,"0.00%")&amp;", projected increase"</f>
        <v>5.00%, projected increase</v>
      </c>
    </row>
    <row r="68" spans="1:29" s="457" customFormat="1" x14ac:dyDescent="0.25">
      <c r="A68" s="2227"/>
      <c r="B68" s="2385" t="s">
        <v>88</v>
      </c>
      <c r="C68" s="2215" t="s">
        <v>81</v>
      </c>
      <c r="D68" s="340">
        <f>2767.03+1393.05</f>
        <v>4160.08</v>
      </c>
      <c r="E68" s="899" t="str">
        <f>TEXT('MYP Assumptions'!$D$62,"0.00%")&amp;", SUI rate"</f>
        <v>0.05%, SUI rate</v>
      </c>
      <c r="F68" s="340"/>
      <c r="G68" s="456">
        <f t="shared" si="32"/>
        <v>0.18483298398107731</v>
      </c>
      <c r="H68" s="340">
        <f>3106+1823</f>
        <v>4929</v>
      </c>
      <c r="I68" s="899" t="str">
        <f>TEXT('MYP Assumptions'!E62,"0.00%")&amp;", no rate change"</f>
        <v>0.05%, no rate change</v>
      </c>
      <c r="J68" s="455"/>
      <c r="K68" s="456">
        <f t="shared" si="38"/>
        <v>3.0635017244877258E-2</v>
      </c>
      <c r="L68" s="340">
        <f>3149+1931</f>
        <v>5080</v>
      </c>
      <c r="M68" s="899" t="str">
        <f>TEXT('MYP Assumptions'!F62,"0.00%")&amp;", no rate change"</f>
        <v>0.05%, no rate change</v>
      </c>
      <c r="O68" s="456">
        <f t="shared" si="34"/>
        <v>-1.0039370078740157E-2</v>
      </c>
      <c r="P68" s="340">
        <f>ROUND((P60+P40)*LEFT(Q68,5),0)</f>
        <v>5029</v>
      </c>
      <c r="Q68" s="899" t="str">
        <f>TEXT('MYP Assumptions'!G62,"0.00%")&amp;", no rate change"</f>
        <v>0.05%, no rate change</v>
      </c>
      <c r="R68" s="592"/>
      <c r="S68" s="2238">
        <f t="shared" si="35"/>
        <v>1.4913501690196859E-2</v>
      </c>
      <c r="T68" s="340">
        <f>ROUND((T60+T40)*LEFT(U68,5),0)</f>
        <v>5104</v>
      </c>
      <c r="U68" s="953" t="str">
        <f>TEXT('MYP Assumptions'!H62,"0.00%")&amp;", no rate change"</f>
        <v>0.05%, no rate change</v>
      </c>
      <c r="V68" s="952"/>
      <c r="W68" s="2241">
        <f t="shared" si="36"/>
        <v>-0.44592476489028215</v>
      </c>
      <c r="X68" s="340">
        <f>ROUND((X60+X40)*LEFT(Y68,5),0)</f>
        <v>2828</v>
      </c>
      <c r="Y68" s="953" t="str">
        <f>TEXT('MYP Assumptions'!I62,"0.00%")&amp;", no rate change"</f>
        <v>0.05%, no rate change</v>
      </c>
      <c r="AA68" s="456">
        <f t="shared" si="37"/>
        <v>-1</v>
      </c>
      <c r="AB68" s="340">
        <f>ROUND((AB60+AB40)*LEFT(AC68,5),0)</f>
        <v>0</v>
      </c>
      <c r="AC68" s="953" t="str">
        <f>TEXT('MYP Assumptions'!J62,"0.00%")&amp;", no rate change"</f>
        <v>0.00%, no rate change</v>
      </c>
    </row>
    <row r="69" spans="1:29" s="457" customFormat="1" x14ac:dyDescent="0.25">
      <c r="A69" s="2227"/>
      <c r="B69" s="2385" t="s">
        <v>89</v>
      </c>
      <c r="C69" s="2215" t="s">
        <v>82</v>
      </c>
      <c r="D69" s="340">
        <f>60870.16+30641.44</f>
        <v>91511.6</v>
      </c>
      <c r="E69" s="899" t="str">
        <f>TEXT('MYP Assumptions'!$D$63,"0.00%")&amp;", W/C rate"</f>
        <v>1.10%, W/C rate</v>
      </c>
      <c r="F69" s="340"/>
      <c r="G69" s="456">
        <f t="shared" si="32"/>
        <v>2.1859523819930959E-2</v>
      </c>
      <c r="H69" s="340">
        <f>55595+37917</f>
        <v>93512</v>
      </c>
      <c r="I69" s="899" t="str">
        <f>TEXT('MYP Assumptions'!E63,"0.00%")&amp;", no rate change"</f>
        <v>0.80%, no rate change</v>
      </c>
      <c r="J69" s="455"/>
      <c r="K69" s="456">
        <f t="shared" si="38"/>
        <v>-0.13096714860124903</v>
      </c>
      <c r="L69" s="340">
        <f>50317+30948</f>
        <v>81265</v>
      </c>
      <c r="M69" s="899" t="str">
        <f>TEXT('MYP Assumptions'!F63,"0.00%")&amp;", no rate change"</f>
        <v>0.80%, no rate change</v>
      </c>
      <c r="O69" s="456">
        <f t="shared" si="34"/>
        <v>-9.8320310096597554E-3</v>
      </c>
      <c r="P69" s="340">
        <f>ROUND((P60+P40)*LEFT(Q69,5),0)</f>
        <v>80466</v>
      </c>
      <c r="Q69" s="899" t="str">
        <f>TEXT('MYP Assumptions'!G63,"0.00%")&amp;", no rate change"</f>
        <v>0.80%, no rate change</v>
      </c>
      <c r="R69" s="592"/>
      <c r="S69" s="2238">
        <f t="shared" si="35"/>
        <v>1.4863420575149753E-2</v>
      </c>
      <c r="T69" s="340">
        <f>ROUND((T60+T40)*LEFT(U69,5),0)</f>
        <v>81662</v>
      </c>
      <c r="U69" s="953" t="str">
        <f>TEXT('MYP Assumptions'!H63,"0.00%")&amp;", no rate change"</f>
        <v>0.80%, no rate change</v>
      </c>
      <c r="V69" s="952"/>
      <c r="W69" s="2241">
        <f t="shared" si="36"/>
        <v>-0.44597242291396244</v>
      </c>
      <c r="X69" s="340">
        <f>ROUND((X60+X40)*LEFT(Y69,5),0)</f>
        <v>45243</v>
      </c>
      <c r="Y69" s="953" t="str">
        <f>TEXT('MYP Assumptions'!I63,"0.00%")&amp;", no rate change"</f>
        <v>0.80%, no rate change</v>
      </c>
      <c r="AA69" s="456">
        <f t="shared" si="37"/>
        <v>-1</v>
      </c>
      <c r="AB69" s="340">
        <f>ROUND((AB60+AB40)*LEFT(AC69,5),0)</f>
        <v>0</v>
      </c>
      <c r="AC69" s="953" t="str">
        <f>TEXT('MYP Assumptions'!J63,"0.00%")&amp;", no rate change"</f>
        <v>0.00%, no rate change</v>
      </c>
    </row>
    <row r="70" spans="1:29" s="457" customFormat="1" x14ac:dyDescent="0.25">
      <c r="A70" s="2227"/>
      <c r="B70" s="2441" t="s">
        <v>469</v>
      </c>
      <c r="C70" s="2451" t="s">
        <v>470</v>
      </c>
      <c r="D70" s="340">
        <v>0</v>
      </c>
      <c r="E70" s="2386"/>
      <c r="F70" s="340"/>
      <c r="G70" s="456" t="str">
        <f t="shared" si="32"/>
        <v xml:space="preserve"> - </v>
      </c>
      <c r="H70" s="340">
        <v>0</v>
      </c>
      <c r="I70" s="899"/>
      <c r="J70" s="455"/>
      <c r="K70" s="456" t="str">
        <f t="shared" ref="K70" si="39">IF(H70=0,"0.00%",(L70-H70)/H70)</f>
        <v>0.00%</v>
      </c>
      <c r="L70" s="340">
        <f>H70</f>
        <v>0</v>
      </c>
      <c r="M70" s="899"/>
      <c r="O70" s="456" t="str">
        <f t="shared" si="34"/>
        <v xml:space="preserve"> - </v>
      </c>
      <c r="P70" s="340">
        <f>L70</f>
        <v>0</v>
      </c>
      <c r="Q70" s="899"/>
      <c r="R70" s="592"/>
      <c r="S70" s="2238" t="str">
        <f t="shared" ref="S70" si="40">IF(P70=0,"0.00%",(T70-P70)/P70)</f>
        <v>0.00%</v>
      </c>
      <c r="T70" s="340">
        <f>P70</f>
        <v>0</v>
      </c>
      <c r="U70" s="953" t="s">
        <v>165</v>
      </c>
      <c r="V70" s="952"/>
      <c r="W70" s="2241" t="str">
        <f t="shared" ref="W70" si="41">IF(T70=0,"0.00%",(X70-T70)/T70)</f>
        <v>0.00%</v>
      </c>
      <c r="X70" s="340">
        <f>T70</f>
        <v>0</v>
      </c>
      <c r="Y70" s="953" t="s">
        <v>165</v>
      </c>
      <c r="AA70" s="456" t="str">
        <f t="shared" ref="AA70" si="42">IF(X70=0,"0.00%",(AB70-X70)/X70)</f>
        <v>0.00%</v>
      </c>
      <c r="AB70" s="340">
        <f>X70</f>
        <v>0</v>
      </c>
      <c r="AC70" s="953" t="s">
        <v>165</v>
      </c>
    </row>
    <row r="71" spans="1:29" s="457" customFormat="1" x14ac:dyDescent="0.25">
      <c r="A71" s="2227"/>
      <c r="B71" s="2441" t="s">
        <v>91</v>
      </c>
      <c r="C71" s="2451" t="s">
        <v>93</v>
      </c>
      <c r="D71" s="340">
        <f>31200+12750+3388</f>
        <v>47338</v>
      </c>
      <c r="E71" s="2386"/>
      <c r="F71" s="340"/>
      <c r="G71" s="456">
        <f t="shared" ref="G71" si="43">IF(D71=0," - ",(H71-D71)/D71)</f>
        <v>0.15347078457053531</v>
      </c>
      <c r="H71" s="340">
        <f>38975+14227+1401</f>
        <v>54603</v>
      </c>
      <c r="I71" s="899" t="s">
        <v>165</v>
      </c>
      <c r="J71" s="455"/>
      <c r="K71" s="456">
        <f t="shared" ref="K71" si="44">IF(H71=0,"0.00%",(L71-H71)/H71)</f>
        <v>2.5126824533450543E-2</v>
      </c>
      <c r="L71" s="340">
        <f>38975+17000</f>
        <v>55975</v>
      </c>
      <c r="M71" s="899" t="s">
        <v>165</v>
      </c>
      <c r="O71" s="456">
        <f t="shared" ref="O71" si="45">IF(L71=0," - ",(P71-L71)/L71)</f>
        <v>0</v>
      </c>
      <c r="P71" s="340">
        <f>L71</f>
        <v>55975</v>
      </c>
      <c r="Q71" s="899" t="s">
        <v>165</v>
      </c>
      <c r="R71" s="592"/>
      <c r="S71" s="2238">
        <f t="shared" ref="S71" si="46">IF(P71=0,"0.00%",(T71-P71)/P71)</f>
        <v>0</v>
      </c>
      <c r="T71" s="340">
        <f>P71</f>
        <v>55975</v>
      </c>
      <c r="U71" s="953" t="s">
        <v>165</v>
      </c>
      <c r="V71" s="952"/>
      <c r="W71" s="2241"/>
      <c r="X71" s="340"/>
      <c r="Y71" s="953"/>
      <c r="AA71" s="456"/>
      <c r="AB71" s="340"/>
      <c r="AC71" s="953"/>
    </row>
    <row r="72" spans="1:29" s="457" customFormat="1" x14ac:dyDescent="0.25">
      <c r="A72" s="2228"/>
      <c r="B72" s="2385"/>
      <c r="C72" s="2215"/>
      <c r="D72" s="458">
        <f>SUM(D63:D71)</f>
        <v>2213165.5100000002</v>
      </c>
      <c r="E72" s="2386"/>
      <c r="F72" s="340"/>
      <c r="G72" s="456">
        <f t="shared" si="32"/>
        <v>0.19544109468794302</v>
      </c>
      <c r="H72" s="458">
        <f>SUM(H63:H71)</f>
        <v>2645709</v>
      </c>
      <c r="I72" s="2316">
        <f>+H72-D72</f>
        <v>432543.48999999976</v>
      </c>
      <c r="J72" s="459"/>
      <c r="K72" s="456">
        <f t="shared" si="38"/>
        <v>0.14305352553890091</v>
      </c>
      <c r="L72" s="458">
        <f>SUM(L63:L71)</f>
        <v>3024187</v>
      </c>
      <c r="M72" s="2316">
        <f>+L72-H72</f>
        <v>378478</v>
      </c>
      <c r="O72" s="456">
        <f t="shared" si="34"/>
        <v>7.5589902344001869E-2</v>
      </c>
      <c r="P72" s="458">
        <f>SUM(P63:P71)</f>
        <v>3252785</v>
      </c>
      <c r="Q72" s="2316">
        <f>+P72-L72</f>
        <v>228598</v>
      </c>
      <c r="R72" s="592"/>
      <c r="S72" s="2238">
        <f t="shared" si="35"/>
        <v>7.3986752890215612E-2</v>
      </c>
      <c r="T72" s="458">
        <f>SUM(T63:T71)</f>
        <v>3493448</v>
      </c>
      <c r="U72" s="2344"/>
      <c r="V72" s="952"/>
      <c r="W72" s="2241">
        <f t="shared" si="36"/>
        <v>-0.38821674174053827</v>
      </c>
      <c r="X72" s="458">
        <f>SUM(X63:X71)</f>
        <v>2137233</v>
      </c>
      <c r="Y72" s="2344"/>
      <c r="AA72" s="456" t="e">
        <f t="shared" si="37"/>
        <v>#VALUE!</v>
      </c>
      <c r="AB72" s="458" t="e">
        <f>SUM(AB63:AB71)</f>
        <v>#VALUE!</v>
      </c>
      <c r="AC72" s="2344"/>
    </row>
    <row r="73" spans="1:29" s="457" customFormat="1" x14ac:dyDescent="0.25">
      <c r="A73" s="2229"/>
      <c r="B73" s="2385"/>
      <c r="C73" s="2215"/>
      <c r="D73" s="340"/>
      <c r="E73" s="2386"/>
      <c r="F73" s="340"/>
      <c r="G73" s="2338"/>
      <c r="H73" s="340"/>
      <c r="I73" s="897"/>
      <c r="J73" s="455"/>
      <c r="K73" s="1668"/>
      <c r="L73" s="340"/>
      <c r="M73" s="901"/>
      <c r="O73" s="456"/>
      <c r="P73" s="340"/>
      <c r="Q73" s="901"/>
      <c r="R73" s="592"/>
      <c r="S73" s="2341"/>
      <c r="T73" s="340"/>
      <c r="U73" s="2344"/>
      <c r="V73" s="952"/>
      <c r="W73" s="2343"/>
      <c r="X73" s="340"/>
      <c r="Y73" s="2344"/>
      <c r="AA73" s="1668"/>
      <c r="AB73" s="340"/>
      <c r="AC73" s="2344"/>
    </row>
    <row r="74" spans="1:29" s="457" customFormat="1" x14ac:dyDescent="0.25">
      <c r="A74" s="2228"/>
      <c r="B74" s="2337" t="s">
        <v>26</v>
      </c>
      <c r="C74" s="2215"/>
      <c r="D74" s="458">
        <f>SUM(D72,D60,D40)</f>
        <v>10925785.859999999</v>
      </c>
      <c r="E74" s="2386"/>
      <c r="F74" s="340"/>
      <c r="G74" s="456">
        <f>IF(D74=0,"0.00%",(H74-D74)/D74)</f>
        <v>0.1014105670930659</v>
      </c>
      <c r="H74" s="458">
        <f>SUM(H72,H60,H40)</f>
        <v>12033776</v>
      </c>
      <c r="I74" s="2316">
        <f>+H74-D74</f>
        <v>1107990.1400000006</v>
      </c>
      <c r="J74" s="459"/>
      <c r="K74" s="456">
        <f>IF(H74=0,"0.00%",(L74-H74)/H74)</f>
        <v>7.4900928852257187E-2</v>
      </c>
      <c r="L74" s="458">
        <f>SUM(L72,L60,L40)</f>
        <v>12935117</v>
      </c>
      <c r="M74" s="2316">
        <f>+L74-H74</f>
        <v>901341</v>
      </c>
      <c r="O74" s="456">
        <f t="shared" si="34"/>
        <v>2.9060038652916707E-2</v>
      </c>
      <c r="P74" s="458">
        <f>SUM(P72,P60,P40)</f>
        <v>13311012</v>
      </c>
      <c r="Q74" s="2316">
        <f>+P74-L74</f>
        <v>375895</v>
      </c>
      <c r="R74" s="592"/>
      <c r="S74" s="2238">
        <f>IF(P74=0,"0.00%",(T74-P74)/P74)</f>
        <v>2.9311520416328975E-2</v>
      </c>
      <c r="T74" s="458">
        <f>SUM(T72,T60,T40)</f>
        <v>13701178</v>
      </c>
      <c r="U74" s="2344"/>
      <c r="V74" s="952"/>
      <c r="W74" s="2241">
        <f>IF(T74=0,"0.00%",(X74-T74)/T74)</f>
        <v>-0.43124941519626997</v>
      </c>
      <c r="X74" s="458">
        <f>SUM(X72,X60,X40)</f>
        <v>7792553</v>
      </c>
      <c r="Y74" s="2344"/>
      <c r="AA74" s="456" t="e">
        <f>IF(X74=0,"0.00%",(AB74-X74)/X74)</f>
        <v>#VALUE!</v>
      </c>
      <c r="AB74" s="458" t="e">
        <f>SUM(AB72,AB60,AB40)</f>
        <v>#VALUE!</v>
      </c>
      <c r="AC74" s="2344"/>
    </row>
    <row r="75" spans="1:29" s="457" customFormat="1" x14ac:dyDescent="0.25">
      <c r="A75" s="2230"/>
      <c r="B75" s="2345"/>
      <c r="C75" s="2215"/>
      <c r="D75" s="340"/>
      <c r="E75" s="2386"/>
      <c r="F75" s="340"/>
      <c r="G75" s="2338"/>
      <c r="H75" s="340"/>
      <c r="I75" s="897"/>
      <c r="J75" s="455"/>
      <c r="K75" s="1668"/>
      <c r="L75" s="340"/>
      <c r="M75" s="901"/>
      <c r="O75" s="1668"/>
      <c r="P75" s="340"/>
      <c r="Q75" s="901"/>
      <c r="R75" s="592"/>
      <c r="S75" s="2341"/>
      <c r="T75" s="340"/>
      <c r="U75" s="2344"/>
      <c r="V75" s="952"/>
      <c r="W75" s="2343"/>
      <c r="X75" s="340"/>
      <c r="Y75" s="2344"/>
      <c r="AA75" s="1668"/>
      <c r="AB75" s="340"/>
      <c r="AC75" s="2344"/>
    </row>
    <row r="76" spans="1:29" s="457" customFormat="1" x14ac:dyDescent="0.25">
      <c r="A76" s="2227"/>
      <c r="B76" s="2345"/>
      <c r="C76" s="2215"/>
      <c r="D76" s="340"/>
      <c r="E76" s="2386"/>
      <c r="F76" s="340"/>
      <c r="G76" s="2338"/>
      <c r="H76" s="340"/>
      <c r="I76" s="897"/>
      <c r="J76" s="455"/>
      <c r="K76" s="1668"/>
      <c r="L76" s="340"/>
      <c r="M76" s="901"/>
      <c r="O76" s="1668"/>
      <c r="P76" s="340"/>
      <c r="Q76" s="901"/>
      <c r="R76" s="592"/>
      <c r="S76" s="2341"/>
      <c r="T76" s="340"/>
      <c r="U76" s="2344"/>
      <c r="V76" s="952"/>
      <c r="W76" s="2343"/>
      <c r="X76" s="340"/>
      <c r="Y76" s="2344"/>
      <c r="AA76" s="1668"/>
      <c r="AB76" s="340"/>
      <c r="AC76" s="2344"/>
    </row>
    <row r="77" spans="1:29" s="457" customFormat="1" x14ac:dyDescent="0.25">
      <c r="A77" s="2230"/>
      <c r="B77" s="2440" t="s">
        <v>25</v>
      </c>
      <c r="C77" s="2225"/>
      <c r="D77" s="340"/>
      <c r="E77" s="2386"/>
      <c r="F77" s="340"/>
      <c r="G77" s="2338"/>
      <c r="H77" s="340"/>
      <c r="I77" s="897"/>
      <c r="J77" s="455"/>
      <c r="K77" s="1668"/>
      <c r="L77" s="340"/>
      <c r="M77" s="901"/>
      <c r="O77" s="1668"/>
      <c r="P77" s="340"/>
      <c r="Q77" s="901"/>
      <c r="R77" s="592"/>
      <c r="S77" s="2341"/>
      <c r="T77" s="340"/>
      <c r="U77" s="2344"/>
      <c r="V77" s="952"/>
      <c r="W77" s="2343"/>
      <c r="X77" s="340"/>
      <c r="Y77" s="2344"/>
      <c r="AA77" s="1668"/>
      <c r="AB77" s="340"/>
      <c r="AC77" s="2344"/>
    </row>
    <row r="78" spans="1:29" s="457" customFormat="1" x14ac:dyDescent="0.25">
      <c r="A78" s="2227"/>
      <c r="B78" s="2385" t="s">
        <v>247</v>
      </c>
      <c r="C78" s="2215" t="s">
        <v>248</v>
      </c>
      <c r="D78" s="340">
        <v>27771.86</v>
      </c>
      <c r="E78" s="2386"/>
      <c r="F78" s="340"/>
      <c r="G78" s="456">
        <f t="shared" ref="G78:G85" si="47">IF(D78=0,"0.00%",(H78-D78)/D78)</f>
        <v>0.12433952929332062</v>
      </c>
      <c r="H78" s="340">
        <v>31225</v>
      </c>
      <c r="I78" s="899"/>
      <c r="J78" s="455"/>
      <c r="K78" s="456">
        <f t="shared" ref="K78:K85" si="48">IF(H78=0,"0.00%",(L78-H78)/H78)</f>
        <v>2.321857485988791E-2</v>
      </c>
      <c r="L78" s="340">
        <v>31950</v>
      </c>
      <c r="M78" s="899" t="s">
        <v>173</v>
      </c>
      <c r="O78" s="456">
        <f t="shared" ref="O78:O85" si="49">IF(L78=0,"0.00%",(P78-L78)/L78)</f>
        <v>-0.37402190923317685</v>
      </c>
      <c r="P78" s="340">
        <v>20000</v>
      </c>
      <c r="Q78" s="899" t="s">
        <v>173</v>
      </c>
      <c r="R78" s="592"/>
      <c r="S78" s="2238">
        <f t="shared" ref="S78:S85" si="50">IF(P78=0,"0.00%",(T78-P78)/P78)</f>
        <v>0</v>
      </c>
      <c r="T78" s="340">
        <v>20000</v>
      </c>
      <c r="U78" s="899" t="s">
        <v>173</v>
      </c>
      <c r="V78" s="952"/>
      <c r="W78" s="2241">
        <f t="shared" ref="W78:W85" si="51">IF(T78=0,"0.00%",(X78-T78)/T78)</f>
        <v>2.7300000000000001E-2</v>
      </c>
      <c r="X78" s="340">
        <f>ROUND(T78*(LEFT(Y78,5)+1),0)</f>
        <v>20546</v>
      </c>
      <c r="Y78" s="953" t="str">
        <f>TEXT('MYP Assumptions'!I78,"0.00%")&amp;", CPI"</f>
        <v>2.73%, CPI</v>
      </c>
      <c r="AA78" s="456">
        <f t="shared" ref="AA78:AA85" si="52">IF(X78=0,"0.00%",(AB78-X78)/X78)</f>
        <v>2.7304584834030955E-2</v>
      </c>
      <c r="AB78" s="340">
        <f>ROUND(X78*(LEFT(AC78,5)+1),0)</f>
        <v>21107</v>
      </c>
      <c r="AC78" s="953" t="str">
        <f>TEXT('MYP Assumptions'!J78,"0.00%")&amp;", CPI"</f>
        <v>2.73%, CPI</v>
      </c>
    </row>
    <row r="79" spans="1:29" s="457" customFormat="1" hidden="1" x14ac:dyDescent="0.25">
      <c r="A79" s="2227"/>
      <c r="B79" s="2385"/>
      <c r="C79" s="2215"/>
      <c r="D79" s="340">
        <v>0</v>
      </c>
      <c r="E79" s="2386"/>
      <c r="F79" s="340"/>
      <c r="G79" s="456" t="str">
        <f t="shared" si="47"/>
        <v>0.00%</v>
      </c>
      <c r="H79" s="340">
        <f t="shared" ref="H79:H84" si="53">ROUND(D79*(LEFT(I79,5)+1),0)</f>
        <v>0</v>
      </c>
      <c r="I79" s="899" t="str">
        <f>TEXT('MYP Assumptions'!E78,"0.00%")&amp;", CPI"</f>
        <v>3.37%, CPI</v>
      </c>
      <c r="J79" s="455"/>
      <c r="K79" s="456" t="str">
        <f t="shared" si="48"/>
        <v>0.00%</v>
      </c>
      <c r="L79" s="340">
        <f t="shared" ref="L79:L84" si="54">ROUND(H79*(LEFT(M79,5)+1),0)</f>
        <v>0</v>
      </c>
      <c r="M79" s="899" t="str">
        <f>TEXT('MYP Assumptions'!F78,"0.00%")&amp;", CPI"</f>
        <v>3.58%, CPI</v>
      </c>
      <c r="O79" s="456" t="str">
        <f t="shared" si="49"/>
        <v>0.00%</v>
      </c>
      <c r="P79" s="340">
        <f t="shared" ref="P79:P84" si="55">ROUND(L79*(LEFT(Q79,5)+1),0)</f>
        <v>0</v>
      </c>
      <c r="Q79" s="899" t="str">
        <f>TEXT('MYP Assumptions'!G78,"0.00%")&amp;", CPI"</f>
        <v>3.36%, CPI</v>
      </c>
      <c r="R79" s="592"/>
      <c r="S79" s="2238" t="str">
        <f t="shared" si="50"/>
        <v>0.00%</v>
      </c>
      <c r="T79" s="340">
        <f t="shared" ref="T79:T84" si="56">ROUND(P79*(LEFT(U79,5)+1),0)</f>
        <v>0</v>
      </c>
      <c r="U79" s="953" t="str">
        <f>TEXT('MYP Assumptions'!H78,"0.00%")&amp;", CPI"</f>
        <v>3.23%, CPI</v>
      </c>
      <c r="V79" s="952"/>
      <c r="W79" s="2241" t="str">
        <f t="shared" si="51"/>
        <v>0.00%</v>
      </c>
      <c r="X79" s="340">
        <f t="shared" ref="X79:X84" si="57">ROUND(T79*(LEFT(Y79,5)+1),0)</f>
        <v>0</v>
      </c>
      <c r="Y79" s="953" t="str">
        <f>TEXT('MYP Assumptions'!I78,"0.00%")&amp;", CPI"</f>
        <v>2.73%, CPI</v>
      </c>
      <c r="AA79" s="456" t="str">
        <f t="shared" si="52"/>
        <v>0.00%</v>
      </c>
      <c r="AB79" s="340">
        <f t="shared" ref="AB79:AB84" si="58">ROUND(X79*(LEFT(AC79,5)+1),0)</f>
        <v>0</v>
      </c>
      <c r="AC79" s="953" t="str">
        <f>TEXT('MYP Assumptions'!J78,"0.00%")&amp;", CPI"</f>
        <v>2.73%, CPI</v>
      </c>
    </row>
    <row r="80" spans="1:29" s="457" customFormat="1" hidden="1" x14ac:dyDescent="0.25">
      <c r="A80" s="2227"/>
      <c r="B80" s="2385"/>
      <c r="C80" s="2215"/>
      <c r="D80" s="340">
        <v>0</v>
      </c>
      <c r="E80" s="2386"/>
      <c r="F80" s="340"/>
      <c r="G80" s="456" t="str">
        <f t="shared" si="47"/>
        <v>0.00%</v>
      </c>
      <c r="H80" s="340">
        <f t="shared" si="53"/>
        <v>0</v>
      </c>
      <c r="I80" s="899" t="str">
        <f>TEXT('MYP Assumptions'!E78,"0.00%")&amp;", CPI"</f>
        <v>3.37%, CPI</v>
      </c>
      <c r="J80" s="455"/>
      <c r="K80" s="456" t="str">
        <f t="shared" si="48"/>
        <v>0.00%</v>
      </c>
      <c r="L80" s="340">
        <f t="shared" si="54"/>
        <v>0</v>
      </c>
      <c r="M80" s="899" t="str">
        <f>TEXT('MYP Assumptions'!F78,"0.00%")&amp;", CPI"</f>
        <v>3.58%, CPI</v>
      </c>
      <c r="O80" s="456" t="str">
        <f t="shared" si="49"/>
        <v>0.00%</v>
      </c>
      <c r="P80" s="340">
        <f t="shared" si="55"/>
        <v>0</v>
      </c>
      <c r="Q80" s="899" t="str">
        <f>TEXT('MYP Assumptions'!G78,"0.00%")&amp;", CPI"</f>
        <v>3.36%, CPI</v>
      </c>
      <c r="R80" s="592"/>
      <c r="S80" s="2238" t="str">
        <f t="shared" si="50"/>
        <v>0.00%</v>
      </c>
      <c r="T80" s="340">
        <f t="shared" si="56"/>
        <v>0</v>
      </c>
      <c r="U80" s="953" t="str">
        <f>TEXT('MYP Assumptions'!H78,"0.00%")&amp;", CPI"</f>
        <v>3.23%, CPI</v>
      </c>
      <c r="V80" s="952"/>
      <c r="W80" s="2241" t="str">
        <f t="shared" si="51"/>
        <v>0.00%</v>
      </c>
      <c r="X80" s="340">
        <f t="shared" si="57"/>
        <v>0</v>
      </c>
      <c r="Y80" s="953" t="str">
        <f>TEXT('MYP Assumptions'!I78,"0.00%")&amp;", CPI"</f>
        <v>2.73%, CPI</v>
      </c>
      <c r="AA80" s="456" t="str">
        <f t="shared" si="52"/>
        <v>0.00%</v>
      </c>
      <c r="AB80" s="340">
        <f t="shared" si="58"/>
        <v>0</v>
      </c>
      <c r="AC80" s="953" t="str">
        <f>TEXT('MYP Assumptions'!J78,"0.00%")&amp;", CPI"</f>
        <v>2.73%, CPI</v>
      </c>
    </row>
    <row r="81" spans="1:29" s="457" customFormat="1" hidden="1" x14ac:dyDescent="0.25">
      <c r="A81" s="2227"/>
      <c r="B81" s="2385"/>
      <c r="C81" s="2215"/>
      <c r="D81" s="340">
        <v>0</v>
      </c>
      <c r="E81" s="2386"/>
      <c r="F81" s="340"/>
      <c r="G81" s="456" t="str">
        <f t="shared" si="47"/>
        <v>0.00%</v>
      </c>
      <c r="H81" s="340">
        <f t="shared" si="53"/>
        <v>0</v>
      </c>
      <c r="I81" s="899" t="str">
        <f>TEXT('MYP Assumptions'!E78,"0.00%")&amp;", CPI"</f>
        <v>3.37%, CPI</v>
      </c>
      <c r="J81" s="455"/>
      <c r="K81" s="456" t="str">
        <f t="shared" si="48"/>
        <v>0.00%</v>
      </c>
      <c r="L81" s="340">
        <f t="shared" si="54"/>
        <v>0</v>
      </c>
      <c r="M81" s="899" t="str">
        <f>TEXT('MYP Assumptions'!F78,"0.00%")&amp;", CPI"</f>
        <v>3.58%, CPI</v>
      </c>
      <c r="O81" s="456" t="str">
        <f t="shared" si="49"/>
        <v>0.00%</v>
      </c>
      <c r="P81" s="340">
        <f t="shared" si="55"/>
        <v>0</v>
      </c>
      <c r="Q81" s="899" t="str">
        <f>TEXT('MYP Assumptions'!G78,"0.00%")&amp;", CPI"</f>
        <v>3.36%, CPI</v>
      </c>
      <c r="R81" s="592"/>
      <c r="S81" s="2238" t="str">
        <f t="shared" si="50"/>
        <v>0.00%</v>
      </c>
      <c r="T81" s="340">
        <f t="shared" si="56"/>
        <v>0</v>
      </c>
      <c r="U81" s="953" t="str">
        <f>TEXT('MYP Assumptions'!H78,"0.00%")&amp;", CPI"</f>
        <v>3.23%, CPI</v>
      </c>
      <c r="V81" s="952"/>
      <c r="W81" s="2241" t="str">
        <f t="shared" si="51"/>
        <v>0.00%</v>
      </c>
      <c r="X81" s="340">
        <f t="shared" si="57"/>
        <v>0</v>
      </c>
      <c r="Y81" s="953" t="str">
        <f>TEXT('MYP Assumptions'!I78,"0.00%")&amp;", CPI"</f>
        <v>2.73%, CPI</v>
      </c>
      <c r="AA81" s="456" t="str">
        <f t="shared" si="52"/>
        <v>0.00%</v>
      </c>
      <c r="AB81" s="340">
        <f t="shared" si="58"/>
        <v>0</v>
      </c>
      <c r="AC81" s="953" t="str">
        <f>TEXT('MYP Assumptions'!J78,"0.00%")&amp;", CPI"</f>
        <v>2.73%, CPI</v>
      </c>
    </row>
    <row r="82" spans="1:29" s="457" customFormat="1" hidden="1" x14ac:dyDescent="0.25">
      <c r="A82" s="2227"/>
      <c r="B82" s="2385"/>
      <c r="C82" s="2215"/>
      <c r="D82" s="340">
        <v>0</v>
      </c>
      <c r="E82" s="2386"/>
      <c r="F82" s="340"/>
      <c r="G82" s="456" t="str">
        <f t="shared" si="47"/>
        <v>0.00%</v>
      </c>
      <c r="H82" s="340">
        <f t="shared" si="53"/>
        <v>0</v>
      </c>
      <c r="I82" s="899" t="str">
        <f>TEXT('MYP Assumptions'!E78,"0.00%")&amp;", CPI"</f>
        <v>3.37%, CPI</v>
      </c>
      <c r="J82" s="455"/>
      <c r="K82" s="456" t="str">
        <f t="shared" si="48"/>
        <v>0.00%</v>
      </c>
      <c r="L82" s="340">
        <f t="shared" si="54"/>
        <v>0</v>
      </c>
      <c r="M82" s="899" t="str">
        <f>TEXT('MYP Assumptions'!F78,"0.00%")&amp;", CPI"</f>
        <v>3.58%, CPI</v>
      </c>
      <c r="O82" s="456" t="str">
        <f t="shared" si="49"/>
        <v>0.00%</v>
      </c>
      <c r="P82" s="340">
        <f t="shared" si="55"/>
        <v>0</v>
      </c>
      <c r="Q82" s="899" t="str">
        <f>TEXT('MYP Assumptions'!G78,"0.00%")&amp;", CPI"</f>
        <v>3.36%, CPI</v>
      </c>
      <c r="R82" s="592"/>
      <c r="S82" s="2238" t="str">
        <f t="shared" si="50"/>
        <v>0.00%</v>
      </c>
      <c r="T82" s="340">
        <f t="shared" si="56"/>
        <v>0</v>
      </c>
      <c r="U82" s="953" t="str">
        <f>TEXT('MYP Assumptions'!H78,"0.00%")&amp;", CPI"</f>
        <v>3.23%, CPI</v>
      </c>
      <c r="V82" s="952"/>
      <c r="W82" s="2241" t="str">
        <f t="shared" si="51"/>
        <v>0.00%</v>
      </c>
      <c r="X82" s="340">
        <f t="shared" si="57"/>
        <v>0</v>
      </c>
      <c r="Y82" s="953" t="str">
        <f>TEXT('MYP Assumptions'!I78,"0.00%")&amp;", CPI"</f>
        <v>2.73%, CPI</v>
      </c>
      <c r="AA82" s="456" t="str">
        <f t="shared" si="52"/>
        <v>0.00%</v>
      </c>
      <c r="AB82" s="340">
        <f t="shared" si="58"/>
        <v>0</v>
      </c>
      <c r="AC82" s="953" t="str">
        <f>TEXT('MYP Assumptions'!J78,"0.00%")&amp;", CPI"</f>
        <v>2.73%, CPI</v>
      </c>
    </row>
    <row r="83" spans="1:29" s="457" customFormat="1" hidden="1" x14ac:dyDescent="0.25">
      <c r="A83" s="2227"/>
      <c r="B83" s="2385"/>
      <c r="C83" s="2215"/>
      <c r="D83" s="340">
        <v>0</v>
      </c>
      <c r="E83" s="2386"/>
      <c r="F83" s="340"/>
      <c r="G83" s="456" t="str">
        <f t="shared" si="47"/>
        <v>0.00%</v>
      </c>
      <c r="H83" s="340">
        <f t="shared" si="53"/>
        <v>0</v>
      </c>
      <c r="I83" s="899" t="str">
        <f>TEXT('MYP Assumptions'!E78,"0.00%")&amp;", CPI"</f>
        <v>3.37%, CPI</v>
      </c>
      <c r="J83" s="455"/>
      <c r="K83" s="456" t="str">
        <f t="shared" si="48"/>
        <v>0.00%</v>
      </c>
      <c r="L83" s="340">
        <f t="shared" si="54"/>
        <v>0</v>
      </c>
      <c r="M83" s="899" t="str">
        <f>TEXT('MYP Assumptions'!F78,"0.00%")&amp;", CPI"</f>
        <v>3.58%, CPI</v>
      </c>
      <c r="O83" s="456" t="str">
        <f t="shared" si="49"/>
        <v>0.00%</v>
      </c>
      <c r="P83" s="340">
        <f t="shared" si="55"/>
        <v>0</v>
      </c>
      <c r="Q83" s="899" t="str">
        <f>TEXT('MYP Assumptions'!G78,"0.00%")&amp;", CPI"</f>
        <v>3.36%, CPI</v>
      </c>
      <c r="R83" s="592"/>
      <c r="S83" s="2238" t="str">
        <f t="shared" si="50"/>
        <v>0.00%</v>
      </c>
      <c r="T83" s="340">
        <f t="shared" si="56"/>
        <v>0</v>
      </c>
      <c r="U83" s="953" t="str">
        <f>TEXT('MYP Assumptions'!H78,"0.00%")&amp;", CPI"</f>
        <v>3.23%, CPI</v>
      </c>
      <c r="V83" s="952"/>
      <c r="W83" s="2241" t="str">
        <f t="shared" si="51"/>
        <v>0.00%</v>
      </c>
      <c r="X83" s="340">
        <f t="shared" si="57"/>
        <v>0</v>
      </c>
      <c r="Y83" s="953" t="str">
        <f>TEXT('MYP Assumptions'!I78,"0.00%")&amp;", CPI"</f>
        <v>2.73%, CPI</v>
      </c>
      <c r="AA83" s="456" t="str">
        <f t="shared" si="52"/>
        <v>0.00%</v>
      </c>
      <c r="AB83" s="340">
        <f t="shared" si="58"/>
        <v>0</v>
      </c>
      <c r="AC83" s="953" t="str">
        <f>TEXT('MYP Assumptions'!J78,"0.00%")&amp;", CPI"</f>
        <v>2.73%, CPI</v>
      </c>
    </row>
    <row r="84" spans="1:29" s="457" customFormat="1" hidden="1" x14ac:dyDescent="0.25">
      <c r="A84" s="2227"/>
      <c r="B84" s="2385"/>
      <c r="C84" s="2349"/>
      <c r="D84" s="340">
        <v>0</v>
      </c>
      <c r="E84" s="2386"/>
      <c r="F84" s="340"/>
      <c r="G84" s="456" t="str">
        <f t="shared" si="47"/>
        <v>0.00%</v>
      </c>
      <c r="H84" s="340">
        <f t="shared" si="53"/>
        <v>0</v>
      </c>
      <c r="I84" s="899" t="str">
        <f>TEXT('MYP Assumptions'!E78,"0.00%")&amp;", CPI"</f>
        <v>3.37%, CPI</v>
      </c>
      <c r="J84" s="455"/>
      <c r="K84" s="456" t="str">
        <f t="shared" si="48"/>
        <v>0.00%</v>
      </c>
      <c r="L84" s="340">
        <f t="shared" si="54"/>
        <v>0</v>
      </c>
      <c r="M84" s="899" t="str">
        <f>TEXT('MYP Assumptions'!F78,"0.00%")&amp;", CPI"</f>
        <v>3.58%, CPI</v>
      </c>
      <c r="O84" s="456" t="str">
        <f t="shared" si="49"/>
        <v>0.00%</v>
      </c>
      <c r="P84" s="340">
        <f t="shared" si="55"/>
        <v>0</v>
      </c>
      <c r="Q84" s="899" t="str">
        <f>TEXT('MYP Assumptions'!G78,"0.00%")&amp;", CPI"</f>
        <v>3.36%, CPI</v>
      </c>
      <c r="R84" s="592"/>
      <c r="S84" s="2238" t="str">
        <f t="shared" si="50"/>
        <v>0.00%</v>
      </c>
      <c r="T84" s="340">
        <f t="shared" si="56"/>
        <v>0</v>
      </c>
      <c r="U84" s="953" t="str">
        <f>TEXT('MYP Assumptions'!H78,"0.00%")&amp;", CPI"</f>
        <v>3.23%, CPI</v>
      </c>
      <c r="V84" s="952"/>
      <c r="W84" s="2241" t="str">
        <f t="shared" si="51"/>
        <v>0.00%</v>
      </c>
      <c r="X84" s="340">
        <f t="shared" si="57"/>
        <v>0</v>
      </c>
      <c r="Y84" s="953" t="str">
        <f>TEXT('MYP Assumptions'!I78,"0.00%")&amp;", CPI"</f>
        <v>2.73%, CPI</v>
      </c>
      <c r="AA84" s="456" t="str">
        <f t="shared" si="52"/>
        <v>0.00%</v>
      </c>
      <c r="AB84" s="340">
        <f t="shared" si="58"/>
        <v>0</v>
      </c>
      <c r="AC84" s="953" t="str">
        <f>TEXT('MYP Assumptions'!J78,"0.00%")&amp;", CPI"</f>
        <v>2.73%, CPI</v>
      </c>
    </row>
    <row r="85" spans="1:29" s="457" customFormat="1" x14ac:dyDescent="0.25">
      <c r="A85" s="2228"/>
      <c r="B85" s="2215"/>
      <c r="C85" s="2215"/>
      <c r="D85" s="458">
        <f>SUM(D78:D84)</f>
        <v>27771.86</v>
      </c>
      <c r="E85" s="2386"/>
      <c r="F85" s="340"/>
      <c r="G85" s="456">
        <f t="shared" si="47"/>
        <v>0.12433952929332062</v>
      </c>
      <c r="H85" s="458">
        <f>SUM(H78:H84)</f>
        <v>31225</v>
      </c>
      <c r="I85" s="2316">
        <f>+H85-D85</f>
        <v>3453.1399999999994</v>
      </c>
      <c r="J85" s="459"/>
      <c r="K85" s="456">
        <f t="shared" si="48"/>
        <v>2.321857485988791E-2</v>
      </c>
      <c r="L85" s="458">
        <f>SUM(L78:L84)</f>
        <v>31950</v>
      </c>
      <c r="M85" s="2316">
        <f>+L85-H85</f>
        <v>725</v>
      </c>
      <c r="O85" s="456">
        <f t="shared" si="49"/>
        <v>-0.37402190923317685</v>
      </c>
      <c r="P85" s="458">
        <f>SUM(P78:P84)</f>
        <v>20000</v>
      </c>
      <c r="Q85" s="2316">
        <f>+P85-L85</f>
        <v>-11950</v>
      </c>
      <c r="R85" s="592"/>
      <c r="S85" s="2238">
        <f t="shared" si="50"/>
        <v>0</v>
      </c>
      <c r="T85" s="458">
        <f>SUM(T78:T84)</f>
        <v>20000</v>
      </c>
      <c r="U85" s="2344"/>
      <c r="V85" s="952"/>
      <c r="W85" s="2241">
        <f t="shared" si="51"/>
        <v>2.7300000000000001E-2</v>
      </c>
      <c r="X85" s="458">
        <f>SUM(X78:X84)</f>
        <v>20546</v>
      </c>
      <c r="Y85" s="2344"/>
      <c r="AA85" s="456">
        <f t="shared" si="52"/>
        <v>2.7304584834030955E-2</v>
      </c>
      <c r="AB85" s="458">
        <f>SUM(AB78:AB84)</f>
        <v>21107</v>
      </c>
      <c r="AC85" s="2344"/>
    </row>
    <row r="86" spans="1:29" s="457" customFormat="1" x14ac:dyDescent="0.25">
      <c r="A86" s="2227"/>
      <c r="B86" s="2345"/>
      <c r="C86" s="2215"/>
      <c r="D86" s="340"/>
      <c r="E86" s="2386"/>
      <c r="F86" s="340"/>
      <c r="G86" s="2338"/>
      <c r="H86" s="340"/>
      <c r="I86" s="897"/>
      <c r="J86" s="455"/>
      <c r="K86" s="1668"/>
      <c r="L86" s="340"/>
      <c r="M86" s="901"/>
      <c r="O86" s="1668"/>
      <c r="P86" s="340"/>
      <c r="Q86" s="901"/>
      <c r="R86" s="592"/>
      <c r="S86" s="2341"/>
      <c r="T86" s="340"/>
      <c r="U86" s="2344"/>
      <c r="V86" s="952"/>
      <c r="W86" s="2343"/>
      <c r="X86" s="340"/>
      <c r="Y86" s="2344"/>
      <c r="AA86" s="1668"/>
      <c r="AB86" s="340"/>
      <c r="AC86" s="2344"/>
    </row>
    <row r="87" spans="1:29" s="461" customFormat="1" x14ac:dyDescent="0.25">
      <c r="A87" s="2225"/>
      <c r="B87" s="2337" t="s">
        <v>16</v>
      </c>
      <c r="C87" s="2225"/>
      <c r="D87" s="460"/>
      <c r="E87" s="868"/>
      <c r="F87" s="460"/>
      <c r="G87" s="2389"/>
      <c r="H87" s="460"/>
      <c r="I87" s="900"/>
      <c r="K87" s="1669"/>
      <c r="L87" s="460"/>
      <c r="M87" s="902"/>
      <c r="O87" s="1669"/>
      <c r="P87" s="460"/>
      <c r="Q87" s="902"/>
      <c r="S87" s="1669"/>
      <c r="T87" s="460"/>
      <c r="U87" s="2392"/>
      <c r="V87" s="2381"/>
      <c r="W87" s="2382"/>
      <c r="Y87" s="2392"/>
      <c r="AA87" s="1669"/>
      <c r="AC87" s="2392"/>
    </row>
    <row r="88" spans="1:29" s="457" customFormat="1" x14ac:dyDescent="0.25">
      <c r="A88" s="2227"/>
      <c r="B88" s="2385">
        <v>5100</v>
      </c>
      <c r="C88" s="2215" t="s">
        <v>249</v>
      </c>
      <c r="D88" s="340">
        <v>2216745.9900000002</v>
      </c>
      <c r="E88" s="2386"/>
      <c r="F88" s="340"/>
      <c r="G88" s="456">
        <f t="shared" ref="G88:G93" si="59">IF(D88=0,"0.00%",(H88-D88)/D88)</f>
        <v>3.6670913296655049E-3</v>
      </c>
      <c r="H88" s="340">
        <v>2224875</v>
      </c>
      <c r="I88" s="899"/>
      <c r="J88" s="455"/>
      <c r="K88" s="456">
        <f t="shared" ref="K88:K103" si="60">IF(H88=0,"0.00%",(L88-H88)/H88)</f>
        <v>0.30491241080959602</v>
      </c>
      <c r="L88" s="340">
        <v>2903267</v>
      </c>
      <c r="M88" s="899"/>
      <c r="O88" s="456">
        <f t="shared" ref="O88:O103" si="61">IF(L88=0,"0.00%",(P88-L88)/L88)</f>
        <v>0</v>
      </c>
      <c r="P88" s="340">
        <f>+L88</f>
        <v>2903267</v>
      </c>
      <c r="Q88" s="899"/>
      <c r="R88" s="592"/>
      <c r="S88" s="456">
        <f t="shared" ref="S88:S101" si="62">IF(P88=0,"0.00%",(T88-P88)/P88)</f>
        <v>0</v>
      </c>
      <c r="T88" s="340">
        <f>+P88</f>
        <v>2903267</v>
      </c>
      <c r="U88" s="899"/>
      <c r="V88" s="952"/>
      <c r="W88" s="2241">
        <f t="shared" ref="W88:W103" si="63">IF(T88=0,"0.00%",(X88-T88)/T88)</f>
        <v>2.7299934866479726E-2</v>
      </c>
      <c r="X88" s="340">
        <f>ROUND(T88*(LEFT(Y88,5)+1),0)</f>
        <v>2982526</v>
      </c>
      <c r="Y88" s="953" t="str">
        <f>TEXT('MYP Assumptions'!I78,"0.00%")&amp;", CPI"</f>
        <v>2.73%, CPI</v>
      </c>
      <c r="AA88" s="456">
        <f t="shared" ref="AA88:AA103" si="64">IF(X88=0,"0.00%",(AB88-X88)/X88)</f>
        <v>2.7300013478507815E-2</v>
      </c>
      <c r="AB88" s="340">
        <f>ROUND(X88*(LEFT(AC88,5)+1),0)</f>
        <v>3063949</v>
      </c>
      <c r="AC88" s="953" t="str">
        <f>TEXT('MYP Assumptions'!J78,"0.00%")&amp;", CPI"</f>
        <v>2.73%, CPI</v>
      </c>
    </row>
    <row r="89" spans="1:29" s="457" customFormat="1" x14ac:dyDescent="0.25">
      <c r="A89" s="2227"/>
      <c r="B89" s="2385">
        <v>5123</v>
      </c>
      <c r="C89" s="2215" t="s">
        <v>250</v>
      </c>
      <c r="D89" s="340">
        <v>170481.16</v>
      </c>
      <c r="E89" s="2386"/>
      <c r="F89" s="340"/>
      <c r="G89" s="456">
        <f t="shared" si="59"/>
        <v>1.1444070418103678</v>
      </c>
      <c r="H89" s="340">
        <v>365581</v>
      </c>
      <c r="I89" s="899"/>
      <c r="J89" s="455"/>
      <c r="K89" s="456">
        <f t="shared" si="60"/>
        <v>-2.7353719148424014E-6</v>
      </c>
      <c r="L89" s="340">
        <v>365580</v>
      </c>
      <c r="M89" s="899"/>
      <c r="O89" s="456">
        <f t="shared" si="61"/>
        <v>0</v>
      </c>
      <c r="P89" s="340">
        <f>+L89</f>
        <v>365580</v>
      </c>
      <c r="Q89" s="899"/>
      <c r="R89" s="592"/>
      <c r="S89" s="456">
        <f t="shared" si="62"/>
        <v>0</v>
      </c>
      <c r="T89" s="340">
        <f>+P89</f>
        <v>365580</v>
      </c>
      <c r="U89" s="899"/>
      <c r="V89" s="952"/>
      <c r="W89" s="2241">
        <f t="shared" si="63"/>
        <v>2.7299086383281362E-2</v>
      </c>
      <c r="X89" s="340">
        <f t="shared" ref="X89:X99" si="65">ROUND(T89*(LEFT(Y89,5)+1),0)</f>
        <v>375560</v>
      </c>
      <c r="Y89" s="953" t="str">
        <f>TEXT('MYP Assumptions'!I78,"0.00%")&amp;", CPI"</f>
        <v>2.73%, CPI</v>
      </c>
      <c r="AA89" s="456">
        <f t="shared" si="64"/>
        <v>2.730056449036106E-2</v>
      </c>
      <c r="AB89" s="340">
        <f t="shared" ref="AB89:AB99" si="66">ROUND(X89*(LEFT(AC89,5)+1),0)</f>
        <v>385813</v>
      </c>
      <c r="AC89" s="953" t="str">
        <f>TEXT('MYP Assumptions'!J78,"0.00%")&amp;", CPI"</f>
        <v>2.73%, CPI</v>
      </c>
    </row>
    <row r="90" spans="1:29" s="457" customFormat="1" x14ac:dyDescent="0.25">
      <c r="A90" s="2227"/>
      <c r="B90" s="2385">
        <v>5204</v>
      </c>
      <c r="C90" s="2215" t="s">
        <v>251</v>
      </c>
      <c r="D90" s="340">
        <v>7933.44</v>
      </c>
      <c r="E90" s="2386"/>
      <c r="F90" s="340"/>
      <c r="G90" s="456">
        <f t="shared" si="59"/>
        <v>1.2171264924169138E-2</v>
      </c>
      <c r="H90" s="340">
        <v>8030</v>
      </c>
      <c r="I90" s="899"/>
      <c r="J90" s="455"/>
      <c r="K90" s="456">
        <f t="shared" si="60"/>
        <v>-0.36488169364881695</v>
      </c>
      <c r="L90" s="340">
        <v>5100</v>
      </c>
      <c r="M90" s="899"/>
      <c r="O90" s="456">
        <f t="shared" si="61"/>
        <v>0</v>
      </c>
      <c r="P90" s="340">
        <f>+L90</f>
        <v>5100</v>
      </c>
      <c r="Q90" s="899"/>
      <c r="R90" s="592"/>
      <c r="S90" s="456">
        <f t="shared" si="62"/>
        <v>0</v>
      </c>
      <c r="T90" s="340">
        <f>+P90</f>
        <v>5100</v>
      </c>
      <c r="U90" s="899"/>
      <c r="V90" s="952"/>
      <c r="W90" s="2241">
        <f t="shared" si="63"/>
        <v>2.7254901960784315E-2</v>
      </c>
      <c r="X90" s="340">
        <f t="shared" si="65"/>
        <v>5239</v>
      </c>
      <c r="Y90" s="953" t="str">
        <f>TEXT('MYP Assumptions'!I78,"0.00%")&amp;", CPI"</f>
        <v>2.73%, CPI</v>
      </c>
      <c r="AA90" s="456">
        <f t="shared" si="64"/>
        <v>2.729528535980149E-2</v>
      </c>
      <c r="AB90" s="340">
        <f t="shared" si="66"/>
        <v>5382</v>
      </c>
      <c r="AC90" s="953" t="str">
        <f>TEXT('MYP Assumptions'!J78,"0.00%")&amp;", CPI"</f>
        <v>2.73%, CPI</v>
      </c>
    </row>
    <row r="91" spans="1:29" s="457" customFormat="1" x14ac:dyDescent="0.25">
      <c r="A91" s="2227"/>
      <c r="B91" s="2385">
        <v>5213</v>
      </c>
      <c r="C91" s="2215" t="s">
        <v>252</v>
      </c>
      <c r="D91" s="340">
        <v>6932.31</v>
      </c>
      <c r="E91" s="2386"/>
      <c r="F91" s="340"/>
      <c r="G91" s="456">
        <f t="shared" si="59"/>
        <v>0.26999513870556852</v>
      </c>
      <c r="H91" s="340">
        <v>8804</v>
      </c>
      <c r="I91" s="899"/>
      <c r="J91" s="455"/>
      <c r="K91" s="456">
        <f t="shared" si="60"/>
        <v>0.93945933666515224</v>
      </c>
      <c r="L91" s="340">
        <v>17075</v>
      </c>
      <c r="M91" s="899"/>
      <c r="O91" s="456">
        <f t="shared" si="61"/>
        <v>0</v>
      </c>
      <c r="P91" s="340">
        <f t="shared" ref="P91:P101" si="67">+L91</f>
        <v>17075</v>
      </c>
      <c r="Q91" s="899"/>
      <c r="R91" s="592"/>
      <c r="S91" s="456">
        <f t="shared" si="62"/>
        <v>0</v>
      </c>
      <c r="T91" s="340">
        <f t="shared" ref="T91:T101" si="68">+P91</f>
        <v>17075</v>
      </c>
      <c r="U91" s="899"/>
      <c r="V91" s="952"/>
      <c r="W91" s="2241">
        <f t="shared" si="63"/>
        <v>2.7291361639824305E-2</v>
      </c>
      <c r="X91" s="340">
        <f t="shared" si="65"/>
        <v>17541</v>
      </c>
      <c r="Y91" s="953" t="str">
        <f>TEXT('MYP Assumptions'!I78,"0.00%")&amp;", CPI"</f>
        <v>2.73%, CPI</v>
      </c>
      <c r="AA91" s="456">
        <f t="shared" si="64"/>
        <v>2.7307451114531669E-2</v>
      </c>
      <c r="AB91" s="340">
        <f t="shared" si="66"/>
        <v>18020</v>
      </c>
      <c r="AC91" s="953" t="str">
        <f>TEXT('MYP Assumptions'!J78,"0.00%")&amp;", CPI"</f>
        <v>2.73%, CPI</v>
      </c>
    </row>
    <row r="92" spans="1:29" s="457" customFormat="1" x14ac:dyDescent="0.25">
      <c r="A92" s="2227"/>
      <c r="B92" s="2385">
        <v>5310</v>
      </c>
      <c r="C92" s="2215" t="s">
        <v>12</v>
      </c>
      <c r="D92" s="340">
        <v>150</v>
      </c>
      <c r="E92" s="2386"/>
      <c r="F92" s="340"/>
      <c r="G92" s="456">
        <f t="shared" si="59"/>
        <v>1</v>
      </c>
      <c r="H92" s="340">
        <v>300</v>
      </c>
      <c r="I92" s="899"/>
      <c r="J92" s="455"/>
      <c r="K92" s="456">
        <f t="shared" si="60"/>
        <v>1</v>
      </c>
      <c r="L92" s="340">
        <v>600</v>
      </c>
      <c r="M92" s="899"/>
      <c r="O92" s="456">
        <f t="shared" si="61"/>
        <v>0</v>
      </c>
      <c r="P92" s="340">
        <f t="shared" si="67"/>
        <v>600</v>
      </c>
      <c r="Q92" s="899"/>
      <c r="R92" s="592"/>
      <c r="S92" s="456">
        <f t="shared" si="62"/>
        <v>0</v>
      </c>
      <c r="T92" s="340">
        <f t="shared" si="68"/>
        <v>600</v>
      </c>
      <c r="U92" s="899"/>
      <c r="V92" s="952"/>
      <c r="W92" s="2241">
        <f t="shared" si="63"/>
        <v>2.6666666666666668E-2</v>
      </c>
      <c r="X92" s="340">
        <f t="shared" si="65"/>
        <v>616</v>
      </c>
      <c r="Y92" s="953" t="str">
        <f>TEXT('MYP Assumptions'!I78,"0.00%")&amp;", CPI"</f>
        <v>2.73%, CPI</v>
      </c>
      <c r="AA92" s="456">
        <f t="shared" si="64"/>
        <v>2.7597402597402596E-2</v>
      </c>
      <c r="AB92" s="340">
        <f t="shared" si="66"/>
        <v>633</v>
      </c>
      <c r="AC92" s="953" t="str">
        <f>TEXT('MYP Assumptions'!J78,"0.00%")&amp;", CPI"</f>
        <v>2.73%, CPI</v>
      </c>
    </row>
    <row r="93" spans="1:29" s="457" customFormat="1" x14ac:dyDescent="0.25">
      <c r="A93" s="2227"/>
      <c r="B93" s="2385" t="s">
        <v>906</v>
      </c>
      <c r="C93" s="2215" t="s">
        <v>253</v>
      </c>
      <c r="D93" s="340">
        <f>1503+2240</f>
        <v>3743</v>
      </c>
      <c r="E93" s="2386"/>
      <c r="F93" s="340"/>
      <c r="G93" s="456">
        <f t="shared" si="59"/>
        <v>-0.18113812449906491</v>
      </c>
      <c r="H93" s="340">
        <v>3065</v>
      </c>
      <c r="I93" s="899"/>
      <c r="J93" s="455"/>
      <c r="K93" s="456">
        <f t="shared" si="60"/>
        <v>3.9477977161500817E-2</v>
      </c>
      <c r="L93" s="340">
        <v>3186</v>
      </c>
      <c r="M93" s="899"/>
      <c r="O93" s="456">
        <f t="shared" si="61"/>
        <v>0</v>
      </c>
      <c r="P93" s="340">
        <f t="shared" si="67"/>
        <v>3186</v>
      </c>
      <c r="Q93" s="899"/>
      <c r="R93" s="592"/>
      <c r="S93" s="456">
        <f t="shared" si="62"/>
        <v>0</v>
      </c>
      <c r="T93" s="340">
        <f t="shared" si="68"/>
        <v>3186</v>
      </c>
      <c r="U93" s="899"/>
      <c r="V93" s="952"/>
      <c r="W93" s="2241">
        <f t="shared" si="63"/>
        <v>2.7306967984934087E-2</v>
      </c>
      <c r="X93" s="340">
        <f t="shared" si="65"/>
        <v>3273</v>
      </c>
      <c r="Y93" s="953" t="str">
        <f>TEXT('MYP Assumptions'!I78,"0.00%")&amp;", CPI"</f>
        <v>2.73%, CPI</v>
      </c>
      <c r="AA93" s="456">
        <f t="shared" si="64"/>
        <v>2.7192178429575314E-2</v>
      </c>
      <c r="AB93" s="340">
        <f t="shared" si="66"/>
        <v>3362</v>
      </c>
      <c r="AC93" s="953" t="str">
        <f>TEXT('MYP Assumptions'!J78,"0.00%")&amp;", CPI"</f>
        <v>2.73%, CPI</v>
      </c>
    </row>
    <row r="94" spans="1:29" s="457" customFormat="1" x14ac:dyDescent="0.25">
      <c r="A94" s="2227"/>
      <c r="B94" s="2385">
        <v>5607</v>
      </c>
      <c r="C94" s="2215" t="s">
        <v>254</v>
      </c>
      <c r="D94" s="340">
        <v>428.19</v>
      </c>
      <c r="E94" s="2386"/>
      <c r="F94" s="340"/>
      <c r="G94" s="456">
        <f>IF(D94=0,"0.00%",(H94-D94)/D94)</f>
        <v>2.7581213947079571E-2</v>
      </c>
      <c r="H94" s="340">
        <v>440</v>
      </c>
      <c r="I94" s="899"/>
      <c r="J94" s="455"/>
      <c r="K94" s="456">
        <f t="shared" si="60"/>
        <v>-1</v>
      </c>
      <c r="L94" s="340">
        <v>0</v>
      </c>
      <c r="M94" s="899"/>
      <c r="O94" s="456" t="str">
        <f t="shared" si="61"/>
        <v>0.00%</v>
      </c>
      <c r="P94" s="340">
        <f t="shared" si="67"/>
        <v>0</v>
      </c>
      <c r="Q94" s="899"/>
      <c r="R94" s="592"/>
      <c r="S94" s="456" t="str">
        <f t="shared" si="62"/>
        <v>0.00%</v>
      </c>
      <c r="T94" s="340">
        <f t="shared" si="68"/>
        <v>0</v>
      </c>
      <c r="U94" s="899"/>
      <c r="V94" s="952"/>
      <c r="W94" s="2241" t="str">
        <f t="shared" si="63"/>
        <v>0.00%</v>
      </c>
      <c r="X94" s="340">
        <f t="shared" si="65"/>
        <v>0</v>
      </c>
      <c r="Y94" s="953" t="str">
        <f>TEXT('MYP Assumptions'!I78,"0.00%")&amp;", CPI"</f>
        <v>2.73%, CPI</v>
      </c>
      <c r="AA94" s="456" t="str">
        <f t="shared" si="64"/>
        <v>0.00%</v>
      </c>
      <c r="AB94" s="340">
        <f t="shared" si="66"/>
        <v>0</v>
      </c>
      <c r="AC94" s="953" t="str">
        <f>TEXT('MYP Assumptions'!J78,"0.00%")&amp;", CPI"</f>
        <v>2.73%, CPI</v>
      </c>
    </row>
    <row r="95" spans="1:29" s="457" customFormat="1" x14ac:dyDescent="0.25">
      <c r="A95" s="2227"/>
      <c r="B95" s="2385">
        <v>5752</v>
      </c>
      <c r="C95" s="2215" t="s">
        <v>255</v>
      </c>
      <c r="D95" s="340">
        <v>0</v>
      </c>
      <c r="E95" s="2386"/>
      <c r="F95" s="340"/>
      <c r="G95" s="456" t="str">
        <f t="shared" ref="G95:G103" si="69">IF(D95=0,"0.00%",(H95-D95)/D95)</f>
        <v>0.00%</v>
      </c>
      <c r="H95" s="340">
        <v>150</v>
      </c>
      <c r="I95" s="899"/>
      <c r="J95" s="455"/>
      <c r="K95" s="456">
        <f t="shared" si="60"/>
        <v>-1</v>
      </c>
      <c r="L95" s="340">
        <v>0</v>
      </c>
      <c r="M95" s="899"/>
      <c r="O95" s="456" t="str">
        <f t="shared" si="61"/>
        <v>0.00%</v>
      </c>
      <c r="P95" s="340">
        <f t="shared" si="67"/>
        <v>0</v>
      </c>
      <c r="Q95" s="899"/>
      <c r="R95" s="592"/>
      <c r="S95" s="456" t="str">
        <f t="shared" si="62"/>
        <v>0.00%</v>
      </c>
      <c r="T95" s="340">
        <f t="shared" si="68"/>
        <v>0</v>
      </c>
      <c r="U95" s="899"/>
      <c r="V95" s="952"/>
      <c r="W95" s="2241" t="str">
        <f t="shared" si="63"/>
        <v>0.00%</v>
      </c>
      <c r="X95" s="340">
        <f t="shared" si="65"/>
        <v>0</v>
      </c>
      <c r="Y95" s="953" t="str">
        <f>TEXT('MYP Assumptions'!I78,"0.00%")&amp;", CPI"</f>
        <v>2.73%, CPI</v>
      </c>
      <c r="AA95" s="456" t="str">
        <f t="shared" si="64"/>
        <v>0.00%</v>
      </c>
      <c r="AB95" s="340">
        <f t="shared" si="66"/>
        <v>0</v>
      </c>
      <c r="AC95" s="953" t="str">
        <f>TEXT('MYP Assumptions'!J78,"0.00%")&amp;", CPI"</f>
        <v>2.73%, CPI</v>
      </c>
    </row>
    <row r="96" spans="1:29" s="457" customFormat="1" x14ac:dyDescent="0.25">
      <c r="A96" s="2227"/>
      <c r="B96" s="2385">
        <v>5804</v>
      </c>
      <c r="C96" s="2215" t="s">
        <v>256</v>
      </c>
      <c r="D96" s="340">
        <v>119483.17</v>
      </c>
      <c r="E96" s="2386"/>
      <c r="F96" s="340"/>
      <c r="G96" s="456">
        <f t="shared" si="69"/>
        <v>-0.45599032901453818</v>
      </c>
      <c r="H96" s="340">
        <v>65000</v>
      </c>
      <c r="I96" s="899"/>
      <c r="J96" s="455"/>
      <c r="K96" s="456">
        <f t="shared" si="60"/>
        <v>-0.84615384615384615</v>
      </c>
      <c r="L96" s="340">
        <v>10000</v>
      </c>
      <c r="M96" s="899"/>
      <c r="O96" s="456">
        <f t="shared" si="61"/>
        <v>0</v>
      </c>
      <c r="P96" s="340">
        <f t="shared" si="67"/>
        <v>10000</v>
      </c>
      <c r="Q96" s="899"/>
      <c r="R96" s="592"/>
      <c r="S96" s="456">
        <f t="shared" si="62"/>
        <v>0</v>
      </c>
      <c r="T96" s="340">
        <f t="shared" si="68"/>
        <v>10000</v>
      </c>
      <c r="U96" s="899"/>
      <c r="V96" s="952"/>
      <c r="W96" s="2241">
        <f t="shared" si="63"/>
        <v>2.7300000000000001E-2</v>
      </c>
      <c r="X96" s="340">
        <f t="shared" si="65"/>
        <v>10273</v>
      </c>
      <c r="Y96" s="953" t="str">
        <f>TEXT('MYP Assumptions'!I78,"0.00%")&amp;", CPI"</f>
        <v>2.73%, CPI</v>
      </c>
      <c r="AA96" s="456">
        <f t="shared" si="64"/>
        <v>2.7255913559816995E-2</v>
      </c>
      <c r="AB96" s="340">
        <f t="shared" si="66"/>
        <v>10553</v>
      </c>
      <c r="AC96" s="953" t="str">
        <f>TEXT('MYP Assumptions'!J78,"0.00%")&amp;", CPI"</f>
        <v>2.73%, CPI</v>
      </c>
    </row>
    <row r="97" spans="1:29" s="457" customFormat="1" x14ac:dyDescent="0.25">
      <c r="A97" s="2227"/>
      <c r="B97" s="2385">
        <v>5806</v>
      </c>
      <c r="C97" s="2215" t="s">
        <v>257</v>
      </c>
      <c r="D97" s="340">
        <v>0</v>
      </c>
      <c r="E97" s="2386"/>
      <c r="F97" s="340"/>
      <c r="G97" s="456" t="str">
        <f t="shared" si="69"/>
        <v>0.00%</v>
      </c>
      <c r="H97" s="340">
        <v>250</v>
      </c>
      <c r="I97" s="899"/>
      <c r="J97" s="455"/>
      <c r="K97" s="456">
        <f t="shared" si="60"/>
        <v>-1</v>
      </c>
      <c r="L97" s="340">
        <v>0</v>
      </c>
      <c r="M97" s="899"/>
      <c r="O97" s="456" t="str">
        <f t="shared" si="61"/>
        <v>0.00%</v>
      </c>
      <c r="P97" s="340">
        <f t="shared" si="67"/>
        <v>0</v>
      </c>
      <c r="Q97" s="899"/>
      <c r="R97" s="592"/>
      <c r="S97" s="456" t="str">
        <f t="shared" si="62"/>
        <v>0.00%</v>
      </c>
      <c r="T97" s="340">
        <f t="shared" si="68"/>
        <v>0</v>
      </c>
      <c r="U97" s="899"/>
      <c r="V97" s="952"/>
      <c r="W97" s="2241" t="str">
        <f t="shared" si="63"/>
        <v>0.00%</v>
      </c>
      <c r="X97" s="340">
        <f t="shared" si="65"/>
        <v>0</v>
      </c>
      <c r="Y97" s="953" t="str">
        <f>TEXT('MYP Assumptions'!I78,"0.00%")&amp;", CPI"</f>
        <v>2.73%, CPI</v>
      </c>
      <c r="AA97" s="456" t="str">
        <f t="shared" si="64"/>
        <v>0.00%</v>
      </c>
      <c r="AB97" s="340">
        <f t="shared" si="66"/>
        <v>0</v>
      </c>
      <c r="AC97" s="953" t="str">
        <f>TEXT('MYP Assumptions'!J78,"0.00%")&amp;", CPI"</f>
        <v>2.73%, CPI</v>
      </c>
    </row>
    <row r="98" spans="1:29" s="457" customFormat="1" x14ac:dyDescent="0.25">
      <c r="A98" s="2227"/>
      <c r="B98" s="2385">
        <v>5810</v>
      </c>
      <c r="C98" s="2215" t="s">
        <v>258</v>
      </c>
      <c r="D98" s="340">
        <v>3135</v>
      </c>
      <c r="E98" s="2386"/>
      <c r="F98" s="340"/>
      <c r="G98" s="456">
        <f t="shared" si="69"/>
        <v>0.59489633173843703</v>
      </c>
      <c r="H98" s="340">
        <v>5000</v>
      </c>
      <c r="I98" s="899"/>
      <c r="J98" s="455"/>
      <c r="K98" s="456">
        <f t="shared" si="60"/>
        <v>-0.09</v>
      </c>
      <c r="L98" s="340">
        <v>4550</v>
      </c>
      <c r="M98" s="899"/>
      <c r="O98" s="456">
        <f t="shared" si="61"/>
        <v>0</v>
      </c>
      <c r="P98" s="340">
        <f t="shared" si="67"/>
        <v>4550</v>
      </c>
      <c r="Q98" s="899"/>
      <c r="R98" s="592"/>
      <c r="S98" s="456">
        <f t="shared" si="62"/>
        <v>0</v>
      </c>
      <c r="T98" s="340">
        <f t="shared" si="68"/>
        <v>4550</v>
      </c>
      <c r="U98" s="899"/>
      <c r="V98" s="952"/>
      <c r="W98" s="2241">
        <f t="shared" si="63"/>
        <v>2.7252747252747254E-2</v>
      </c>
      <c r="X98" s="340">
        <f t="shared" si="65"/>
        <v>4674</v>
      </c>
      <c r="Y98" s="953" t="str">
        <f>TEXT('MYP Assumptions'!I78,"0.00%")&amp;", CPI"</f>
        <v>2.73%, CPI</v>
      </c>
      <c r="AA98" s="456">
        <f t="shared" si="64"/>
        <v>2.738553701326487E-2</v>
      </c>
      <c r="AB98" s="340">
        <f t="shared" si="66"/>
        <v>4802</v>
      </c>
      <c r="AC98" s="953" t="str">
        <f>TEXT('MYP Assumptions'!J78,"0.00%")&amp;", CPI"</f>
        <v>2.73%, CPI</v>
      </c>
    </row>
    <row r="99" spans="1:29" s="457" customFormat="1" x14ac:dyDescent="0.25">
      <c r="A99" s="2227"/>
      <c r="B99" s="2385">
        <v>5813</v>
      </c>
      <c r="C99" s="2215" t="s">
        <v>6</v>
      </c>
      <c r="D99" s="340">
        <v>76295.58</v>
      </c>
      <c r="E99" s="2386"/>
      <c r="F99" s="340"/>
      <c r="G99" s="456">
        <f t="shared" si="69"/>
        <v>1.1121800240590607</v>
      </c>
      <c r="H99" s="340">
        <v>161150</v>
      </c>
      <c r="I99" s="899"/>
      <c r="J99" s="455"/>
      <c r="K99" s="456">
        <f t="shared" si="60"/>
        <v>-0.14210363015823765</v>
      </c>
      <c r="L99" s="340">
        <v>138250</v>
      </c>
      <c r="M99" s="899"/>
      <c r="O99" s="456">
        <f t="shared" si="61"/>
        <v>0</v>
      </c>
      <c r="P99" s="340">
        <f t="shared" si="67"/>
        <v>138250</v>
      </c>
      <c r="Q99" s="899"/>
      <c r="R99" s="592"/>
      <c r="S99" s="456">
        <f t="shared" si="62"/>
        <v>0</v>
      </c>
      <c r="T99" s="340">
        <f t="shared" si="68"/>
        <v>138250</v>
      </c>
      <c r="U99" s="899"/>
      <c r="V99" s="952"/>
      <c r="W99" s="2241">
        <f t="shared" si="63"/>
        <v>2.7298372513562388E-2</v>
      </c>
      <c r="X99" s="340">
        <f t="shared" si="65"/>
        <v>142024</v>
      </c>
      <c r="Y99" s="953" t="str">
        <f>TEXT('MYP Assumptions'!$I$78,"0.00%")&amp;", CPI"</f>
        <v>2.73%, CPI</v>
      </c>
      <c r="AA99" s="456">
        <f t="shared" si="64"/>
        <v>2.7298203120599336E-2</v>
      </c>
      <c r="AB99" s="340">
        <f t="shared" si="66"/>
        <v>145901</v>
      </c>
      <c r="AC99" s="953" t="str">
        <f>TEXT('MYP Assumptions'!$J$78,"0.00%")&amp;", CPI"</f>
        <v>2.73%, CPI</v>
      </c>
    </row>
    <row r="100" spans="1:29" s="457" customFormat="1" x14ac:dyDescent="0.25">
      <c r="A100" s="2227"/>
      <c r="B100" s="2385">
        <v>5814</v>
      </c>
      <c r="C100" s="2215" t="s">
        <v>4</v>
      </c>
      <c r="D100" s="340">
        <v>56267.37</v>
      </c>
      <c r="E100" s="2386"/>
      <c r="F100" s="340"/>
      <c r="G100" s="456">
        <f t="shared" si="69"/>
        <v>0.37146982345185131</v>
      </c>
      <c r="H100" s="340">
        <v>77169</v>
      </c>
      <c r="I100" s="899"/>
      <c r="J100" s="455"/>
      <c r="K100" s="456">
        <f t="shared" ref="K100:K101" si="70">IF(H100=0,"0.00%",(L100-H100)/H100)</f>
        <v>-0.22896499889852143</v>
      </c>
      <c r="L100" s="340">
        <v>59500</v>
      </c>
      <c r="M100" s="899"/>
      <c r="O100" s="456">
        <f t="shared" ref="O100:O101" si="71">IF(L100=0,"0.00%",(P100-L100)/L100)</f>
        <v>0</v>
      </c>
      <c r="P100" s="340">
        <f t="shared" si="67"/>
        <v>59500</v>
      </c>
      <c r="Q100" s="899"/>
      <c r="R100" s="592"/>
      <c r="S100" s="456">
        <f t="shared" si="62"/>
        <v>0</v>
      </c>
      <c r="T100" s="340">
        <f t="shared" si="68"/>
        <v>59500</v>
      </c>
      <c r="U100" s="899"/>
      <c r="V100" s="952"/>
      <c r="W100" s="2241">
        <f t="shared" ref="W100:W101" si="72">IF(T100=0,"0.00%",(X100-T100)/T100)</f>
        <v>2.7294117647058823E-2</v>
      </c>
      <c r="X100" s="340">
        <f t="shared" ref="X100:X101" si="73">ROUND(T100*(LEFT(Y100,5)+1),0)</f>
        <v>61124</v>
      </c>
      <c r="Y100" s="953" t="str">
        <f>TEXT('MYP Assumptions'!$I$78,"0.00%")&amp;", CPI"</f>
        <v>2.73%, CPI</v>
      </c>
      <c r="AA100" s="456">
        <f t="shared" ref="AA100:AA101" si="74">IF(X100=0,"0.00%",(AB100-X100)/X100)</f>
        <v>2.730515018650612E-2</v>
      </c>
      <c r="AB100" s="340">
        <f t="shared" ref="AB100:AB101" si="75">ROUND(X100*(LEFT(AC100,5)+1),0)</f>
        <v>62793</v>
      </c>
      <c r="AC100" s="953" t="str">
        <f>TEXT('MYP Assumptions'!$J$78,"0.00%")&amp;", CPI"</f>
        <v>2.73%, CPI</v>
      </c>
    </row>
    <row r="101" spans="1:29" s="457" customFormat="1" x14ac:dyDescent="0.25">
      <c r="A101" s="2227"/>
      <c r="B101" s="2385">
        <v>5817</v>
      </c>
      <c r="C101" s="2215" t="s">
        <v>259</v>
      </c>
      <c r="D101" s="340">
        <v>1815.9</v>
      </c>
      <c r="E101" s="2386"/>
      <c r="F101" s="340"/>
      <c r="G101" s="456">
        <f t="shared" si="69"/>
        <v>-0.242799713640619</v>
      </c>
      <c r="H101" s="340">
        <v>1375</v>
      </c>
      <c r="I101" s="899"/>
      <c r="J101" s="455"/>
      <c r="K101" s="456">
        <f t="shared" si="70"/>
        <v>-0.63636363636363635</v>
      </c>
      <c r="L101" s="340">
        <v>500</v>
      </c>
      <c r="M101" s="899"/>
      <c r="O101" s="456">
        <f t="shared" si="71"/>
        <v>0</v>
      </c>
      <c r="P101" s="340">
        <f t="shared" si="67"/>
        <v>500</v>
      </c>
      <c r="Q101" s="899"/>
      <c r="R101" s="592"/>
      <c r="S101" s="456">
        <f t="shared" si="62"/>
        <v>0</v>
      </c>
      <c r="T101" s="340">
        <f t="shared" si="68"/>
        <v>500</v>
      </c>
      <c r="U101" s="899"/>
      <c r="V101" s="952"/>
      <c r="W101" s="2241">
        <f t="shared" si="72"/>
        <v>2.8000000000000001E-2</v>
      </c>
      <c r="X101" s="340">
        <f t="shared" si="73"/>
        <v>514</v>
      </c>
      <c r="Y101" s="953" t="str">
        <f>TEXT('MYP Assumptions'!$I$78,"0.00%")&amp;", CPI"</f>
        <v>2.73%, CPI</v>
      </c>
      <c r="AA101" s="456">
        <f t="shared" si="74"/>
        <v>2.7237354085603113E-2</v>
      </c>
      <c r="AB101" s="340">
        <f t="shared" si="75"/>
        <v>528</v>
      </c>
      <c r="AC101" s="953" t="str">
        <f>TEXT('MYP Assumptions'!$J$78,"0.00%")&amp;", CPI"</f>
        <v>2.73%, CPI</v>
      </c>
    </row>
    <row r="102" spans="1:29" s="457" customFormat="1" x14ac:dyDescent="0.25">
      <c r="A102" s="2227"/>
      <c r="B102" s="2385"/>
      <c r="C102" s="2215"/>
      <c r="D102" s="340"/>
      <c r="E102" s="2386"/>
      <c r="F102" s="340"/>
      <c r="G102" s="456"/>
      <c r="H102" s="340"/>
      <c r="I102" s="899"/>
      <c r="J102" s="455"/>
      <c r="K102" s="456"/>
      <c r="L102" s="340"/>
      <c r="M102" s="899"/>
      <c r="O102" s="456"/>
      <c r="P102" s="340"/>
      <c r="Q102" s="899"/>
      <c r="R102" s="592"/>
      <c r="S102" s="456"/>
      <c r="T102" s="340"/>
      <c r="U102" s="899"/>
      <c r="V102" s="952"/>
      <c r="W102" s="2241"/>
      <c r="X102" s="340"/>
      <c r="Y102" s="953"/>
      <c r="AA102" s="456"/>
      <c r="AB102" s="340"/>
      <c r="AC102" s="953"/>
    </row>
    <row r="103" spans="1:29" s="457" customFormat="1" x14ac:dyDescent="0.25">
      <c r="A103" s="2228"/>
      <c r="B103" s="2345"/>
      <c r="C103" s="2215"/>
      <c r="D103" s="458">
        <f>SUM(D88:D102)</f>
        <v>2663411.1100000003</v>
      </c>
      <c r="E103" s="2386"/>
      <c r="F103" s="340"/>
      <c r="G103" s="456">
        <f t="shared" si="69"/>
        <v>9.678486698210087E-2</v>
      </c>
      <c r="H103" s="458">
        <f>SUM(H88:H102)</f>
        <v>2921189</v>
      </c>
      <c r="I103" s="2316">
        <f>+H103-D103</f>
        <v>257777.88999999966</v>
      </c>
      <c r="J103" s="459"/>
      <c r="K103" s="456">
        <f t="shared" si="60"/>
        <v>0.20074668225849132</v>
      </c>
      <c r="L103" s="458">
        <f>SUM(L88:L102)</f>
        <v>3507608</v>
      </c>
      <c r="M103" s="2316">
        <f>+L103-H103</f>
        <v>586419</v>
      </c>
      <c r="O103" s="456">
        <f t="shared" si="61"/>
        <v>0</v>
      </c>
      <c r="P103" s="458">
        <f>SUM(P88:P102)</f>
        <v>3507608</v>
      </c>
      <c r="Q103" s="2316">
        <f>+P103-L103</f>
        <v>0</v>
      </c>
      <c r="R103" s="592"/>
      <c r="S103" s="2238">
        <f t="shared" ref="S103" si="76">IF(P103=0,"0.00%",(T103-P103)/P103)</f>
        <v>0</v>
      </c>
      <c r="T103" s="458">
        <f>SUM(T88:T102)</f>
        <v>3507608</v>
      </c>
      <c r="U103" s="2344"/>
      <c r="V103" s="952"/>
      <c r="W103" s="2241">
        <f t="shared" si="63"/>
        <v>2.7299515795379644E-2</v>
      </c>
      <c r="X103" s="458">
        <f>SUM(X88:X102)</f>
        <v>3603364</v>
      </c>
      <c r="Y103" s="2344"/>
      <c r="AA103" s="456">
        <f t="shared" si="64"/>
        <v>2.7300045180004017E-2</v>
      </c>
      <c r="AB103" s="458">
        <f>SUM(AB88:AB102)</f>
        <v>3701736</v>
      </c>
      <c r="AC103" s="2344"/>
    </row>
    <row r="104" spans="1:29" s="457" customFormat="1" x14ac:dyDescent="0.25">
      <c r="A104" s="2227"/>
      <c r="B104" s="2337"/>
      <c r="C104" s="2215"/>
      <c r="D104" s="340"/>
      <c r="E104" s="2386"/>
      <c r="F104" s="340"/>
      <c r="G104" s="456"/>
      <c r="H104" s="340"/>
      <c r="I104" s="897"/>
      <c r="J104" s="455"/>
      <c r="K104" s="1668"/>
      <c r="L104" s="340"/>
      <c r="M104" s="901"/>
      <c r="O104" s="1668"/>
      <c r="P104" s="340"/>
      <c r="Q104" s="901"/>
      <c r="R104" s="592"/>
      <c r="S104" s="2341"/>
      <c r="T104" s="340"/>
      <c r="U104" s="2344"/>
      <c r="V104" s="952"/>
      <c r="W104" s="2343"/>
      <c r="X104" s="340"/>
      <c r="Y104" s="2344"/>
      <c r="AA104" s="1668"/>
      <c r="AB104" s="340"/>
      <c r="AC104" s="2344"/>
    </row>
    <row r="105" spans="1:29" s="457" customFormat="1" x14ac:dyDescent="0.25">
      <c r="A105" s="2227"/>
      <c r="B105" s="2337" t="s">
        <v>518</v>
      </c>
      <c r="C105" s="2215"/>
      <c r="D105" s="340"/>
      <c r="E105" s="2386"/>
      <c r="F105" s="340"/>
      <c r="G105" s="456"/>
      <c r="H105" s="340"/>
      <c r="I105" s="897"/>
      <c r="J105" s="455"/>
      <c r="K105" s="1668"/>
      <c r="L105" s="340"/>
      <c r="M105" s="901"/>
      <c r="O105" s="1668"/>
      <c r="P105" s="340"/>
      <c r="Q105" s="901"/>
      <c r="R105" s="592"/>
      <c r="S105" s="2341"/>
      <c r="T105" s="340"/>
      <c r="U105" s="2344"/>
      <c r="V105" s="952"/>
      <c r="W105" s="2343"/>
      <c r="X105" s="340"/>
      <c r="Y105" s="2344"/>
      <c r="AA105" s="1668"/>
      <c r="AB105" s="340"/>
      <c r="AC105" s="2344"/>
    </row>
    <row r="106" spans="1:29" s="457" customFormat="1" x14ac:dyDescent="0.25">
      <c r="A106" s="2227"/>
      <c r="B106" s="2385">
        <v>7142</v>
      </c>
      <c r="C106" s="2215" t="s">
        <v>260</v>
      </c>
      <c r="D106" s="340">
        <v>744179.16</v>
      </c>
      <c r="E106" s="2386"/>
      <c r="F106" s="340"/>
      <c r="G106" s="456">
        <f t="shared" ref="G106:G108" si="77">IF(D106=0,"0.00%",(H106-D106)/D106)</f>
        <v>-3.9683454720769555E-3</v>
      </c>
      <c r="H106" s="340">
        <v>741226</v>
      </c>
      <c r="I106" s="899"/>
      <c r="J106" s="455"/>
      <c r="K106" s="456">
        <f t="shared" ref="K106:K108" si="78">IF(H106=0,"0.00%",(L106-H106)/H106)</f>
        <v>3.7513524889844663E-2</v>
      </c>
      <c r="L106" s="340">
        <v>769032</v>
      </c>
      <c r="M106" s="899"/>
      <c r="O106" s="456">
        <f t="shared" ref="O106:O108" si="79">IF(L106=0,"0.00%",(P106-L106)/L106)</f>
        <v>0</v>
      </c>
      <c r="P106" s="340">
        <f t="shared" ref="P106:P107" si="80">+L106</f>
        <v>769032</v>
      </c>
      <c r="Q106" s="899"/>
      <c r="R106" s="592"/>
      <c r="S106" s="456">
        <f t="shared" ref="S106:S108" si="81">IF(P106=0,"0.00%",(T106-P106)/P106)</f>
        <v>0</v>
      </c>
      <c r="T106" s="340">
        <f t="shared" ref="T106:T107" si="82">+P106</f>
        <v>769032</v>
      </c>
      <c r="U106" s="899"/>
      <c r="V106" s="952"/>
      <c r="W106" s="2343"/>
      <c r="X106" s="340">
        <f>+T106</f>
        <v>769032</v>
      </c>
      <c r="Y106" s="455" t="s">
        <v>173</v>
      </c>
      <c r="AA106" s="1668"/>
      <c r="AB106" s="340">
        <f>+X106</f>
        <v>769032</v>
      </c>
      <c r="AC106" s="455" t="s">
        <v>173</v>
      </c>
    </row>
    <row r="107" spans="1:29" s="457" customFormat="1" x14ac:dyDescent="0.25">
      <c r="A107" s="2227"/>
      <c r="B107" s="2385">
        <v>7145</v>
      </c>
      <c r="C107" s="2215" t="s">
        <v>261</v>
      </c>
      <c r="D107" s="340">
        <v>651050.71</v>
      </c>
      <c r="E107" s="2386"/>
      <c r="F107" s="340"/>
      <c r="G107" s="456">
        <f t="shared" si="77"/>
        <v>0.40236848831637101</v>
      </c>
      <c r="H107" s="340">
        <v>913013</v>
      </c>
      <c r="I107" s="899"/>
      <c r="J107" s="455"/>
      <c r="K107" s="456">
        <f t="shared" si="78"/>
        <v>-0.21233104019329407</v>
      </c>
      <c r="L107" s="340">
        <v>719152</v>
      </c>
      <c r="M107" s="899"/>
      <c r="O107" s="456">
        <f t="shared" si="79"/>
        <v>0</v>
      </c>
      <c r="P107" s="340">
        <f t="shared" si="80"/>
        <v>719152</v>
      </c>
      <c r="Q107" s="899"/>
      <c r="R107" s="592"/>
      <c r="S107" s="456">
        <f t="shared" si="81"/>
        <v>0</v>
      </c>
      <c r="T107" s="340">
        <f t="shared" si="82"/>
        <v>719152</v>
      </c>
      <c r="U107" s="899"/>
      <c r="V107" s="952"/>
      <c r="W107" s="2343"/>
      <c r="X107" s="340">
        <v>0</v>
      </c>
      <c r="Y107" s="455"/>
      <c r="AA107" s="1668"/>
      <c r="AB107" s="340">
        <v>0</v>
      </c>
      <c r="AC107" s="455"/>
    </row>
    <row r="108" spans="1:29" s="457" customFormat="1" x14ac:dyDescent="0.25">
      <c r="A108" s="2227"/>
      <c r="B108" s="2385">
        <v>7221</v>
      </c>
      <c r="C108" s="2215" t="s">
        <v>262</v>
      </c>
      <c r="D108" s="340">
        <v>56455</v>
      </c>
      <c r="E108" s="2386"/>
      <c r="F108" s="340"/>
      <c r="G108" s="456">
        <f t="shared" si="77"/>
        <v>-8.5979984058099368E-2</v>
      </c>
      <c r="H108" s="340">
        <v>51601</v>
      </c>
      <c r="I108" s="899"/>
      <c r="J108" s="455"/>
      <c r="K108" s="456">
        <f t="shared" si="78"/>
        <v>0.87657215945427414</v>
      </c>
      <c r="L108" s="340">
        <v>96833</v>
      </c>
      <c r="M108" s="899"/>
      <c r="O108" s="456">
        <f t="shared" si="79"/>
        <v>0</v>
      </c>
      <c r="P108" s="340">
        <f>+L108</f>
        <v>96833</v>
      </c>
      <c r="Q108" s="899"/>
      <c r="R108" s="592"/>
      <c r="S108" s="456">
        <f t="shared" si="81"/>
        <v>0</v>
      </c>
      <c r="T108" s="340">
        <f>+P108</f>
        <v>96833</v>
      </c>
      <c r="U108" s="899"/>
      <c r="V108" s="952"/>
      <c r="W108" s="2343"/>
      <c r="X108" s="340">
        <v>0</v>
      </c>
      <c r="Y108" s="455"/>
      <c r="AA108" s="1668"/>
      <c r="AB108" s="340">
        <v>0</v>
      </c>
      <c r="AC108" s="455"/>
    </row>
    <row r="109" spans="1:29" s="457" customFormat="1" x14ac:dyDescent="0.25">
      <c r="A109" s="2227"/>
      <c r="B109" s="2337"/>
      <c r="C109" s="2215"/>
      <c r="D109" s="340"/>
      <c r="E109" s="2386"/>
      <c r="F109" s="340"/>
      <c r="G109" s="456"/>
      <c r="H109" s="340"/>
      <c r="I109" s="897"/>
      <c r="J109" s="455"/>
      <c r="K109" s="1668"/>
      <c r="L109" s="340"/>
      <c r="M109" s="897"/>
      <c r="O109" s="1668"/>
      <c r="P109" s="340"/>
      <c r="Q109" s="897"/>
      <c r="R109" s="592"/>
      <c r="S109" s="2341"/>
      <c r="T109" s="340"/>
      <c r="U109" s="455"/>
      <c r="V109" s="952"/>
      <c r="W109" s="2343"/>
      <c r="X109" s="340"/>
      <c r="Y109" s="455"/>
      <c r="AA109" s="1668"/>
      <c r="AB109" s="340"/>
      <c r="AC109" s="455"/>
    </row>
    <row r="110" spans="1:29" s="2378" customFormat="1" x14ac:dyDescent="0.25">
      <c r="A110" s="2229"/>
      <c r="B110" s="2358"/>
      <c r="C110" s="2358"/>
      <c r="D110" s="2442">
        <f>SUM(D106:D109)</f>
        <v>1451684.87</v>
      </c>
      <c r="E110" s="2375"/>
      <c r="F110" s="1866"/>
      <c r="G110" s="456">
        <f t="shared" ref="G110" si="83">IF(D110=0,"0.00%",(H110-D110)/D110)</f>
        <v>0.17507596535052394</v>
      </c>
      <c r="H110" s="2442">
        <f>SUM(H106:H109)</f>
        <v>1705840</v>
      </c>
      <c r="I110" s="2316">
        <f>+H110-D110</f>
        <v>254155.12999999989</v>
      </c>
      <c r="J110" s="460"/>
      <c r="K110" s="456">
        <f t="shared" ref="K110" si="84">IF(H110=0,"0.00%",(L110-H110)/H110)</f>
        <v>-7.082903437602589E-2</v>
      </c>
      <c r="L110" s="2442">
        <f>SUM(L106:L109)</f>
        <v>1585017</v>
      </c>
      <c r="M110" s="2316">
        <f>+L110-H110</f>
        <v>-120823</v>
      </c>
      <c r="O110" s="456">
        <f t="shared" ref="O110" si="85">IF(L110=0,"0.00%",(P110-L110)/L110)</f>
        <v>0</v>
      </c>
      <c r="P110" s="2442">
        <f>SUM(P106:P109)</f>
        <v>1585017</v>
      </c>
      <c r="Q110" s="2316">
        <f>+P110-L110</f>
        <v>0</v>
      </c>
      <c r="R110" s="461"/>
      <c r="S110" s="1669"/>
      <c r="T110" s="2442">
        <f>SUM(T106:T109)</f>
        <v>1585017</v>
      </c>
      <c r="U110" s="460"/>
      <c r="V110" s="2381"/>
      <c r="W110" s="2382"/>
      <c r="X110" s="2442">
        <f>SUM(X106:X109)</f>
        <v>769032</v>
      </c>
      <c r="Y110" s="460"/>
      <c r="AA110" s="606"/>
      <c r="AB110" s="2442">
        <f>SUM(AB106:AB109)</f>
        <v>769032</v>
      </c>
      <c r="AC110" s="460"/>
    </row>
    <row r="111" spans="1:29" s="457" customFormat="1" x14ac:dyDescent="0.25">
      <c r="A111" s="2227"/>
      <c r="B111" s="2345"/>
      <c r="C111" s="2215"/>
      <c r="D111" s="340"/>
      <c r="E111" s="2386"/>
      <c r="F111" s="340"/>
      <c r="G111" s="2338"/>
      <c r="H111" s="340"/>
      <c r="I111" s="897"/>
      <c r="J111" s="455"/>
      <c r="K111" s="1668"/>
      <c r="L111" s="340"/>
      <c r="M111" s="897"/>
      <c r="O111" s="1668"/>
      <c r="P111" s="340"/>
      <c r="Q111" s="897"/>
      <c r="R111" s="592"/>
      <c r="S111" s="2341"/>
      <c r="T111" s="340"/>
      <c r="U111" s="455"/>
      <c r="V111" s="952"/>
      <c r="W111" s="2343"/>
      <c r="X111" s="340"/>
      <c r="Y111" s="455"/>
      <c r="AA111" s="1668"/>
      <c r="AB111" s="340"/>
      <c r="AC111" s="455"/>
    </row>
    <row r="112" spans="1:29" s="457" customFormat="1" x14ac:dyDescent="0.25">
      <c r="A112" s="2227"/>
      <c r="B112" s="2345"/>
      <c r="C112" s="2215"/>
      <c r="D112" s="340"/>
      <c r="E112" s="2386"/>
      <c r="F112" s="340"/>
      <c r="G112" s="2338"/>
      <c r="H112" s="340"/>
      <c r="I112" s="897"/>
      <c r="J112" s="455"/>
      <c r="K112" s="1668"/>
      <c r="L112" s="340"/>
      <c r="M112" s="897"/>
      <c r="O112" s="1668"/>
      <c r="P112" s="340"/>
      <c r="Q112" s="897"/>
      <c r="R112" s="592"/>
      <c r="S112" s="2341"/>
      <c r="T112" s="340"/>
      <c r="U112" s="455"/>
      <c r="V112" s="952"/>
      <c r="W112" s="2343"/>
      <c r="X112" s="340"/>
      <c r="Y112" s="455"/>
      <c r="AA112" s="1668"/>
      <c r="AB112" s="340"/>
      <c r="AC112" s="455"/>
    </row>
    <row r="113" spans="1:29" s="457" customFormat="1" x14ac:dyDescent="0.25">
      <c r="A113" s="2228"/>
      <c r="B113" s="2337" t="s">
        <v>0</v>
      </c>
      <c r="C113" s="2215"/>
      <c r="D113" s="458">
        <f>SUM(D103,D85,D74,D16,D110)</f>
        <v>15484154.140000001</v>
      </c>
      <c r="E113" s="2386"/>
      <c r="F113" s="340"/>
      <c r="G113" s="456">
        <f>IF(D113=0,"0.00%",(H113-D113)/D113)</f>
        <v>0.11356499322474449</v>
      </c>
      <c r="H113" s="458">
        <f>SUM(H103,H85,H74,H16,H110)</f>
        <v>17242612</v>
      </c>
      <c r="I113" s="2316">
        <f>+H113-D113</f>
        <v>1758457.8599999994</v>
      </c>
      <c r="J113" s="459"/>
      <c r="K113" s="456">
        <f>IF(H113=0,"0.00%",(L113-H113)/H113)</f>
        <v>8.8072387176606426E-2</v>
      </c>
      <c r="L113" s="458">
        <f>SUM(L103,L85,L74,L16,L110)</f>
        <v>18761210</v>
      </c>
      <c r="M113" s="2316">
        <f>+L113-H113</f>
        <v>1518598</v>
      </c>
      <c r="O113" s="456">
        <f>IF(L113=0,"0.00%",(P113-L113)/L113)</f>
        <v>1.4120890923346629E-2</v>
      </c>
      <c r="P113" s="458">
        <f>SUM(P103,P85,P74,P16,P110)</f>
        <v>19026135</v>
      </c>
      <c r="Q113" s="2316">
        <f>+P113-L113</f>
        <v>264925</v>
      </c>
      <c r="R113" s="592"/>
      <c r="S113" s="2238">
        <f>IF(P113=0,"0.00%",(T113-P113)/P113)</f>
        <v>1.5987797837027858E-2</v>
      </c>
      <c r="T113" s="458">
        <f>SUM(T103,T85,T74,T16,T110)</f>
        <v>19330321</v>
      </c>
      <c r="U113" s="459"/>
      <c r="V113" s="952"/>
      <c r="W113" s="2241">
        <f>IF(T113=0,"0.00%",(X113-T113)/T113)</f>
        <v>-0.35419308349819956</v>
      </c>
      <c r="X113" s="458">
        <f>SUM(X103,X85,X74,X16,X110)</f>
        <v>12483655</v>
      </c>
      <c r="Y113" s="459"/>
      <c r="AA113" s="456" t="e">
        <f>IF(X113=0,"0.00%",(AB113-X113)/X113)</f>
        <v>#VALUE!</v>
      </c>
      <c r="AB113" s="458" t="e">
        <f>SUM(AB103,AB85,AB74,AB16,AB110)</f>
        <v>#VALUE!</v>
      </c>
      <c r="AC113" s="459"/>
    </row>
    <row r="114" spans="1:29" s="457" customFormat="1" x14ac:dyDescent="0.25">
      <c r="A114" s="2227"/>
      <c r="B114" s="2345"/>
      <c r="C114" s="2215"/>
      <c r="D114" s="340"/>
      <c r="E114" s="2386"/>
      <c r="F114" s="340"/>
      <c r="G114" s="2338"/>
      <c r="H114" s="340"/>
      <c r="I114" s="897"/>
      <c r="J114" s="455"/>
      <c r="K114" s="1668"/>
      <c r="L114" s="340"/>
      <c r="M114" s="901"/>
      <c r="O114" s="1668"/>
      <c r="P114" s="340"/>
      <c r="Q114" s="901"/>
      <c r="R114" s="592"/>
      <c r="S114" s="2341"/>
      <c r="T114" s="340"/>
      <c r="U114" s="2344"/>
      <c r="V114" s="952"/>
      <c r="W114" s="2343"/>
      <c r="X114" s="340"/>
      <c r="Y114" s="2344"/>
      <c r="AA114" s="1668"/>
      <c r="AB114" s="340"/>
      <c r="AC114" s="2344"/>
    </row>
    <row r="115" spans="1:29" s="457" customFormat="1" x14ac:dyDescent="0.25">
      <c r="A115" s="2227"/>
      <c r="B115" s="2337" t="s">
        <v>138</v>
      </c>
      <c r="C115" s="2215"/>
      <c r="D115" s="833">
        <f>D14-D113</f>
        <v>0</v>
      </c>
      <c r="E115" s="1656"/>
      <c r="G115" s="456" t="str">
        <f>IF(D115=0,"0.00%",(H115-D115)/D115)</f>
        <v>0.00%</v>
      </c>
      <c r="H115" s="833">
        <f>H14-H113</f>
        <v>0</v>
      </c>
      <c r="I115" s="897"/>
      <c r="J115" s="455"/>
      <c r="K115" s="456" t="str">
        <f>IF(H115=0,"0.00%",(L115-H115)/H115)</f>
        <v>0.00%</v>
      </c>
      <c r="L115" s="833">
        <f>L14-L113</f>
        <v>0</v>
      </c>
      <c r="M115" s="901"/>
      <c r="O115" s="456" t="str">
        <f>IF(L115=0,"0.00%",(P115-L115)/L115)</f>
        <v>0.00%</v>
      </c>
      <c r="P115" s="833">
        <f>P14-P113</f>
        <v>0</v>
      </c>
      <c r="Q115" s="901"/>
      <c r="R115" s="592"/>
      <c r="S115" s="2238" t="str">
        <f>IF(P115=0,"0.00%",(T115-P115)/P115)</f>
        <v>0.00%</v>
      </c>
      <c r="T115" s="833">
        <f>T14-T113</f>
        <v>0</v>
      </c>
      <c r="U115" s="2344"/>
      <c r="V115" s="952"/>
      <c r="W115" s="2241" t="str">
        <f>IF(T115=0,"0.00%",(X115-T115)/T115)</f>
        <v>0.00%</v>
      </c>
      <c r="X115" s="833">
        <f>X14-X113</f>
        <v>-7274715</v>
      </c>
      <c r="Y115" s="2344"/>
      <c r="AA115" s="456" t="e">
        <f>IF(X115=0,"0.00%",(AB115-X115)/X115)</f>
        <v>#VALUE!</v>
      </c>
      <c r="AB115" s="833" t="e">
        <f>AB14-AB113</f>
        <v>#VALUE!</v>
      </c>
      <c r="AC115" s="2344"/>
    </row>
    <row r="116" spans="1:29" s="457" customFormat="1" x14ac:dyDescent="0.25">
      <c r="A116" s="2215"/>
      <c r="B116" s="2337"/>
      <c r="C116" s="2345"/>
      <c r="D116" s="833"/>
      <c r="E116" s="1656"/>
      <c r="G116" s="2338"/>
      <c r="H116" s="833"/>
      <c r="I116" s="897"/>
      <c r="J116" s="455"/>
      <c r="K116" s="1668"/>
      <c r="L116" s="833"/>
      <c r="M116" s="901"/>
      <c r="O116" s="1668"/>
      <c r="P116" s="833"/>
      <c r="Q116" s="901"/>
      <c r="R116" s="592"/>
      <c r="S116" s="2341"/>
      <c r="T116" s="833"/>
      <c r="U116" s="2344"/>
      <c r="V116" s="952"/>
      <c r="W116" s="2343"/>
      <c r="X116" s="2356"/>
      <c r="Y116" s="2344"/>
      <c r="AA116" s="1668"/>
      <c r="AB116" s="2356"/>
      <c r="AC116" s="2344"/>
    </row>
    <row r="117" spans="1:29" s="457" customFormat="1" x14ac:dyDescent="0.25">
      <c r="A117" s="2215"/>
      <c r="B117" s="2337" t="s">
        <v>136</v>
      </c>
      <c r="C117" s="2394"/>
      <c r="D117" s="833">
        <f>D7+D115</f>
        <v>0</v>
      </c>
      <c r="E117" s="1656"/>
      <c r="G117" s="456" t="str">
        <f>IF(D117=0,"0.00%",(H117-D117)/D117)</f>
        <v>0.00%</v>
      </c>
      <c r="H117" s="833">
        <f>H7+H115</f>
        <v>0</v>
      </c>
      <c r="I117" s="897"/>
      <c r="J117" s="455"/>
      <c r="K117" s="456" t="str">
        <f>IF(H117=0,"0.00%",(L117-H117)/H117)</f>
        <v>0.00%</v>
      </c>
      <c r="L117" s="833">
        <f>L7+L115</f>
        <v>0</v>
      </c>
      <c r="M117" s="901"/>
      <c r="O117" s="456" t="str">
        <f>IF(L117=0,"0.00%",(P117-L117)/L117)</f>
        <v>0.00%</v>
      </c>
      <c r="P117" s="833">
        <f>P7+P115</f>
        <v>0</v>
      </c>
      <c r="Q117" s="901"/>
      <c r="R117" s="592"/>
      <c r="S117" s="2238" t="str">
        <f>IF(P117=0,"0.00%",(T117-P117)/P117)</f>
        <v>0.00%</v>
      </c>
      <c r="T117" s="833">
        <f>T7+T115</f>
        <v>0</v>
      </c>
      <c r="U117" s="2344"/>
      <c r="V117" s="952"/>
      <c r="W117" s="2241" t="str">
        <f>IF(T117=0,"0.00%",(X117-T117)/T117)</f>
        <v>0.00%</v>
      </c>
      <c r="X117" s="2367">
        <f>X7+X115</f>
        <v>-7274715</v>
      </c>
      <c r="Y117" s="2344"/>
      <c r="AA117" s="456" t="e">
        <f>IF(X117=0,"0.00%",(AB117-X117)/X117)</f>
        <v>#VALUE!</v>
      </c>
      <c r="AB117" s="2367" t="e">
        <f>AB7+AB115</f>
        <v>#VALUE!</v>
      </c>
      <c r="AC117" s="2344"/>
    </row>
    <row r="118" spans="1:29" s="457" customFormat="1" x14ac:dyDescent="0.25">
      <c r="A118" s="2215"/>
      <c r="B118" s="2345"/>
      <c r="C118" s="2225"/>
      <c r="D118" s="340"/>
      <c r="E118" s="1656"/>
      <c r="G118" s="2355"/>
      <c r="H118" s="459"/>
      <c r="I118" s="898"/>
      <c r="J118" s="459"/>
      <c r="K118" s="1668"/>
      <c r="L118" s="459"/>
      <c r="M118" s="901"/>
      <c r="O118" s="1668"/>
      <c r="P118" s="459"/>
      <c r="Q118" s="901"/>
      <c r="R118" s="592"/>
      <c r="S118" s="2341"/>
      <c r="T118" s="459"/>
      <c r="U118" s="2344"/>
      <c r="V118" s="952"/>
      <c r="W118" s="2343"/>
      <c r="X118" s="459"/>
      <c r="Y118" s="2344"/>
      <c r="AA118" s="1668"/>
      <c r="AB118" s="459"/>
      <c r="AC118" s="2344"/>
    </row>
    <row r="119" spans="1:29" s="457" customFormat="1" x14ac:dyDescent="0.25">
      <c r="A119" s="2215"/>
      <c r="B119" s="2345"/>
      <c r="C119" s="2230"/>
      <c r="D119" s="340"/>
      <c r="E119" s="1656"/>
      <c r="G119" s="2355"/>
      <c r="H119" s="455"/>
      <c r="I119" s="897"/>
      <c r="J119" s="455"/>
      <c r="K119" s="1668"/>
      <c r="L119" s="340"/>
      <c r="M119" s="901"/>
      <c r="O119" s="1668"/>
      <c r="P119" s="340"/>
      <c r="Q119" s="901"/>
      <c r="R119" s="592"/>
      <c r="S119" s="2341"/>
      <c r="T119" s="340"/>
      <c r="U119" s="2344"/>
      <c r="V119" s="952"/>
      <c r="W119" s="2343"/>
      <c r="X119" s="340"/>
      <c r="Y119" s="2344"/>
      <c r="AA119" s="1668"/>
      <c r="AB119" s="340"/>
      <c r="AC119" s="2344"/>
    </row>
    <row r="120" spans="1:29" s="457" customFormat="1" x14ac:dyDescent="0.25">
      <c r="A120" s="2215"/>
      <c r="B120" s="2345"/>
      <c r="C120" s="2230"/>
      <c r="D120" s="340"/>
      <c r="E120" s="1656"/>
      <c r="G120" s="2355"/>
      <c r="H120" s="455"/>
      <c r="I120" s="897"/>
      <c r="J120" s="455"/>
      <c r="K120" s="1668"/>
      <c r="L120" s="340"/>
      <c r="M120" s="901"/>
      <c r="O120" s="1668"/>
      <c r="P120" s="340"/>
      <c r="Q120" s="901"/>
      <c r="R120" s="592"/>
      <c r="S120" s="2341"/>
      <c r="T120" s="340"/>
      <c r="U120" s="2344"/>
      <c r="V120" s="952"/>
      <c r="W120" s="2343"/>
      <c r="X120" s="340"/>
      <c r="Y120" s="2344"/>
      <c r="AA120" s="1668"/>
      <c r="AB120" s="340"/>
      <c r="AC120" s="2344"/>
    </row>
    <row r="121" spans="1:29" s="457" customFormat="1" x14ac:dyDescent="0.25">
      <c r="A121" s="2215"/>
      <c r="B121" s="2345"/>
      <c r="C121" s="2230"/>
      <c r="D121" s="340"/>
      <c r="E121" s="1656"/>
      <c r="G121" s="2355"/>
      <c r="H121" s="455"/>
      <c r="I121" s="897"/>
      <c r="J121" s="455"/>
      <c r="K121" s="1668"/>
      <c r="L121" s="340"/>
      <c r="M121" s="901"/>
      <c r="O121" s="1668"/>
      <c r="P121" s="340"/>
      <c r="Q121" s="901"/>
      <c r="R121" s="592"/>
      <c r="S121" s="2341"/>
      <c r="T121" s="340"/>
      <c r="U121" s="2344"/>
      <c r="V121" s="952"/>
      <c r="W121" s="2343"/>
      <c r="X121" s="340"/>
      <c r="Y121" s="2344"/>
      <c r="AA121" s="1668"/>
      <c r="AB121" s="340"/>
      <c r="AC121" s="2344"/>
    </row>
    <row r="122" spans="1:29" s="457" customFormat="1" x14ac:dyDescent="0.25">
      <c r="A122" s="2215"/>
      <c r="B122" s="2345"/>
      <c r="C122" s="2230"/>
      <c r="D122" s="340"/>
      <c r="E122" s="1656"/>
      <c r="G122" s="2355"/>
      <c r="H122" s="455"/>
      <c r="I122" s="897"/>
      <c r="J122" s="455"/>
      <c r="K122" s="1668"/>
      <c r="L122" s="340"/>
      <c r="M122" s="901"/>
      <c r="O122" s="1668"/>
      <c r="P122" s="340"/>
      <c r="Q122" s="901"/>
      <c r="R122" s="592"/>
      <c r="S122" s="2341"/>
      <c r="T122" s="340"/>
      <c r="U122" s="2344"/>
      <c r="V122" s="952"/>
      <c r="W122" s="2343"/>
      <c r="X122" s="340"/>
      <c r="Y122" s="2344"/>
      <c r="AA122" s="1668"/>
      <c r="AB122" s="340"/>
      <c r="AC122" s="2344"/>
    </row>
    <row r="123" spans="1:29" s="2402" customFormat="1" ht="11.25" x14ac:dyDescent="0.2">
      <c r="A123" s="2232"/>
      <c r="B123" s="2395"/>
      <c r="C123" s="2396" t="s">
        <v>263</v>
      </c>
      <c r="D123" s="2397">
        <f>+D103+D85+D72+D60+D40+D110</f>
        <v>15068653.699999999</v>
      </c>
      <c r="E123" s="2363"/>
      <c r="G123" s="2399" t="s">
        <v>263</v>
      </c>
      <c r="H123" s="2397">
        <f>+H103+H85+H72+H60+H40+H110</f>
        <v>16692030</v>
      </c>
      <c r="I123" s="2400"/>
      <c r="J123" s="607"/>
      <c r="K123" s="2399" t="s">
        <v>263</v>
      </c>
      <c r="L123" s="2397">
        <f>+L103+L85+L72+L60+L40+L110</f>
        <v>18059692</v>
      </c>
      <c r="M123" s="2404"/>
      <c r="O123" s="2399" t="s">
        <v>263</v>
      </c>
      <c r="P123" s="2397">
        <f>+P103+P85+P72+P60+P40+P110</f>
        <v>18423637</v>
      </c>
      <c r="Q123" s="2404"/>
      <c r="R123" s="608"/>
      <c r="S123" s="2405" t="s">
        <v>263</v>
      </c>
      <c r="T123" s="2397">
        <f>+T103+T85+T72+T60+T40+T110</f>
        <v>18813803</v>
      </c>
      <c r="U123" s="2409"/>
      <c r="V123" s="2407"/>
      <c r="W123" s="2408" t="s">
        <v>263</v>
      </c>
      <c r="X123" s="2397">
        <f>+X103+X85+X72+X60+X40+X110</f>
        <v>12185495</v>
      </c>
      <c r="Y123" s="2409"/>
      <c r="AA123" s="2399" t="s">
        <v>263</v>
      </c>
      <c r="AB123" s="2397" t="e">
        <f>+AB103+AB85+AB72+AB60+AB40+AB110</f>
        <v>#VALUE!</v>
      </c>
      <c r="AC123" s="2409"/>
    </row>
    <row r="124" spans="1:29" s="2402" customFormat="1" ht="11.25" x14ac:dyDescent="0.2">
      <c r="A124" s="2233"/>
      <c r="B124" s="2395"/>
      <c r="C124" s="2411" t="s">
        <v>222</v>
      </c>
      <c r="D124" s="2412">
        <f>+D16</f>
        <v>415500.44</v>
      </c>
      <c r="E124" s="2419"/>
      <c r="F124" s="2410"/>
      <c r="G124" s="2415" t="s">
        <v>222</v>
      </c>
      <c r="H124" s="2412">
        <f>+H16</f>
        <v>550582</v>
      </c>
      <c r="I124" s="2398"/>
      <c r="J124" s="608"/>
      <c r="K124" s="2415" t="s">
        <v>222</v>
      </c>
      <c r="L124" s="2412">
        <f>+L16</f>
        <v>701518</v>
      </c>
      <c r="M124" s="2404"/>
      <c r="O124" s="2415" t="s">
        <v>222</v>
      </c>
      <c r="P124" s="2412">
        <f>+P16</f>
        <v>602498</v>
      </c>
      <c r="Q124" s="2363"/>
      <c r="R124" s="608"/>
      <c r="S124" s="2416" t="s">
        <v>222</v>
      </c>
      <c r="T124" s="2412">
        <f>+T16</f>
        <v>516518</v>
      </c>
      <c r="V124" s="2407"/>
      <c r="W124" s="2417" t="s">
        <v>222</v>
      </c>
      <c r="X124" s="2412">
        <f>+X16</f>
        <v>298160</v>
      </c>
      <c r="AA124" s="2415" t="s">
        <v>222</v>
      </c>
      <c r="AB124" s="2412" t="e">
        <f>+AB16</f>
        <v>#VALUE!</v>
      </c>
    </row>
    <row r="125" spans="1:29" s="2402" customFormat="1" ht="11.25" x14ac:dyDescent="0.2">
      <c r="A125" s="2233"/>
      <c r="B125" s="2395"/>
      <c r="C125" s="2411"/>
      <c r="D125" s="2418">
        <f>+D123+D124</f>
        <v>15484154.139999999</v>
      </c>
      <c r="E125" s="2419"/>
      <c r="F125" s="2410"/>
      <c r="G125" s="2415"/>
      <c r="H125" s="2418">
        <f>+H123+H124</f>
        <v>17242612</v>
      </c>
      <c r="I125" s="2398"/>
      <c r="J125" s="608"/>
      <c r="K125" s="2415"/>
      <c r="L125" s="2418">
        <f>+L123+L124</f>
        <v>18761210</v>
      </c>
      <c r="M125" s="2363"/>
      <c r="O125" s="2415"/>
      <c r="P125" s="2418">
        <f>+P123+P124</f>
        <v>19026135</v>
      </c>
      <c r="Q125" s="2363"/>
      <c r="R125" s="608"/>
      <c r="S125" s="2416"/>
      <c r="T125" s="2418">
        <f>+T123+T124</f>
        <v>19330321</v>
      </c>
      <c r="V125" s="2407"/>
      <c r="W125" s="2417"/>
      <c r="X125" s="2418">
        <f>+X123+X124</f>
        <v>12483655</v>
      </c>
      <c r="AA125" s="2415"/>
      <c r="AB125" s="2418" t="e">
        <f>+AB123+AB124</f>
        <v>#VALUE!</v>
      </c>
    </row>
    <row r="126" spans="1:29" s="457" customFormat="1" ht="15" customHeight="1" x14ac:dyDescent="0.25">
      <c r="A126" s="2227"/>
      <c r="B126" s="2422"/>
      <c r="C126" s="2422"/>
      <c r="D126" s="459">
        <f>+D113-D125</f>
        <v>0</v>
      </c>
      <c r="E126" s="2386"/>
      <c r="F126" s="340"/>
      <c r="G126" s="2447"/>
      <c r="H126" s="459">
        <f>+H113-H125</f>
        <v>0</v>
      </c>
      <c r="I126" s="2339"/>
      <c r="J126" s="592"/>
      <c r="K126" s="2447"/>
      <c r="L126" s="459">
        <f>+L113-L125</f>
        <v>0</v>
      </c>
      <c r="M126" s="1656"/>
      <c r="O126" s="2447"/>
      <c r="P126" s="459">
        <f>+P113-P125</f>
        <v>0</v>
      </c>
      <c r="Q126" s="1656"/>
      <c r="R126" s="592"/>
      <c r="S126" s="2447"/>
      <c r="T126" s="459">
        <f>+T113-T125</f>
        <v>0</v>
      </c>
      <c r="V126" s="952"/>
      <c r="W126" s="2448"/>
      <c r="X126" s="459">
        <f>+X113-X125</f>
        <v>0</v>
      </c>
      <c r="AA126" s="2447"/>
      <c r="AB126" s="459" t="e">
        <f>+AB113-AB125</f>
        <v>#VALUE!</v>
      </c>
    </row>
    <row r="127" spans="1:29" s="457" customFormat="1" x14ac:dyDescent="0.25">
      <c r="A127" s="2227"/>
      <c r="B127" s="2422"/>
      <c r="C127" s="2422"/>
      <c r="D127" s="455"/>
      <c r="E127" s="2386"/>
      <c r="F127" s="340"/>
      <c r="G127" s="2338"/>
      <c r="H127" s="2424"/>
      <c r="I127" s="2339"/>
      <c r="J127" s="592"/>
      <c r="K127" s="1668"/>
      <c r="L127" s="2370"/>
      <c r="M127" s="1656"/>
      <c r="O127" s="1668"/>
      <c r="P127" s="340"/>
      <c r="Q127" s="1656"/>
      <c r="R127" s="592"/>
      <c r="S127" s="2341"/>
      <c r="T127" s="340"/>
      <c r="V127" s="952"/>
      <c r="W127" s="2343"/>
      <c r="AA127" s="1668"/>
    </row>
    <row r="128" spans="1:29" s="457" customFormat="1" x14ac:dyDescent="0.25">
      <c r="A128" s="2227"/>
      <c r="B128" s="2394"/>
      <c r="C128" s="2230"/>
      <c r="D128" s="342"/>
      <c r="E128" s="2386"/>
      <c r="F128" s="340"/>
      <c r="G128" s="2338"/>
      <c r="H128" s="2424"/>
      <c r="I128" s="2339"/>
      <c r="J128" s="592"/>
      <c r="K128" s="1668"/>
      <c r="L128" s="2370"/>
      <c r="M128" s="1656"/>
      <c r="O128" s="1668"/>
      <c r="P128" s="340"/>
      <c r="Q128" s="1656"/>
      <c r="R128" s="592"/>
      <c r="S128" s="2341"/>
      <c r="T128" s="340"/>
      <c r="V128" s="952"/>
      <c r="W128" s="2343"/>
      <c r="AA128" s="1668"/>
    </row>
    <row r="129" spans="1:27" s="457" customFormat="1" x14ac:dyDescent="0.25">
      <c r="A129" s="2215"/>
      <c r="B129" s="2394"/>
      <c r="C129" s="2230"/>
      <c r="D129" s="455"/>
      <c r="R129" s="592"/>
      <c r="S129" s="2341"/>
      <c r="T129" s="340"/>
      <c r="V129" s="952"/>
      <c r="W129" s="2343"/>
      <c r="AA129" s="1668"/>
    </row>
    <row r="130" spans="1:27" s="457" customFormat="1" x14ac:dyDescent="0.25">
      <c r="A130" s="2215"/>
      <c r="B130" s="2394"/>
      <c r="C130" s="2230"/>
      <c r="D130" s="455"/>
      <c r="R130" s="592"/>
      <c r="S130" s="2341"/>
      <c r="T130" s="340"/>
      <c r="V130" s="952"/>
      <c r="W130" s="2343"/>
      <c r="AA130" s="1668"/>
    </row>
    <row r="131" spans="1:27" s="457" customFormat="1" ht="15" customHeight="1" x14ac:dyDescent="0.25">
      <c r="A131" s="2215"/>
      <c r="B131" s="2394"/>
      <c r="C131" s="2230"/>
      <c r="D131" s="455"/>
      <c r="R131" s="592"/>
      <c r="S131" s="2341"/>
      <c r="T131" s="340"/>
      <c r="V131" s="952"/>
      <c r="W131" s="2343"/>
      <c r="AA131" s="1668"/>
    </row>
    <row r="132" spans="1:27" x14ac:dyDescent="0.25">
      <c r="A132" s="2176"/>
      <c r="B132" s="2173"/>
      <c r="C132" s="2179"/>
      <c r="D132" s="36"/>
      <c r="E132" s="39"/>
      <c r="G132" s="39"/>
      <c r="H132" s="39"/>
      <c r="I132" s="39"/>
      <c r="J132" s="39"/>
      <c r="K132" s="39"/>
      <c r="L132" s="39"/>
      <c r="M132" s="39"/>
      <c r="O132" s="39"/>
      <c r="P132" s="39"/>
      <c r="Q132" s="39"/>
    </row>
    <row r="133" spans="1:27" x14ac:dyDescent="0.25">
      <c r="A133" s="2176"/>
      <c r="B133" s="2173"/>
      <c r="C133" s="2179"/>
      <c r="D133" s="36"/>
      <c r="E133" s="39"/>
      <c r="G133" s="39"/>
      <c r="H133" s="39"/>
      <c r="I133" s="39"/>
      <c r="J133" s="39"/>
      <c r="K133" s="39"/>
      <c r="L133" s="39"/>
      <c r="M133" s="39"/>
      <c r="O133" s="39"/>
      <c r="P133" s="39"/>
      <c r="Q133" s="39"/>
    </row>
    <row r="134" spans="1:27" ht="15" customHeight="1" x14ac:dyDescent="0.25">
      <c r="A134" s="2176"/>
      <c r="B134" s="2571"/>
      <c r="C134" s="2571"/>
      <c r="D134" s="36"/>
      <c r="E134" s="39"/>
      <c r="G134" s="39"/>
      <c r="H134" s="39"/>
      <c r="I134" s="39"/>
      <c r="J134" s="39"/>
      <c r="K134" s="39"/>
      <c r="L134" s="39"/>
      <c r="M134" s="39"/>
      <c r="O134" s="39"/>
      <c r="P134" s="39"/>
      <c r="Q134" s="39"/>
    </row>
    <row r="135" spans="1:27" x14ac:dyDescent="0.25">
      <c r="A135" s="2176"/>
      <c r="B135" s="2571"/>
      <c r="C135" s="2571"/>
      <c r="D135" s="36"/>
      <c r="E135" s="39"/>
      <c r="G135" s="39"/>
      <c r="H135" s="39"/>
      <c r="I135" s="39"/>
      <c r="J135" s="39"/>
      <c r="K135" s="39"/>
      <c r="L135" s="39"/>
      <c r="M135" s="39"/>
      <c r="O135" s="39"/>
      <c r="P135" s="39"/>
      <c r="Q135" s="39"/>
    </row>
    <row r="136" spans="1:27" x14ac:dyDescent="0.25">
      <c r="A136" s="2176"/>
      <c r="B136" s="2173"/>
      <c r="C136" s="2179"/>
      <c r="D136" s="6"/>
      <c r="E136" s="39"/>
      <c r="G136" s="39"/>
      <c r="H136" s="39"/>
      <c r="I136" s="39"/>
      <c r="J136" s="39"/>
      <c r="K136" s="39"/>
      <c r="L136" s="39"/>
      <c r="M136" s="39"/>
      <c r="O136" s="39"/>
      <c r="P136" s="39"/>
      <c r="Q136" s="39"/>
    </row>
    <row r="137" spans="1:27" x14ac:dyDescent="0.25">
      <c r="A137" s="2176"/>
      <c r="B137" s="2173"/>
      <c r="C137" s="2179"/>
      <c r="D137" s="36"/>
      <c r="E137" s="39"/>
      <c r="G137" s="39"/>
      <c r="H137" s="39"/>
      <c r="I137" s="39"/>
      <c r="J137" s="39"/>
      <c r="K137" s="39"/>
      <c r="L137" s="39"/>
      <c r="M137" s="39"/>
      <c r="O137" s="39"/>
      <c r="P137" s="39"/>
      <c r="Q137" s="39"/>
    </row>
    <row r="138" spans="1:27" x14ac:dyDescent="0.25">
      <c r="A138" s="2176"/>
      <c r="B138" s="2173"/>
      <c r="C138" s="2179"/>
      <c r="D138" s="36"/>
      <c r="E138" s="39"/>
      <c r="G138" s="39"/>
      <c r="H138" s="39"/>
      <c r="I138" s="39"/>
      <c r="J138" s="39"/>
      <c r="K138" s="39"/>
      <c r="L138" s="39"/>
      <c r="M138" s="39"/>
      <c r="O138" s="39"/>
      <c r="P138" s="39"/>
      <c r="Q138" s="39"/>
    </row>
    <row r="139" spans="1:27" ht="28.5" customHeight="1" x14ac:dyDescent="0.25">
      <c r="A139" s="2176"/>
      <c r="B139" s="2173"/>
      <c r="C139" s="2179"/>
      <c r="D139" s="25"/>
      <c r="E139" s="39"/>
      <c r="G139" s="39"/>
      <c r="H139" s="39"/>
      <c r="I139" s="39"/>
      <c r="J139" s="39"/>
      <c r="K139" s="39"/>
      <c r="L139" s="39"/>
      <c r="M139" s="39"/>
      <c r="O139" s="39"/>
      <c r="P139" s="39"/>
      <c r="Q139" s="39"/>
    </row>
    <row r="140" spans="1:27" x14ac:dyDescent="0.25">
      <c r="A140" s="2176"/>
      <c r="B140" s="2173"/>
      <c r="C140" s="2179"/>
      <c r="D140" s="36"/>
      <c r="E140" s="39"/>
      <c r="G140" s="39"/>
      <c r="H140" s="39"/>
      <c r="I140" s="39"/>
      <c r="J140" s="39"/>
      <c r="K140" s="39"/>
      <c r="L140" s="39"/>
      <c r="M140" s="39"/>
      <c r="O140" s="39"/>
      <c r="P140" s="39"/>
      <c r="Q140" s="39"/>
    </row>
    <row r="141" spans="1:27" x14ac:dyDescent="0.25">
      <c r="A141" s="2176"/>
      <c r="B141" s="2173"/>
      <c r="C141" s="2179"/>
      <c r="D141" s="36"/>
      <c r="E141" s="39"/>
      <c r="G141" s="39"/>
      <c r="H141" s="39"/>
      <c r="I141" s="39"/>
      <c r="J141" s="39"/>
      <c r="K141" s="39"/>
      <c r="L141" s="39"/>
      <c r="M141" s="39"/>
      <c r="O141" s="39"/>
      <c r="P141" s="39"/>
      <c r="Q141" s="39"/>
    </row>
    <row r="142" spans="1:27" x14ac:dyDescent="0.25">
      <c r="A142" s="2176"/>
      <c r="B142" s="2173"/>
      <c r="C142" s="2179"/>
      <c r="D142" s="36"/>
      <c r="E142" s="39"/>
      <c r="G142" s="39"/>
      <c r="H142" s="39"/>
      <c r="I142" s="39"/>
      <c r="J142" s="39"/>
      <c r="K142" s="39"/>
      <c r="L142" s="39"/>
      <c r="M142" s="39"/>
      <c r="O142" s="39"/>
      <c r="P142" s="39"/>
      <c r="Q142" s="39"/>
    </row>
    <row r="143" spans="1:27" x14ac:dyDescent="0.25">
      <c r="A143" s="2176"/>
      <c r="B143" s="2173"/>
      <c r="C143" s="2179"/>
      <c r="D143" s="36"/>
      <c r="E143" s="39"/>
      <c r="G143" s="39"/>
      <c r="H143" s="39"/>
      <c r="I143" s="39"/>
      <c r="J143" s="39"/>
      <c r="K143" s="39"/>
      <c r="L143" s="39"/>
      <c r="M143" s="39"/>
      <c r="O143" s="39"/>
      <c r="P143" s="39"/>
      <c r="Q143" s="39"/>
    </row>
    <row r="144" spans="1:27" x14ac:dyDescent="0.25">
      <c r="A144" s="2176"/>
      <c r="B144" s="2173"/>
      <c r="C144" s="2179"/>
      <c r="D144" s="36"/>
      <c r="E144" s="39"/>
      <c r="G144" s="39"/>
      <c r="H144" s="39"/>
      <c r="I144" s="39"/>
      <c r="J144" s="39"/>
      <c r="K144" s="39"/>
      <c r="L144" s="39"/>
      <c r="M144" s="39"/>
      <c r="O144" s="39"/>
      <c r="P144" s="39"/>
      <c r="Q144" s="39"/>
    </row>
    <row r="145" spans="1:17" x14ac:dyDescent="0.25">
      <c r="A145" s="2176"/>
      <c r="B145" s="2173"/>
      <c r="C145" s="2179"/>
      <c r="D145" s="36"/>
      <c r="E145" s="39"/>
      <c r="G145" s="39"/>
      <c r="H145" s="39"/>
      <c r="I145" s="39"/>
      <c r="J145" s="39"/>
      <c r="K145" s="39"/>
      <c r="L145" s="39"/>
      <c r="M145" s="39"/>
      <c r="O145" s="39"/>
      <c r="P145" s="39"/>
      <c r="Q145" s="39"/>
    </row>
    <row r="146" spans="1:17" x14ac:dyDescent="0.25">
      <c r="A146" s="2176"/>
      <c r="B146" s="2173"/>
      <c r="C146" s="2179"/>
      <c r="D146" s="36"/>
      <c r="E146" s="39"/>
      <c r="G146" s="39"/>
      <c r="H146" s="39"/>
      <c r="I146" s="39"/>
      <c r="J146" s="39"/>
      <c r="K146" s="39"/>
      <c r="L146" s="39"/>
      <c r="M146" s="39"/>
      <c r="O146" s="39"/>
      <c r="P146" s="39"/>
      <c r="Q146" s="39"/>
    </row>
    <row r="147" spans="1:17" x14ac:dyDescent="0.25">
      <c r="A147" s="2176"/>
      <c r="B147" s="2173"/>
      <c r="C147" s="2179"/>
      <c r="D147" s="36"/>
      <c r="E147" s="39"/>
      <c r="G147" s="39"/>
      <c r="H147" s="39"/>
      <c r="I147" s="39"/>
      <c r="J147" s="39"/>
      <c r="K147" s="39"/>
      <c r="L147" s="39"/>
      <c r="M147" s="39"/>
      <c r="O147" s="39"/>
      <c r="P147" s="39"/>
      <c r="Q147" s="39"/>
    </row>
    <row r="148" spans="1:17" x14ac:dyDescent="0.25">
      <c r="A148" s="2176"/>
      <c r="B148" s="2173"/>
      <c r="C148" s="2179"/>
      <c r="D148" s="36"/>
      <c r="E148" s="39"/>
      <c r="G148" s="39"/>
      <c r="H148" s="39"/>
      <c r="I148" s="39"/>
      <c r="J148" s="39"/>
      <c r="K148" s="39"/>
      <c r="L148" s="39"/>
      <c r="M148" s="39"/>
      <c r="O148" s="39"/>
      <c r="P148" s="39"/>
      <c r="Q148" s="39"/>
    </row>
    <row r="149" spans="1:17" x14ac:dyDescent="0.25">
      <c r="A149" s="2176"/>
      <c r="B149" s="2173"/>
      <c r="C149" s="2179"/>
      <c r="D149" s="36"/>
      <c r="E149" s="39"/>
      <c r="G149" s="39"/>
      <c r="H149" s="39"/>
      <c r="I149" s="39"/>
      <c r="J149" s="39"/>
      <c r="K149" s="39"/>
      <c r="L149" s="39"/>
      <c r="M149" s="39"/>
      <c r="O149" s="39"/>
      <c r="P149" s="39"/>
      <c r="Q149" s="39"/>
    </row>
    <row r="150" spans="1:17" x14ac:dyDescent="0.25">
      <c r="A150" s="2176"/>
      <c r="B150" s="2173"/>
      <c r="C150" s="2179"/>
      <c r="D150" s="36"/>
      <c r="E150" s="39"/>
      <c r="G150" s="39"/>
      <c r="H150" s="39"/>
      <c r="I150" s="39"/>
      <c r="J150" s="39"/>
      <c r="K150" s="39"/>
      <c r="L150" s="39"/>
      <c r="M150" s="39"/>
      <c r="O150" s="39"/>
      <c r="P150" s="39"/>
      <c r="Q150" s="39"/>
    </row>
    <row r="151" spans="1:17" x14ac:dyDescent="0.25">
      <c r="A151" s="2176"/>
      <c r="B151" s="2173"/>
      <c r="C151" s="2179"/>
      <c r="D151" s="36"/>
      <c r="E151" s="39"/>
      <c r="G151" s="39"/>
      <c r="H151" s="39"/>
      <c r="I151" s="39"/>
      <c r="J151" s="39"/>
      <c r="K151" s="39"/>
      <c r="L151" s="39"/>
      <c r="M151" s="39"/>
      <c r="O151" s="39"/>
      <c r="P151" s="39"/>
      <c r="Q151" s="39"/>
    </row>
    <row r="152" spans="1:17" x14ac:dyDescent="0.25">
      <c r="A152" s="2176"/>
      <c r="B152" s="2173"/>
      <c r="C152" s="2179"/>
      <c r="D152" s="36"/>
      <c r="E152" s="39"/>
      <c r="G152" s="39"/>
      <c r="H152" s="39"/>
      <c r="I152" s="39"/>
      <c r="J152" s="39"/>
      <c r="K152" s="39"/>
      <c r="L152" s="39"/>
      <c r="M152" s="39"/>
      <c r="O152" s="39"/>
      <c r="P152" s="39"/>
      <c r="Q152" s="39"/>
    </row>
    <row r="153" spans="1:17" x14ac:dyDescent="0.25">
      <c r="A153" s="2176"/>
      <c r="B153" s="2173"/>
      <c r="C153" s="2179"/>
      <c r="D153" s="36"/>
      <c r="E153" s="39"/>
      <c r="G153" s="39"/>
      <c r="H153" s="39"/>
      <c r="I153" s="39"/>
      <c r="J153" s="39"/>
      <c r="K153" s="39"/>
      <c r="L153" s="39"/>
      <c r="M153" s="39"/>
      <c r="O153" s="39"/>
      <c r="P153" s="39"/>
      <c r="Q153" s="39"/>
    </row>
    <row r="154" spans="1:17" x14ac:dyDescent="0.25">
      <c r="A154" s="2176"/>
      <c r="B154" s="2173"/>
      <c r="C154" s="2179"/>
      <c r="D154" s="36"/>
      <c r="E154" s="39"/>
      <c r="G154" s="39"/>
      <c r="H154" s="39"/>
      <c r="I154" s="39"/>
      <c r="J154" s="39"/>
      <c r="K154" s="39"/>
      <c r="L154" s="39"/>
      <c r="M154" s="39"/>
      <c r="O154" s="39"/>
      <c r="P154" s="39"/>
      <c r="Q154" s="39"/>
    </row>
  </sheetData>
  <sheetProtection password="E247" sheet="1" objects="1" scenarios="1"/>
  <mergeCells count="1">
    <mergeCell ref="B134:C135"/>
  </mergeCells>
  <pageMargins left="0.25" right="0.25" top="0.5" bottom="0.5" header="0.25" footer="0.25"/>
  <pageSetup paperSize="5" scale="53" orientation="portrait" r:id="rId1"/>
  <headerFooter>
    <oddHeader>&amp;L&amp;F</oddHeader>
    <oddFooter>&amp;R&amp;A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C131"/>
  <sheetViews>
    <sheetView zoomScaleNormal="100" workbookViewId="0">
      <pane xSplit="3" ySplit="6" topLeftCell="H7" activePane="bottomRight" state="frozen"/>
      <selection activeCell="H7" sqref="H7"/>
      <selection pane="topRight" activeCell="H7" sqref="H7"/>
      <selection pane="bottomLeft" activeCell="H7" sqref="H7"/>
      <selection pane="bottomRight" activeCell="H7" sqref="H7"/>
    </sheetView>
  </sheetViews>
  <sheetFormatPr defaultRowHeight="15" x14ac:dyDescent="0.25"/>
  <cols>
    <col min="1" max="1" width="1.7109375" style="2213" customWidth="1"/>
    <col min="2" max="2" width="8.5703125" style="2172" customWidth="1"/>
    <col min="3" max="3" width="18.28515625" style="2176" customWidth="1"/>
    <col min="4" max="4" width="16" style="2" hidden="1" customWidth="1"/>
    <col min="5" max="5" width="17.7109375" style="844" hidden="1" customWidth="1"/>
    <col min="6" max="6" width="6.7109375" style="39" hidden="1" customWidth="1"/>
    <col min="7" max="7" width="9.42578125" style="52" hidden="1" customWidth="1"/>
    <col min="8" max="8" width="13.85546875" style="121" bestFit="1" customWidth="1"/>
    <col min="9" max="9" width="26" style="853" hidden="1" customWidth="1"/>
    <col min="10" max="10" width="5.7109375" style="59" hidden="1" customWidth="1"/>
    <col min="11" max="11" width="8.7109375" style="333" hidden="1" customWidth="1"/>
    <col min="12" max="12" width="14" style="122" bestFit="1" customWidth="1"/>
    <col min="13" max="13" width="26" style="844" hidden="1" customWidth="1"/>
    <col min="14" max="14" width="5.7109375" style="39" hidden="1" customWidth="1"/>
    <col min="15" max="15" width="9.42578125" style="333" hidden="1" customWidth="1"/>
    <col min="16" max="16" width="14" style="2" bestFit="1" customWidth="1"/>
    <col min="17" max="17" width="24.85546875" style="844" hidden="1" customWidth="1"/>
    <col min="18" max="18" width="5.28515625" style="51" hidden="1" customWidth="1"/>
    <col min="19" max="19" width="9.42578125" style="338" hidden="1" customWidth="1"/>
    <col min="20" max="20" width="14" style="39" customWidth="1"/>
    <col min="21" max="21" width="24.85546875" style="39" hidden="1" customWidth="1"/>
    <col min="22" max="22" width="5.7109375" style="109" customWidth="1"/>
    <col min="23" max="23" width="9.42578125" style="2244" hidden="1" customWidth="1"/>
    <col min="24" max="24" width="14" style="39" hidden="1" customWidth="1"/>
    <col min="25" max="25" width="24.85546875" style="39" hidden="1" customWidth="1"/>
    <col min="26" max="26" width="5.7109375" style="39" hidden="1" customWidth="1"/>
    <col min="27" max="27" width="9.42578125" style="333" hidden="1" customWidth="1"/>
    <col min="28" max="28" width="14" style="39" hidden="1" customWidth="1"/>
    <col min="29" max="29" width="24.85546875" style="39" hidden="1" customWidth="1"/>
    <col min="30" max="16384" width="9.140625" style="39"/>
  </cols>
  <sheetData>
    <row r="1" spans="1:29" x14ac:dyDescent="0.25">
      <c r="B1" s="2172" t="s">
        <v>61</v>
      </c>
      <c r="C1" s="2178" t="s">
        <v>265</v>
      </c>
      <c r="D1" s="933"/>
      <c r="E1" s="842"/>
      <c r="F1" s="98"/>
      <c r="G1" s="325"/>
      <c r="H1" s="934"/>
      <c r="I1" s="842"/>
      <c r="K1" s="338"/>
      <c r="L1" s="121"/>
      <c r="M1" s="842"/>
      <c r="N1" s="51"/>
      <c r="O1" s="338"/>
      <c r="P1" s="121"/>
      <c r="Q1" s="842"/>
      <c r="T1" s="86">
        <v>0</v>
      </c>
      <c r="U1" s="98"/>
      <c r="X1" s="86">
        <v>0</v>
      </c>
      <c r="Y1" s="98"/>
      <c r="AB1" s="86">
        <v>0</v>
      </c>
      <c r="AC1" s="98"/>
    </row>
    <row r="2" spans="1:29" ht="17.25" x14ac:dyDescent="0.4">
      <c r="B2" s="2173" t="s">
        <v>59</v>
      </c>
      <c r="C2" s="2177">
        <v>6512</v>
      </c>
      <c r="D2" s="934"/>
      <c r="E2" s="842"/>
      <c r="F2" s="98"/>
      <c r="G2" s="1663"/>
      <c r="H2" s="934"/>
      <c r="I2" s="842"/>
      <c r="K2" s="338"/>
      <c r="L2" s="87"/>
      <c r="M2" s="842"/>
      <c r="N2" s="51"/>
      <c r="O2" s="338"/>
      <c r="P2" s="87"/>
      <c r="Q2" s="842"/>
      <c r="T2" s="87">
        <v>0</v>
      </c>
      <c r="U2" s="98"/>
      <c r="X2" s="87">
        <v>0</v>
      </c>
      <c r="Y2" s="98"/>
      <c r="AB2" s="87">
        <v>0</v>
      </c>
      <c r="AC2" s="98"/>
    </row>
    <row r="3" spans="1:29" x14ac:dyDescent="0.25">
      <c r="D3" s="935"/>
      <c r="E3" s="852"/>
      <c r="F3" s="936"/>
      <c r="G3" s="1664"/>
      <c r="H3" s="935"/>
      <c r="I3" s="852"/>
      <c r="K3" s="338"/>
      <c r="L3" s="121"/>
      <c r="M3" s="853"/>
      <c r="N3" s="51"/>
      <c r="O3" s="338"/>
      <c r="P3" s="121"/>
      <c r="Q3" s="853"/>
      <c r="T3" s="86">
        <f>SUM(T1:T2)</f>
        <v>0</v>
      </c>
      <c r="U3" s="51"/>
      <c r="X3" s="86">
        <f>SUM(X1:X2)</f>
        <v>0</v>
      </c>
      <c r="Y3" s="51"/>
      <c r="AB3" s="86">
        <f>SUM(AB1:AB2)</f>
        <v>0</v>
      </c>
      <c r="AC3" s="51"/>
    </row>
    <row r="4" spans="1:29" x14ac:dyDescent="0.25">
      <c r="L4" s="121"/>
      <c r="M4" s="853"/>
      <c r="P4" s="121"/>
      <c r="Q4" s="853"/>
      <c r="T4" s="86"/>
      <c r="U4" s="51"/>
      <c r="X4" s="86"/>
      <c r="Y4" s="51"/>
      <c r="AB4" s="86"/>
      <c r="AC4" s="51"/>
    </row>
    <row r="5" spans="1:29" ht="15.75" x14ac:dyDescent="0.25">
      <c r="B5" s="2174" t="s">
        <v>56</v>
      </c>
      <c r="P5" s="122">
        <f>P89</f>
        <v>0</v>
      </c>
      <c r="T5" s="122">
        <f>T89</f>
        <v>0</v>
      </c>
      <c r="X5" s="73"/>
      <c r="AB5" s="73"/>
    </row>
    <row r="6" spans="1:29" s="89" customFormat="1" ht="15.75" x14ac:dyDescent="0.25">
      <c r="A6" s="2214"/>
      <c r="B6" s="2175"/>
      <c r="C6" s="2175"/>
      <c r="D6" s="243" t="s">
        <v>55</v>
      </c>
      <c r="E6" s="845"/>
      <c r="G6" s="327"/>
      <c r="H6" s="282" t="str">
        <f>LEFT(D6,4)+1&amp;"-"&amp;RIGHT(D6,4)+1</f>
        <v>2017-2018</v>
      </c>
      <c r="I6" s="854"/>
      <c r="J6" s="93"/>
      <c r="K6" s="334"/>
      <c r="L6" s="123" t="str">
        <f>LEFT(H6,4)+1&amp;"-"&amp;RIGHT(H6,4)+1</f>
        <v>2018-2019</v>
      </c>
      <c r="M6" s="888"/>
      <c r="N6" s="96"/>
      <c r="O6" s="337"/>
      <c r="P6" s="123" t="str">
        <f>LEFT(L6,4)+1&amp;"-"&amp;RIGHT(L6,4)+1</f>
        <v>2019-2020</v>
      </c>
      <c r="Q6" s="888"/>
      <c r="R6" s="2237"/>
      <c r="S6" s="2242"/>
      <c r="T6" s="95" t="str">
        <f>LEFT(P6,4)+1&amp;"-"&amp;RIGHT(P6,4)+1</f>
        <v>2020-2021</v>
      </c>
      <c r="U6" s="95"/>
      <c r="V6" s="110"/>
      <c r="W6" s="2245"/>
      <c r="X6" s="95" t="str">
        <f>LEFT(T6,4)+1&amp;"-"&amp;RIGHT(T6,4)+1</f>
        <v>2021-2022</v>
      </c>
      <c r="Y6" s="95"/>
      <c r="Z6" s="96"/>
      <c r="AA6" s="337"/>
      <c r="AB6" s="95" t="str">
        <f>LEFT(X6,4)+1&amp;"-"&amp;RIGHT(X6,4)+1</f>
        <v>2022-2023</v>
      </c>
      <c r="AC6" s="95"/>
    </row>
    <row r="7" spans="1:29" s="457" customFormat="1" x14ac:dyDescent="0.25">
      <c r="A7" s="2215"/>
      <c r="B7" s="2337" t="s">
        <v>54</v>
      </c>
      <c r="C7" s="2215"/>
      <c r="D7" s="340">
        <v>0</v>
      </c>
      <c r="E7" s="1656"/>
      <c r="G7" s="2338"/>
      <c r="H7" s="340">
        <f>D89</f>
        <v>0</v>
      </c>
      <c r="I7" s="1656"/>
      <c r="J7" s="599"/>
      <c r="K7" s="1668"/>
      <c r="L7" s="340">
        <f>H89</f>
        <v>0</v>
      </c>
      <c r="M7" s="1656"/>
      <c r="O7" s="1668"/>
      <c r="P7" s="340">
        <f>L89</f>
        <v>0</v>
      </c>
      <c r="Q7" s="1656"/>
      <c r="R7" s="592"/>
      <c r="S7" s="2341"/>
      <c r="T7" s="340">
        <f>P89</f>
        <v>0</v>
      </c>
      <c r="V7" s="952"/>
      <c r="W7" s="2343"/>
      <c r="X7" s="340">
        <f>T89</f>
        <v>0</v>
      </c>
      <c r="AA7" s="1668"/>
      <c r="AB7" s="340">
        <f>X89</f>
        <v>-9803</v>
      </c>
    </row>
    <row r="8" spans="1:29" s="457" customFormat="1" x14ac:dyDescent="0.25">
      <c r="A8" s="2215"/>
      <c r="B8" s="2345"/>
      <c r="C8" s="2215"/>
      <c r="D8" s="340"/>
      <c r="E8" s="1656"/>
      <c r="G8" s="2338"/>
      <c r="H8" s="340"/>
      <c r="I8" s="1656"/>
      <c r="J8" s="592"/>
      <c r="K8" s="1668"/>
      <c r="L8" s="340"/>
      <c r="M8" s="1656"/>
      <c r="O8" s="1668"/>
      <c r="P8" s="340"/>
      <c r="Q8" s="1656"/>
      <c r="R8" s="592"/>
      <c r="S8" s="2341"/>
      <c r="V8" s="952"/>
      <c r="W8" s="2343"/>
      <c r="AA8" s="1668"/>
    </row>
    <row r="9" spans="1:29" s="457" customFormat="1" x14ac:dyDescent="0.25">
      <c r="A9" s="2215"/>
      <c r="B9" s="2345" t="s">
        <v>52</v>
      </c>
      <c r="C9" s="2215" t="s">
        <v>53</v>
      </c>
      <c r="D9" s="340">
        <v>18000</v>
      </c>
      <c r="E9" s="1656" t="s">
        <v>456</v>
      </c>
      <c r="G9" s="456">
        <f>IF(D9=0,"0.00%",(H9-D9)/D9)</f>
        <v>0</v>
      </c>
      <c r="H9" s="340">
        <v>18000</v>
      </c>
      <c r="I9" s="897" t="s">
        <v>173</v>
      </c>
      <c r="J9" s="342"/>
      <c r="K9" s="456">
        <f>IF(H9=0,"0.00%",(L9-H9)/H9)</f>
        <v>-0.5</v>
      </c>
      <c r="L9" s="340">
        <v>9000</v>
      </c>
      <c r="M9" s="897"/>
      <c r="O9" s="456">
        <f t="shared" ref="O9" si="0">IF(L9=0,"0.00%",(P9-L9)/L9)</f>
        <v>0</v>
      </c>
      <c r="P9" s="340">
        <f>+L9</f>
        <v>9000</v>
      </c>
      <c r="Q9" s="897" t="s">
        <v>173</v>
      </c>
      <c r="R9" s="592"/>
      <c r="S9" s="2238"/>
      <c r="T9" s="340">
        <v>9511</v>
      </c>
      <c r="U9" s="455" t="str">
        <f>TEXT('MYP Assumptions'!H49,"0.00%")&amp;" = COLA"</f>
        <v>2.67% = COLA</v>
      </c>
      <c r="V9" s="952"/>
      <c r="W9" s="2241">
        <f>IF(T9=0,"0.00%",(X9-T9)/T9)</f>
        <v>-1</v>
      </c>
      <c r="X9" s="833">
        <f>X3</f>
        <v>0</v>
      </c>
      <c r="AA9" s="456" t="str">
        <f>IF(X9=0,"0.00%",(AB9-X9)/X9)</f>
        <v>0.00%</v>
      </c>
      <c r="AB9" s="833">
        <f>AB3</f>
        <v>0</v>
      </c>
    </row>
    <row r="10" spans="1:29" s="457" customFormat="1" x14ac:dyDescent="0.25">
      <c r="A10" s="2215"/>
      <c r="B10" s="2345"/>
      <c r="C10" s="2215" t="s">
        <v>51</v>
      </c>
      <c r="D10" s="340">
        <v>0</v>
      </c>
      <c r="E10" s="1656"/>
      <c r="G10" s="456" t="str">
        <f t="shared" ref="G10:G15" si="1">IF(D10=0,"0.00%",(H10-D10)/D10)</f>
        <v>0.00%</v>
      </c>
      <c r="H10" s="340">
        <v>0</v>
      </c>
      <c r="I10" s="897"/>
      <c r="J10" s="342"/>
      <c r="K10" s="456" t="str">
        <f t="shared" ref="K10" si="2">IF(H10=0,"0.00%",(L10-H10)/H10)</f>
        <v>0.00%</v>
      </c>
      <c r="L10" s="340">
        <v>0</v>
      </c>
      <c r="M10" s="897"/>
      <c r="O10" s="456" t="str">
        <f t="shared" ref="O10" si="3">IF(L10=0,"0.00%",(P10-L10)/L10)</f>
        <v>0.00%</v>
      </c>
      <c r="P10" s="340">
        <v>0</v>
      </c>
      <c r="Q10" s="897"/>
      <c r="R10" s="592"/>
      <c r="S10" s="2238"/>
      <c r="T10" s="340">
        <v>0</v>
      </c>
      <c r="U10" s="455"/>
      <c r="V10" s="952"/>
      <c r="W10" s="2241" t="str">
        <f>IF(T10=0,"0.00%",(X10-T10)/T10)</f>
        <v>0.00%</v>
      </c>
      <c r="X10" s="833">
        <f>-T2</f>
        <v>0</v>
      </c>
      <c r="AA10" s="456" t="str">
        <f>IF(X10=0,"0.00%",(AB10-X10)/X10)</f>
        <v>0.00%</v>
      </c>
      <c r="AB10" s="833">
        <f>-X2</f>
        <v>0</v>
      </c>
    </row>
    <row r="11" spans="1:29" s="457" customFormat="1" x14ac:dyDescent="0.25">
      <c r="A11" s="2215"/>
      <c r="B11" s="2337" t="s">
        <v>137</v>
      </c>
      <c r="C11" s="2215"/>
      <c r="D11" s="458">
        <f>SUM(D9:D10)</f>
        <v>18000</v>
      </c>
      <c r="E11" s="1656"/>
      <c r="G11" s="456">
        <f t="shared" si="1"/>
        <v>0</v>
      </c>
      <c r="H11" s="458">
        <f>SUM(H9:H10)</f>
        <v>18000</v>
      </c>
      <c r="I11" s="2316">
        <f>+H11-D11</f>
        <v>0</v>
      </c>
      <c r="J11" s="601"/>
      <c r="K11" s="456">
        <f>IF(H11=0,"0.00%",(L11-H11)/H11)</f>
        <v>-0.5</v>
      </c>
      <c r="L11" s="458">
        <f>SUM(L9:L10)</f>
        <v>9000</v>
      </c>
      <c r="M11" s="2316">
        <f>+L11-H11</f>
        <v>-9000</v>
      </c>
      <c r="O11" s="456">
        <f>IF(L11=0,"0.00%",(P11-L11)/L11)</f>
        <v>0</v>
      </c>
      <c r="P11" s="458">
        <f>SUM(P9:P10)</f>
        <v>9000</v>
      </c>
      <c r="Q11" s="2316">
        <f>+P11-L11</f>
        <v>0</v>
      </c>
      <c r="R11" s="592"/>
      <c r="S11" s="2238">
        <f>IF(P11=0,"0.00%",(T11-P11)/P11)</f>
        <v>5.6777777777777781E-2</v>
      </c>
      <c r="T11" s="2353">
        <f>SUM(T9:T10)</f>
        <v>9511</v>
      </c>
      <c r="V11" s="952"/>
      <c r="W11" s="2241">
        <f>IF(T11=0,"0.00%",(X11-T11)/T11)</f>
        <v>-1</v>
      </c>
      <c r="X11" s="2353">
        <f>SUM(X9:X10)</f>
        <v>0</v>
      </c>
      <c r="AA11" s="456" t="str">
        <f>IF(X11=0,"0.00%",(AB11-X11)/X11)</f>
        <v>0.00%</v>
      </c>
      <c r="AB11" s="2353">
        <f>SUM(AB9:AB10)</f>
        <v>0</v>
      </c>
    </row>
    <row r="12" spans="1:29" s="457" customFormat="1" x14ac:dyDescent="0.25">
      <c r="A12" s="2215"/>
      <c r="B12" s="2345"/>
      <c r="C12" s="2215"/>
      <c r="D12" s="340"/>
      <c r="E12" s="1656"/>
      <c r="G12" s="2338"/>
      <c r="H12" s="833"/>
      <c r="I12" s="1656"/>
      <c r="J12" s="602"/>
      <c r="K12" s="2338"/>
      <c r="L12" s="833"/>
      <c r="M12" s="1656"/>
      <c r="O12" s="2338"/>
      <c r="P12" s="833"/>
      <c r="Q12" s="1656"/>
      <c r="R12" s="592"/>
      <c r="S12" s="2355"/>
      <c r="T12" s="2356"/>
      <c r="V12" s="952"/>
      <c r="W12" s="2357"/>
      <c r="X12" s="2356"/>
      <c r="AA12" s="2338"/>
      <c r="AB12" s="2356"/>
    </row>
    <row r="13" spans="1:29" s="457" customFormat="1" x14ac:dyDescent="0.25">
      <c r="A13" s="2215"/>
      <c r="B13" s="2345"/>
      <c r="C13" s="2358" t="s">
        <v>64</v>
      </c>
      <c r="D13" s="2359">
        <f>ROUND(D11-(D11/(1+E13)),2)</f>
        <v>642.24</v>
      </c>
      <c r="E13" s="2338">
        <v>3.6999999999999998E-2</v>
      </c>
      <c r="G13" s="456">
        <f t="shared" si="1"/>
        <v>0.19114349775784753</v>
      </c>
      <c r="H13" s="2359">
        <f>ROUND(H11-(H11/(1+I13)),0)</f>
        <v>765</v>
      </c>
      <c r="I13" s="2455">
        <v>4.4400000000000002E-2</v>
      </c>
      <c r="J13" s="603"/>
      <c r="K13" s="456">
        <f>IF(H13=0,"0.00%",(L13-H13)/H13)</f>
        <v>-0.396078431372549</v>
      </c>
      <c r="L13" s="2359">
        <v>462</v>
      </c>
      <c r="M13" s="2455" t="s">
        <v>957</v>
      </c>
      <c r="O13" s="456">
        <f>IF(L13=0,"0.00%",(P13-L13)/L13)</f>
        <v>-0.38311688311688313</v>
      </c>
      <c r="P13" s="2359">
        <v>285</v>
      </c>
      <c r="Q13" s="2455" t="s">
        <v>957</v>
      </c>
      <c r="R13" s="592"/>
      <c r="S13" s="2238">
        <f>IF(P13=0,"0.00%",(T13-P13)/P13)</f>
        <v>-1</v>
      </c>
      <c r="T13" s="2362">
        <v>0</v>
      </c>
      <c r="V13" s="952"/>
      <c r="W13" s="2241" t="str">
        <f>IF(T13=0,"0.00%",(X13-T13)/T13)</f>
        <v>0.00%</v>
      </c>
      <c r="X13" s="2362">
        <f>ROUND(X11-(X11/(1+E13)),0)</f>
        <v>0</v>
      </c>
      <c r="AA13" s="456" t="str">
        <f>IF(X13=0,"0.00%",(AB13-X13)/X13)</f>
        <v>0.00%</v>
      </c>
      <c r="AB13" s="2362">
        <f>ROUND(AB11-(AB11/(1+G13)),0)</f>
        <v>0</v>
      </c>
    </row>
    <row r="14" spans="1:29" s="457" customFormat="1" x14ac:dyDescent="0.25">
      <c r="A14" s="2215"/>
      <c r="B14" s="2345"/>
      <c r="C14" s="2215"/>
      <c r="D14" s="340"/>
      <c r="E14" s="1656"/>
      <c r="G14" s="2338"/>
      <c r="H14" s="833"/>
      <c r="I14" s="1656"/>
      <c r="J14" s="602"/>
      <c r="K14" s="2338"/>
      <c r="L14" s="833"/>
      <c r="M14" s="1656"/>
      <c r="O14" s="2338"/>
      <c r="P14" s="833"/>
      <c r="Q14" s="1656"/>
      <c r="R14" s="592"/>
      <c r="S14" s="2355"/>
      <c r="T14" s="2356"/>
      <c r="V14" s="952"/>
      <c r="W14" s="2357"/>
      <c r="X14" s="2356"/>
      <c r="AA14" s="2338"/>
      <c r="AB14" s="2356"/>
    </row>
    <row r="15" spans="1:29" s="457" customFormat="1" x14ac:dyDescent="0.25">
      <c r="A15" s="2215"/>
      <c r="B15" s="2337" t="s">
        <v>50</v>
      </c>
      <c r="C15" s="2215"/>
      <c r="D15" s="1866">
        <f>D11-D13</f>
        <v>17357.759999999998</v>
      </c>
      <c r="E15" s="1656"/>
      <c r="G15" s="456">
        <f t="shared" si="1"/>
        <v>-7.0723411315744894E-3</v>
      </c>
      <c r="H15" s="2359">
        <f>H11-H13</f>
        <v>17235</v>
      </c>
      <c r="I15" s="2316">
        <f>+H15-D15</f>
        <v>-122.7599999999984</v>
      </c>
      <c r="J15" s="601"/>
      <c r="K15" s="456">
        <f>IF(H15=0,"0.00%",(L15-H15)/H15)</f>
        <v>-0.50461270670147951</v>
      </c>
      <c r="L15" s="2359">
        <f>L11-L13</f>
        <v>8538</v>
      </c>
      <c r="M15" s="2316">
        <f>+L15-H15</f>
        <v>-8697</v>
      </c>
      <c r="O15" s="456">
        <f>IF(L15=0,"0.00%",(P15-L15)/L15)</f>
        <v>2.0730850316233309E-2</v>
      </c>
      <c r="P15" s="2359">
        <f>P11-P13</f>
        <v>8715</v>
      </c>
      <c r="Q15" s="2316">
        <f>+P15-L15</f>
        <v>177</v>
      </c>
      <c r="R15" s="592"/>
      <c r="S15" s="2238">
        <f>IF(P15=0,"0.00%",(T15-P15)/P15)</f>
        <v>9.133677567412507E-2</v>
      </c>
      <c r="T15" s="2366">
        <f>T11-T13</f>
        <v>9511</v>
      </c>
      <c r="V15" s="952"/>
      <c r="W15" s="2241">
        <f>IF(T15=0,"0.00%",(X15-T15)/T15)</f>
        <v>-1</v>
      </c>
      <c r="X15" s="2366">
        <f>X11-X13</f>
        <v>0</v>
      </c>
      <c r="AA15" s="456" t="str">
        <f>IF(X15=0,"0.00%",(AB15-X15)/X15)</f>
        <v>0.00%</v>
      </c>
      <c r="AB15" s="2366">
        <f>AB11-AB13</f>
        <v>0</v>
      </c>
    </row>
    <row r="16" spans="1:29" s="457" customFormat="1" x14ac:dyDescent="0.25">
      <c r="A16" s="2215"/>
      <c r="B16" s="2345"/>
      <c r="C16" s="2215"/>
      <c r="D16" s="340"/>
      <c r="E16" s="1656"/>
      <c r="G16" s="2338"/>
      <c r="H16" s="833"/>
      <c r="I16" s="1656"/>
      <c r="J16" s="601"/>
      <c r="K16" s="1668"/>
      <c r="L16" s="833"/>
      <c r="M16" s="1656"/>
      <c r="O16" s="1668"/>
      <c r="P16" s="833"/>
      <c r="Q16" s="1656"/>
      <c r="R16" s="592"/>
      <c r="S16" s="2341"/>
      <c r="T16" s="2367"/>
      <c r="V16" s="952"/>
      <c r="W16" s="2343"/>
      <c r="X16" s="2367"/>
      <c r="AA16" s="1668"/>
      <c r="AB16" s="2367"/>
    </row>
    <row r="17" spans="1:29" s="457" customFormat="1" x14ac:dyDescent="0.25">
      <c r="A17" s="2215"/>
      <c r="B17" s="2345"/>
      <c r="C17" s="2345"/>
      <c r="D17" s="340"/>
      <c r="E17" s="1656"/>
      <c r="G17" s="2338"/>
      <c r="H17" s="833"/>
      <c r="I17" s="1656"/>
      <c r="J17" s="602"/>
      <c r="K17" s="1668"/>
      <c r="L17" s="833"/>
      <c r="M17" s="1656"/>
      <c r="O17" s="1668"/>
      <c r="P17" s="833"/>
      <c r="Q17" s="1656"/>
      <c r="R17" s="592"/>
      <c r="S17" s="2341"/>
      <c r="T17" s="2356"/>
      <c r="V17" s="952"/>
      <c r="W17" s="2343"/>
      <c r="X17" s="2356"/>
      <c r="AA17" s="1668"/>
      <c r="AB17" s="2356"/>
    </row>
    <row r="18" spans="1:29" s="457" customFormat="1" x14ac:dyDescent="0.25">
      <c r="A18" s="2223"/>
      <c r="B18" s="2345"/>
      <c r="C18" s="2215"/>
      <c r="D18" s="459" t="s">
        <v>807</v>
      </c>
      <c r="E18" s="1867"/>
      <c r="F18" s="2433"/>
      <c r="G18" s="2338"/>
      <c r="H18" s="459" t="s">
        <v>176</v>
      </c>
      <c r="I18" s="1867"/>
      <c r="J18" s="604"/>
      <c r="K18" s="1668"/>
      <c r="L18" s="2370"/>
      <c r="M18" s="1867"/>
      <c r="O18" s="1668"/>
      <c r="P18" s="340"/>
      <c r="Q18" s="1867"/>
      <c r="R18" s="592"/>
      <c r="S18" s="2341"/>
      <c r="U18" s="2433"/>
      <c r="V18" s="952"/>
      <c r="W18" s="2343"/>
      <c r="Y18" s="2433"/>
      <c r="AA18" s="1668"/>
      <c r="AC18" s="2433"/>
    </row>
    <row r="19" spans="1:29" s="457" customFormat="1" ht="17.25" x14ac:dyDescent="0.4">
      <c r="A19" s="2224"/>
      <c r="B19" s="2345"/>
      <c r="C19" s="2215"/>
      <c r="D19" s="2435" t="s">
        <v>808</v>
      </c>
      <c r="E19" s="2434"/>
      <c r="F19" s="2436"/>
      <c r="G19" s="2338"/>
      <c r="H19" s="2435" t="s">
        <v>48</v>
      </c>
      <c r="I19" s="2371"/>
      <c r="J19" s="459"/>
      <c r="K19" s="1668"/>
      <c r="L19" s="2372" t="s">
        <v>48</v>
      </c>
      <c r="M19" s="2373"/>
      <c r="O19" s="1668"/>
      <c r="P19" s="2372" t="s">
        <v>48</v>
      </c>
      <c r="Q19" s="2373"/>
      <c r="R19" s="592"/>
      <c r="S19" s="2341"/>
      <c r="T19" s="2372" t="s">
        <v>48</v>
      </c>
      <c r="U19" s="2374">
        <v>0.02</v>
      </c>
      <c r="V19" s="952"/>
      <c r="W19" s="2343"/>
      <c r="X19" s="2372" t="s">
        <v>48</v>
      </c>
      <c r="Y19" s="2374">
        <v>0.02</v>
      </c>
      <c r="AA19" s="1668"/>
      <c r="AB19" s="2372" t="s">
        <v>48</v>
      </c>
      <c r="AC19" s="2374">
        <v>0.02</v>
      </c>
    </row>
    <row r="20" spans="1:29" s="2378" customFormat="1" hidden="1" x14ac:dyDescent="0.25">
      <c r="A20" s="2225"/>
      <c r="B20" s="2337" t="s">
        <v>46</v>
      </c>
      <c r="C20" s="2358"/>
      <c r="D20" s="1866"/>
      <c r="E20" s="2375"/>
      <c r="F20" s="1866"/>
      <c r="G20" s="2376"/>
      <c r="H20" s="1866"/>
      <c r="I20" s="868"/>
      <c r="J20" s="460"/>
      <c r="K20" s="606"/>
      <c r="L20" s="1866"/>
      <c r="M20" s="2379"/>
      <c r="O20" s="606"/>
      <c r="P20" s="1866"/>
      <c r="Q20" s="2379"/>
      <c r="R20" s="461"/>
      <c r="S20" s="1669"/>
      <c r="T20" s="1866"/>
      <c r="U20" s="2383"/>
      <c r="V20" s="2381"/>
      <c r="W20" s="2382"/>
      <c r="X20" s="1866"/>
      <c r="Y20" s="2383"/>
      <c r="AA20" s="606"/>
      <c r="AB20" s="1866"/>
      <c r="AC20" s="2383"/>
    </row>
    <row r="21" spans="1:29" s="457" customFormat="1" hidden="1" x14ac:dyDescent="0.25">
      <c r="A21" s="2226"/>
      <c r="B21" s="2385"/>
      <c r="C21" s="2215"/>
      <c r="D21" s="340">
        <v>0</v>
      </c>
      <c r="E21" s="2386"/>
      <c r="F21" s="340"/>
      <c r="G21" s="456" t="str">
        <f t="shared" ref="G21:G30" si="4">IF(D21=0,"0.00%",(H21-D21)/D21)</f>
        <v>0.00%</v>
      </c>
      <c r="H21" s="340">
        <f t="shared" ref="H21:H27" si="5">ROUND(D21*(1+$I$19),0)</f>
        <v>0</v>
      </c>
      <c r="I21" s="899" t="str">
        <f t="shared" ref="I21:I28" si="6">TEXT($I$19,"0.0%")&amp;" = Est. S &amp; C"</f>
        <v>0.0% = Est. S &amp; C</v>
      </c>
      <c r="J21" s="455"/>
      <c r="K21" s="456" t="str">
        <f t="shared" ref="K21:K27" si="7">IF(H21=0,"0.00%",(L21-H21)/H21)</f>
        <v>0.00%</v>
      </c>
      <c r="L21" s="340">
        <f>ROUND(H21*(1+M19),0)</f>
        <v>0</v>
      </c>
      <c r="M21" s="897" t="str">
        <f>TEXT(M19,"0.0%")&amp;" = Est. S &amp; C"</f>
        <v>0.0% = Est. S &amp; C</v>
      </c>
      <c r="O21" s="456" t="str">
        <f t="shared" ref="O21:O27" si="8">IF(L21=0,"0.00%",(P21-L21)/L21)</f>
        <v>0.00%</v>
      </c>
      <c r="P21" s="340">
        <f>ROUND(L21*(1+Q19),0)</f>
        <v>0</v>
      </c>
      <c r="Q21" s="897" t="str">
        <f>TEXT(Q19,"0.0%")&amp;" = Est. S &amp; C"</f>
        <v>0.0% = Est. S &amp; C</v>
      </c>
      <c r="R21" s="592"/>
      <c r="S21" s="2238" t="str">
        <f t="shared" ref="S21:S27" si="9">IF(P21=0,"0.00%",(T21-P21)/P21)</f>
        <v>0.00%</v>
      </c>
      <c r="T21" s="340">
        <f>ROUND(P21*(1+U19),0)</f>
        <v>0</v>
      </c>
      <c r="U21" s="455" t="str">
        <f>TEXT(U19,"0.0%")&amp;" = Est. S &amp; C"</f>
        <v>2.0% = Est. S &amp; C</v>
      </c>
      <c r="V21" s="952"/>
      <c r="W21" s="2241" t="str">
        <f t="shared" ref="W21:W27" si="10">IF(T21=0,"0.00%",(X21-T21)/T21)</f>
        <v>0.00%</v>
      </c>
      <c r="X21" s="340">
        <f>ROUND(T21*(1+Y19),0)</f>
        <v>0</v>
      </c>
      <c r="Y21" s="455" t="str">
        <f>TEXT(Y19,"0.0%")&amp;" = Est. S &amp; C"</f>
        <v>2.0% = Est. S &amp; C</v>
      </c>
      <c r="AA21" s="456" t="str">
        <f t="shared" ref="AA21:AA27" si="11">IF(X21=0,"0.00%",(AB21-X21)/X21)</f>
        <v>0.00%</v>
      </c>
      <c r="AB21" s="340">
        <f>ROUND(X21*(1+AC19),0)</f>
        <v>0</v>
      </c>
      <c r="AC21" s="455" t="str">
        <f>TEXT(AC19,"0.0%")&amp;" = Est. S &amp; C"</f>
        <v>2.0% = Est. S &amp; C</v>
      </c>
    </row>
    <row r="22" spans="1:29" s="457" customFormat="1" hidden="1" x14ac:dyDescent="0.25">
      <c r="A22" s="2227"/>
      <c r="B22" s="2385"/>
      <c r="C22" s="2215"/>
      <c r="D22" s="340">
        <v>0</v>
      </c>
      <c r="E22" s="2386"/>
      <c r="F22" s="340"/>
      <c r="G22" s="456" t="str">
        <f t="shared" si="4"/>
        <v>0.00%</v>
      </c>
      <c r="H22" s="340">
        <f t="shared" si="5"/>
        <v>0</v>
      </c>
      <c r="I22" s="897" t="str">
        <f t="shared" si="6"/>
        <v>0.0% = Est. S &amp; C</v>
      </c>
      <c r="J22" s="455"/>
      <c r="K22" s="456" t="str">
        <f t="shared" si="7"/>
        <v>0.00%</v>
      </c>
      <c r="L22" s="340">
        <f>ROUND(H22*(1+M19),0)</f>
        <v>0</v>
      </c>
      <c r="M22" s="897" t="str">
        <f>TEXT(M19,"0.0%")&amp;" = Est. S &amp; C"</f>
        <v>0.0% = Est. S &amp; C</v>
      </c>
      <c r="O22" s="456" t="str">
        <f t="shared" si="8"/>
        <v>0.00%</v>
      </c>
      <c r="P22" s="340">
        <f>ROUND(L22*(1+Q19),0)</f>
        <v>0</v>
      </c>
      <c r="Q22" s="897" t="str">
        <f>TEXT(Q19,"0.0%")&amp;" = Est. S &amp; C"</f>
        <v>0.0% = Est. S &amp; C</v>
      </c>
      <c r="R22" s="592"/>
      <c r="S22" s="2238" t="str">
        <f t="shared" si="9"/>
        <v>0.00%</v>
      </c>
      <c r="T22" s="340">
        <f>ROUND(P22*(1+U19),0)</f>
        <v>0</v>
      </c>
      <c r="U22" s="455" t="str">
        <f>TEXT(U19,"0.0%")&amp;" = Est. S &amp; C"</f>
        <v>2.0% = Est. S &amp; C</v>
      </c>
      <c r="V22" s="952"/>
      <c r="W22" s="2241" t="str">
        <f t="shared" si="10"/>
        <v>0.00%</v>
      </c>
      <c r="X22" s="340">
        <f>ROUND(T22*(1+Y19),0)</f>
        <v>0</v>
      </c>
      <c r="Y22" s="455" t="str">
        <f>TEXT(Y19,"0.0%")&amp;" = Est. S &amp; C"</f>
        <v>2.0% = Est. S &amp; C</v>
      </c>
      <c r="AA22" s="456" t="str">
        <f t="shared" si="11"/>
        <v>0.00%</v>
      </c>
      <c r="AB22" s="340">
        <f>ROUND(X22*(1+AC19),0)</f>
        <v>0</v>
      </c>
      <c r="AC22" s="455" t="str">
        <f>TEXT(AC19,"0.0%")&amp;" = Est. S &amp; C"</f>
        <v>2.0% = Est. S &amp; C</v>
      </c>
    </row>
    <row r="23" spans="1:29" s="457" customFormat="1" hidden="1" x14ac:dyDescent="0.25">
      <c r="A23" s="2227"/>
      <c r="B23" s="2385"/>
      <c r="C23" s="2215"/>
      <c r="D23" s="340">
        <v>0</v>
      </c>
      <c r="E23" s="2386"/>
      <c r="F23" s="340"/>
      <c r="G23" s="456" t="str">
        <f t="shared" si="4"/>
        <v>0.00%</v>
      </c>
      <c r="H23" s="340">
        <f t="shared" si="5"/>
        <v>0</v>
      </c>
      <c r="I23" s="897" t="str">
        <f t="shared" si="6"/>
        <v>0.0% = Est. S &amp; C</v>
      </c>
      <c r="J23" s="455"/>
      <c r="K23" s="456" t="str">
        <f t="shared" si="7"/>
        <v>0.00%</v>
      </c>
      <c r="L23" s="340">
        <f>ROUND(H23*(1+M19),0)</f>
        <v>0</v>
      </c>
      <c r="M23" s="897" t="str">
        <f>TEXT(M19,"0.0%")&amp;" = Est. S &amp; C"</f>
        <v>0.0% = Est. S &amp; C</v>
      </c>
      <c r="O23" s="456" t="str">
        <f t="shared" si="8"/>
        <v>0.00%</v>
      </c>
      <c r="P23" s="340">
        <f>ROUND(L23*(1+Q19),0)</f>
        <v>0</v>
      </c>
      <c r="Q23" s="897" t="str">
        <f>TEXT(Q19,"0.0%")&amp;" = Est. S &amp; C"</f>
        <v>0.0% = Est. S &amp; C</v>
      </c>
      <c r="R23" s="592"/>
      <c r="S23" s="2238" t="str">
        <f t="shared" si="9"/>
        <v>0.00%</v>
      </c>
      <c r="T23" s="340">
        <f>ROUND(P23*(1+U19),0)</f>
        <v>0</v>
      </c>
      <c r="U23" s="455" t="str">
        <f>TEXT(U19,"0.0%")&amp;" = Est. S &amp; C"</f>
        <v>2.0% = Est. S &amp; C</v>
      </c>
      <c r="V23" s="952"/>
      <c r="W23" s="2241" t="str">
        <f t="shared" si="10"/>
        <v>0.00%</v>
      </c>
      <c r="X23" s="340">
        <f>ROUND(T23*(1+Y19),0)</f>
        <v>0</v>
      </c>
      <c r="Y23" s="455" t="str">
        <f>TEXT(Y19,"0.0%")&amp;" = Est. S &amp; C"</f>
        <v>2.0% = Est. S &amp; C</v>
      </c>
      <c r="AA23" s="456" t="str">
        <f t="shared" si="11"/>
        <v>0.00%</v>
      </c>
      <c r="AB23" s="340">
        <f>ROUND(X23*(1+AC19),0)</f>
        <v>0</v>
      </c>
      <c r="AC23" s="455" t="str">
        <f>TEXT(AC19,"0.0%")&amp;" = Est. S &amp; C"</f>
        <v>2.0% = Est. S &amp; C</v>
      </c>
    </row>
    <row r="24" spans="1:29" s="457" customFormat="1" hidden="1" x14ac:dyDescent="0.25">
      <c r="A24" s="2227"/>
      <c r="B24" s="2385"/>
      <c r="C24" s="2215"/>
      <c r="D24" s="340">
        <v>0</v>
      </c>
      <c r="E24" s="2386"/>
      <c r="F24" s="340"/>
      <c r="G24" s="456" t="str">
        <f t="shared" si="4"/>
        <v>0.00%</v>
      </c>
      <c r="H24" s="340">
        <f t="shared" si="5"/>
        <v>0</v>
      </c>
      <c r="I24" s="897" t="str">
        <f t="shared" si="6"/>
        <v>0.0% = Est. S &amp; C</v>
      </c>
      <c r="J24" s="455"/>
      <c r="K24" s="456" t="str">
        <f t="shared" si="7"/>
        <v>0.00%</v>
      </c>
      <c r="L24" s="340">
        <f>ROUND(H24*(1+M19),0)</f>
        <v>0</v>
      </c>
      <c r="M24" s="897" t="str">
        <f>TEXT(M19,"0.0%")&amp;" = Est. S &amp; C"</f>
        <v>0.0% = Est. S &amp; C</v>
      </c>
      <c r="O24" s="456" t="str">
        <f t="shared" si="8"/>
        <v>0.00%</v>
      </c>
      <c r="P24" s="340">
        <f>ROUND(L24*(1+Q19),0)</f>
        <v>0</v>
      </c>
      <c r="Q24" s="897" t="str">
        <f>TEXT(Q19,"0.0%")&amp;" = Est. S &amp; C"</f>
        <v>0.0% = Est. S &amp; C</v>
      </c>
      <c r="R24" s="592"/>
      <c r="S24" s="2238" t="str">
        <f t="shared" si="9"/>
        <v>0.00%</v>
      </c>
      <c r="T24" s="340">
        <f>ROUND(P24*(1+U19),0)</f>
        <v>0</v>
      </c>
      <c r="U24" s="455" t="str">
        <f>TEXT(U19,"0.0%")&amp;" = Est. S &amp; C"</f>
        <v>2.0% = Est. S &amp; C</v>
      </c>
      <c r="V24" s="952"/>
      <c r="W24" s="2241" t="str">
        <f t="shared" si="10"/>
        <v>0.00%</v>
      </c>
      <c r="X24" s="340">
        <f>ROUND(T24*(1+Y19),0)</f>
        <v>0</v>
      </c>
      <c r="Y24" s="455" t="str">
        <f>TEXT(Y19,"0.0%")&amp;" = Est. S &amp; C"</f>
        <v>2.0% = Est. S &amp; C</v>
      </c>
      <c r="AA24" s="456" t="str">
        <f t="shared" si="11"/>
        <v>0.00%</v>
      </c>
      <c r="AB24" s="340">
        <f>ROUND(X24*(1+AC19),0)</f>
        <v>0</v>
      </c>
      <c r="AC24" s="455" t="str">
        <f>TEXT(AC19,"0.0%")&amp;" = Est. S &amp; C"</f>
        <v>2.0% = Est. S &amp; C</v>
      </c>
    </row>
    <row r="25" spans="1:29" s="457" customFormat="1" hidden="1" x14ac:dyDescent="0.25">
      <c r="A25" s="2227"/>
      <c r="B25" s="2385"/>
      <c r="C25" s="2215"/>
      <c r="D25" s="340">
        <v>0</v>
      </c>
      <c r="E25" s="2386"/>
      <c r="F25" s="340"/>
      <c r="G25" s="456" t="str">
        <f t="shared" si="4"/>
        <v>0.00%</v>
      </c>
      <c r="H25" s="340">
        <f t="shared" si="5"/>
        <v>0</v>
      </c>
      <c r="I25" s="897" t="str">
        <f t="shared" si="6"/>
        <v>0.0% = Est. S &amp; C</v>
      </c>
      <c r="J25" s="455"/>
      <c r="K25" s="456" t="str">
        <f t="shared" si="7"/>
        <v>0.00%</v>
      </c>
      <c r="L25" s="340">
        <f>ROUND(H25*(1+M19),0)</f>
        <v>0</v>
      </c>
      <c r="M25" s="897" t="str">
        <f>TEXT(M19,"0.0%")&amp;" = Est. S &amp; C"</f>
        <v>0.0% = Est. S &amp; C</v>
      </c>
      <c r="O25" s="456" t="str">
        <f t="shared" si="8"/>
        <v>0.00%</v>
      </c>
      <c r="P25" s="340">
        <f>ROUND(L25*(1+Q19),0)</f>
        <v>0</v>
      </c>
      <c r="Q25" s="897" t="str">
        <f>TEXT(Q19,"0.0%")&amp;" = Est. S &amp; C"</f>
        <v>0.0% = Est. S &amp; C</v>
      </c>
      <c r="R25" s="592"/>
      <c r="S25" s="2238" t="str">
        <f t="shared" si="9"/>
        <v>0.00%</v>
      </c>
      <c r="T25" s="340">
        <f>ROUND(P25*(1+U19),0)</f>
        <v>0</v>
      </c>
      <c r="U25" s="455" t="str">
        <f>TEXT(U19,"0.0%")&amp;" = Est. S &amp; C"</f>
        <v>2.0% = Est. S &amp; C</v>
      </c>
      <c r="V25" s="952"/>
      <c r="W25" s="2241" t="str">
        <f t="shared" si="10"/>
        <v>0.00%</v>
      </c>
      <c r="X25" s="340">
        <f>ROUND(T25*(1+Y19),0)</f>
        <v>0</v>
      </c>
      <c r="Y25" s="455" t="str">
        <f>TEXT(Y19,"0.0%")&amp;" = Est. S &amp; C"</f>
        <v>2.0% = Est. S &amp; C</v>
      </c>
      <c r="AA25" s="456" t="str">
        <f t="shared" si="11"/>
        <v>0.00%</v>
      </c>
      <c r="AB25" s="340">
        <f>ROUND(X25*(1+AC19),0)</f>
        <v>0</v>
      </c>
      <c r="AC25" s="455" t="str">
        <f>TEXT(AC19,"0.0%")&amp;" = Est. S &amp; C"</f>
        <v>2.0% = Est. S &amp; C</v>
      </c>
    </row>
    <row r="26" spans="1:29" s="457" customFormat="1" hidden="1" x14ac:dyDescent="0.25">
      <c r="A26" s="2227"/>
      <c r="B26" s="2385"/>
      <c r="C26" s="2215"/>
      <c r="D26" s="340">
        <v>0</v>
      </c>
      <c r="E26" s="2386"/>
      <c r="F26" s="340"/>
      <c r="G26" s="456" t="str">
        <f t="shared" si="4"/>
        <v>0.00%</v>
      </c>
      <c r="H26" s="340">
        <f t="shared" si="5"/>
        <v>0</v>
      </c>
      <c r="I26" s="897" t="str">
        <f t="shared" si="6"/>
        <v>0.0% = Est. S &amp; C</v>
      </c>
      <c r="J26" s="455"/>
      <c r="K26" s="456" t="str">
        <f t="shared" si="7"/>
        <v>0.00%</v>
      </c>
      <c r="L26" s="340">
        <f>ROUND(H26*(1+M19),0)</f>
        <v>0</v>
      </c>
      <c r="M26" s="2341" t="str">
        <f>TEXT(M19,"0.0%")&amp;" = Est. S &amp; C"</f>
        <v>0.0% = Est. S &amp; C</v>
      </c>
      <c r="O26" s="456" t="str">
        <f t="shared" si="8"/>
        <v>0.00%</v>
      </c>
      <c r="P26" s="340">
        <f>ROUND(L26*(1+Q19),0)</f>
        <v>0</v>
      </c>
      <c r="Q26" s="897" t="str">
        <f>TEXT(Q19,"0.0%")&amp;" = Est. S &amp; C"</f>
        <v>0.0% = Est. S &amp; C</v>
      </c>
      <c r="R26" s="592"/>
      <c r="S26" s="2238" t="str">
        <f t="shared" si="9"/>
        <v>0.00%</v>
      </c>
      <c r="T26" s="340">
        <f>ROUND(P26*(1+U19),0)</f>
        <v>0</v>
      </c>
      <c r="U26" s="455" t="str">
        <f>TEXT(U19,"0.0%")&amp;" = Est. S &amp; C"</f>
        <v>2.0% = Est. S &amp; C</v>
      </c>
      <c r="V26" s="952"/>
      <c r="W26" s="2241" t="str">
        <f t="shared" si="10"/>
        <v>0.00%</v>
      </c>
      <c r="X26" s="340">
        <f>ROUND(T26*(1+Y19),0)</f>
        <v>0</v>
      </c>
      <c r="Y26" s="455" t="str">
        <f>TEXT(Y19,"0.0%")&amp;" = Est. S &amp; C"</f>
        <v>2.0% = Est. S &amp; C</v>
      </c>
      <c r="AA26" s="456" t="str">
        <f t="shared" si="11"/>
        <v>0.00%</v>
      </c>
      <c r="AB26" s="340">
        <f>ROUND(X26*(1+AC19),0)</f>
        <v>0</v>
      </c>
      <c r="AC26" s="455" t="str">
        <f>TEXT(AC19,"0.0%")&amp;" = Est. S &amp; C"</f>
        <v>2.0% = Est. S &amp; C</v>
      </c>
    </row>
    <row r="27" spans="1:29" s="457" customFormat="1" hidden="1" x14ac:dyDescent="0.25">
      <c r="A27" s="2227"/>
      <c r="B27" s="2385"/>
      <c r="C27" s="2215"/>
      <c r="D27" s="340">
        <v>0</v>
      </c>
      <c r="E27" s="2386"/>
      <c r="F27" s="340"/>
      <c r="G27" s="456" t="str">
        <f t="shared" si="4"/>
        <v>0.00%</v>
      </c>
      <c r="H27" s="340">
        <f t="shared" si="5"/>
        <v>0</v>
      </c>
      <c r="I27" s="897" t="str">
        <f t="shared" si="6"/>
        <v>0.0% = Est. S &amp; C</v>
      </c>
      <c r="J27" s="455"/>
      <c r="K27" s="456" t="str">
        <f t="shared" si="7"/>
        <v>0.00%</v>
      </c>
      <c r="L27" s="340">
        <f>ROUND(H27*(1+M19),0)</f>
        <v>0</v>
      </c>
      <c r="M27" s="897" t="str">
        <f>TEXT(M19,"0.0%")&amp;" = Est. S &amp; C"</f>
        <v>0.0% = Est. S &amp; C</v>
      </c>
      <c r="O27" s="456" t="str">
        <f t="shared" si="8"/>
        <v>0.00%</v>
      </c>
      <c r="P27" s="340">
        <f>ROUND(L27*(1+Q19),0)</f>
        <v>0</v>
      </c>
      <c r="Q27" s="897" t="str">
        <f>TEXT(Q19,"0.0%")&amp;" = Est. S &amp; C"</f>
        <v>0.0% = Est. S &amp; C</v>
      </c>
      <c r="R27" s="592"/>
      <c r="S27" s="2238" t="str">
        <f t="shared" si="9"/>
        <v>0.00%</v>
      </c>
      <c r="T27" s="340">
        <f>ROUND(P27*(1+U19),0)</f>
        <v>0</v>
      </c>
      <c r="U27" s="455" t="str">
        <f>TEXT(U19,"0.0%")&amp;" = Est. S &amp; C"</f>
        <v>2.0% = Est. S &amp; C</v>
      </c>
      <c r="V27" s="952"/>
      <c r="W27" s="2241" t="str">
        <f t="shared" si="10"/>
        <v>0.00%</v>
      </c>
      <c r="X27" s="340">
        <f>ROUND(T27*(1+Y19),0)</f>
        <v>0</v>
      </c>
      <c r="Y27" s="455" t="str">
        <f>TEXT(Y19,"0.0%")&amp;" = Est. S &amp; C"</f>
        <v>2.0% = Est. S &amp; C</v>
      </c>
      <c r="AA27" s="456" t="str">
        <f t="shared" si="11"/>
        <v>0.00%</v>
      </c>
      <c r="AB27" s="340">
        <f>ROUND(X27*(1+AC19),0)</f>
        <v>0</v>
      </c>
      <c r="AC27" s="455" t="str">
        <f>TEXT(AC19,"0.0%")&amp;" = Est. S &amp; C"</f>
        <v>2.0% = Est. S &amp; C</v>
      </c>
    </row>
    <row r="28" spans="1:29" s="457" customFormat="1" hidden="1" x14ac:dyDescent="0.25">
      <c r="A28" s="2227"/>
      <c r="B28" s="2385"/>
      <c r="C28" s="2215"/>
      <c r="D28" s="340">
        <v>0</v>
      </c>
      <c r="E28" s="2386"/>
      <c r="F28" s="340"/>
      <c r="G28" s="456" t="str">
        <f>IF(D28=0,"0.00%",(H28-D28)/D28)</f>
        <v>0.00%</v>
      </c>
      <c r="H28" s="340">
        <f>ROUND(D28*(1+$I$19),0)</f>
        <v>0</v>
      </c>
      <c r="I28" s="897" t="str">
        <f t="shared" si="6"/>
        <v>0.0% = Est. S &amp; C</v>
      </c>
      <c r="J28" s="455"/>
      <c r="K28" s="456" t="str">
        <f>IF(H28=0,"0.00%",(L28-H28)/H28)</f>
        <v>0.00%</v>
      </c>
      <c r="L28" s="340">
        <f>ROUND(H28*(1+M20),0)</f>
        <v>0</v>
      </c>
      <c r="M28" s="897" t="str">
        <f>TEXT(M20,"0.0%")&amp;" = Est. S &amp; C"</f>
        <v>0.0% = Est. S &amp; C</v>
      </c>
      <c r="O28" s="456" t="str">
        <f>IF(L28=0,"0.00%",(P28-L28)/L28)</f>
        <v>0.00%</v>
      </c>
      <c r="P28" s="340">
        <f>ROUND(L28*(1+Q20),0)</f>
        <v>0</v>
      </c>
      <c r="Q28" s="897" t="str">
        <f>TEXT(Q20,"0.0%")&amp;" = Est. S &amp; C"</f>
        <v>0.0% = Est. S &amp; C</v>
      </c>
      <c r="R28" s="592"/>
      <c r="S28" s="2238" t="str">
        <f>IF(P28=0,"0.00%",(T28-P28)/P28)</f>
        <v>0.00%</v>
      </c>
      <c r="T28" s="340">
        <f>ROUND(P28*(1+U20),0)</f>
        <v>0</v>
      </c>
      <c r="U28" s="455" t="str">
        <f>TEXT(U20,"0.0%")&amp;" = Est. S &amp; C"</f>
        <v>0.0% = Est. S &amp; C</v>
      </c>
      <c r="V28" s="952"/>
      <c r="W28" s="2241" t="str">
        <f>IF(T28=0,"0.00%",(X28-T28)/T28)</f>
        <v>0.00%</v>
      </c>
      <c r="X28" s="340">
        <f>ROUND(T28*(1+Y20),0)</f>
        <v>0</v>
      </c>
      <c r="Y28" s="455" t="str">
        <f>TEXT(Y20,"0.0%")&amp;" = Est. S &amp; C"</f>
        <v>0.0% = Est. S &amp; C</v>
      </c>
      <c r="AA28" s="456" t="str">
        <f>IF(X28=0,"0.00%",(AB28-X28)/X28)</f>
        <v>0.00%</v>
      </c>
      <c r="AB28" s="340">
        <f>ROUND(X28*(1+AC20),0)</f>
        <v>0</v>
      </c>
      <c r="AC28" s="455" t="str">
        <f>TEXT(AC20,"0.0%")&amp;" = Est. S &amp; C"</f>
        <v>0.0% = Est. S &amp; C</v>
      </c>
    </row>
    <row r="29" spans="1:29" s="457" customFormat="1" ht="6" hidden="1" customHeight="1" x14ac:dyDescent="0.25">
      <c r="A29" s="2227"/>
      <c r="B29" s="2385"/>
      <c r="C29" s="2215"/>
      <c r="D29" s="340"/>
      <c r="E29" s="2386"/>
      <c r="F29" s="340"/>
      <c r="G29" s="456"/>
      <c r="H29" s="340"/>
      <c r="I29" s="897"/>
      <c r="J29" s="455"/>
      <c r="K29" s="1668"/>
      <c r="L29" s="340"/>
      <c r="M29" s="901"/>
      <c r="O29" s="1668"/>
      <c r="P29" s="340"/>
      <c r="Q29" s="901"/>
      <c r="R29" s="592"/>
      <c r="S29" s="2341"/>
      <c r="T29" s="340"/>
      <c r="U29" s="2344"/>
      <c r="V29" s="952"/>
      <c r="W29" s="2343"/>
      <c r="X29" s="340"/>
      <c r="Y29" s="2344"/>
      <c r="AA29" s="1668"/>
      <c r="AB29" s="340"/>
      <c r="AC29" s="2344"/>
    </row>
    <row r="30" spans="1:29" s="457" customFormat="1" hidden="1" x14ac:dyDescent="0.25">
      <c r="A30" s="2228"/>
      <c r="B30" s="2385"/>
      <c r="C30" s="2215"/>
      <c r="D30" s="458">
        <f>SUM(D21:D29)</f>
        <v>0</v>
      </c>
      <c r="E30" s="2386"/>
      <c r="F30" s="340"/>
      <c r="G30" s="456" t="str">
        <f t="shared" si="4"/>
        <v>0.00%</v>
      </c>
      <c r="H30" s="458">
        <f>SUM(H21:H29)</f>
        <v>0</v>
      </c>
      <c r="I30" s="898"/>
      <c r="J30" s="459"/>
      <c r="K30" s="456" t="str">
        <f>IF(H30=0,"0.00%",(L30-H30)/H30)</f>
        <v>0.00%</v>
      </c>
      <c r="L30" s="458">
        <f>SUM(L21:L29)</f>
        <v>0</v>
      </c>
      <c r="M30" s="901"/>
      <c r="O30" s="456" t="str">
        <f>IF(L30=0,"0.00%",(P30-L30)/L30)</f>
        <v>0.00%</v>
      </c>
      <c r="P30" s="458">
        <f>SUM(P21:P29)</f>
        <v>0</v>
      </c>
      <c r="Q30" s="901"/>
      <c r="R30" s="592"/>
      <c r="S30" s="2238" t="str">
        <f>IF(P30=0,"0.00%",(T30-P30)/P30)</f>
        <v>0.00%</v>
      </c>
      <c r="T30" s="458">
        <f>SUM(T21:T29)</f>
        <v>0</v>
      </c>
      <c r="U30" s="2344"/>
      <c r="V30" s="952"/>
      <c r="W30" s="2241" t="str">
        <f>IF(T30=0,"0.00%",(X30-T30)/T30)</f>
        <v>0.00%</v>
      </c>
      <c r="X30" s="458">
        <f>SUM(X21:X29)</f>
        <v>0</v>
      </c>
      <c r="Y30" s="2344"/>
      <c r="AA30" s="456" t="str">
        <f>IF(X30=0,"0.00%",(AB30-X30)/X30)</f>
        <v>0.00%</v>
      </c>
      <c r="AB30" s="458">
        <f>SUM(AB21:AB29)</f>
        <v>0</v>
      </c>
      <c r="AC30" s="2344"/>
    </row>
    <row r="31" spans="1:29" s="457" customFormat="1" hidden="1" x14ac:dyDescent="0.25">
      <c r="A31" s="2227"/>
      <c r="B31" s="2345"/>
      <c r="C31" s="2215"/>
      <c r="D31" s="340"/>
      <c r="E31" s="2386"/>
      <c r="F31" s="340"/>
      <c r="G31" s="2338"/>
      <c r="H31" s="340"/>
      <c r="I31" s="899"/>
      <c r="J31" s="455"/>
      <c r="K31" s="1668"/>
      <c r="L31" s="340"/>
      <c r="M31" s="2388"/>
      <c r="O31" s="1668"/>
      <c r="P31" s="340"/>
      <c r="Q31" s="2388"/>
      <c r="R31" s="592"/>
      <c r="S31" s="2341"/>
      <c r="T31" s="340"/>
      <c r="U31" s="2344"/>
      <c r="V31" s="952"/>
      <c r="W31" s="2343"/>
      <c r="X31" s="340"/>
      <c r="Y31" s="2344"/>
      <c r="AA31" s="1668"/>
      <c r="AB31" s="340"/>
      <c r="AC31" s="2344"/>
    </row>
    <row r="32" spans="1:29" s="461" customFormat="1" x14ac:dyDescent="0.25">
      <c r="A32" s="2225"/>
      <c r="B32" s="2440" t="s">
        <v>35</v>
      </c>
      <c r="C32" s="2225"/>
      <c r="D32" s="460"/>
      <c r="E32" s="868"/>
      <c r="F32" s="460"/>
      <c r="G32" s="2389"/>
      <c r="H32" s="460"/>
      <c r="I32" s="868"/>
      <c r="J32" s="460"/>
      <c r="K32" s="1669"/>
      <c r="L32" s="460"/>
      <c r="M32" s="902"/>
      <c r="O32" s="1669"/>
      <c r="P32" s="460"/>
      <c r="Q32" s="902"/>
      <c r="S32" s="1669"/>
      <c r="T32" s="460"/>
      <c r="U32" s="2392"/>
      <c r="V32" s="2381"/>
      <c r="W32" s="2382"/>
      <c r="X32" s="460"/>
      <c r="Y32" s="2392"/>
      <c r="AA32" s="1669"/>
      <c r="AB32" s="460"/>
      <c r="AC32" s="2392"/>
    </row>
    <row r="33" spans="1:29" s="457" customFormat="1" x14ac:dyDescent="0.25">
      <c r="A33" s="2227"/>
      <c r="B33" s="2385">
        <v>2208</v>
      </c>
      <c r="C33" s="2215" t="s">
        <v>266</v>
      </c>
      <c r="D33" s="340">
        <v>13333.66</v>
      </c>
      <c r="E33" s="2386"/>
      <c r="F33" s="340"/>
      <c r="G33" s="456">
        <f t="shared" ref="G33:G39" si="12">IF(D33=0,"0.00%",(H33-D33)/D33)</f>
        <v>4.6599358315721276E-2</v>
      </c>
      <c r="H33" s="340">
        <v>13955</v>
      </c>
      <c r="I33" s="897" t="s">
        <v>173</v>
      </c>
      <c r="J33" s="455"/>
      <c r="K33" s="456">
        <f t="shared" ref="K33:K39" si="13">IF(H33=0,"0.00%",(L33-H33)/H33)</f>
        <v>-0.53457542099605881</v>
      </c>
      <c r="L33" s="340">
        <v>6495</v>
      </c>
      <c r="M33" s="897"/>
      <c r="O33" s="456">
        <f t="shared" ref="O33:O39" si="14">IF(L33=0,"0.00%",(P33-L33)/L33)</f>
        <v>0</v>
      </c>
      <c r="P33" s="340">
        <f>+L33</f>
        <v>6495</v>
      </c>
      <c r="Q33" s="897" t="s">
        <v>173</v>
      </c>
      <c r="R33" s="592"/>
      <c r="S33" s="2238">
        <f t="shared" ref="S33:S39" si="15">IF(P33=0,"0.00%",(T33-P33)/P33)</f>
        <v>0</v>
      </c>
      <c r="T33" s="340">
        <f>+P33</f>
        <v>6495</v>
      </c>
      <c r="U33" s="455" t="s">
        <v>173</v>
      </c>
      <c r="V33" s="952"/>
      <c r="W33" s="2241">
        <f t="shared" ref="W33:W39" si="16">IF(T33=0,"0.00%",(X33-T33)/T33)</f>
        <v>2.0015396458814474E-2</v>
      </c>
      <c r="X33" s="340">
        <f>ROUND(T33*(1+Y19),0)</f>
        <v>6625</v>
      </c>
      <c r="Y33" s="455" t="str">
        <f>TEXT(Y19,"0.0%")&amp;" = Est. S &amp; C"</f>
        <v>2.0% = Est. S &amp; C</v>
      </c>
      <c r="AA33" s="456">
        <f t="shared" ref="AA33:AA39" si="17">IF(X33=0,"0.00%",(AB33-X33)/X33)</f>
        <v>2.0075471698113207E-2</v>
      </c>
      <c r="AB33" s="340">
        <f>ROUND(X33*(1+AC19),0)</f>
        <v>6758</v>
      </c>
      <c r="AC33" s="455" t="str">
        <f>TEXT(AC19,"0.0%")&amp;" = Est. S &amp; C"</f>
        <v>2.0% = Est. S &amp; C</v>
      </c>
    </row>
    <row r="34" spans="1:29" s="457" customFormat="1" hidden="1" x14ac:dyDescent="0.25">
      <c r="A34" s="2227"/>
      <c r="B34" s="2385"/>
      <c r="C34" s="2215"/>
      <c r="D34" s="340">
        <v>0</v>
      </c>
      <c r="E34" s="2386"/>
      <c r="F34" s="340"/>
      <c r="G34" s="456" t="str">
        <f t="shared" si="12"/>
        <v>0.00%</v>
      </c>
      <c r="H34" s="340">
        <f t="shared" ref="H34:H39" si="18">ROUND(D34*(1+$I$19),0)</f>
        <v>0</v>
      </c>
      <c r="I34" s="897" t="str">
        <f t="shared" ref="I34:I39" si="19">TEXT($I$19,"0.0%")&amp;" = Est. S &amp; C"</f>
        <v>0.0% = Est. S &amp; C</v>
      </c>
      <c r="J34" s="455"/>
      <c r="K34" s="456" t="str">
        <f t="shared" si="13"/>
        <v>0.00%</v>
      </c>
      <c r="L34" s="340">
        <f>ROUND(H34*(1+M19),0)</f>
        <v>0</v>
      </c>
      <c r="M34" s="897" t="str">
        <f>TEXT(M19,"0.0%")&amp;" = Est. S &amp; C"</f>
        <v>0.0% = Est. S &amp; C</v>
      </c>
      <c r="O34" s="456" t="str">
        <f t="shared" si="14"/>
        <v>0.00%</v>
      </c>
      <c r="P34" s="340">
        <f>ROUND(L34*(1+Q19),0)</f>
        <v>0</v>
      </c>
      <c r="Q34" s="897" t="str">
        <f>TEXT(Q19,"0.0%")&amp;" = Est. S &amp; C"</f>
        <v>0.0% = Est. S &amp; C</v>
      </c>
      <c r="R34" s="592"/>
      <c r="S34" s="2238" t="str">
        <f t="shared" si="15"/>
        <v>0.00%</v>
      </c>
      <c r="T34" s="340">
        <f>ROUND(P34*(1+U19),0)</f>
        <v>0</v>
      </c>
      <c r="U34" s="455" t="str">
        <f>TEXT(U19,"0.0%")&amp;" = Est. S &amp; C"</f>
        <v>2.0% = Est. S &amp; C</v>
      </c>
      <c r="V34" s="952"/>
      <c r="W34" s="2241" t="str">
        <f t="shared" si="16"/>
        <v>0.00%</v>
      </c>
      <c r="X34" s="340">
        <f>ROUND(T34*(1+Y19),0)</f>
        <v>0</v>
      </c>
      <c r="Y34" s="455" t="str">
        <f>TEXT(Y19,"0.0%")&amp;" = Est. S &amp; C"</f>
        <v>2.0% = Est. S &amp; C</v>
      </c>
      <c r="AA34" s="456" t="str">
        <f t="shared" si="17"/>
        <v>0.00%</v>
      </c>
      <c r="AB34" s="340">
        <f>ROUND(X34*(1+AC19),0)</f>
        <v>0</v>
      </c>
      <c r="AC34" s="455" t="str">
        <f>TEXT(AC19,"0.0%")&amp;" = Est. S &amp; C"</f>
        <v>2.0% = Est. S &amp; C</v>
      </c>
    </row>
    <row r="35" spans="1:29" s="457" customFormat="1" hidden="1" x14ac:dyDescent="0.25">
      <c r="A35" s="2227"/>
      <c r="B35" s="2385"/>
      <c r="C35" s="2215"/>
      <c r="D35" s="340">
        <v>0</v>
      </c>
      <c r="E35" s="2386"/>
      <c r="F35" s="340"/>
      <c r="G35" s="456" t="str">
        <f t="shared" si="12"/>
        <v>0.00%</v>
      </c>
      <c r="H35" s="340">
        <f t="shared" si="18"/>
        <v>0</v>
      </c>
      <c r="I35" s="897" t="str">
        <f t="shared" si="19"/>
        <v>0.0% = Est. S &amp; C</v>
      </c>
      <c r="J35" s="455"/>
      <c r="K35" s="456" t="str">
        <f t="shared" si="13"/>
        <v>0.00%</v>
      </c>
      <c r="L35" s="340">
        <f>ROUND(H35*(1+M19),0)</f>
        <v>0</v>
      </c>
      <c r="M35" s="897" t="str">
        <f>TEXT(M19,"0.0%")&amp;" = Est. S &amp; C"</f>
        <v>0.0% = Est. S &amp; C</v>
      </c>
      <c r="O35" s="456" t="str">
        <f t="shared" si="14"/>
        <v>0.00%</v>
      </c>
      <c r="P35" s="340">
        <f>ROUND(L35*(1+Q19),0)</f>
        <v>0</v>
      </c>
      <c r="Q35" s="897" t="str">
        <f>TEXT(Q19,"0.0%")&amp;" = Est. S &amp; C"</f>
        <v>0.0% = Est. S &amp; C</v>
      </c>
      <c r="R35" s="592"/>
      <c r="S35" s="2238" t="str">
        <f t="shared" si="15"/>
        <v>0.00%</v>
      </c>
      <c r="T35" s="340">
        <f>ROUND(P35*(1+U19),0)</f>
        <v>0</v>
      </c>
      <c r="U35" s="455" t="str">
        <f>TEXT(U19,"0.0%")&amp;" = Est. S &amp; C"</f>
        <v>2.0% = Est. S &amp; C</v>
      </c>
      <c r="V35" s="952"/>
      <c r="W35" s="2241" t="str">
        <f t="shared" si="16"/>
        <v>0.00%</v>
      </c>
      <c r="X35" s="340">
        <f>ROUND(T35*(1+Y19),0)</f>
        <v>0</v>
      </c>
      <c r="Y35" s="455" t="str">
        <f>TEXT(Y19,"0.0%")&amp;" = Est. S &amp; C"</f>
        <v>2.0% = Est. S &amp; C</v>
      </c>
      <c r="AA35" s="456" t="str">
        <f t="shared" si="17"/>
        <v>0.00%</v>
      </c>
      <c r="AB35" s="340">
        <f>ROUND(X35*(1+AC19),0)</f>
        <v>0</v>
      </c>
      <c r="AC35" s="455" t="str">
        <f>TEXT(AC19,"0.0%")&amp;" = Est. S &amp; C"</f>
        <v>2.0% = Est. S &amp; C</v>
      </c>
    </row>
    <row r="36" spans="1:29" s="457" customFormat="1" hidden="1" x14ac:dyDescent="0.25">
      <c r="A36" s="2227"/>
      <c r="B36" s="2385"/>
      <c r="C36" s="2215"/>
      <c r="D36" s="340">
        <v>0</v>
      </c>
      <c r="E36" s="2386"/>
      <c r="F36" s="340"/>
      <c r="G36" s="456" t="str">
        <f t="shared" si="12"/>
        <v>0.00%</v>
      </c>
      <c r="H36" s="340">
        <f t="shared" si="18"/>
        <v>0</v>
      </c>
      <c r="I36" s="897" t="str">
        <f t="shared" si="19"/>
        <v>0.0% = Est. S &amp; C</v>
      </c>
      <c r="J36" s="455"/>
      <c r="K36" s="456" t="str">
        <f t="shared" si="13"/>
        <v>0.00%</v>
      </c>
      <c r="L36" s="340">
        <f>ROUND(H36*(1+M19),0)</f>
        <v>0</v>
      </c>
      <c r="M36" s="897" t="str">
        <f>TEXT(M19,"0.0%")&amp;" = Est. S &amp; C"</f>
        <v>0.0% = Est. S &amp; C</v>
      </c>
      <c r="O36" s="456" t="str">
        <f t="shared" si="14"/>
        <v>0.00%</v>
      </c>
      <c r="P36" s="340">
        <f>ROUND(L36*(1+Q19),0)</f>
        <v>0</v>
      </c>
      <c r="Q36" s="897" t="str">
        <f>TEXT(Q19,"0.0%")&amp;" = Est. S &amp; C"</f>
        <v>0.0% = Est. S &amp; C</v>
      </c>
      <c r="R36" s="592"/>
      <c r="S36" s="2238" t="str">
        <f t="shared" si="15"/>
        <v>0.00%</v>
      </c>
      <c r="T36" s="340">
        <f>ROUND(P36*(1+U19),0)</f>
        <v>0</v>
      </c>
      <c r="U36" s="455" t="str">
        <f>TEXT(U19,"0.0%")&amp;" = Est. S &amp; C"</f>
        <v>2.0% = Est. S &amp; C</v>
      </c>
      <c r="V36" s="952"/>
      <c r="W36" s="2241" t="str">
        <f t="shared" si="16"/>
        <v>0.00%</v>
      </c>
      <c r="X36" s="340">
        <f>ROUND(T36*(1+Y19),0)</f>
        <v>0</v>
      </c>
      <c r="Y36" s="455" t="str">
        <f>TEXT(Y19,"0.0%")&amp;" = Est. S &amp; C"</f>
        <v>2.0% = Est. S &amp; C</v>
      </c>
      <c r="AA36" s="456" t="str">
        <f t="shared" si="17"/>
        <v>0.00%</v>
      </c>
      <c r="AB36" s="340">
        <f>ROUND(X36*(1+AC19),0)</f>
        <v>0</v>
      </c>
      <c r="AC36" s="455" t="str">
        <f>TEXT(AC19,"0.0%")&amp;" = Est. S &amp; C"</f>
        <v>2.0% = Est. S &amp; C</v>
      </c>
    </row>
    <row r="37" spans="1:29" s="457" customFormat="1" hidden="1" x14ac:dyDescent="0.25">
      <c r="A37" s="2227"/>
      <c r="B37" s="2385"/>
      <c r="C37" s="2215"/>
      <c r="D37" s="340">
        <v>0</v>
      </c>
      <c r="E37" s="2386"/>
      <c r="F37" s="340"/>
      <c r="G37" s="456" t="str">
        <f t="shared" si="12"/>
        <v>0.00%</v>
      </c>
      <c r="H37" s="340">
        <f t="shared" si="18"/>
        <v>0</v>
      </c>
      <c r="I37" s="897" t="str">
        <f t="shared" si="19"/>
        <v>0.0% = Est. S &amp; C</v>
      </c>
      <c r="J37" s="455"/>
      <c r="K37" s="456" t="str">
        <f t="shared" si="13"/>
        <v>0.00%</v>
      </c>
      <c r="L37" s="340">
        <f>ROUND(H37*(1+M19),0)</f>
        <v>0</v>
      </c>
      <c r="M37" s="897" t="str">
        <f>TEXT(M19,"0.0%")&amp;" = Est. S &amp; C"</f>
        <v>0.0% = Est. S &amp; C</v>
      </c>
      <c r="O37" s="456" t="str">
        <f t="shared" si="14"/>
        <v>0.00%</v>
      </c>
      <c r="P37" s="340">
        <f>ROUND(L37*(1+Q19),0)</f>
        <v>0</v>
      </c>
      <c r="Q37" s="897" t="str">
        <f>TEXT(Q19,"0.0%")&amp;" = Est. S &amp; C"</f>
        <v>0.0% = Est. S &amp; C</v>
      </c>
      <c r="R37" s="592"/>
      <c r="S37" s="2238" t="str">
        <f t="shared" si="15"/>
        <v>0.00%</v>
      </c>
      <c r="T37" s="340">
        <f>ROUND(P37*(1+U19),0)</f>
        <v>0</v>
      </c>
      <c r="U37" s="455" t="str">
        <f>TEXT(U19,"0.0%")&amp;" = Est. S &amp; C"</f>
        <v>2.0% = Est. S &amp; C</v>
      </c>
      <c r="V37" s="952"/>
      <c r="W37" s="2241" t="str">
        <f t="shared" si="16"/>
        <v>0.00%</v>
      </c>
      <c r="X37" s="340">
        <f>ROUND(T37*(1+Y19),0)</f>
        <v>0</v>
      </c>
      <c r="Y37" s="455" t="str">
        <f>TEXT(Y19,"0.0%")&amp;" = Est. S &amp; C"</f>
        <v>2.0% = Est. S &amp; C</v>
      </c>
      <c r="AA37" s="456" t="str">
        <f t="shared" si="17"/>
        <v>0.00%</v>
      </c>
      <c r="AB37" s="340">
        <f>ROUND(X37*(1+AC19),0)</f>
        <v>0</v>
      </c>
      <c r="AC37" s="455" t="str">
        <f>TEXT(AC19,"0.0%")&amp;" = Est. S &amp; C"</f>
        <v>2.0% = Est. S &amp; C</v>
      </c>
    </row>
    <row r="38" spans="1:29" s="457" customFormat="1" hidden="1" x14ac:dyDescent="0.25">
      <c r="A38" s="2227"/>
      <c r="B38" s="2385"/>
      <c r="C38" s="2215"/>
      <c r="D38" s="340">
        <v>0</v>
      </c>
      <c r="E38" s="2386"/>
      <c r="F38" s="340"/>
      <c r="G38" s="456" t="str">
        <f t="shared" si="12"/>
        <v>0.00%</v>
      </c>
      <c r="H38" s="340">
        <f t="shared" si="18"/>
        <v>0</v>
      </c>
      <c r="I38" s="897" t="str">
        <f t="shared" si="19"/>
        <v>0.0% = Est. S &amp; C</v>
      </c>
      <c r="J38" s="455"/>
      <c r="K38" s="456" t="str">
        <f t="shared" si="13"/>
        <v>0.00%</v>
      </c>
      <c r="L38" s="340">
        <f>ROUND(H38*(1+M19),0)</f>
        <v>0</v>
      </c>
      <c r="M38" s="897" t="str">
        <f>TEXT(M19,"0.0%")&amp;" = Est. S &amp; C"</f>
        <v>0.0% = Est. S &amp; C</v>
      </c>
      <c r="O38" s="456" t="str">
        <f t="shared" si="14"/>
        <v>0.00%</v>
      </c>
      <c r="P38" s="340">
        <f>ROUND(L38*(1+Q19),0)</f>
        <v>0</v>
      </c>
      <c r="Q38" s="897" t="str">
        <f>TEXT(Q19,"0.0%")&amp;" = Est. S &amp; C"</f>
        <v>0.0% = Est. S &amp; C</v>
      </c>
      <c r="R38" s="592"/>
      <c r="S38" s="2238" t="str">
        <f t="shared" si="15"/>
        <v>0.00%</v>
      </c>
      <c r="T38" s="340">
        <f>ROUND(P38*(1+U19),0)</f>
        <v>0</v>
      </c>
      <c r="U38" s="455" t="str">
        <f>TEXT(U19,"0.0%")&amp;" = Est. S &amp; C"</f>
        <v>2.0% = Est. S &amp; C</v>
      </c>
      <c r="V38" s="952"/>
      <c r="W38" s="2241" t="str">
        <f t="shared" si="16"/>
        <v>0.00%</v>
      </c>
      <c r="X38" s="340">
        <f>ROUND(T38*(1+Y19),0)</f>
        <v>0</v>
      </c>
      <c r="Y38" s="455" t="str">
        <f>TEXT(Y19,"0.0%")&amp;" = Est. S &amp; C"</f>
        <v>2.0% = Est. S &amp; C</v>
      </c>
      <c r="AA38" s="456" t="str">
        <f t="shared" si="17"/>
        <v>0.00%</v>
      </c>
      <c r="AB38" s="340">
        <f>ROUND(X38*(1+AC19),0)</f>
        <v>0</v>
      </c>
      <c r="AC38" s="455" t="str">
        <f>TEXT(AC19,"0.0%")&amp;" = Est. S &amp; C"</f>
        <v>2.0% = Est. S &amp; C</v>
      </c>
    </row>
    <row r="39" spans="1:29" s="457" customFormat="1" hidden="1" x14ac:dyDescent="0.25">
      <c r="A39" s="2227"/>
      <c r="B39" s="2385"/>
      <c r="C39" s="2215"/>
      <c r="D39" s="340">
        <v>0</v>
      </c>
      <c r="E39" s="2386"/>
      <c r="F39" s="340"/>
      <c r="G39" s="456" t="str">
        <f t="shared" si="12"/>
        <v>0.00%</v>
      </c>
      <c r="H39" s="340">
        <f t="shared" si="18"/>
        <v>0</v>
      </c>
      <c r="I39" s="897" t="str">
        <f t="shared" si="19"/>
        <v>0.0% = Est. S &amp; C</v>
      </c>
      <c r="J39" s="455"/>
      <c r="K39" s="456" t="str">
        <f t="shared" si="13"/>
        <v>0.00%</v>
      </c>
      <c r="L39" s="340">
        <f>ROUND(H39*(1+M19),0)</f>
        <v>0</v>
      </c>
      <c r="M39" s="897" t="str">
        <f>TEXT(M19,"0.0%")&amp;" = Est. S &amp; C"</f>
        <v>0.0% = Est. S &amp; C</v>
      </c>
      <c r="O39" s="456" t="str">
        <f t="shared" si="14"/>
        <v>0.00%</v>
      </c>
      <c r="P39" s="340">
        <f>ROUND(L39*(1+Q19),0)</f>
        <v>0</v>
      </c>
      <c r="Q39" s="897" t="str">
        <f>TEXT(Q19,"0.0%")&amp;" = Est. S &amp; C"</f>
        <v>0.0% = Est. S &amp; C</v>
      </c>
      <c r="R39" s="592"/>
      <c r="S39" s="2238" t="str">
        <f t="shared" si="15"/>
        <v>0.00%</v>
      </c>
      <c r="T39" s="340">
        <f>ROUND(P39*(1+U19),0)</f>
        <v>0</v>
      </c>
      <c r="U39" s="455" t="str">
        <f>TEXT(U19,"0.0%")&amp;" = Est. S &amp; C"</f>
        <v>2.0% = Est. S &amp; C</v>
      </c>
      <c r="V39" s="952"/>
      <c r="W39" s="2241" t="str">
        <f t="shared" si="16"/>
        <v>0.00%</v>
      </c>
      <c r="X39" s="340">
        <f>ROUND(T39*(1+Y19),0)</f>
        <v>0</v>
      </c>
      <c r="Y39" s="455" t="str">
        <f>TEXT(Y19,"0.0%")&amp;" = Est. S &amp; C"</f>
        <v>2.0% = Est. S &amp; C</v>
      </c>
      <c r="AA39" s="456" t="str">
        <f t="shared" si="17"/>
        <v>0.00%</v>
      </c>
      <c r="AB39" s="340">
        <f>ROUND(X39*(1+AC19),0)</f>
        <v>0</v>
      </c>
      <c r="AC39" s="455" t="str">
        <f>TEXT(AC19,"0.0%")&amp;" = Est. S &amp; C"</f>
        <v>2.0% = Est. S &amp; C</v>
      </c>
    </row>
    <row r="40" spans="1:29" s="457" customFormat="1" ht="6" customHeight="1" x14ac:dyDescent="0.25">
      <c r="A40" s="2227"/>
      <c r="B40" s="2385"/>
      <c r="C40" s="2215"/>
      <c r="D40" s="340"/>
      <c r="E40" s="2386"/>
      <c r="F40" s="340"/>
      <c r="G40" s="2338"/>
      <c r="H40" s="340"/>
      <c r="I40" s="897"/>
      <c r="J40" s="455"/>
      <c r="K40" s="1668"/>
      <c r="L40" s="340"/>
      <c r="M40" s="901"/>
      <c r="O40" s="1668"/>
      <c r="P40" s="340"/>
      <c r="Q40" s="901"/>
      <c r="R40" s="592"/>
      <c r="S40" s="2341"/>
      <c r="T40" s="340"/>
      <c r="U40" s="2344"/>
      <c r="V40" s="952"/>
      <c r="W40" s="2343"/>
      <c r="X40" s="340"/>
      <c r="Y40" s="2344"/>
      <c r="AA40" s="1668"/>
      <c r="AB40" s="340"/>
      <c r="AC40" s="2344"/>
    </row>
    <row r="41" spans="1:29" s="457" customFormat="1" x14ac:dyDescent="0.25">
      <c r="A41" s="2228"/>
      <c r="B41" s="2385"/>
      <c r="C41" s="2215"/>
      <c r="D41" s="458">
        <f>SUM(D33:D40)</f>
        <v>13333.66</v>
      </c>
      <c r="E41" s="2386"/>
      <c r="F41" s="340"/>
      <c r="G41" s="456">
        <f>IF(D41=0,"0.00%",(H41-D41)/D41)</f>
        <v>4.6599358315721276E-2</v>
      </c>
      <c r="H41" s="458">
        <f>SUM(H33:H40)</f>
        <v>13955</v>
      </c>
      <c r="I41" s="2316">
        <f>+H41-D41</f>
        <v>621.34000000000015</v>
      </c>
      <c r="J41" s="459"/>
      <c r="K41" s="456">
        <f>IF(H41=0,"0.00%",(L41-H41)/H41)</f>
        <v>-0.53457542099605881</v>
      </c>
      <c r="L41" s="458">
        <f>SUM(L33:L40)</f>
        <v>6495</v>
      </c>
      <c r="M41" s="2316">
        <f>+L41-H41</f>
        <v>-7460</v>
      </c>
      <c r="O41" s="456">
        <f>IF(L41=0,"0.00%",(P41-L41)/L41)</f>
        <v>0</v>
      </c>
      <c r="P41" s="458">
        <f>SUM(P33:P40)</f>
        <v>6495</v>
      </c>
      <c r="Q41" s="2316">
        <f>+P41-L41</f>
        <v>0</v>
      </c>
      <c r="R41" s="592"/>
      <c r="S41" s="2238">
        <f>IF(P41=0,"0.00%",(T41-P41)/P41)</f>
        <v>0</v>
      </c>
      <c r="T41" s="458">
        <f>SUM(T33:T40)</f>
        <v>6495</v>
      </c>
      <c r="U41" s="2344"/>
      <c r="V41" s="952"/>
      <c r="W41" s="2241">
        <f>IF(T41=0,"0.00%",(X41-T41)/T41)</f>
        <v>2.0015396458814474E-2</v>
      </c>
      <c r="X41" s="458">
        <f>SUM(X33:X40)</f>
        <v>6625</v>
      </c>
      <c r="Y41" s="2344"/>
      <c r="AA41" s="456">
        <f>IF(X41=0,"0.00%",(AB41-X41)/X41)</f>
        <v>2.0075471698113207E-2</v>
      </c>
      <c r="AB41" s="458">
        <f>SUM(AB33:AB40)</f>
        <v>6758</v>
      </c>
      <c r="AC41" s="2344"/>
    </row>
    <row r="42" spans="1:29" s="457" customFormat="1" x14ac:dyDescent="0.25">
      <c r="A42" s="2227"/>
      <c r="B42" s="2345" t="s">
        <v>28</v>
      </c>
      <c r="C42" s="2215"/>
      <c r="D42" s="340"/>
      <c r="E42" s="2386"/>
      <c r="F42" s="340"/>
      <c r="G42" s="2338"/>
      <c r="H42" s="340"/>
      <c r="I42" s="897"/>
      <c r="J42" s="455"/>
      <c r="K42" s="1668"/>
      <c r="L42" s="340"/>
      <c r="M42" s="901"/>
      <c r="O42" s="1668"/>
      <c r="P42" s="340"/>
      <c r="Q42" s="901"/>
      <c r="R42" s="592"/>
      <c r="S42" s="2341"/>
      <c r="T42" s="340"/>
      <c r="U42" s="2344"/>
      <c r="V42" s="952"/>
      <c r="W42" s="2343"/>
      <c r="X42" s="340"/>
      <c r="Y42" s="2344"/>
      <c r="AA42" s="1668"/>
      <c r="AB42" s="340"/>
      <c r="AC42" s="2344"/>
    </row>
    <row r="43" spans="1:29" s="457" customFormat="1" x14ac:dyDescent="0.25">
      <c r="A43" s="2229"/>
      <c r="B43" s="2337" t="s">
        <v>27</v>
      </c>
      <c r="C43" s="2215"/>
      <c r="D43" s="340"/>
      <c r="E43" s="2386"/>
      <c r="F43" s="340"/>
      <c r="G43" s="2338"/>
      <c r="H43" s="340"/>
      <c r="I43" s="897"/>
      <c r="J43" s="455"/>
      <c r="K43" s="1668"/>
      <c r="L43" s="340"/>
      <c r="M43" s="901"/>
      <c r="O43" s="1668"/>
      <c r="P43" s="340"/>
      <c r="Q43" s="901"/>
      <c r="R43" s="592"/>
      <c r="S43" s="2341"/>
      <c r="T43" s="340"/>
      <c r="U43" s="2344"/>
      <c r="V43" s="952"/>
      <c r="W43" s="2343"/>
      <c r="X43" s="340"/>
      <c r="Y43" s="2344"/>
      <c r="AA43" s="1668"/>
      <c r="AB43" s="340"/>
      <c r="AC43" s="2344"/>
    </row>
    <row r="44" spans="1:29" s="457" customFormat="1" x14ac:dyDescent="0.25">
      <c r="A44" s="2227"/>
      <c r="B44" s="2385" t="s">
        <v>83</v>
      </c>
      <c r="C44" s="2215" t="s">
        <v>76</v>
      </c>
      <c r="D44" s="340">
        <v>1677.37</v>
      </c>
      <c r="E44" s="899" t="str">
        <f>TEXT('MYP Assumptions'!$D$57,"0.00%")&amp;", STRS rate"</f>
        <v>12.58%, STRS rate</v>
      </c>
      <c r="F44" s="340"/>
      <c r="G44" s="456">
        <f t="shared" ref="G44:G53" si="20">IF(D44=0,"0.00%",(H44-D44)/D44)</f>
        <v>0.20009300273642674</v>
      </c>
      <c r="H44" s="340">
        <f>ROUND(H41*LEFT(I44,6),0)-1</f>
        <v>2013</v>
      </c>
      <c r="I44" s="899" t="str">
        <f>TEXT('MYP Assumptions'!E57,"0.00%")&amp;", projected STRS rate"</f>
        <v>14.43%, projected STRS rate</v>
      </c>
      <c r="J44" s="455"/>
      <c r="K44" s="456">
        <f t="shared" ref="K44:K53" si="21">IF(H44=0,"0.00%",(L44-H44)/H44)</f>
        <v>-0.4783904619970194</v>
      </c>
      <c r="L44" s="340">
        <v>1050</v>
      </c>
      <c r="M44" s="899" t="str">
        <f>TEXT('MYP Assumptions'!F57,"0.00%")&amp;", projected STRS rate"</f>
        <v>16.28%, projected STRS rate</v>
      </c>
      <c r="O44" s="456">
        <f t="shared" ref="O44:O53" si="22">IF(L44=0,"0.00%",(P44-L44)/L44)</f>
        <v>0.1219047619047619</v>
      </c>
      <c r="P44" s="340">
        <f>ROUND(P41*LEFT(Q44,6),0)</f>
        <v>1178</v>
      </c>
      <c r="Q44" s="899" t="str">
        <f>TEXT('MYP Assumptions'!G57,"0.00%")&amp;", projected STRS rate"</f>
        <v>18.13%, projected STRS rate</v>
      </c>
      <c r="R44" s="592"/>
      <c r="S44" s="2238">
        <f t="shared" ref="S44:S53" si="23">IF(P44=0,"0.00%",(T44-P44)/P44)</f>
        <v>-1</v>
      </c>
      <c r="T44" s="340">
        <f>ROUND(T30*LEFT(U44,6),0)</f>
        <v>0</v>
      </c>
      <c r="U44" s="953" t="str">
        <f>TEXT('MYP Assumptions'!H57,"0.00%")&amp;", projected STRS rate"</f>
        <v>19.10%, projected STRS rate</v>
      </c>
      <c r="V44" s="952"/>
      <c r="W44" s="2241" t="str">
        <f t="shared" ref="W44:W53" si="24">IF(T44=0,"0.00%",(X44-T44)/T44)</f>
        <v>0.00%</v>
      </c>
      <c r="X44" s="340">
        <f>ROUND(X30*LEFT(Y44,6),0)</f>
        <v>0</v>
      </c>
      <c r="Y44" s="953" t="str">
        <f>TEXT('MYP Assumptions'!I57,"0.00%")&amp;", projected STRS rate"</f>
        <v>19.10%, projected STRS rate</v>
      </c>
      <c r="AA44" s="456" t="str">
        <f t="shared" ref="AA44:AA53" si="25">IF(X44=0,"0.00%",(AB44-X44)/X44)</f>
        <v>0.00%</v>
      </c>
      <c r="AB44" s="340" t="e">
        <f>ROUND(AB30*LEFT(AC44,6),0)</f>
        <v>#VALUE!</v>
      </c>
      <c r="AC44" s="953" t="str">
        <f>TEXT('MYP Assumptions'!J57,"0.00%")&amp;", projected STRS rate"</f>
        <v>0.00%, projected STRS rate</v>
      </c>
    </row>
    <row r="45" spans="1:29" s="457" customFormat="1" x14ac:dyDescent="0.25">
      <c r="A45" s="2227"/>
      <c r="B45" s="2385" t="s">
        <v>84</v>
      </c>
      <c r="C45" s="2215" t="s">
        <v>77</v>
      </c>
      <c r="D45" s="340">
        <v>0</v>
      </c>
      <c r="E45" s="899" t="str">
        <f>TEXT('MYP Assumptions'!$D$58,"0.00%")&amp;", PERS rate"</f>
        <v>13.89%, PERS rate</v>
      </c>
      <c r="F45" s="340"/>
      <c r="G45" s="456" t="str">
        <f t="shared" si="20"/>
        <v>0.00%</v>
      </c>
      <c r="H45" s="340">
        <v>0</v>
      </c>
      <c r="I45" s="899" t="str">
        <f>TEXT('MYP Assumptions'!E58,"0.00%")&amp;", projected PERS rate"</f>
        <v>15.53%, projected PERS rate</v>
      </c>
      <c r="J45" s="455"/>
      <c r="K45" s="456" t="str">
        <f t="shared" si="21"/>
        <v>0.00%</v>
      </c>
      <c r="L45" s="340">
        <v>0</v>
      </c>
      <c r="M45" s="899" t="str">
        <f>TEXT('MYP Assumptions'!F58,"0.00%")&amp;", projected PERS rate"</f>
        <v>18.06%, projected PERS rate</v>
      </c>
      <c r="O45" s="456" t="str">
        <f t="shared" si="22"/>
        <v>0.00%</v>
      </c>
      <c r="P45" s="340">
        <v>0</v>
      </c>
      <c r="Q45" s="899" t="str">
        <f>TEXT('MYP Assumptions'!G58,"0.00%")&amp;", projected PERS rate"</f>
        <v>20.80%, projected PERS rate</v>
      </c>
      <c r="R45" s="592"/>
      <c r="S45" s="2238" t="str">
        <f t="shared" si="23"/>
        <v>0.00%</v>
      </c>
      <c r="T45" s="340">
        <f>ROUND(T41*LEFT(U45,6),0)</f>
        <v>1526</v>
      </c>
      <c r="U45" s="953" t="str">
        <f>TEXT('MYP Assumptions'!H58,"0.00%")&amp;", projected PERS rate"</f>
        <v>23.50%, projected PERS rate</v>
      </c>
      <c r="V45" s="952"/>
      <c r="W45" s="2241">
        <f t="shared" si="24"/>
        <v>6.8152031454783754E-2</v>
      </c>
      <c r="X45" s="340">
        <f>ROUND(X41*LEFT(Y45,6),0)</f>
        <v>1630</v>
      </c>
      <c r="Y45" s="953" t="str">
        <f>TEXT('MYP Assumptions'!I58,"0.00%")&amp;", projected PERS rate"</f>
        <v>24.60%, projected PERS rate</v>
      </c>
      <c r="AA45" s="456" t="e">
        <f t="shared" si="25"/>
        <v>#VALUE!</v>
      </c>
      <c r="AB45" s="340" t="e">
        <f>ROUND(AB41*LEFT(AC45,6),0)</f>
        <v>#VALUE!</v>
      </c>
      <c r="AC45" s="953" t="str">
        <f>TEXT('MYP Assumptions'!J58,"0.00%")&amp;", projected PERS rate"</f>
        <v>0.00%, projected PERS rate</v>
      </c>
    </row>
    <row r="46" spans="1:29" s="457" customFormat="1" x14ac:dyDescent="0.25">
      <c r="A46" s="2227"/>
      <c r="B46" s="2385" t="s">
        <v>85</v>
      </c>
      <c r="C46" s="2215" t="s">
        <v>78</v>
      </c>
      <c r="D46" s="340">
        <v>0</v>
      </c>
      <c r="E46" s="899" t="str">
        <f>TEXT('MYP Assumptions'!$D$60,"0.00%")&amp;", SS rate"</f>
        <v>6.20%, SS rate</v>
      </c>
      <c r="F46" s="340"/>
      <c r="G46" s="456" t="str">
        <f t="shared" si="20"/>
        <v>0.00%</v>
      </c>
      <c r="H46" s="340">
        <v>0</v>
      </c>
      <c r="I46" s="899" t="str">
        <f>TEXT('MYP Assumptions'!E60,"0.00%")&amp;", no rate change"</f>
        <v>6.20%, no rate change</v>
      </c>
      <c r="J46" s="455"/>
      <c r="K46" s="456" t="str">
        <f t="shared" si="21"/>
        <v>0.00%</v>
      </c>
      <c r="L46" s="340">
        <v>0</v>
      </c>
      <c r="M46" s="899" t="str">
        <f>TEXT('MYP Assumptions'!F60,"0.00%")&amp;", no rate change"</f>
        <v>6.20%, no rate change</v>
      </c>
      <c r="O46" s="456" t="str">
        <f t="shared" si="22"/>
        <v>0.00%</v>
      </c>
      <c r="P46" s="340">
        <v>0</v>
      </c>
      <c r="Q46" s="899" t="str">
        <f>TEXT('MYP Assumptions'!G60,"0.00%")&amp;", no rate change"</f>
        <v>6.20%, no rate change</v>
      </c>
      <c r="R46" s="592"/>
      <c r="S46" s="2238" t="str">
        <f t="shared" si="23"/>
        <v>0.00%</v>
      </c>
      <c r="T46" s="340">
        <f>ROUND(T41*LEFT(U46,5),0)</f>
        <v>403</v>
      </c>
      <c r="U46" s="953" t="str">
        <f>TEXT('MYP Assumptions'!H60,"0.00%")&amp;", no rate change"</f>
        <v>6.20%, no rate change</v>
      </c>
      <c r="V46" s="952"/>
      <c r="W46" s="2241">
        <f t="shared" si="24"/>
        <v>1.9851116625310174E-2</v>
      </c>
      <c r="X46" s="340">
        <f>ROUND(X41*LEFT(Y46,5),0)</f>
        <v>411</v>
      </c>
      <c r="Y46" s="953" t="str">
        <f>TEXT('MYP Assumptions'!I60,"0.00%")&amp;", no rate change"</f>
        <v>6.20%, no rate change</v>
      </c>
      <c r="AA46" s="456">
        <f t="shared" si="25"/>
        <v>-1</v>
      </c>
      <c r="AB46" s="340">
        <f>ROUND(AB41*LEFT(AC46,5),0)</f>
        <v>0</v>
      </c>
      <c r="AC46" s="953" t="str">
        <f>TEXT('MYP Assumptions'!J60,"0.00%")&amp;", no rate change"</f>
        <v>0.00%, no rate change</v>
      </c>
    </row>
    <row r="47" spans="1:29" s="457" customFormat="1" x14ac:dyDescent="0.25">
      <c r="A47" s="2227"/>
      <c r="B47" s="2385" t="s">
        <v>86</v>
      </c>
      <c r="C47" s="2215" t="s">
        <v>79</v>
      </c>
      <c r="D47" s="340">
        <v>193.34</v>
      </c>
      <c r="E47" s="899" t="str">
        <f>TEXT('MYP Assumptions'!$D$61,"0.00%")&amp;", Medicare rate"</f>
        <v>1.45%, Medicare rate</v>
      </c>
      <c r="F47" s="340"/>
      <c r="G47" s="456">
        <f t="shared" si="20"/>
        <v>4.4791558911761647E-2</v>
      </c>
      <c r="H47" s="340">
        <f>ROUND((H41+H30)*LEFT(I47,5),0)</f>
        <v>202</v>
      </c>
      <c r="I47" s="899" t="str">
        <f>TEXT('MYP Assumptions'!E61,"0.00%")&amp;", no rate change"</f>
        <v>1.45%, no rate change</v>
      </c>
      <c r="J47" s="455"/>
      <c r="K47" s="456">
        <f t="shared" si="21"/>
        <v>-0.5544554455445545</v>
      </c>
      <c r="L47" s="340">
        <v>90</v>
      </c>
      <c r="M47" s="899" t="str">
        <f>TEXT('MYP Assumptions'!F61,"0.00%")&amp;", no rate change"</f>
        <v>1.45%, no rate change</v>
      </c>
      <c r="O47" s="456">
        <f t="shared" si="22"/>
        <v>4.4444444444444446E-2</v>
      </c>
      <c r="P47" s="340">
        <f>ROUND((P41+P30)*LEFT(Q47,5),0)</f>
        <v>94</v>
      </c>
      <c r="Q47" s="899" t="str">
        <f>TEXT('MYP Assumptions'!G61,"0.00%")&amp;", no rate change"</f>
        <v>1.45%, no rate change</v>
      </c>
      <c r="R47" s="592"/>
      <c r="S47" s="2238">
        <f t="shared" si="23"/>
        <v>0</v>
      </c>
      <c r="T47" s="340">
        <f>ROUND((T41+T30)*LEFT(U47,5),0)</f>
        <v>94</v>
      </c>
      <c r="U47" s="953" t="str">
        <f>TEXT('MYP Assumptions'!H61,"0.00%")&amp;", no rate change"</f>
        <v>1.45%, no rate change</v>
      </c>
      <c r="V47" s="952"/>
      <c r="W47" s="2241">
        <f t="shared" si="24"/>
        <v>2.1276595744680851E-2</v>
      </c>
      <c r="X47" s="340">
        <f>ROUND((X41+X30)*LEFT(Y47,5),0)</f>
        <v>96</v>
      </c>
      <c r="Y47" s="953" t="str">
        <f>TEXT('MYP Assumptions'!I61,"0.00%")&amp;", no rate change"</f>
        <v>1.45%, no rate change</v>
      </c>
      <c r="AA47" s="456">
        <f t="shared" si="25"/>
        <v>-1</v>
      </c>
      <c r="AB47" s="340">
        <f>ROUND((AB41+AB30)*LEFT(AC47,5),0)</f>
        <v>0</v>
      </c>
      <c r="AC47" s="953" t="str">
        <f>TEXT('MYP Assumptions'!J61,"0.00%")&amp;", no rate change"</f>
        <v>0.00%, no rate change</v>
      </c>
    </row>
    <row r="48" spans="1:29" s="457" customFormat="1" x14ac:dyDescent="0.25">
      <c r="A48" s="2227"/>
      <c r="B48" s="2385" t="s">
        <v>87</v>
      </c>
      <c r="C48" s="2215" t="s">
        <v>80</v>
      </c>
      <c r="D48" s="340">
        <v>2000.05</v>
      </c>
      <c r="E48" s="899"/>
      <c r="F48" s="340"/>
      <c r="G48" s="456">
        <f t="shared" si="20"/>
        <v>-0.54801129971750706</v>
      </c>
      <c r="H48" s="340">
        <v>904</v>
      </c>
      <c r="I48" s="899"/>
      <c r="J48" s="455"/>
      <c r="K48" s="456">
        <f t="shared" si="21"/>
        <v>-5.9734513274336286E-2</v>
      </c>
      <c r="L48" s="340">
        <v>850</v>
      </c>
      <c r="M48" s="899" t="str">
        <f>TEXT('MYP Assumptions'!$I$68,"0.00%")&amp;", projected increase"</f>
        <v>5.00%, projected increase</v>
      </c>
      <c r="O48" s="456">
        <f t="shared" si="22"/>
        <v>5.0588235294117649E-2</v>
      </c>
      <c r="P48" s="340">
        <f>ROUND((L48)*(LEFT(Q48,5)+1),0)</f>
        <v>893</v>
      </c>
      <c r="Q48" s="899" t="str">
        <f>TEXT('MYP Assumptions'!$I$68,"0.00%")&amp;", projected increase"</f>
        <v>5.00%, projected increase</v>
      </c>
      <c r="R48" s="592"/>
      <c r="S48" s="2238">
        <f t="shared" si="23"/>
        <v>5.0391937290033592E-2</v>
      </c>
      <c r="T48" s="340">
        <f>ROUND((P48)*(LEFT(U48,5)+1),0)</f>
        <v>938</v>
      </c>
      <c r="U48" s="953" t="str">
        <f>TEXT('MYP Assumptions'!$I$68,"0.00%")&amp;", projected increase"</f>
        <v>5.00%, projected increase</v>
      </c>
      <c r="V48" s="952"/>
      <c r="W48" s="2241">
        <f t="shared" si="24"/>
        <v>5.0106609808102345E-2</v>
      </c>
      <c r="X48" s="340">
        <f>ROUND((T48)*(LEFT(Y48,5)+1),0)</f>
        <v>985</v>
      </c>
      <c r="Y48" s="953" t="str">
        <f>TEXT('MYP Assumptions'!$I$68,"0.00%")&amp;", projected increase"</f>
        <v>5.00%, projected increase</v>
      </c>
      <c r="AA48" s="456">
        <f t="shared" si="25"/>
        <v>4.9746192893401014E-2</v>
      </c>
      <c r="AB48" s="340">
        <f>ROUND((X48)*(LEFT(AC48,5)+1),0)</f>
        <v>1034</v>
      </c>
      <c r="AC48" s="953" t="str">
        <f>TEXT('MYP Assumptions'!$I$68,"0.00%")&amp;", projected increase"</f>
        <v>5.00%, projected increase</v>
      </c>
    </row>
    <row r="49" spans="1:29" s="457" customFormat="1" x14ac:dyDescent="0.25">
      <c r="A49" s="2227"/>
      <c r="B49" s="2385" t="s">
        <v>88</v>
      </c>
      <c r="C49" s="2215" t="s">
        <v>81</v>
      </c>
      <c r="D49" s="340">
        <v>6.67</v>
      </c>
      <c r="E49" s="899" t="str">
        <f>TEXT('MYP Assumptions'!$D$62,"0.00%")&amp;", SUI rate"</f>
        <v>0.05%, SUI rate</v>
      </c>
      <c r="F49" s="340"/>
      <c r="G49" s="456">
        <f t="shared" si="20"/>
        <v>4.9475262368815602E-2</v>
      </c>
      <c r="H49" s="340">
        <f>ROUND((H41+H30)*LEFT(I49,5),0)</f>
        <v>7</v>
      </c>
      <c r="I49" s="899" t="str">
        <f>TEXT('MYP Assumptions'!E62,"0.00%")&amp;", no rate change"</f>
        <v>0.05%, no rate change</v>
      </c>
      <c r="J49" s="455"/>
      <c r="K49" s="456">
        <f t="shared" si="21"/>
        <v>-0.5714285714285714</v>
      </c>
      <c r="L49" s="340">
        <v>3</v>
      </c>
      <c r="M49" s="899" t="str">
        <f>TEXT('MYP Assumptions'!F62,"0.00%")&amp;", no rate change"</f>
        <v>0.05%, no rate change</v>
      </c>
      <c r="O49" s="456">
        <f t="shared" si="22"/>
        <v>0</v>
      </c>
      <c r="P49" s="340">
        <f>ROUND((P41+P30)*LEFT(Q49,5),0)</f>
        <v>3</v>
      </c>
      <c r="Q49" s="899" t="str">
        <f>TEXT('MYP Assumptions'!G62,"0.00%")&amp;", no rate change"</f>
        <v>0.05%, no rate change</v>
      </c>
      <c r="R49" s="592"/>
      <c r="S49" s="2238">
        <f t="shared" si="23"/>
        <v>0</v>
      </c>
      <c r="T49" s="340">
        <f>ROUND((T41+T30)*LEFT(U49,5),0)</f>
        <v>3</v>
      </c>
      <c r="U49" s="953" t="str">
        <f>TEXT('MYP Assumptions'!H62,"0.00%")&amp;", no rate change"</f>
        <v>0.05%, no rate change</v>
      </c>
      <c r="V49" s="952"/>
      <c r="W49" s="2241">
        <f t="shared" si="24"/>
        <v>0</v>
      </c>
      <c r="X49" s="340">
        <f>ROUND((X41+X30)*LEFT(Y49,5),0)</f>
        <v>3</v>
      </c>
      <c r="Y49" s="953" t="str">
        <f>TEXT('MYP Assumptions'!I62,"0.00%")&amp;", no rate change"</f>
        <v>0.05%, no rate change</v>
      </c>
      <c r="AA49" s="456">
        <f t="shared" si="25"/>
        <v>-1</v>
      </c>
      <c r="AB49" s="340">
        <f>ROUND((AB41+AB30)*LEFT(AC49,5),0)</f>
        <v>0</v>
      </c>
      <c r="AC49" s="953" t="str">
        <f>TEXT('MYP Assumptions'!J62,"0.00%")&amp;", no rate change"</f>
        <v>0.00%, no rate change</v>
      </c>
    </row>
    <row r="50" spans="1:29" s="457" customFormat="1" x14ac:dyDescent="0.25">
      <c r="A50" s="2227"/>
      <c r="B50" s="2385" t="s">
        <v>89</v>
      </c>
      <c r="C50" s="2215" t="s">
        <v>82</v>
      </c>
      <c r="D50" s="340">
        <v>146.66999999999999</v>
      </c>
      <c r="E50" s="899" t="str">
        <f>TEXT('MYP Assumptions'!$D$63,"0.00%")&amp;", W/C rate"</f>
        <v>1.10%, W/C rate</v>
      </c>
      <c r="F50" s="340"/>
      <c r="G50" s="456">
        <f t="shared" si="20"/>
        <v>4.9976136905979497E-2</v>
      </c>
      <c r="H50" s="340">
        <v>154</v>
      </c>
      <c r="I50" s="899" t="str">
        <f>TEXT('MYP Assumptions'!E63,"0.00%")&amp;", no rate change"</f>
        <v>0.80%, no rate change</v>
      </c>
      <c r="J50" s="455"/>
      <c r="K50" s="456">
        <f t="shared" si="21"/>
        <v>-0.67532467532467533</v>
      </c>
      <c r="L50" s="340">
        <v>50</v>
      </c>
      <c r="M50" s="899" t="str">
        <f>TEXT('MYP Assumptions'!F63,"0.00%")&amp;", no rate change"</f>
        <v>0.80%, no rate change</v>
      </c>
      <c r="O50" s="456">
        <f t="shared" si="22"/>
        <v>0.04</v>
      </c>
      <c r="P50" s="340">
        <f>ROUND((P41+P30)*LEFT(Q50,5),0)</f>
        <v>52</v>
      </c>
      <c r="Q50" s="899" t="str">
        <f>TEXT('MYP Assumptions'!G63,"0.00%")&amp;", no rate change"</f>
        <v>0.80%, no rate change</v>
      </c>
      <c r="R50" s="592"/>
      <c r="S50" s="2238">
        <f t="shared" si="23"/>
        <v>0</v>
      </c>
      <c r="T50" s="340">
        <f>ROUND((T41+T30)*LEFT(U50,5),0)</f>
        <v>52</v>
      </c>
      <c r="U50" s="953" t="str">
        <f>TEXT('MYP Assumptions'!H63,"0.00%")&amp;", no rate change"</f>
        <v>0.80%, no rate change</v>
      </c>
      <c r="V50" s="952"/>
      <c r="W50" s="2241">
        <f t="shared" si="24"/>
        <v>1.9230769230769232E-2</v>
      </c>
      <c r="X50" s="340">
        <f>ROUND((X41+X30)*LEFT(Y50,5),0)</f>
        <v>53</v>
      </c>
      <c r="Y50" s="953" t="str">
        <f>TEXT('MYP Assumptions'!I63,"0.00%")&amp;", no rate change"</f>
        <v>0.80%, no rate change</v>
      </c>
      <c r="AA50" s="456">
        <f t="shared" si="25"/>
        <v>-1</v>
      </c>
      <c r="AB50" s="340">
        <f>ROUND((AB41+AB30)*LEFT(AC50,5),0)</f>
        <v>0</v>
      </c>
      <c r="AC50" s="953" t="str">
        <f>TEXT('MYP Assumptions'!J63,"0.00%")&amp;", no rate change"</f>
        <v>0.00%, no rate change</v>
      </c>
    </row>
    <row r="51" spans="1:29" s="457" customFormat="1" x14ac:dyDescent="0.25">
      <c r="A51" s="2227"/>
      <c r="B51" s="2441" t="s">
        <v>469</v>
      </c>
      <c r="C51" s="2451" t="s">
        <v>470</v>
      </c>
      <c r="D51" s="340">
        <v>0</v>
      </c>
      <c r="E51" s="2386"/>
      <c r="F51" s="340"/>
      <c r="G51" s="456" t="str">
        <f t="shared" ref="G51" si="26">IF(D51=0,"0.00%",(H51-D51)/D51)</f>
        <v>0.00%</v>
      </c>
      <c r="H51" s="340">
        <f>D51</f>
        <v>0</v>
      </c>
      <c r="I51" s="899" t="s">
        <v>165</v>
      </c>
      <c r="J51" s="455"/>
      <c r="K51" s="456" t="str">
        <f t="shared" ref="K51" si="27">IF(H51=0,"0.00%",(L51-H51)/H51)</f>
        <v>0.00%</v>
      </c>
      <c r="L51" s="340">
        <f>H51</f>
        <v>0</v>
      </c>
      <c r="M51" s="899" t="s">
        <v>165</v>
      </c>
      <c r="O51" s="456" t="str">
        <f t="shared" ref="O51" si="28">IF(L51=0,"0.00%",(P51-L51)/L51)</f>
        <v>0.00%</v>
      </c>
      <c r="P51" s="340">
        <f>L51</f>
        <v>0</v>
      </c>
      <c r="Q51" s="899" t="s">
        <v>165</v>
      </c>
      <c r="R51" s="592"/>
      <c r="S51" s="2238" t="str">
        <f t="shared" ref="S51" si="29">IF(P51=0,"0.00%",(T51-P51)/P51)</f>
        <v>0.00%</v>
      </c>
      <c r="T51" s="340">
        <f>P51</f>
        <v>0</v>
      </c>
      <c r="U51" s="953" t="s">
        <v>165</v>
      </c>
      <c r="V51" s="952"/>
      <c r="W51" s="2241" t="str">
        <f t="shared" ref="W51" si="30">IF(T51=0,"0.00%",(X51-T51)/T51)</f>
        <v>0.00%</v>
      </c>
      <c r="X51" s="340">
        <f>T51</f>
        <v>0</v>
      </c>
      <c r="Y51" s="953" t="s">
        <v>165</v>
      </c>
      <c r="AA51" s="456" t="str">
        <f t="shared" ref="AA51" si="31">IF(X51=0,"0.00%",(AB51-X51)/X51)</f>
        <v>0.00%</v>
      </c>
      <c r="AB51" s="340">
        <f>X51</f>
        <v>0</v>
      </c>
      <c r="AC51" s="953" t="s">
        <v>165</v>
      </c>
    </row>
    <row r="52" spans="1:29" s="457" customFormat="1" x14ac:dyDescent="0.25">
      <c r="A52" s="2227"/>
      <c r="B52" s="2441" t="s">
        <v>91</v>
      </c>
      <c r="C52" s="2451" t="s">
        <v>93</v>
      </c>
      <c r="D52" s="340"/>
      <c r="E52" s="2386"/>
      <c r="F52" s="340"/>
      <c r="G52" s="456" t="str">
        <f t="shared" ref="G52" si="32">IF(D52=0,"0.00%",(H52-D52)/D52)</f>
        <v>0.00%</v>
      </c>
      <c r="H52" s="340">
        <f>D52</f>
        <v>0</v>
      </c>
      <c r="I52" s="899" t="s">
        <v>165</v>
      </c>
      <c r="J52" s="455"/>
      <c r="K52" s="456" t="str">
        <f t="shared" ref="K52" si="33">IF(H52=0,"0.00%",(L52-H52)/H52)</f>
        <v>0.00%</v>
      </c>
      <c r="L52" s="340">
        <f>H52</f>
        <v>0</v>
      </c>
      <c r="M52" s="899" t="s">
        <v>165</v>
      </c>
      <c r="O52" s="456" t="str">
        <f t="shared" ref="O52" si="34">IF(L52=0,"0.00%",(P52-L52)/L52)</f>
        <v>0.00%</v>
      </c>
      <c r="P52" s="340">
        <f>L52</f>
        <v>0</v>
      </c>
      <c r="Q52" s="899" t="s">
        <v>165</v>
      </c>
      <c r="R52" s="592"/>
      <c r="S52" s="2238" t="str">
        <f t="shared" ref="S52" si="35">IF(P52=0,"0.00%",(T52-P52)/P52)</f>
        <v>0.00%</v>
      </c>
      <c r="T52" s="340">
        <f>P52</f>
        <v>0</v>
      </c>
      <c r="U52" s="953" t="s">
        <v>165</v>
      </c>
      <c r="V52" s="952"/>
      <c r="W52" s="2241"/>
      <c r="X52" s="340"/>
      <c r="Y52" s="953"/>
      <c r="AA52" s="456"/>
      <c r="AB52" s="340"/>
      <c r="AC52" s="953"/>
    </row>
    <row r="53" spans="1:29" s="457" customFormat="1" x14ac:dyDescent="0.25">
      <c r="A53" s="2228"/>
      <c r="B53" s="2385"/>
      <c r="C53" s="2215"/>
      <c r="D53" s="458">
        <f>SUM(D44:D52)</f>
        <v>4024.1</v>
      </c>
      <c r="E53" s="2386"/>
      <c r="F53" s="340"/>
      <c r="G53" s="456">
        <f t="shared" si="20"/>
        <v>-0.18491091175666607</v>
      </c>
      <c r="H53" s="458">
        <f>SUM(H44:H52)</f>
        <v>3280</v>
      </c>
      <c r="I53" s="2316">
        <f>+H53-D53</f>
        <v>-744.09999999999991</v>
      </c>
      <c r="J53" s="459"/>
      <c r="K53" s="456">
        <f t="shared" si="21"/>
        <v>-0.37713414634146342</v>
      </c>
      <c r="L53" s="458">
        <f>SUM(L44:L52)</f>
        <v>2043</v>
      </c>
      <c r="M53" s="2316">
        <f>+L53-H53</f>
        <v>-1237</v>
      </c>
      <c r="O53" s="456">
        <f t="shared" si="22"/>
        <v>8.6637298091042578E-2</v>
      </c>
      <c r="P53" s="458">
        <f>SUM(P44:P52)</f>
        <v>2220</v>
      </c>
      <c r="Q53" s="2316">
        <f>+P53-L53</f>
        <v>177</v>
      </c>
      <c r="R53" s="592"/>
      <c r="S53" s="2238">
        <f t="shared" si="23"/>
        <v>0.35855855855855856</v>
      </c>
      <c r="T53" s="458">
        <f>SUM(T44:T52)</f>
        <v>3016</v>
      </c>
      <c r="U53" s="2344"/>
      <c r="V53" s="952"/>
      <c r="W53" s="2241">
        <f t="shared" si="24"/>
        <v>5.3713527851458887E-2</v>
      </c>
      <c r="X53" s="458">
        <f>SUM(X44:X52)</f>
        <v>3178</v>
      </c>
      <c r="Y53" s="2344"/>
      <c r="AA53" s="456" t="e">
        <f t="shared" si="25"/>
        <v>#VALUE!</v>
      </c>
      <c r="AB53" s="458" t="e">
        <f>SUM(AB44:AB52)</f>
        <v>#VALUE!</v>
      </c>
      <c r="AC53" s="2344"/>
    </row>
    <row r="54" spans="1:29" s="457" customFormat="1" x14ac:dyDescent="0.25">
      <c r="A54" s="2229"/>
      <c r="B54" s="2385"/>
      <c r="C54" s="2215"/>
      <c r="D54" s="340"/>
      <c r="E54" s="2386"/>
      <c r="F54" s="340"/>
      <c r="G54" s="2338"/>
      <c r="H54" s="340"/>
      <c r="I54" s="897"/>
      <c r="J54" s="455"/>
      <c r="K54" s="1668"/>
      <c r="L54" s="340"/>
      <c r="M54" s="901"/>
      <c r="O54" s="1668"/>
      <c r="P54" s="340"/>
      <c r="Q54" s="901"/>
      <c r="R54" s="592"/>
      <c r="S54" s="2341"/>
      <c r="T54" s="340"/>
      <c r="U54" s="2344"/>
      <c r="V54" s="952"/>
      <c r="W54" s="2343"/>
      <c r="X54" s="340"/>
      <c r="Y54" s="2344"/>
      <c r="AA54" s="1668"/>
      <c r="AB54" s="340"/>
      <c r="AC54" s="2344"/>
    </row>
    <row r="55" spans="1:29" s="457" customFormat="1" x14ac:dyDescent="0.25">
      <c r="A55" s="2228"/>
      <c r="B55" s="2337" t="s">
        <v>26</v>
      </c>
      <c r="C55" s="2215"/>
      <c r="D55" s="458">
        <f>SUM(D53,D41,D30)</f>
        <v>17357.759999999998</v>
      </c>
      <c r="E55" s="2386"/>
      <c r="F55" s="340"/>
      <c r="G55" s="456">
        <f>IF(D55=0,"0.00%",(H55-D55)/D55)</f>
        <v>-7.0723411315744894E-3</v>
      </c>
      <c r="H55" s="458">
        <f>SUM(H53,H41,H30)</f>
        <v>17235</v>
      </c>
      <c r="I55" s="2316">
        <f>+H55-D55</f>
        <v>-122.7599999999984</v>
      </c>
      <c r="J55" s="459"/>
      <c r="K55" s="456">
        <f>IF(H55=0,"0.00%",(L55-H55)/H55)</f>
        <v>-0.50461270670147951</v>
      </c>
      <c r="L55" s="458">
        <f>SUM(L53,L41,L30)</f>
        <v>8538</v>
      </c>
      <c r="M55" s="2316">
        <f>+L55-H55</f>
        <v>-8697</v>
      </c>
      <c r="O55" s="456">
        <f>IF(L55=0,"0.00%",(P55-L55)/L55)</f>
        <v>2.0730850316233309E-2</v>
      </c>
      <c r="P55" s="458">
        <f>SUM(P53,P41,P30)</f>
        <v>8715</v>
      </c>
      <c r="Q55" s="2316">
        <f>+P55-L55</f>
        <v>177</v>
      </c>
      <c r="R55" s="592"/>
      <c r="S55" s="2238">
        <f>IF(P55=0,"0.00%",(T55-P55)/P55)</f>
        <v>9.133677567412507E-2</v>
      </c>
      <c r="T55" s="458">
        <f>SUM(T53,T41,T30)</f>
        <v>9511</v>
      </c>
      <c r="U55" s="2344"/>
      <c r="V55" s="952"/>
      <c r="W55" s="2241">
        <f>IF(T55=0,"0.00%",(X55-T55)/T55)</f>
        <v>3.0701293239407002E-2</v>
      </c>
      <c r="X55" s="458">
        <f>SUM(X53,X41,X30)</f>
        <v>9803</v>
      </c>
      <c r="Y55" s="2344"/>
      <c r="AA55" s="456" t="e">
        <f>IF(X55=0,"0.00%",(AB55-X55)/X55)</f>
        <v>#VALUE!</v>
      </c>
      <c r="AB55" s="458" t="e">
        <f>SUM(AB53,AB41,AB30)</f>
        <v>#VALUE!</v>
      </c>
      <c r="AC55" s="2344"/>
    </row>
    <row r="56" spans="1:29" s="457" customFormat="1" x14ac:dyDescent="0.25">
      <c r="A56" s="2230"/>
      <c r="B56" s="2345"/>
      <c r="C56" s="2215"/>
      <c r="D56" s="340"/>
      <c r="E56" s="2386"/>
      <c r="F56" s="340"/>
      <c r="G56" s="2338"/>
      <c r="H56" s="340"/>
      <c r="I56" s="897"/>
      <c r="J56" s="455"/>
      <c r="K56" s="1668"/>
      <c r="L56" s="340"/>
      <c r="M56" s="901"/>
      <c r="O56" s="1668"/>
      <c r="P56" s="340"/>
      <c r="Q56" s="901"/>
      <c r="R56" s="592"/>
      <c r="S56" s="2341"/>
      <c r="T56" s="340"/>
      <c r="U56" s="2344"/>
      <c r="V56" s="952"/>
      <c r="W56" s="2343"/>
      <c r="X56" s="340"/>
      <c r="Y56" s="2344"/>
      <c r="AA56" s="1668"/>
      <c r="AB56" s="340"/>
      <c r="AC56" s="2344"/>
    </row>
    <row r="57" spans="1:29" s="457" customFormat="1" hidden="1" x14ac:dyDescent="0.25">
      <c r="A57" s="2227"/>
      <c r="B57" s="2345"/>
      <c r="C57" s="2215"/>
      <c r="D57" s="340"/>
      <c r="E57" s="2386"/>
      <c r="F57" s="340"/>
      <c r="G57" s="2338"/>
      <c r="H57" s="340"/>
      <c r="I57" s="897"/>
      <c r="J57" s="455"/>
      <c r="K57" s="1668"/>
      <c r="L57" s="340"/>
      <c r="M57" s="901"/>
      <c r="O57" s="1668"/>
      <c r="P57" s="340"/>
      <c r="Q57" s="901"/>
      <c r="R57" s="592"/>
      <c r="S57" s="2341"/>
      <c r="T57" s="340"/>
      <c r="U57" s="2344"/>
      <c r="V57" s="952"/>
      <c r="W57" s="2343"/>
      <c r="X57" s="340"/>
      <c r="Y57" s="2344"/>
      <c r="AA57" s="1668"/>
      <c r="AB57" s="340"/>
      <c r="AC57" s="2344"/>
    </row>
    <row r="58" spans="1:29" s="457" customFormat="1" hidden="1" x14ac:dyDescent="0.25">
      <c r="A58" s="2230"/>
      <c r="B58" s="2440" t="s">
        <v>25</v>
      </c>
      <c r="C58" s="2225"/>
      <c r="D58" s="340"/>
      <c r="E58" s="2386"/>
      <c r="F58" s="340"/>
      <c r="G58" s="2338"/>
      <c r="H58" s="340"/>
      <c r="I58" s="897"/>
      <c r="J58" s="455"/>
      <c r="K58" s="1668"/>
      <c r="L58" s="340"/>
      <c r="M58" s="901"/>
      <c r="O58" s="1668"/>
      <c r="P58" s="340"/>
      <c r="Q58" s="901"/>
      <c r="R58" s="592"/>
      <c r="S58" s="2341"/>
      <c r="T58" s="340"/>
      <c r="U58" s="2344"/>
      <c r="V58" s="952"/>
      <c r="W58" s="2343"/>
      <c r="X58" s="340"/>
      <c r="Y58" s="2344"/>
      <c r="AA58" s="1668"/>
      <c r="AB58" s="340"/>
      <c r="AC58" s="2344"/>
    </row>
    <row r="59" spans="1:29" s="457" customFormat="1" hidden="1" x14ac:dyDescent="0.25">
      <c r="A59" s="2227"/>
      <c r="B59" s="2385"/>
      <c r="C59" s="2215"/>
      <c r="D59" s="340">
        <v>0</v>
      </c>
      <c r="E59" s="2386"/>
      <c r="F59" s="340"/>
      <c r="G59" s="456" t="str">
        <f t="shared" ref="G59:G66" si="36">IF(D59=0,"0.00%",(H59-D59)/D59)</f>
        <v>0.00%</v>
      </c>
      <c r="H59" s="340">
        <f t="shared" ref="H59:H65" si="37">ROUND(D59*(LEFT(I59,5)+1),0)</f>
        <v>0</v>
      </c>
      <c r="I59" s="899" t="str">
        <f>TEXT('MYP Assumptions'!E78,"0.00%")&amp;", CPI"</f>
        <v>3.37%, CPI</v>
      </c>
      <c r="J59" s="455"/>
      <c r="K59" s="456" t="str">
        <f t="shared" ref="K59:K66" si="38">IF(H59=0,"0.00%",(L59-H59)/H59)</f>
        <v>0.00%</v>
      </c>
      <c r="L59" s="340">
        <f>ROUND(H59*(LEFT(M59,5)+1),0)</f>
        <v>0</v>
      </c>
      <c r="M59" s="899" t="str">
        <f>TEXT('MYP Assumptions'!F78,"0.00%")&amp;", CPI"</f>
        <v>3.58%, CPI</v>
      </c>
      <c r="O59" s="456" t="str">
        <f t="shared" ref="O59:O66" si="39">IF(L59=0,"0.00%",(P59-L59)/L59)</f>
        <v>0.00%</v>
      </c>
      <c r="P59" s="340">
        <f>ROUND(L59*(LEFT(Q59,5)+1),0)</f>
        <v>0</v>
      </c>
      <c r="Q59" s="899" t="str">
        <f>TEXT('MYP Assumptions'!G78,"0.00%")&amp;", CPI"</f>
        <v>3.36%, CPI</v>
      </c>
      <c r="R59" s="592"/>
      <c r="S59" s="2238" t="str">
        <f t="shared" ref="S59:S66" si="40">IF(P59=0,"0.00%",(T59-P59)/P59)</f>
        <v>0.00%</v>
      </c>
      <c r="T59" s="340">
        <f>ROUND(P59*(LEFT(U59,5)+1),0)</f>
        <v>0</v>
      </c>
      <c r="U59" s="953" t="str">
        <f>TEXT('MYP Assumptions'!H78,"0.00%")&amp;", CPI"</f>
        <v>3.23%, CPI</v>
      </c>
      <c r="V59" s="952"/>
      <c r="W59" s="2241" t="str">
        <f t="shared" ref="W59:W66" si="41">IF(T59=0,"0.00%",(X59-T59)/T59)</f>
        <v>0.00%</v>
      </c>
      <c r="X59" s="340">
        <f>ROUND(T59*(LEFT(Y59,5)+1),0)</f>
        <v>0</v>
      </c>
      <c r="Y59" s="953" t="str">
        <f>TEXT('MYP Assumptions'!I78,"0.00%")&amp;", CPI"</f>
        <v>2.73%, CPI</v>
      </c>
      <c r="AA59" s="456" t="str">
        <f t="shared" ref="AA59:AA66" si="42">IF(X59=0,"0.00%",(AB59-X59)/X59)</f>
        <v>0.00%</v>
      </c>
      <c r="AB59" s="340">
        <f>ROUND(X59*(LEFT(AC59,5)+1),0)</f>
        <v>0</v>
      </c>
      <c r="AC59" s="953" t="str">
        <f>TEXT('MYP Assumptions'!J78,"0.00%")&amp;", CPI"</f>
        <v>2.73%, CPI</v>
      </c>
    </row>
    <row r="60" spans="1:29" s="457" customFormat="1" hidden="1" x14ac:dyDescent="0.25">
      <c r="A60" s="2227"/>
      <c r="B60" s="2385"/>
      <c r="C60" s="2215"/>
      <c r="D60" s="340">
        <v>0</v>
      </c>
      <c r="E60" s="2386"/>
      <c r="F60" s="340"/>
      <c r="G60" s="456" t="str">
        <f t="shared" si="36"/>
        <v>0.00%</v>
      </c>
      <c r="H60" s="340">
        <f t="shared" si="37"/>
        <v>0</v>
      </c>
      <c r="I60" s="899" t="str">
        <f>TEXT('MYP Assumptions'!E78,"0.00%")&amp;", CPI"</f>
        <v>3.37%, CPI</v>
      </c>
      <c r="J60" s="455"/>
      <c r="K60" s="456" t="str">
        <f t="shared" si="38"/>
        <v>0.00%</v>
      </c>
      <c r="L60" s="340">
        <f t="shared" ref="L60:L65" si="43">ROUND(H60*(LEFT(M60,5)+1),0)</f>
        <v>0</v>
      </c>
      <c r="M60" s="899" t="str">
        <f>TEXT('MYP Assumptions'!F78,"0.00%")&amp;", CPI"</f>
        <v>3.58%, CPI</v>
      </c>
      <c r="O60" s="456" t="str">
        <f t="shared" si="39"/>
        <v>0.00%</v>
      </c>
      <c r="P60" s="340">
        <f t="shared" ref="P60:P65" si="44">ROUND(L60*(LEFT(Q60,5)+1),0)</f>
        <v>0</v>
      </c>
      <c r="Q60" s="899" t="str">
        <f>TEXT('MYP Assumptions'!G78,"0.00%")&amp;", CPI"</f>
        <v>3.36%, CPI</v>
      </c>
      <c r="R60" s="592"/>
      <c r="S60" s="2238" t="str">
        <f t="shared" si="40"/>
        <v>0.00%</v>
      </c>
      <c r="T60" s="340">
        <f t="shared" ref="T60:T65" si="45">ROUND(P60*(LEFT(U60,5)+1),0)</f>
        <v>0</v>
      </c>
      <c r="U60" s="953" t="str">
        <f>TEXT('MYP Assumptions'!H78,"0.00%")&amp;", CPI"</f>
        <v>3.23%, CPI</v>
      </c>
      <c r="V60" s="952"/>
      <c r="W60" s="2241" t="str">
        <f t="shared" si="41"/>
        <v>0.00%</v>
      </c>
      <c r="X60" s="340">
        <f t="shared" ref="X60:X65" si="46">ROUND(T60*(LEFT(Y60,5)+1),0)</f>
        <v>0</v>
      </c>
      <c r="Y60" s="953" t="str">
        <f>TEXT('MYP Assumptions'!I78,"0.00%")&amp;", CPI"</f>
        <v>2.73%, CPI</v>
      </c>
      <c r="AA60" s="456" t="str">
        <f t="shared" si="42"/>
        <v>0.00%</v>
      </c>
      <c r="AB60" s="340">
        <f t="shared" ref="AB60:AB65" si="47">ROUND(X60*(LEFT(AC60,5)+1),0)</f>
        <v>0</v>
      </c>
      <c r="AC60" s="953" t="str">
        <f>TEXT('MYP Assumptions'!J78,"0.00%")&amp;", CPI"</f>
        <v>2.73%, CPI</v>
      </c>
    </row>
    <row r="61" spans="1:29" s="457" customFormat="1" hidden="1" x14ac:dyDescent="0.25">
      <c r="A61" s="2227"/>
      <c r="B61" s="2385"/>
      <c r="C61" s="2215"/>
      <c r="D61" s="340">
        <v>0</v>
      </c>
      <c r="E61" s="2386"/>
      <c r="F61" s="340"/>
      <c r="G61" s="456" t="str">
        <f t="shared" si="36"/>
        <v>0.00%</v>
      </c>
      <c r="H61" s="340">
        <f t="shared" si="37"/>
        <v>0</v>
      </c>
      <c r="I61" s="899" t="str">
        <f>TEXT('MYP Assumptions'!E78,"0.00%")&amp;", CPI"</f>
        <v>3.37%, CPI</v>
      </c>
      <c r="J61" s="455"/>
      <c r="K61" s="456" t="str">
        <f t="shared" si="38"/>
        <v>0.00%</v>
      </c>
      <c r="L61" s="340">
        <f t="shared" si="43"/>
        <v>0</v>
      </c>
      <c r="M61" s="899" t="str">
        <f>TEXT('MYP Assumptions'!F78,"0.00%")&amp;", CPI"</f>
        <v>3.58%, CPI</v>
      </c>
      <c r="O61" s="456" t="str">
        <f t="shared" si="39"/>
        <v>0.00%</v>
      </c>
      <c r="P61" s="340">
        <f t="shared" si="44"/>
        <v>0</v>
      </c>
      <c r="Q61" s="899" t="str">
        <f>TEXT('MYP Assumptions'!G78,"0.00%")&amp;", CPI"</f>
        <v>3.36%, CPI</v>
      </c>
      <c r="R61" s="592"/>
      <c r="S61" s="2238" t="str">
        <f t="shared" si="40"/>
        <v>0.00%</v>
      </c>
      <c r="T61" s="340">
        <f t="shared" si="45"/>
        <v>0</v>
      </c>
      <c r="U61" s="953" t="str">
        <f>TEXT('MYP Assumptions'!H78,"0.00%")&amp;", CPI"</f>
        <v>3.23%, CPI</v>
      </c>
      <c r="V61" s="952"/>
      <c r="W61" s="2241" t="str">
        <f t="shared" si="41"/>
        <v>0.00%</v>
      </c>
      <c r="X61" s="340">
        <f t="shared" si="46"/>
        <v>0</v>
      </c>
      <c r="Y61" s="953" t="str">
        <f>TEXT('MYP Assumptions'!I78,"0.00%")&amp;", CPI"</f>
        <v>2.73%, CPI</v>
      </c>
      <c r="AA61" s="456" t="str">
        <f t="shared" si="42"/>
        <v>0.00%</v>
      </c>
      <c r="AB61" s="340">
        <f t="shared" si="47"/>
        <v>0</v>
      </c>
      <c r="AC61" s="953" t="str">
        <f>TEXT('MYP Assumptions'!J78,"0.00%")&amp;", CPI"</f>
        <v>2.73%, CPI</v>
      </c>
    </row>
    <row r="62" spans="1:29" s="457" customFormat="1" hidden="1" x14ac:dyDescent="0.25">
      <c r="A62" s="2227"/>
      <c r="B62" s="2385"/>
      <c r="C62" s="2215"/>
      <c r="D62" s="340">
        <v>0</v>
      </c>
      <c r="E62" s="2386"/>
      <c r="F62" s="340"/>
      <c r="G62" s="456" t="str">
        <f t="shared" si="36"/>
        <v>0.00%</v>
      </c>
      <c r="H62" s="340">
        <f t="shared" si="37"/>
        <v>0</v>
      </c>
      <c r="I62" s="899" t="str">
        <f>TEXT('MYP Assumptions'!E78,"0.00%")&amp;", CPI"</f>
        <v>3.37%, CPI</v>
      </c>
      <c r="J62" s="455"/>
      <c r="K62" s="456" t="str">
        <f t="shared" si="38"/>
        <v>0.00%</v>
      </c>
      <c r="L62" s="340">
        <f t="shared" si="43"/>
        <v>0</v>
      </c>
      <c r="M62" s="899" t="str">
        <f>TEXT('MYP Assumptions'!F78,"0.00%")&amp;", CPI"</f>
        <v>3.58%, CPI</v>
      </c>
      <c r="O62" s="456" t="str">
        <f t="shared" si="39"/>
        <v>0.00%</v>
      </c>
      <c r="P62" s="340">
        <f t="shared" si="44"/>
        <v>0</v>
      </c>
      <c r="Q62" s="899" t="str">
        <f>TEXT('MYP Assumptions'!G78,"0.00%")&amp;", CPI"</f>
        <v>3.36%, CPI</v>
      </c>
      <c r="R62" s="592"/>
      <c r="S62" s="2238" t="str">
        <f t="shared" si="40"/>
        <v>0.00%</v>
      </c>
      <c r="T62" s="340">
        <f t="shared" si="45"/>
        <v>0</v>
      </c>
      <c r="U62" s="953" t="str">
        <f>TEXT('MYP Assumptions'!H78,"0.00%")&amp;", CPI"</f>
        <v>3.23%, CPI</v>
      </c>
      <c r="V62" s="952"/>
      <c r="W62" s="2241" t="str">
        <f t="shared" si="41"/>
        <v>0.00%</v>
      </c>
      <c r="X62" s="340">
        <f t="shared" si="46"/>
        <v>0</v>
      </c>
      <c r="Y62" s="953" t="str">
        <f>TEXT('MYP Assumptions'!I78,"0.00%")&amp;", CPI"</f>
        <v>2.73%, CPI</v>
      </c>
      <c r="AA62" s="456" t="str">
        <f t="shared" si="42"/>
        <v>0.00%</v>
      </c>
      <c r="AB62" s="340">
        <f t="shared" si="47"/>
        <v>0</v>
      </c>
      <c r="AC62" s="953" t="str">
        <f>TEXT('MYP Assumptions'!J78,"0.00%")&amp;", CPI"</f>
        <v>2.73%, CPI</v>
      </c>
    </row>
    <row r="63" spans="1:29" s="457" customFormat="1" hidden="1" x14ac:dyDescent="0.25">
      <c r="A63" s="2227"/>
      <c r="B63" s="2385"/>
      <c r="C63" s="2215"/>
      <c r="D63" s="340">
        <v>0</v>
      </c>
      <c r="E63" s="2386"/>
      <c r="F63" s="340"/>
      <c r="G63" s="456" t="str">
        <f t="shared" si="36"/>
        <v>0.00%</v>
      </c>
      <c r="H63" s="340">
        <f t="shared" si="37"/>
        <v>0</v>
      </c>
      <c r="I63" s="899" t="str">
        <f>TEXT('MYP Assumptions'!E78,"0.00%")&amp;", CPI"</f>
        <v>3.37%, CPI</v>
      </c>
      <c r="J63" s="455"/>
      <c r="K63" s="456" t="str">
        <f t="shared" si="38"/>
        <v>0.00%</v>
      </c>
      <c r="L63" s="340">
        <f t="shared" si="43"/>
        <v>0</v>
      </c>
      <c r="M63" s="899" t="str">
        <f>TEXT('MYP Assumptions'!F78,"0.00%")&amp;", CPI"</f>
        <v>3.58%, CPI</v>
      </c>
      <c r="O63" s="456" t="str">
        <f t="shared" si="39"/>
        <v>0.00%</v>
      </c>
      <c r="P63" s="340">
        <f t="shared" si="44"/>
        <v>0</v>
      </c>
      <c r="Q63" s="899" t="str">
        <f>TEXT('MYP Assumptions'!G78,"0.00%")&amp;", CPI"</f>
        <v>3.36%, CPI</v>
      </c>
      <c r="R63" s="592"/>
      <c r="S63" s="2238" t="str">
        <f t="shared" si="40"/>
        <v>0.00%</v>
      </c>
      <c r="T63" s="340">
        <f t="shared" si="45"/>
        <v>0</v>
      </c>
      <c r="U63" s="953" t="str">
        <f>TEXT('MYP Assumptions'!H78,"0.00%")&amp;", CPI"</f>
        <v>3.23%, CPI</v>
      </c>
      <c r="V63" s="952"/>
      <c r="W63" s="2241" t="str">
        <f t="shared" si="41"/>
        <v>0.00%</v>
      </c>
      <c r="X63" s="340">
        <f t="shared" si="46"/>
        <v>0</v>
      </c>
      <c r="Y63" s="953" t="str">
        <f>TEXT('MYP Assumptions'!I78,"0.00%")&amp;", CPI"</f>
        <v>2.73%, CPI</v>
      </c>
      <c r="AA63" s="456" t="str">
        <f t="shared" si="42"/>
        <v>0.00%</v>
      </c>
      <c r="AB63" s="340">
        <f t="shared" si="47"/>
        <v>0</v>
      </c>
      <c r="AC63" s="953" t="str">
        <f>TEXT('MYP Assumptions'!J78,"0.00%")&amp;", CPI"</f>
        <v>2.73%, CPI</v>
      </c>
    </row>
    <row r="64" spans="1:29" s="457" customFormat="1" hidden="1" x14ac:dyDescent="0.25">
      <c r="A64" s="2227"/>
      <c r="B64" s="2385"/>
      <c r="C64" s="2215"/>
      <c r="D64" s="340">
        <v>0</v>
      </c>
      <c r="E64" s="2386"/>
      <c r="F64" s="340"/>
      <c r="G64" s="456" t="str">
        <f t="shared" si="36"/>
        <v>0.00%</v>
      </c>
      <c r="H64" s="340">
        <f t="shared" si="37"/>
        <v>0</v>
      </c>
      <c r="I64" s="899" t="str">
        <f>TEXT('MYP Assumptions'!E78,"0.00%")&amp;", CPI"</f>
        <v>3.37%, CPI</v>
      </c>
      <c r="J64" s="455"/>
      <c r="K64" s="456" t="str">
        <f t="shared" si="38"/>
        <v>0.00%</v>
      </c>
      <c r="L64" s="340">
        <f t="shared" si="43"/>
        <v>0</v>
      </c>
      <c r="M64" s="899" t="str">
        <f>TEXT('MYP Assumptions'!F78,"0.00%")&amp;", CPI"</f>
        <v>3.58%, CPI</v>
      </c>
      <c r="O64" s="456" t="str">
        <f t="shared" si="39"/>
        <v>0.00%</v>
      </c>
      <c r="P64" s="340">
        <f t="shared" si="44"/>
        <v>0</v>
      </c>
      <c r="Q64" s="899" t="str">
        <f>TEXT('MYP Assumptions'!G78,"0.00%")&amp;", CPI"</f>
        <v>3.36%, CPI</v>
      </c>
      <c r="R64" s="592"/>
      <c r="S64" s="2238" t="str">
        <f t="shared" si="40"/>
        <v>0.00%</v>
      </c>
      <c r="T64" s="340">
        <f t="shared" si="45"/>
        <v>0</v>
      </c>
      <c r="U64" s="953" t="str">
        <f>TEXT('MYP Assumptions'!H78,"0.00%")&amp;", CPI"</f>
        <v>3.23%, CPI</v>
      </c>
      <c r="V64" s="952"/>
      <c r="W64" s="2241" t="str">
        <f t="shared" si="41"/>
        <v>0.00%</v>
      </c>
      <c r="X64" s="340">
        <f t="shared" si="46"/>
        <v>0</v>
      </c>
      <c r="Y64" s="953" t="str">
        <f>TEXT('MYP Assumptions'!I78,"0.00%")&amp;", CPI"</f>
        <v>2.73%, CPI</v>
      </c>
      <c r="AA64" s="456" t="str">
        <f t="shared" si="42"/>
        <v>0.00%</v>
      </c>
      <c r="AB64" s="340">
        <f t="shared" si="47"/>
        <v>0</v>
      </c>
      <c r="AC64" s="953" t="str">
        <f>TEXT('MYP Assumptions'!J78,"0.00%")&amp;", CPI"</f>
        <v>2.73%, CPI</v>
      </c>
    </row>
    <row r="65" spans="1:29" s="457" customFormat="1" hidden="1" x14ac:dyDescent="0.25">
      <c r="A65" s="2227"/>
      <c r="B65" s="2385"/>
      <c r="C65" s="2349"/>
      <c r="D65" s="340">
        <v>0</v>
      </c>
      <c r="E65" s="2386"/>
      <c r="F65" s="340"/>
      <c r="G65" s="456" t="str">
        <f t="shared" si="36"/>
        <v>0.00%</v>
      </c>
      <c r="H65" s="340">
        <f t="shared" si="37"/>
        <v>0</v>
      </c>
      <c r="I65" s="899" t="str">
        <f>TEXT('MYP Assumptions'!E78,"0.00%")&amp;", CPI"</f>
        <v>3.37%, CPI</v>
      </c>
      <c r="J65" s="455"/>
      <c r="K65" s="456" t="str">
        <f t="shared" si="38"/>
        <v>0.00%</v>
      </c>
      <c r="L65" s="340">
        <f t="shared" si="43"/>
        <v>0</v>
      </c>
      <c r="M65" s="899" t="str">
        <f>TEXT('MYP Assumptions'!F78,"0.00%")&amp;", CPI"</f>
        <v>3.58%, CPI</v>
      </c>
      <c r="O65" s="456" t="str">
        <f t="shared" si="39"/>
        <v>0.00%</v>
      </c>
      <c r="P65" s="340">
        <f t="shared" si="44"/>
        <v>0</v>
      </c>
      <c r="Q65" s="899" t="str">
        <f>TEXT('MYP Assumptions'!G78,"0.00%")&amp;", CPI"</f>
        <v>3.36%, CPI</v>
      </c>
      <c r="R65" s="592"/>
      <c r="S65" s="2238" t="str">
        <f t="shared" si="40"/>
        <v>0.00%</v>
      </c>
      <c r="T65" s="340">
        <f t="shared" si="45"/>
        <v>0</v>
      </c>
      <c r="U65" s="953" t="str">
        <f>TEXT('MYP Assumptions'!H78,"0.00%")&amp;", CPI"</f>
        <v>3.23%, CPI</v>
      </c>
      <c r="V65" s="952"/>
      <c r="W65" s="2241" t="str">
        <f t="shared" si="41"/>
        <v>0.00%</v>
      </c>
      <c r="X65" s="340">
        <f t="shared" si="46"/>
        <v>0</v>
      </c>
      <c r="Y65" s="953" t="str">
        <f>TEXT('MYP Assumptions'!I78,"0.00%")&amp;", CPI"</f>
        <v>2.73%, CPI</v>
      </c>
      <c r="AA65" s="456" t="str">
        <f t="shared" si="42"/>
        <v>0.00%</v>
      </c>
      <c r="AB65" s="340">
        <f t="shared" si="47"/>
        <v>0</v>
      </c>
      <c r="AC65" s="953" t="str">
        <f>TEXT('MYP Assumptions'!J78,"0.00%")&amp;", CPI"</f>
        <v>2.73%, CPI</v>
      </c>
    </row>
    <row r="66" spans="1:29" s="457" customFormat="1" hidden="1" x14ac:dyDescent="0.25">
      <c r="A66" s="2228"/>
      <c r="B66" s="2215"/>
      <c r="C66" s="2215"/>
      <c r="D66" s="458">
        <f>SUM(D59:D65)</f>
        <v>0</v>
      </c>
      <c r="E66" s="2386"/>
      <c r="F66" s="340"/>
      <c r="G66" s="456" t="str">
        <f t="shared" si="36"/>
        <v>0.00%</v>
      </c>
      <c r="H66" s="458">
        <f>SUM(H59:H65)</f>
        <v>0</v>
      </c>
      <c r="I66" s="898"/>
      <c r="J66" s="459"/>
      <c r="K66" s="456" t="str">
        <f t="shared" si="38"/>
        <v>0.00%</v>
      </c>
      <c r="L66" s="458">
        <f>SUM(L59:L65)</f>
        <v>0</v>
      </c>
      <c r="M66" s="901"/>
      <c r="O66" s="456" t="str">
        <f t="shared" si="39"/>
        <v>0.00%</v>
      </c>
      <c r="P66" s="458">
        <f>SUM(P59:P65)</f>
        <v>0</v>
      </c>
      <c r="Q66" s="901"/>
      <c r="R66" s="592"/>
      <c r="S66" s="2238" t="str">
        <f t="shared" si="40"/>
        <v>0.00%</v>
      </c>
      <c r="T66" s="458">
        <f>SUM(T59:T65)</f>
        <v>0</v>
      </c>
      <c r="U66" s="2344"/>
      <c r="V66" s="952"/>
      <c r="W66" s="2241" t="str">
        <f t="shared" si="41"/>
        <v>0.00%</v>
      </c>
      <c r="X66" s="458">
        <f>SUM(X59:X65)</f>
        <v>0</v>
      </c>
      <c r="Y66" s="2344"/>
      <c r="AA66" s="456" t="str">
        <f t="shared" si="42"/>
        <v>0.00%</v>
      </c>
      <c r="AB66" s="458">
        <f>SUM(AB59:AB65)</f>
        <v>0</v>
      </c>
      <c r="AC66" s="2344"/>
    </row>
    <row r="67" spans="1:29" s="457" customFormat="1" hidden="1" x14ac:dyDescent="0.25">
      <c r="A67" s="2227"/>
      <c r="B67" s="2345"/>
      <c r="C67" s="2215"/>
      <c r="D67" s="340"/>
      <c r="E67" s="2386"/>
      <c r="F67" s="340"/>
      <c r="G67" s="2338"/>
      <c r="H67" s="340"/>
      <c r="I67" s="897"/>
      <c r="J67" s="455"/>
      <c r="K67" s="1668"/>
      <c r="L67" s="340"/>
      <c r="M67" s="901"/>
      <c r="O67" s="1668"/>
      <c r="P67" s="340"/>
      <c r="Q67" s="901"/>
      <c r="R67" s="592"/>
      <c r="S67" s="2341"/>
      <c r="T67" s="340"/>
      <c r="U67" s="2344"/>
      <c r="V67" s="952"/>
      <c r="W67" s="2343"/>
      <c r="X67" s="340"/>
      <c r="Y67" s="2344"/>
      <c r="AA67" s="1668"/>
      <c r="AB67" s="340"/>
      <c r="AC67" s="2344"/>
    </row>
    <row r="68" spans="1:29" s="461" customFormat="1" hidden="1" x14ac:dyDescent="0.25">
      <c r="A68" s="2225"/>
      <c r="B68" s="2337" t="s">
        <v>16</v>
      </c>
      <c r="C68" s="2225"/>
      <c r="D68" s="460"/>
      <c r="E68" s="868"/>
      <c r="F68" s="460"/>
      <c r="G68" s="2389"/>
      <c r="H68" s="460"/>
      <c r="I68" s="900"/>
      <c r="K68" s="1669"/>
      <c r="L68" s="460"/>
      <c r="M68" s="902"/>
      <c r="O68" s="1669"/>
      <c r="P68" s="460"/>
      <c r="Q68" s="902"/>
      <c r="S68" s="1669"/>
      <c r="U68" s="2392"/>
      <c r="V68" s="2381"/>
      <c r="W68" s="2382"/>
      <c r="Y68" s="2392"/>
      <c r="AA68" s="1669"/>
      <c r="AC68" s="2392"/>
    </row>
    <row r="69" spans="1:29" s="457" customFormat="1" hidden="1" x14ac:dyDescent="0.25">
      <c r="A69" s="2227"/>
      <c r="B69" s="2385"/>
      <c r="C69" s="2215"/>
      <c r="D69" s="340">
        <v>0</v>
      </c>
      <c r="E69" s="2386"/>
      <c r="F69" s="340"/>
      <c r="G69" s="456" t="str">
        <f t="shared" ref="G69:G74" si="48">IF(D69=0,"0.00%",(H69-D69)/D69)</f>
        <v>0.00%</v>
      </c>
      <c r="H69" s="340">
        <f>ROUND(D69*(LEFT(I69,5)+1),0)</f>
        <v>0</v>
      </c>
      <c r="I69" s="899" t="str">
        <f>TEXT('MYP Assumptions'!E78,"0.00%")&amp;", CPI"</f>
        <v>3.37%, CPI</v>
      </c>
      <c r="J69" s="455"/>
      <c r="K69" s="456" t="str">
        <f t="shared" ref="K69:K82" si="49">IF(H69=0,"0.00%",(L69-H69)/H69)</f>
        <v>0.00%</v>
      </c>
      <c r="L69" s="340">
        <f>ROUND(H69*(LEFT(M69,5)+1),0)</f>
        <v>0</v>
      </c>
      <c r="M69" s="899" t="str">
        <f>TEXT('MYP Assumptions'!F78,"0.00%")&amp;", CPI"</f>
        <v>3.58%, CPI</v>
      </c>
      <c r="O69" s="456" t="str">
        <f t="shared" ref="O69:O82" si="50">IF(L69=0,"0.00%",(P69-L69)/L69)</f>
        <v>0.00%</v>
      </c>
      <c r="P69" s="340">
        <f>ROUND(L69*(LEFT(Q69,5)+1),0)</f>
        <v>0</v>
      </c>
      <c r="Q69" s="899" t="str">
        <f>TEXT('MYP Assumptions'!G78,"0.00%")&amp;", CPI"</f>
        <v>3.36%, CPI</v>
      </c>
      <c r="R69" s="592"/>
      <c r="S69" s="2238" t="str">
        <f t="shared" ref="S69:S82" si="51">IF(P69=0,"0.00%",(T69-P69)/P69)</f>
        <v>0.00%</v>
      </c>
      <c r="T69" s="340">
        <f>ROUND(P69*(LEFT(U69,5)+1),0)</f>
        <v>0</v>
      </c>
      <c r="U69" s="953" t="str">
        <f>TEXT('MYP Assumptions'!H78,"0.00%")&amp;", CPI"</f>
        <v>3.23%, CPI</v>
      </c>
      <c r="V69" s="952"/>
      <c r="W69" s="2241" t="str">
        <f t="shared" ref="W69:W82" si="52">IF(T69=0,"0.00%",(X69-T69)/T69)</f>
        <v>0.00%</v>
      </c>
      <c r="X69" s="340">
        <f>ROUND(T69*(LEFT(Y69,5)+1),0)</f>
        <v>0</v>
      </c>
      <c r="Y69" s="953" t="str">
        <f>TEXT('MYP Assumptions'!I78,"0.00%")&amp;", CPI"</f>
        <v>2.73%, CPI</v>
      </c>
      <c r="AA69" s="456" t="str">
        <f t="shared" ref="AA69:AA82" si="53">IF(X69=0,"0.00%",(AB69-X69)/X69)</f>
        <v>0.00%</v>
      </c>
      <c r="AB69" s="340">
        <f>ROUND(X69*(LEFT(AC69,5)+1),0)</f>
        <v>0</v>
      </c>
      <c r="AC69" s="953" t="str">
        <f>TEXT('MYP Assumptions'!J78,"0.00%")&amp;", CPI"</f>
        <v>2.73%, CPI</v>
      </c>
    </row>
    <row r="70" spans="1:29" s="457" customFormat="1" hidden="1" x14ac:dyDescent="0.25">
      <c r="A70" s="2227"/>
      <c r="B70" s="2385"/>
      <c r="C70" s="2215"/>
      <c r="D70" s="340">
        <v>0</v>
      </c>
      <c r="E70" s="2386"/>
      <c r="F70" s="340"/>
      <c r="G70" s="456" t="str">
        <f t="shared" si="48"/>
        <v>0.00%</v>
      </c>
      <c r="H70" s="340">
        <f>ROUND(D70*(LEFT(I70,5)+1),0)</f>
        <v>0</v>
      </c>
      <c r="I70" s="899" t="str">
        <f>TEXT('MYP Assumptions'!E78,"0.00%")&amp;", CPI"</f>
        <v>3.37%, CPI</v>
      </c>
      <c r="J70" s="455"/>
      <c r="K70" s="456" t="str">
        <f t="shared" si="49"/>
        <v>0.00%</v>
      </c>
      <c r="L70" s="340">
        <f t="shared" ref="L70:L81" si="54">ROUND(H70*(LEFT(M70,5)+1),0)</f>
        <v>0</v>
      </c>
      <c r="M70" s="899" t="str">
        <f>TEXT('MYP Assumptions'!F78,"0.00%")&amp;", CPI"</f>
        <v>3.58%, CPI</v>
      </c>
      <c r="O70" s="456" t="str">
        <f t="shared" si="50"/>
        <v>0.00%</v>
      </c>
      <c r="P70" s="340">
        <f t="shared" ref="P70:P81" si="55">ROUND(L70*(LEFT(Q70,5)+1),0)</f>
        <v>0</v>
      </c>
      <c r="Q70" s="899" t="str">
        <f>TEXT('MYP Assumptions'!G78,"0.00%")&amp;", CPI"</f>
        <v>3.36%, CPI</v>
      </c>
      <c r="R70" s="592"/>
      <c r="S70" s="2238" t="str">
        <f t="shared" si="51"/>
        <v>0.00%</v>
      </c>
      <c r="T70" s="340">
        <f t="shared" ref="T70:T81" si="56">ROUND(P70*(LEFT(U70,5)+1),0)</f>
        <v>0</v>
      </c>
      <c r="U70" s="953" t="str">
        <f>TEXT('MYP Assumptions'!H78,"0.00%")&amp;", CPI"</f>
        <v>3.23%, CPI</v>
      </c>
      <c r="V70" s="952"/>
      <c r="W70" s="2241" t="str">
        <f t="shared" si="52"/>
        <v>0.00%</v>
      </c>
      <c r="X70" s="340">
        <f t="shared" ref="X70:X81" si="57">ROUND(T70*(LEFT(Y70,5)+1),0)</f>
        <v>0</v>
      </c>
      <c r="Y70" s="953" t="str">
        <f>TEXT('MYP Assumptions'!I78,"0.00%")&amp;", CPI"</f>
        <v>2.73%, CPI</v>
      </c>
      <c r="AA70" s="456" t="str">
        <f t="shared" si="53"/>
        <v>0.00%</v>
      </c>
      <c r="AB70" s="340">
        <f t="shared" ref="AB70:AB81" si="58">ROUND(X70*(LEFT(AC70,5)+1),0)</f>
        <v>0</v>
      </c>
      <c r="AC70" s="953" t="str">
        <f>TEXT('MYP Assumptions'!J78,"0.00%")&amp;", CPI"</f>
        <v>2.73%, CPI</v>
      </c>
    </row>
    <row r="71" spans="1:29" s="457" customFormat="1" hidden="1" x14ac:dyDescent="0.25">
      <c r="A71" s="2227"/>
      <c r="B71" s="2385"/>
      <c r="C71" s="2215"/>
      <c r="D71" s="340">
        <v>0</v>
      </c>
      <c r="E71" s="2386"/>
      <c r="F71" s="340"/>
      <c r="G71" s="456" t="str">
        <f t="shared" si="48"/>
        <v>0.00%</v>
      </c>
      <c r="H71" s="340">
        <f t="shared" ref="H71:H76" si="59">ROUND(D71*(LEFT(I71,5)+1),0)</f>
        <v>0</v>
      </c>
      <c r="I71" s="899" t="str">
        <f>TEXT('MYP Assumptions'!E78,"0.00%")&amp;", CPI"</f>
        <v>3.37%, CPI</v>
      </c>
      <c r="J71" s="455"/>
      <c r="K71" s="456" t="str">
        <f t="shared" si="49"/>
        <v>0.00%</v>
      </c>
      <c r="L71" s="340">
        <f t="shared" si="54"/>
        <v>0</v>
      </c>
      <c r="M71" s="899" t="str">
        <f>TEXT('MYP Assumptions'!F78,"0.00%")&amp;", CPI"</f>
        <v>3.58%, CPI</v>
      </c>
      <c r="O71" s="456" t="str">
        <f t="shared" si="50"/>
        <v>0.00%</v>
      </c>
      <c r="P71" s="340">
        <f t="shared" si="55"/>
        <v>0</v>
      </c>
      <c r="Q71" s="899" t="str">
        <f>TEXT('MYP Assumptions'!G78,"0.00%")&amp;", CPI"</f>
        <v>3.36%, CPI</v>
      </c>
      <c r="R71" s="592"/>
      <c r="S71" s="2238" t="str">
        <f t="shared" si="51"/>
        <v>0.00%</v>
      </c>
      <c r="T71" s="340">
        <f t="shared" si="56"/>
        <v>0</v>
      </c>
      <c r="U71" s="953" t="str">
        <f>TEXT('MYP Assumptions'!H78,"0.00%")&amp;", CPI"</f>
        <v>3.23%, CPI</v>
      </c>
      <c r="V71" s="952"/>
      <c r="W71" s="2241" t="str">
        <f t="shared" si="52"/>
        <v>0.00%</v>
      </c>
      <c r="X71" s="340">
        <f t="shared" si="57"/>
        <v>0</v>
      </c>
      <c r="Y71" s="953" t="str">
        <f>TEXT('MYP Assumptions'!I78,"0.00%")&amp;", CPI"</f>
        <v>2.73%, CPI</v>
      </c>
      <c r="AA71" s="456" t="str">
        <f t="shared" si="53"/>
        <v>0.00%</v>
      </c>
      <c r="AB71" s="340">
        <f t="shared" si="58"/>
        <v>0</v>
      </c>
      <c r="AC71" s="953" t="str">
        <f>TEXT('MYP Assumptions'!J78,"0.00%")&amp;", CPI"</f>
        <v>2.73%, CPI</v>
      </c>
    </row>
    <row r="72" spans="1:29" s="457" customFormat="1" hidden="1" x14ac:dyDescent="0.25">
      <c r="A72" s="2227"/>
      <c r="B72" s="2385"/>
      <c r="C72" s="2215"/>
      <c r="D72" s="340">
        <v>0</v>
      </c>
      <c r="E72" s="2386"/>
      <c r="F72" s="340"/>
      <c r="G72" s="456" t="str">
        <f t="shared" si="48"/>
        <v>0.00%</v>
      </c>
      <c r="H72" s="340">
        <f t="shared" si="59"/>
        <v>0</v>
      </c>
      <c r="I72" s="899" t="str">
        <f>TEXT('MYP Assumptions'!E78,"0.00%")&amp;", CPI"</f>
        <v>3.37%, CPI</v>
      </c>
      <c r="J72" s="455"/>
      <c r="K72" s="456" t="str">
        <f t="shared" si="49"/>
        <v>0.00%</v>
      </c>
      <c r="L72" s="340">
        <f t="shared" si="54"/>
        <v>0</v>
      </c>
      <c r="M72" s="899" t="str">
        <f>TEXT('MYP Assumptions'!F78,"0.00%")&amp;", CPI"</f>
        <v>3.58%, CPI</v>
      </c>
      <c r="O72" s="456" t="str">
        <f t="shared" si="50"/>
        <v>0.00%</v>
      </c>
      <c r="P72" s="340">
        <f t="shared" si="55"/>
        <v>0</v>
      </c>
      <c r="Q72" s="899" t="str">
        <f>TEXT('MYP Assumptions'!G78,"0.00%")&amp;", CPI"</f>
        <v>3.36%, CPI</v>
      </c>
      <c r="R72" s="592"/>
      <c r="S72" s="2238" t="str">
        <f t="shared" si="51"/>
        <v>0.00%</v>
      </c>
      <c r="T72" s="340">
        <f t="shared" si="56"/>
        <v>0</v>
      </c>
      <c r="U72" s="953" t="str">
        <f>TEXT('MYP Assumptions'!H78,"0.00%")&amp;", CPI"</f>
        <v>3.23%, CPI</v>
      </c>
      <c r="V72" s="952"/>
      <c r="W72" s="2241" t="str">
        <f t="shared" si="52"/>
        <v>0.00%</v>
      </c>
      <c r="X72" s="340">
        <f t="shared" si="57"/>
        <v>0</v>
      </c>
      <c r="Y72" s="953" t="str">
        <f>TEXT('MYP Assumptions'!I78,"0.00%")&amp;", CPI"</f>
        <v>2.73%, CPI</v>
      </c>
      <c r="AA72" s="456" t="str">
        <f t="shared" si="53"/>
        <v>0.00%</v>
      </c>
      <c r="AB72" s="340">
        <f t="shared" si="58"/>
        <v>0</v>
      </c>
      <c r="AC72" s="953" t="str">
        <f>TEXT('MYP Assumptions'!J78,"0.00%")&amp;", CPI"</f>
        <v>2.73%, CPI</v>
      </c>
    </row>
    <row r="73" spans="1:29" s="457" customFormat="1" hidden="1" x14ac:dyDescent="0.25">
      <c r="A73" s="2227"/>
      <c r="B73" s="2385"/>
      <c r="C73" s="2215"/>
      <c r="D73" s="340">
        <v>0</v>
      </c>
      <c r="E73" s="2386"/>
      <c r="F73" s="340"/>
      <c r="G73" s="456" t="str">
        <f t="shared" si="48"/>
        <v>0.00%</v>
      </c>
      <c r="H73" s="340">
        <f t="shared" si="59"/>
        <v>0</v>
      </c>
      <c r="I73" s="899" t="str">
        <f>TEXT('MYP Assumptions'!E78,"0.00%")&amp;", CPI"</f>
        <v>3.37%, CPI</v>
      </c>
      <c r="J73" s="455"/>
      <c r="K73" s="456" t="str">
        <f t="shared" si="49"/>
        <v>0.00%</v>
      </c>
      <c r="L73" s="340">
        <f t="shared" si="54"/>
        <v>0</v>
      </c>
      <c r="M73" s="899" t="str">
        <f>TEXT('MYP Assumptions'!F78,"0.00%")&amp;", CPI"</f>
        <v>3.58%, CPI</v>
      </c>
      <c r="O73" s="456" t="str">
        <f t="shared" si="50"/>
        <v>0.00%</v>
      </c>
      <c r="P73" s="340">
        <f t="shared" si="55"/>
        <v>0</v>
      </c>
      <c r="Q73" s="899" t="str">
        <f>TEXT('MYP Assumptions'!G78,"0.00%")&amp;", CPI"</f>
        <v>3.36%, CPI</v>
      </c>
      <c r="R73" s="592"/>
      <c r="S73" s="2238" t="str">
        <f t="shared" si="51"/>
        <v>0.00%</v>
      </c>
      <c r="T73" s="340">
        <f t="shared" si="56"/>
        <v>0</v>
      </c>
      <c r="U73" s="953" t="str">
        <f>TEXT('MYP Assumptions'!H78,"0.00%")&amp;", CPI"</f>
        <v>3.23%, CPI</v>
      </c>
      <c r="V73" s="952"/>
      <c r="W73" s="2241" t="str">
        <f t="shared" si="52"/>
        <v>0.00%</v>
      </c>
      <c r="X73" s="340">
        <f t="shared" si="57"/>
        <v>0</v>
      </c>
      <c r="Y73" s="953" t="str">
        <f>TEXT('MYP Assumptions'!I78,"0.00%")&amp;", CPI"</f>
        <v>2.73%, CPI</v>
      </c>
      <c r="AA73" s="456" t="str">
        <f t="shared" si="53"/>
        <v>0.00%</v>
      </c>
      <c r="AB73" s="340">
        <f t="shared" si="58"/>
        <v>0</v>
      </c>
      <c r="AC73" s="953" t="str">
        <f>TEXT('MYP Assumptions'!J78,"0.00%")&amp;", CPI"</f>
        <v>2.73%, CPI</v>
      </c>
    </row>
    <row r="74" spans="1:29" s="457" customFormat="1" hidden="1" x14ac:dyDescent="0.25">
      <c r="A74" s="2227"/>
      <c r="B74" s="2385"/>
      <c r="C74" s="2215"/>
      <c r="D74" s="340">
        <v>0</v>
      </c>
      <c r="E74" s="2386"/>
      <c r="F74" s="340"/>
      <c r="G74" s="456" t="str">
        <f t="shared" si="48"/>
        <v>0.00%</v>
      </c>
      <c r="H74" s="340">
        <f t="shared" si="59"/>
        <v>0</v>
      </c>
      <c r="I74" s="899" t="str">
        <f>TEXT('MYP Assumptions'!E78,"0.00%")&amp;", CPI"</f>
        <v>3.37%, CPI</v>
      </c>
      <c r="J74" s="455"/>
      <c r="K74" s="456" t="str">
        <f t="shared" si="49"/>
        <v>0.00%</v>
      </c>
      <c r="L74" s="340">
        <f t="shared" si="54"/>
        <v>0</v>
      </c>
      <c r="M74" s="899" t="str">
        <f>TEXT('MYP Assumptions'!F78,"0.00%")&amp;", CPI"</f>
        <v>3.58%, CPI</v>
      </c>
      <c r="O74" s="456" t="str">
        <f t="shared" si="50"/>
        <v>0.00%</v>
      </c>
      <c r="P74" s="340">
        <f t="shared" si="55"/>
        <v>0</v>
      </c>
      <c r="Q74" s="899" t="str">
        <f>TEXT('MYP Assumptions'!G78,"0.00%")&amp;", CPI"</f>
        <v>3.36%, CPI</v>
      </c>
      <c r="R74" s="592"/>
      <c r="S74" s="2238" t="str">
        <f t="shared" si="51"/>
        <v>0.00%</v>
      </c>
      <c r="T74" s="340">
        <f t="shared" si="56"/>
        <v>0</v>
      </c>
      <c r="U74" s="953" t="str">
        <f>TEXT('MYP Assumptions'!H78,"0.00%")&amp;", CPI"</f>
        <v>3.23%, CPI</v>
      </c>
      <c r="V74" s="952"/>
      <c r="W74" s="2241" t="str">
        <f t="shared" si="52"/>
        <v>0.00%</v>
      </c>
      <c r="X74" s="340">
        <f t="shared" si="57"/>
        <v>0</v>
      </c>
      <c r="Y74" s="953" t="str">
        <f>TEXT('MYP Assumptions'!I78,"0.00%")&amp;", CPI"</f>
        <v>2.73%, CPI</v>
      </c>
      <c r="AA74" s="456" t="str">
        <f t="shared" si="53"/>
        <v>0.00%</v>
      </c>
      <c r="AB74" s="340">
        <f t="shared" si="58"/>
        <v>0</v>
      </c>
      <c r="AC74" s="953" t="str">
        <f>TEXT('MYP Assumptions'!J78,"0.00%")&amp;", CPI"</f>
        <v>2.73%, CPI</v>
      </c>
    </row>
    <row r="75" spans="1:29" s="457" customFormat="1" hidden="1" x14ac:dyDescent="0.25">
      <c r="A75" s="2227"/>
      <c r="B75" s="2385"/>
      <c r="C75" s="2215"/>
      <c r="D75" s="340">
        <v>0</v>
      </c>
      <c r="E75" s="2386"/>
      <c r="F75" s="340"/>
      <c r="G75" s="456" t="str">
        <f>IF(D75=0,"0.00%",(H75-D75)/D75)</f>
        <v>0.00%</v>
      </c>
      <c r="H75" s="340">
        <f t="shared" si="59"/>
        <v>0</v>
      </c>
      <c r="I75" s="899" t="str">
        <f>TEXT('MYP Assumptions'!E78,"0.00%")&amp;", CPI"</f>
        <v>3.37%, CPI</v>
      </c>
      <c r="J75" s="455"/>
      <c r="K75" s="456" t="str">
        <f t="shared" si="49"/>
        <v>0.00%</v>
      </c>
      <c r="L75" s="340">
        <f t="shared" si="54"/>
        <v>0</v>
      </c>
      <c r="M75" s="899" t="str">
        <f>TEXT('MYP Assumptions'!F78,"0.00%")&amp;", CPI"</f>
        <v>3.58%, CPI</v>
      </c>
      <c r="O75" s="456" t="str">
        <f t="shared" si="50"/>
        <v>0.00%</v>
      </c>
      <c r="P75" s="340">
        <f t="shared" si="55"/>
        <v>0</v>
      </c>
      <c r="Q75" s="899" t="str">
        <f>TEXT('MYP Assumptions'!G78,"0.00%")&amp;", CPI"</f>
        <v>3.36%, CPI</v>
      </c>
      <c r="R75" s="592"/>
      <c r="S75" s="2238" t="str">
        <f t="shared" si="51"/>
        <v>0.00%</v>
      </c>
      <c r="T75" s="340">
        <f t="shared" si="56"/>
        <v>0</v>
      </c>
      <c r="U75" s="953" t="str">
        <f>TEXT('MYP Assumptions'!H78,"0.00%")&amp;", CPI"</f>
        <v>3.23%, CPI</v>
      </c>
      <c r="V75" s="952"/>
      <c r="W75" s="2241" t="str">
        <f t="shared" si="52"/>
        <v>0.00%</v>
      </c>
      <c r="X75" s="340">
        <f t="shared" si="57"/>
        <v>0</v>
      </c>
      <c r="Y75" s="953" t="str">
        <f>TEXT('MYP Assumptions'!I78,"0.00%")&amp;", CPI"</f>
        <v>2.73%, CPI</v>
      </c>
      <c r="AA75" s="456" t="str">
        <f t="shared" si="53"/>
        <v>0.00%</v>
      </c>
      <c r="AB75" s="340">
        <f t="shared" si="58"/>
        <v>0</v>
      </c>
      <c r="AC75" s="953" t="str">
        <f>TEXT('MYP Assumptions'!J78,"0.00%")&amp;", CPI"</f>
        <v>2.73%, CPI</v>
      </c>
    </row>
    <row r="76" spans="1:29" s="457" customFormat="1" hidden="1" x14ac:dyDescent="0.25">
      <c r="A76" s="2227"/>
      <c r="B76" s="2385"/>
      <c r="C76" s="2215"/>
      <c r="D76" s="340">
        <v>0</v>
      </c>
      <c r="E76" s="2386"/>
      <c r="F76" s="340"/>
      <c r="G76" s="456" t="str">
        <f t="shared" ref="G76:G82" si="60">IF(D76=0,"0.00%",(H76-D76)/D76)</f>
        <v>0.00%</v>
      </c>
      <c r="H76" s="340">
        <f t="shared" si="59"/>
        <v>0</v>
      </c>
      <c r="I76" s="899" t="str">
        <f>TEXT('MYP Assumptions'!E78,"0.00%")&amp;", CPI"</f>
        <v>3.37%, CPI</v>
      </c>
      <c r="J76" s="455"/>
      <c r="K76" s="456" t="str">
        <f t="shared" si="49"/>
        <v>0.00%</v>
      </c>
      <c r="L76" s="340">
        <f t="shared" si="54"/>
        <v>0</v>
      </c>
      <c r="M76" s="899" t="str">
        <f>TEXT('MYP Assumptions'!F78,"0.00%")&amp;", CPI"</f>
        <v>3.58%, CPI</v>
      </c>
      <c r="O76" s="456" t="str">
        <f t="shared" si="50"/>
        <v>0.00%</v>
      </c>
      <c r="P76" s="340">
        <f t="shared" si="55"/>
        <v>0</v>
      </c>
      <c r="Q76" s="899" t="str">
        <f>TEXT('MYP Assumptions'!G78,"0.00%")&amp;", CPI"</f>
        <v>3.36%, CPI</v>
      </c>
      <c r="R76" s="592"/>
      <c r="S76" s="2238" t="str">
        <f t="shared" si="51"/>
        <v>0.00%</v>
      </c>
      <c r="T76" s="340">
        <f t="shared" si="56"/>
        <v>0</v>
      </c>
      <c r="U76" s="953" t="str">
        <f>TEXT('MYP Assumptions'!H78,"0.00%")&amp;", CPI"</f>
        <v>3.23%, CPI</v>
      </c>
      <c r="V76" s="952"/>
      <c r="W76" s="2241" t="str">
        <f t="shared" si="52"/>
        <v>0.00%</v>
      </c>
      <c r="X76" s="340">
        <f t="shared" si="57"/>
        <v>0</v>
      </c>
      <c r="Y76" s="953" t="str">
        <f>TEXT('MYP Assumptions'!I78,"0.00%")&amp;", CPI"</f>
        <v>2.73%, CPI</v>
      </c>
      <c r="AA76" s="456" t="str">
        <f t="shared" si="53"/>
        <v>0.00%</v>
      </c>
      <c r="AB76" s="340">
        <f t="shared" si="58"/>
        <v>0</v>
      </c>
      <c r="AC76" s="953" t="str">
        <f>TEXT('MYP Assumptions'!J78,"0.00%")&amp;", CPI"</f>
        <v>2.73%, CPI</v>
      </c>
    </row>
    <row r="77" spans="1:29" s="457" customFormat="1" hidden="1" x14ac:dyDescent="0.25">
      <c r="A77" s="2227"/>
      <c r="B77" s="2385"/>
      <c r="C77" s="2215"/>
      <c r="D77" s="340">
        <v>0</v>
      </c>
      <c r="E77" s="2386"/>
      <c r="F77" s="340"/>
      <c r="G77" s="456" t="str">
        <f t="shared" si="60"/>
        <v>0.00%</v>
      </c>
      <c r="H77" s="340">
        <f>ROUND(D77*(LEFT(I77,5)+1),0)</f>
        <v>0</v>
      </c>
      <c r="I77" s="899" t="str">
        <f>TEXT('MYP Assumptions'!E78,"0.00%")&amp;", CPI"</f>
        <v>3.37%, CPI</v>
      </c>
      <c r="J77" s="455"/>
      <c r="K77" s="456" t="str">
        <f t="shared" si="49"/>
        <v>0.00%</v>
      </c>
      <c r="L77" s="340">
        <f t="shared" si="54"/>
        <v>0</v>
      </c>
      <c r="M77" s="899" t="str">
        <f>TEXT('MYP Assumptions'!F78,"0.00%")&amp;", CPI"</f>
        <v>3.58%, CPI</v>
      </c>
      <c r="O77" s="456" t="str">
        <f t="shared" si="50"/>
        <v>0.00%</v>
      </c>
      <c r="P77" s="340">
        <f t="shared" si="55"/>
        <v>0</v>
      </c>
      <c r="Q77" s="899" t="str">
        <f>TEXT('MYP Assumptions'!G78,"0.00%")&amp;", CPI"</f>
        <v>3.36%, CPI</v>
      </c>
      <c r="R77" s="592"/>
      <c r="S77" s="2238" t="str">
        <f t="shared" si="51"/>
        <v>0.00%</v>
      </c>
      <c r="T77" s="340">
        <f t="shared" si="56"/>
        <v>0</v>
      </c>
      <c r="U77" s="953" t="str">
        <f>TEXT('MYP Assumptions'!H78,"0.00%")&amp;", CPI"</f>
        <v>3.23%, CPI</v>
      </c>
      <c r="V77" s="952"/>
      <c r="W77" s="2241" t="str">
        <f t="shared" si="52"/>
        <v>0.00%</v>
      </c>
      <c r="X77" s="340">
        <f t="shared" si="57"/>
        <v>0</v>
      </c>
      <c r="Y77" s="953" t="str">
        <f>TEXT('MYP Assumptions'!I78,"0.00%")&amp;", CPI"</f>
        <v>2.73%, CPI</v>
      </c>
      <c r="AA77" s="456" t="str">
        <f t="shared" si="53"/>
        <v>0.00%</v>
      </c>
      <c r="AB77" s="340">
        <f t="shared" si="58"/>
        <v>0</v>
      </c>
      <c r="AC77" s="953" t="str">
        <f>TEXT('MYP Assumptions'!J78,"0.00%")&amp;", CPI"</f>
        <v>2.73%, CPI</v>
      </c>
    </row>
    <row r="78" spans="1:29" s="457" customFormat="1" hidden="1" x14ac:dyDescent="0.25">
      <c r="A78" s="2227"/>
      <c r="B78" s="2385"/>
      <c r="C78" s="2215"/>
      <c r="D78" s="340">
        <v>0</v>
      </c>
      <c r="E78" s="2386"/>
      <c r="F78" s="340"/>
      <c r="G78" s="456" t="str">
        <f t="shared" si="60"/>
        <v>0.00%</v>
      </c>
      <c r="H78" s="340">
        <f>ROUND(D78*(LEFT(I78,5)+1),0)</f>
        <v>0</v>
      </c>
      <c r="I78" s="899" t="str">
        <f>TEXT('MYP Assumptions'!E78,"0.00%")&amp;", CPI"</f>
        <v>3.37%, CPI</v>
      </c>
      <c r="J78" s="455"/>
      <c r="K78" s="456" t="str">
        <f t="shared" si="49"/>
        <v>0.00%</v>
      </c>
      <c r="L78" s="340">
        <f t="shared" si="54"/>
        <v>0</v>
      </c>
      <c r="M78" s="899" t="str">
        <f>TEXT('MYP Assumptions'!F78,"0.00%")&amp;", CPI"</f>
        <v>3.58%, CPI</v>
      </c>
      <c r="O78" s="456" t="str">
        <f t="shared" si="50"/>
        <v>0.00%</v>
      </c>
      <c r="P78" s="340">
        <f t="shared" si="55"/>
        <v>0</v>
      </c>
      <c r="Q78" s="899" t="str">
        <f>TEXT('MYP Assumptions'!G78,"0.00%")&amp;", CPI"</f>
        <v>3.36%, CPI</v>
      </c>
      <c r="R78" s="592"/>
      <c r="S78" s="2238" t="str">
        <f t="shared" si="51"/>
        <v>0.00%</v>
      </c>
      <c r="T78" s="340">
        <f t="shared" si="56"/>
        <v>0</v>
      </c>
      <c r="U78" s="953" t="str">
        <f>TEXT('MYP Assumptions'!H78,"0.00%")&amp;", CPI"</f>
        <v>3.23%, CPI</v>
      </c>
      <c r="V78" s="952"/>
      <c r="W78" s="2241" t="str">
        <f t="shared" si="52"/>
        <v>0.00%</v>
      </c>
      <c r="X78" s="340">
        <f t="shared" si="57"/>
        <v>0</v>
      </c>
      <c r="Y78" s="953" t="str">
        <f>TEXT('MYP Assumptions'!I78,"0.00%")&amp;", CPI"</f>
        <v>2.73%, CPI</v>
      </c>
      <c r="AA78" s="456" t="str">
        <f t="shared" si="53"/>
        <v>0.00%</v>
      </c>
      <c r="AB78" s="340">
        <f t="shared" si="58"/>
        <v>0</v>
      </c>
      <c r="AC78" s="953" t="str">
        <f>TEXT('MYP Assumptions'!J78,"0.00%")&amp;", CPI"</f>
        <v>2.73%, CPI</v>
      </c>
    </row>
    <row r="79" spans="1:29" s="457" customFormat="1" hidden="1" x14ac:dyDescent="0.25">
      <c r="A79" s="2227"/>
      <c r="B79" s="2385"/>
      <c r="C79" s="2215"/>
      <c r="D79" s="340">
        <v>0</v>
      </c>
      <c r="E79" s="2386"/>
      <c r="F79" s="340"/>
      <c r="G79" s="456" t="str">
        <f t="shared" si="60"/>
        <v>0.00%</v>
      </c>
      <c r="H79" s="340">
        <f>ROUND(D79*(LEFT(I79,5)+1),0)</f>
        <v>0</v>
      </c>
      <c r="I79" s="899" t="str">
        <f>TEXT('MYP Assumptions'!E78,"0.00%")&amp;", CPI"</f>
        <v>3.37%, CPI</v>
      </c>
      <c r="J79" s="455"/>
      <c r="K79" s="456" t="str">
        <f t="shared" si="49"/>
        <v>0.00%</v>
      </c>
      <c r="L79" s="340">
        <f t="shared" si="54"/>
        <v>0</v>
      </c>
      <c r="M79" s="899" t="str">
        <f>TEXT('MYP Assumptions'!F78,"0.00%")&amp;", CPI"</f>
        <v>3.58%, CPI</v>
      </c>
      <c r="O79" s="456" t="str">
        <f t="shared" si="50"/>
        <v>0.00%</v>
      </c>
      <c r="P79" s="340">
        <f t="shared" si="55"/>
        <v>0</v>
      </c>
      <c r="Q79" s="899" t="str">
        <f>TEXT('MYP Assumptions'!G78,"0.00%")&amp;", CPI"</f>
        <v>3.36%, CPI</v>
      </c>
      <c r="R79" s="592"/>
      <c r="S79" s="2238" t="str">
        <f t="shared" si="51"/>
        <v>0.00%</v>
      </c>
      <c r="T79" s="340">
        <f t="shared" si="56"/>
        <v>0</v>
      </c>
      <c r="U79" s="953" t="str">
        <f>TEXT('MYP Assumptions'!H78,"0.00%")&amp;", CPI"</f>
        <v>3.23%, CPI</v>
      </c>
      <c r="V79" s="952"/>
      <c r="W79" s="2241" t="str">
        <f t="shared" si="52"/>
        <v>0.00%</v>
      </c>
      <c r="X79" s="340">
        <f t="shared" si="57"/>
        <v>0</v>
      </c>
      <c r="Y79" s="953" t="str">
        <f>TEXT('MYP Assumptions'!I78,"0.00%")&amp;", CPI"</f>
        <v>2.73%, CPI</v>
      </c>
      <c r="AA79" s="456" t="str">
        <f t="shared" si="53"/>
        <v>0.00%</v>
      </c>
      <c r="AB79" s="340">
        <f t="shared" si="58"/>
        <v>0</v>
      </c>
      <c r="AC79" s="953" t="str">
        <f>TEXT('MYP Assumptions'!J78,"0.00%")&amp;", CPI"</f>
        <v>2.73%, CPI</v>
      </c>
    </row>
    <row r="80" spans="1:29" s="457" customFormat="1" hidden="1" x14ac:dyDescent="0.25">
      <c r="A80" s="2227"/>
      <c r="B80" s="2385"/>
      <c r="C80" s="2215"/>
      <c r="D80" s="340">
        <v>0</v>
      </c>
      <c r="E80" s="2386"/>
      <c r="F80" s="340"/>
      <c r="G80" s="456" t="str">
        <f t="shared" si="60"/>
        <v>0.00%</v>
      </c>
      <c r="H80" s="340">
        <f>ROUND(D80*(LEFT(I80,5)+1),0)</f>
        <v>0</v>
      </c>
      <c r="I80" s="899" t="str">
        <f>TEXT('MYP Assumptions'!E78,"0.00%")&amp;", CPI"</f>
        <v>3.37%, CPI</v>
      </c>
      <c r="J80" s="455"/>
      <c r="K80" s="456" t="str">
        <f t="shared" si="49"/>
        <v>0.00%</v>
      </c>
      <c r="L80" s="340">
        <f t="shared" si="54"/>
        <v>0</v>
      </c>
      <c r="M80" s="899" t="str">
        <f>TEXT('MYP Assumptions'!F78,"0.00%")&amp;", CPI"</f>
        <v>3.58%, CPI</v>
      </c>
      <c r="O80" s="456" t="str">
        <f t="shared" si="50"/>
        <v>0.00%</v>
      </c>
      <c r="P80" s="340">
        <f t="shared" si="55"/>
        <v>0</v>
      </c>
      <c r="Q80" s="899" t="str">
        <f>TEXT('MYP Assumptions'!G78,"0.00%")&amp;", CPI"</f>
        <v>3.36%, CPI</v>
      </c>
      <c r="R80" s="592"/>
      <c r="S80" s="2238" t="str">
        <f t="shared" si="51"/>
        <v>0.00%</v>
      </c>
      <c r="T80" s="340">
        <f t="shared" si="56"/>
        <v>0</v>
      </c>
      <c r="U80" s="953" t="str">
        <f>TEXT('MYP Assumptions'!H78,"0.00%")&amp;", CPI"</f>
        <v>3.23%, CPI</v>
      </c>
      <c r="V80" s="952"/>
      <c r="W80" s="2241" t="str">
        <f t="shared" si="52"/>
        <v>0.00%</v>
      </c>
      <c r="X80" s="340">
        <f t="shared" si="57"/>
        <v>0</v>
      </c>
      <c r="Y80" s="953" t="str">
        <f>TEXT('MYP Assumptions'!I78,"0.00%")&amp;", CPI"</f>
        <v>2.73%, CPI</v>
      </c>
      <c r="AA80" s="456" t="str">
        <f t="shared" si="53"/>
        <v>0.00%</v>
      </c>
      <c r="AB80" s="340">
        <f t="shared" si="58"/>
        <v>0</v>
      </c>
      <c r="AC80" s="953" t="str">
        <f>TEXT('MYP Assumptions'!J78,"0.00%")&amp;", CPI"</f>
        <v>2.73%, CPI</v>
      </c>
    </row>
    <row r="81" spans="1:29" s="457" customFormat="1" hidden="1" x14ac:dyDescent="0.25">
      <c r="A81" s="2227"/>
      <c r="B81" s="2385"/>
      <c r="C81" s="2215"/>
      <c r="D81" s="340">
        <f>'18-19 Budget RS 3010-ALL'!AF80</f>
        <v>0</v>
      </c>
      <c r="E81" s="2386"/>
      <c r="F81" s="340"/>
      <c r="G81" s="456" t="str">
        <f t="shared" si="60"/>
        <v>0.00%</v>
      </c>
      <c r="H81" s="340">
        <f>ROUND(D81*(LEFT(I81,5)+1),0)</f>
        <v>0</v>
      </c>
      <c r="I81" s="899" t="str">
        <f>TEXT('MYP Assumptions'!E78,"0.00%")&amp;", CPI"</f>
        <v>3.37%, CPI</v>
      </c>
      <c r="J81" s="455"/>
      <c r="K81" s="456" t="str">
        <f t="shared" si="49"/>
        <v>0.00%</v>
      </c>
      <c r="L81" s="340">
        <f t="shared" si="54"/>
        <v>0</v>
      </c>
      <c r="M81" s="899" t="str">
        <f>TEXT('MYP Assumptions'!F78,"0.00%")&amp;", CPI"</f>
        <v>3.58%, CPI</v>
      </c>
      <c r="O81" s="456" t="str">
        <f t="shared" si="50"/>
        <v>0.00%</v>
      </c>
      <c r="P81" s="340">
        <f t="shared" si="55"/>
        <v>0</v>
      </c>
      <c r="Q81" s="899" t="str">
        <f>TEXT('MYP Assumptions'!G78,"0.00%")&amp;", CPI"</f>
        <v>3.36%, CPI</v>
      </c>
      <c r="R81" s="592"/>
      <c r="S81" s="2238" t="str">
        <f t="shared" si="51"/>
        <v>0.00%</v>
      </c>
      <c r="T81" s="340">
        <f t="shared" si="56"/>
        <v>0</v>
      </c>
      <c r="U81" s="953" t="str">
        <f>TEXT('MYP Assumptions'!H78,"0.00%")&amp;", CPI"</f>
        <v>3.23%, CPI</v>
      </c>
      <c r="V81" s="952"/>
      <c r="W81" s="2241" t="str">
        <f t="shared" si="52"/>
        <v>0.00%</v>
      </c>
      <c r="X81" s="340">
        <f t="shared" si="57"/>
        <v>0</v>
      </c>
      <c r="Y81" s="953" t="str">
        <f>TEXT('MYP Assumptions'!I78,"0.00%")&amp;", CPI"</f>
        <v>2.73%, CPI</v>
      </c>
      <c r="AA81" s="456" t="str">
        <f t="shared" si="53"/>
        <v>0.00%</v>
      </c>
      <c r="AB81" s="340">
        <f t="shared" si="58"/>
        <v>0</v>
      </c>
      <c r="AC81" s="953" t="str">
        <f>TEXT('MYP Assumptions'!J78,"0.00%")&amp;", CPI"</f>
        <v>2.73%, CPI</v>
      </c>
    </row>
    <row r="82" spans="1:29" s="457" customFormat="1" hidden="1" x14ac:dyDescent="0.25">
      <c r="A82" s="2228"/>
      <c r="B82" s="2345"/>
      <c r="C82" s="2215"/>
      <c r="D82" s="458">
        <f>SUM(D69:D81)</f>
        <v>0</v>
      </c>
      <c r="E82" s="2386"/>
      <c r="F82" s="340"/>
      <c r="G82" s="456" t="str">
        <f t="shared" si="60"/>
        <v>0.00%</v>
      </c>
      <c r="H82" s="458">
        <f>SUM(H69:H81)</f>
        <v>0</v>
      </c>
      <c r="I82" s="898"/>
      <c r="J82" s="459"/>
      <c r="K82" s="456" t="str">
        <f t="shared" si="49"/>
        <v>0.00%</v>
      </c>
      <c r="L82" s="458">
        <f>SUM(L69:L81)</f>
        <v>0</v>
      </c>
      <c r="M82" s="901"/>
      <c r="O82" s="456" t="str">
        <f t="shared" si="50"/>
        <v>0.00%</v>
      </c>
      <c r="P82" s="458">
        <f>SUM(P69:P81)</f>
        <v>0</v>
      </c>
      <c r="Q82" s="901"/>
      <c r="R82" s="592"/>
      <c r="S82" s="2238" t="str">
        <f t="shared" si="51"/>
        <v>0.00%</v>
      </c>
      <c r="T82" s="458">
        <f>SUM(T69:T81)</f>
        <v>0</v>
      </c>
      <c r="U82" s="2344"/>
      <c r="V82" s="952"/>
      <c r="W82" s="2241" t="str">
        <f t="shared" si="52"/>
        <v>0.00%</v>
      </c>
      <c r="X82" s="458">
        <f>SUM(X69:X81)</f>
        <v>0</v>
      </c>
      <c r="Y82" s="2344"/>
      <c r="AA82" s="456" t="str">
        <f t="shared" si="53"/>
        <v>0.00%</v>
      </c>
      <c r="AB82" s="458">
        <f>SUM(AB69:AB81)</f>
        <v>0</v>
      </c>
      <c r="AC82" s="2344"/>
    </row>
    <row r="83" spans="1:29" s="457" customFormat="1" hidden="1" x14ac:dyDescent="0.25">
      <c r="A83" s="2227"/>
      <c r="B83" s="2337"/>
      <c r="C83" s="2215"/>
      <c r="D83" s="340"/>
      <c r="E83" s="2386"/>
      <c r="F83" s="340"/>
      <c r="G83" s="456"/>
      <c r="H83" s="340"/>
      <c r="I83" s="897"/>
      <c r="J83" s="455"/>
      <c r="K83" s="1668"/>
      <c r="L83" s="340"/>
      <c r="M83" s="901"/>
      <c r="O83" s="1668"/>
      <c r="P83" s="340"/>
      <c r="Q83" s="901"/>
      <c r="R83" s="592"/>
      <c r="S83" s="2341"/>
      <c r="T83" s="340"/>
      <c r="U83" s="2344"/>
      <c r="V83" s="952"/>
      <c r="W83" s="2343"/>
      <c r="X83" s="340"/>
      <c r="Y83" s="2344"/>
      <c r="AA83" s="1668"/>
      <c r="AB83" s="340"/>
      <c r="AC83" s="2344"/>
    </row>
    <row r="84" spans="1:29" s="457" customFormat="1" x14ac:dyDescent="0.25">
      <c r="A84" s="2227"/>
      <c r="B84" s="2345"/>
      <c r="C84" s="2215"/>
      <c r="D84" s="340"/>
      <c r="E84" s="2386"/>
      <c r="F84" s="340"/>
      <c r="G84" s="2338"/>
      <c r="H84" s="340"/>
      <c r="I84" s="897"/>
      <c r="J84" s="455"/>
      <c r="K84" s="1668"/>
      <c r="L84" s="340"/>
      <c r="M84" s="901"/>
      <c r="O84" s="1668"/>
      <c r="P84" s="340"/>
      <c r="Q84" s="901"/>
      <c r="R84" s="592"/>
      <c r="S84" s="2341"/>
      <c r="T84" s="340"/>
      <c r="U84" s="2344"/>
      <c r="V84" s="952"/>
      <c r="W84" s="2343"/>
      <c r="X84" s="340"/>
      <c r="Y84" s="2344"/>
      <c r="AA84" s="1668"/>
      <c r="AB84" s="340"/>
      <c r="AC84" s="2344"/>
    </row>
    <row r="85" spans="1:29" s="457" customFormat="1" x14ac:dyDescent="0.25">
      <c r="A85" s="2228"/>
      <c r="B85" s="2337" t="s">
        <v>0</v>
      </c>
      <c r="C85" s="2215"/>
      <c r="D85" s="458">
        <f>SUM(D82,D66,D55,D13)</f>
        <v>18000</v>
      </c>
      <c r="E85" s="2386"/>
      <c r="F85" s="340"/>
      <c r="G85" s="456">
        <f>IF(D85=0,"0.00%",(H85-D85)/D85)</f>
        <v>0</v>
      </c>
      <c r="H85" s="458">
        <f>SUM(H82,H66,H55,H13)</f>
        <v>18000</v>
      </c>
      <c r="I85" s="2316">
        <f>+H85-D85</f>
        <v>0</v>
      </c>
      <c r="J85" s="459"/>
      <c r="K85" s="456">
        <f>IF(H85=0,"0.00%",(L85-H85)/H85)</f>
        <v>-0.5</v>
      </c>
      <c r="L85" s="458">
        <f>SUM(L82,L66,L55,L13)</f>
        <v>9000</v>
      </c>
      <c r="M85" s="2316">
        <f>+L85-H85</f>
        <v>-9000</v>
      </c>
      <c r="O85" s="456">
        <f>IF(L85=0,"0.00%",(P85-L85)/L85)</f>
        <v>0</v>
      </c>
      <c r="P85" s="458">
        <f>SUM(P82,P66,P55,P13)</f>
        <v>9000</v>
      </c>
      <c r="Q85" s="2316">
        <f>+P85-L85</f>
        <v>0</v>
      </c>
      <c r="R85" s="592"/>
      <c r="S85" s="2238">
        <f>IF(P85=0,"0.00%",(T85-P85)/P85)</f>
        <v>5.6777777777777781E-2</v>
      </c>
      <c r="T85" s="458">
        <f>SUM(T82,T66,T55,T13)</f>
        <v>9511</v>
      </c>
      <c r="U85" s="2344"/>
      <c r="V85" s="952"/>
      <c r="W85" s="2241">
        <f>IF(T85=0,"0.00%",(X85-T85)/T85)</f>
        <v>3.0701293239407002E-2</v>
      </c>
      <c r="X85" s="458">
        <f>SUM(X82,X66,X55,X13)</f>
        <v>9803</v>
      </c>
      <c r="Y85" s="2344"/>
      <c r="AA85" s="456" t="e">
        <f>IF(X85=0,"0.00%",(AB85-X85)/X85)</f>
        <v>#VALUE!</v>
      </c>
      <c r="AB85" s="458" t="e">
        <f>SUM(AB82,AB66,AB55,AB13)</f>
        <v>#VALUE!</v>
      </c>
      <c r="AC85" s="2344"/>
    </row>
    <row r="86" spans="1:29" s="457" customFormat="1" x14ac:dyDescent="0.25">
      <c r="A86" s="2227"/>
      <c r="B86" s="2345"/>
      <c r="C86" s="2215"/>
      <c r="D86" s="340"/>
      <c r="E86" s="2386"/>
      <c r="F86" s="340"/>
      <c r="G86" s="2338"/>
      <c r="H86" s="340"/>
      <c r="I86" s="897"/>
      <c r="J86" s="455"/>
      <c r="K86" s="1668"/>
      <c r="L86" s="340"/>
      <c r="M86" s="901"/>
      <c r="O86" s="1668"/>
      <c r="P86" s="340"/>
      <c r="Q86" s="901"/>
      <c r="R86" s="592"/>
      <c r="S86" s="2341"/>
      <c r="T86" s="340"/>
      <c r="U86" s="2344"/>
      <c r="V86" s="952"/>
      <c r="W86" s="2343"/>
      <c r="X86" s="340"/>
      <c r="Y86" s="2344"/>
      <c r="AA86" s="1668"/>
      <c r="AB86" s="340"/>
      <c r="AC86" s="2344"/>
    </row>
    <row r="87" spans="1:29" s="457" customFormat="1" x14ac:dyDescent="0.25">
      <c r="A87" s="2227"/>
      <c r="B87" s="2337" t="s">
        <v>138</v>
      </c>
      <c r="C87" s="2215"/>
      <c r="D87" s="833">
        <f>D11-D85</f>
        <v>0</v>
      </c>
      <c r="E87" s="1656"/>
      <c r="G87" s="456" t="str">
        <f>IF(D87=0,"0.00%",(H87-D87)/D87)</f>
        <v>0.00%</v>
      </c>
      <c r="H87" s="833">
        <f>H11-H85</f>
        <v>0</v>
      </c>
      <c r="I87" s="897"/>
      <c r="J87" s="455"/>
      <c r="K87" s="456" t="str">
        <f>IF(H87=0,"0.00%",(L87-H87)/H87)</f>
        <v>0.00%</v>
      </c>
      <c r="L87" s="833">
        <f>L11-L85</f>
        <v>0</v>
      </c>
      <c r="M87" s="901"/>
      <c r="O87" s="456" t="str">
        <f>IF(L87=0,"0.00%",(P87-L87)/L87)</f>
        <v>0.00%</v>
      </c>
      <c r="P87" s="833">
        <f>P11-P85</f>
        <v>0</v>
      </c>
      <c r="Q87" s="901"/>
      <c r="R87" s="592"/>
      <c r="S87" s="2238" t="str">
        <f>IF(P87=0,"0.00%",(T87-P87)/P87)</f>
        <v>0.00%</v>
      </c>
      <c r="T87" s="833">
        <f>T11-T85</f>
        <v>0</v>
      </c>
      <c r="U87" s="2344"/>
      <c r="V87" s="952"/>
      <c r="W87" s="2241" t="str">
        <f>IF(T87=0,"0.00%",(X87-T87)/T87)</f>
        <v>0.00%</v>
      </c>
      <c r="X87" s="833">
        <f>X11-X85</f>
        <v>-9803</v>
      </c>
      <c r="Y87" s="2344"/>
      <c r="AA87" s="456" t="e">
        <f>IF(X87=0,"0.00%",(AB87-X87)/X87)</f>
        <v>#VALUE!</v>
      </c>
      <c r="AB87" s="833" t="e">
        <f>AB11-AB85</f>
        <v>#VALUE!</v>
      </c>
      <c r="AC87" s="2344"/>
    </row>
    <row r="88" spans="1:29" s="457" customFormat="1" x14ac:dyDescent="0.25">
      <c r="A88" s="2215"/>
      <c r="B88" s="2337"/>
      <c r="C88" s="2345"/>
      <c r="D88" s="833"/>
      <c r="E88" s="1656"/>
      <c r="G88" s="2338"/>
      <c r="H88" s="833"/>
      <c r="I88" s="897"/>
      <c r="J88" s="455"/>
      <c r="K88" s="1668"/>
      <c r="L88" s="833"/>
      <c r="M88" s="901"/>
      <c r="O88" s="1668"/>
      <c r="P88" s="833"/>
      <c r="Q88" s="901"/>
      <c r="R88" s="592"/>
      <c r="S88" s="2341"/>
      <c r="T88" s="2356"/>
      <c r="U88" s="2344"/>
      <c r="V88" s="952"/>
      <c r="W88" s="2343"/>
      <c r="X88" s="2356"/>
      <c r="Y88" s="2344"/>
      <c r="AA88" s="1668"/>
      <c r="AB88" s="2356"/>
      <c r="AC88" s="2344"/>
    </row>
    <row r="89" spans="1:29" s="457" customFormat="1" x14ac:dyDescent="0.25">
      <c r="A89" s="2215"/>
      <c r="B89" s="2337" t="s">
        <v>136</v>
      </c>
      <c r="C89" s="2394"/>
      <c r="D89" s="833">
        <f>D7+D87</f>
        <v>0</v>
      </c>
      <c r="E89" s="1656"/>
      <c r="G89" s="456" t="str">
        <f>IF(D89=0,"0.00%",(H89-D89)/D89)</f>
        <v>0.00%</v>
      </c>
      <c r="H89" s="833">
        <f>H7+H87</f>
        <v>0</v>
      </c>
      <c r="I89" s="897"/>
      <c r="J89" s="455"/>
      <c r="K89" s="456" t="str">
        <f>IF(H89=0,"0.00%",(L89-H89)/H89)</f>
        <v>0.00%</v>
      </c>
      <c r="L89" s="833">
        <f>L7+L87</f>
        <v>0</v>
      </c>
      <c r="M89" s="901"/>
      <c r="O89" s="456" t="str">
        <f>IF(L89=0,"0.00%",(P89-L89)/L89)</f>
        <v>0.00%</v>
      </c>
      <c r="P89" s="833">
        <f>P7+P87</f>
        <v>0</v>
      </c>
      <c r="Q89" s="901"/>
      <c r="R89" s="592"/>
      <c r="S89" s="2238" t="str">
        <f>IF(P89=0,"0.00%",(T89-P89)/P89)</f>
        <v>0.00%</v>
      </c>
      <c r="T89" s="2367">
        <f>T7+T87</f>
        <v>0</v>
      </c>
      <c r="U89" s="2344"/>
      <c r="V89" s="952"/>
      <c r="W89" s="2241" t="str">
        <f>IF(T89=0,"0.00%",(X89-T89)/T89)</f>
        <v>0.00%</v>
      </c>
      <c r="X89" s="2367">
        <f>X7+X87</f>
        <v>-9803</v>
      </c>
      <c r="Y89" s="2344"/>
      <c r="AA89" s="456" t="e">
        <f>IF(X89=0,"0.00%",(AB89-X89)/X89)</f>
        <v>#VALUE!</v>
      </c>
      <c r="AB89" s="2367" t="e">
        <f>AB7+AB87</f>
        <v>#VALUE!</v>
      </c>
      <c r="AC89" s="2344"/>
    </row>
    <row r="90" spans="1:29" s="457" customFormat="1" x14ac:dyDescent="0.25">
      <c r="A90" s="2215"/>
      <c r="B90" s="2345"/>
      <c r="C90" s="2225"/>
      <c r="D90" s="340"/>
      <c r="E90" s="1656"/>
      <c r="G90" s="2355"/>
      <c r="H90" s="459"/>
      <c r="I90" s="898"/>
      <c r="J90" s="459"/>
      <c r="K90" s="1668"/>
      <c r="L90" s="459"/>
      <c r="M90" s="901"/>
      <c r="O90" s="1668"/>
      <c r="P90" s="459"/>
      <c r="Q90" s="901"/>
      <c r="R90" s="592"/>
      <c r="S90" s="2341"/>
      <c r="T90" s="459"/>
      <c r="U90" s="2344"/>
      <c r="V90" s="952"/>
      <c r="W90" s="2343"/>
      <c r="X90" s="459"/>
      <c r="Y90" s="2344"/>
      <c r="AA90" s="1668"/>
      <c r="AB90" s="459"/>
      <c r="AC90" s="2344"/>
    </row>
    <row r="91" spans="1:29" s="457" customFormat="1" x14ac:dyDescent="0.25">
      <c r="A91" s="2215"/>
      <c r="B91" s="2345"/>
      <c r="C91" s="2230"/>
      <c r="D91" s="340"/>
      <c r="E91" s="1656"/>
      <c r="G91" s="2355"/>
      <c r="H91" s="455"/>
      <c r="I91" s="897"/>
      <c r="J91" s="455"/>
      <c r="K91" s="1668"/>
      <c r="L91" s="340"/>
      <c r="M91" s="901"/>
      <c r="O91" s="1668"/>
      <c r="P91" s="340"/>
      <c r="Q91" s="901"/>
      <c r="R91" s="592"/>
      <c r="S91" s="2341"/>
      <c r="T91" s="340"/>
      <c r="U91" s="2344"/>
      <c r="V91" s="952"/>
      <c r="W91" s="2343"/>
      <c r="X91" s="340"/>
      <c r="Y91" s="2344"/>
      <c r="AA91" s="1668"/>
      <c r="AB91" s="340"/>
      <c r="AC91" s="2344"/>
    </row>
    <row r="92" spans="1:29" s="457" customFormat="1" x14ac:dyDescent="0.25">
      <c r="A92" s="2215"/>
      <c r="B92" s="2345"/>
      <c r="C92" s="2230"/>
      <c r="D92" s="340"/>
      <c r="E92" s="1656"/>
      <c r="G92" s="2355"/>
      <c r="H92" s="455"/>
      <c r="I92" s="897"/>
      <c r="J92" s="455"/>
      <c r="K92" s="1668"/>
      <c r="L92" s="340"/>
      <c r="M92" s="901"/>
      <c r="O92" s="1668"/>
      <c r="P92" s="340"/>
      <c r="Q92" s="901"/>
      <c r="R92" s="592"/>
      <c r="S92" s="2341"/>
      <c r="T92" s="340"/>
      <c r="U92" s="2344"/>
      <c r="V92" s="952"/>
      <c r="W92" s="2343"/>
      <c r="X92" s="340"/>
      <c r="Y92" s="2344"/>
      <c r="AA92" s="1668"/>
      <c r="AB92" s="340"/>
      <c r="AC92" s="2344"/>
    </row>
    <row r="93" spans="1:29" s="457" customFormat="1" x14ac:dyDescent="0.25">
      <c r="A93" s="2215"/>
      <c r="B93" s="2345"/>
      <c r="C93" s="2230"/>
      <c r="D93" s="340"/>
      <c r="E93" s="1656"/>
      <c r="G93" s="2355"/>
      <c r="H93" s="455"/>
      <c r="I93" s="897"/>
      <c r="J93" s="455"/>
      <c r="K93" s="1668"/>
      <c r="L93" s="340"/>
      <c r="M93" s="901"/>
      <c r="O93" s="1668"/>
      <c r="P93" s="340"/>
      <c r="Q93" s="901"/>
      <c r="R93" s="592"/>
      <c r="S93" s="2341"/>
      <c r="T93" s="340"/>
      <c r="U93" s="2344"/>
      <c r="V93" s="952"/>
      <c r="W93" s="2343"/>
      <c r="X93" s="340"/>
      <c r="Y93" s="2344"/>
      <c r="AA93" s="1668"/>
      <c r="AB93" s="340"/>
      <c r="AC93" s="2344"/>
    </row>
    <row r="94" spans="1:29" s="457" customFormat="1" x14ac:dyDescent="0.25">
      <c r="A94" s="2215"/>
      <c r="B94" s="2345"/>
      <c r="C94" s="2230"/>
      <c r="D94" s="340"/>
      <c r="E94" s="1656"/>
      <c r="G94" s="2355"/>
      <c r="H94" s="455"/>
      <c r="I94" s="897"/>
      <c r="J94" s="455"/>
      <c r="K94" s="1668"/>
      <c r="L94" s="340"/>
      <c r="M94" s="901"/>
      <c r="O94" s="1668"/>
      <c r="P94" s="340"/>
      <c r="Q94" s="901"/>
      <c r="R94" s="592"/>
      <c r="S94" s="2341"/>
      <c r="T94" s="340"/>
      <c r="U94" s="2344"/>
      <c r="V94" s="952"/>
      <c r="W94" s="2343"/>
      <c r="X94" s="340"/>
      <c r="Y94" s="2344"/>
      <c r="AA94" s="1668"/>
      <c r="AB94" s="340"/>
      <c r="AC94" s="2344"/>
    </row>
    <row r="95" spans="1:29" s="2402" customFormat="1" ht="11.25" x14ac:dyDescent="0.2">
      <c r="A95" s="2232"/>
      <c r="B95" s="2395"/>
      <c r="C95" s="2396" t="s">
        <v>221</v>
      </c>
      <c r="D95" s="2397">
        <f>+D82+D66+D53+D41+D30</f>
        <v>17357.759999999998</v>
      </c>
      <c r="E95" s="2363"/>
      <c r="G95" s="2399" t="s">
        <v>221</v>
      </c>
      <c r="H95" s="2397">
        <f>+H82+H66+H53+H41+H30</f>
        <v>17235</v>
      </c>
      <c r="I95" s="2400"/>
      <c r="J95" s="607"/>
      <c r="K95" s="2399" t="s">
        <v>221</v>
      </c>
      <c r="L95" s="2397">
        <f>+L82+L66+L53+L41+L30</f>
        <v>8538</v>
      </c>
      <c r="M95" s="2404"/>
      <c r="O95" s="2399" t="s">
        <v>221</v>
      </c>
      <c r="P95" s="2397">
        <f>+P82+P66+P53+P41+P30</f>
        <v>8715</v>
      </c>
      <c r="Q95" s="2404"/>
      <c r="R95" s="608"/>
      <c r="S95" s="2405" t="s">
        <v>221</v>
      </c>
      <c r="T95" s="2397">
        <f>+T82+T66+T53+T41+T30</f>
        <v>9511</v>
      </c>
      <c r="U95" s="2409"/>
      <c r="V95" s="2407"/>
      <c r="W95" s="2408" t="s">
        <v>221</v>
      </c>
      <c r="X95" s="2397">
        <f>+X82+X66+X53+X41+X30</f>
        <v>9803</v>
      </c>
      <c r="Y95" s="2409"/>
      <c r="AA95" s="2399" t="s">
        <v>221</v>
      </c>
      <c r="AB95" s="2397" t="e">
        <f>+AB82+AB66+AB53+AB41+AB30</f>
        <v>#VALUE!</v>
      </c>
      <c r="AC95" s="2409"/>
    </row>
    <row r="96" spans="1:29" s="2402" customFormat="1" ht="11.25" x14ac:dyDescent="0.2">
      <c r="A96" s="2233"/>
      <c r="B96" s="2395"/>
      <c r="C96" s="2411" t="s">
        <v>222</v>
      </c>
      <c r="D96" s="2412">
        <f>+D13</f>
        <v>642.24</v>
      </c>
      <c r="E96" s="2419"/>
      <c r="F96" s="2410"/>
      <c r="G96" s="2415" t="s">
        <v>222</v>
      </c>
      <c r="H96" s="2412">
        <f>+H13</f>
        <v>765</v>
      </c>
      <c r="I96" s="2398"/>
      <c r="J96" s="608"/>
      <c r="K96" s="2415" t="s">
        <v>222</v>
      </c>
      <c r="L96" s="2412">
        <f>+L13</f>
        <v>462</v>
      </c>
      <c r="M96" s="2404"/>
      <c r="O96" s="2415" t="s">
        <v>222</v>
      </c>
      <c r="P96" s="2412">
        <f>+P13</f>
        <v>285</v>
      </c>
      <c r="Q96" s="2363"/>
      <c r="R96" s="608"/>
      <c r="S96" s="2416" t="s">
        <v>222</v>
      </c>
      <c r="T96" s="2412">
        <f>+T13</f>
        <v>0</v>
      </c>
      <c r="V96" s="2407"/>
      <c r="W96" s="2417" t="s">
        <v>222</v>
      </c>
      <c r="X96" s="2412">
        <f>+X13</f>
        <v>0</v>
      </c>
      <c r="AA96" s="2415" t="s">
        <v>222</v>
      </c>
      <c r="AB96" s="2412">
        <f>+AB13</f>
        <v>0</v>
      </c>
    </row>
    <row r="97" spans="1:28" s="2402" customFormat="1" ht="11.25" x14ac:dyDescent="0.2">
      <c r="A97" s="2233"/>
      <c r="B97" s="2395"/>
      <c r="C97" s="2411"/>
      <c r="D97" s="2418">
        <f>+D95+D96</f>
        <v>18000</v>
      </c>
      <c r="E97" s="2419"/>
      <c r="F97" s="2410"/>
      <c r="G97" s="2415"/>
      <c r="H97" s="2418">
        <f>+H95+H96</f>
        <v>18000</v>
      </c>
      <c r="I97" s="2398"/>
      <c r="J97" s="608"/>
      <c r="K97" s="2415"/>
      <c r="L97" s="2418">
        <f>+L95+L96</f>
        <v>9000</v>
      </c>
      <c r="M97" s="2363"/>
      <c r="O97" s="2415"/>
      <c r="P97" s="2418">
        <f>+P95+P96</f>
        <v>9000</v>
      </c>
      <c r="Q97" s="2363"/>
      <c r="R97" s="608"/>
      <c r="S97" s="2416"/>
      <c r="T97" s="2418">
        <f>+T95+T96</f>
        <v>9511</v>
      </c>
      <c r="V97" s="2407"/>
      <c r="W97" s="2417"/>
      <c r="X97" s="2418">
        <f>+X95+X96</f>
        <v>9803</v>
      </c>
      <c r="AA97" s="2415"/>
      <c r="AB97" s="2418" t="e">
        <f>+AB95+AB96</f>
        <v>#VALUE!</v>
      </c>
    </row>
    <row r="98" spans="1:28" s="457" customFormat="1" ht="15" customHeight="1" x14ac:dyDescent="0.25">
      <c r="A98" s="2227"/>
      <c r="B98" s="2422"/>
      <c r="C98" s="2422"/>
      <c r="D98" s="459">
        <f>+D85-D97</f>
        <v>0</v>
      </c>
      <c r="E98" s="2386"/>
      <c r="F98" s="340"/>
      <c r="G98" s="2447"/>
      <c r="H98" s="459">
        <f>+H85-H97</f>
        <v>0</v>
      </c>
      <c r="I98" s="2339"/>
      <c r="J98" s="592"/>
      <c r="K98" s="2447"/>
      <c r="L98" s="459">
        <f>+L85-L97</f>
        <v>0</v>
      </c>
      <c r="M98" s="1656"/>
      <c r="O98" s="2447"/>
      <c r="P98" s="459">
        <f>+P85-P97</f>
        <v>0</v>
      </c>
      <c r="Q98" s="1656"/>
      <c r="R98" s="592"/>
      <c r="S98" s="2447"/>
      <c r="T98" s="459">
        <f>+T85-T97</f>
        <v>0</v>
      </c>
      <c r="V98" s="952"/>
      <c r="W98" s="2448"/>
      <c r="X98" s="459">
        <f>+X85-X97</f>
        <v>0</v>
      </c>
      <c r="AA98" s="2447"/>
      <c r="AB98" s="459" t="e">
        <f>+AB85-AB97</f>
        <v>#VALUE!</v>
      </c>
    </row>
    <row r="99" spans="1:28" s="457" customFormat="1" x14ac:dyDescent="0.25">
      <c r="A99" s="2227"/>
      <c r="B99" s="2422"/>
      <c r="C99" s="2422"/>
      <c r="D99" s="455"/>
      <c r="E99" s="2386"/>
      <c r="F99" s="340"/>
      <c r="G99" s="2338"/>
      <c r="H99" s="2424"/>
      <c r="I99" s="2339"/>
      <c r="J99" s="592"/>
      <c r="K99" s="1668"/>
      <c r="L99" s="2370"/>
      <c r="M99" s="1656"/>
      <c r="O99" s="1668"/>
      <c r="P99" s="340"/>
      <c r="Q99" s="1656"/>
      <c r="R99" s="592"/>
      <c r="S99" s="2341"/>
      <c r="V99" s="952"/>
      <c r="W99" s="2343"/>
      <c r="AA99" s="1668"/>
    </row>
    <row r="100" spans="1:28" s="457" customFormat="1" x14ac:dyDescent="0.25">
      <c r="A100" s="2227"/>
      <c r="B100" s="2394"/>
      <c r="C100" s="2230"/>
      <c r="D100" s="342"/>
      <c r="E100" s="2386"/>
      <c r="F100" s="340"/>
      <c r="G100" s="2338"/>
      <c r="H100" s="2424"/>
      <c r="I100" s="2339"/>
      <c r="J100" s="592"/>
      <c r="K100" s="1668"/>
      <c r="L100" s="2370"/>
      <c r="M100" s="1656"/>
      <c r="O100" s="1668"/>
      <c r="P100" s="340"/>
      <c r="Q100" s="1656"/>
      <c r="R100" s="592"/>
      <c r="S100" s="2341"/>
      <c r="V100" s="952"/>
      <c r="W100" s="2343"/>
      <c r="AA100" s="1668"/>
    </row>
    <row r="101" spans="1:28" s="457" customFormat="1" x14ac:dyDescent="0.25">
      <c r="A101" s="2215"/>
      <c r="B101" s="2394"/>
      <c r="C101" s="2230"/>
      <c r="D101" s="455"/>
      <c r="E101" s="1656"/>
      <c r="G101" s="2338"/>
      <c r="H101" s="2424"/>
      <c r="I101" s="2339"/>
      <c r="J101" s="592"/>
      <c r="K101" s="1668"/>
      <c r="L101" s="2370"/>
      <c r="M101" s="1656"/>
      <c r="O101" s="1668"/>
      <c r="P101" s="340"/>
      <c r="Q101" s="1656"/>
      <c r="R101" s="592"/>
      <c r="S101" s="2341"/>
      <c r="V101" s="952"/>
      <c r="W101" s="2343"/>
      <c r="AA101" s="1668"/>
    </row>
    <row r="102" spans="1:28" s="457" customFormat="1" x14ac:dyDescent="0.25">
      <c r="A102" s="2215"/>
      <c r="B102" s="2394"/>
      <c r="C102" s="2230"/>
      <c r="D102" s="455"/>
      <c r="E102" s="1656"/>
      <c r="G102" s="2338"/>
      <c r="H102" s="2424"/>
      <c r="I102" s="2339"/>
      <c r="J102" s="592"/>
      <c r="K102" s="1668"/>
      <c r="L102" s="2370"/>
      <c r="M102" s="1656"/>
      <c r="O102" s="1668"/>
      <c r="P102" s="340"/>
      <c r="Q102" s="1656"/>
      <c r="R102" s="592"/>
      <c r="S102" s="2341"/>
      <c r="V102" s="952"/>
      <c r="W102" s="2343"/>
      <c r="AA102" s="1668"/>
    </row>
    <row r="103" spans="1:28" s="457" customFormat="1" ht="15" customHeight="1" x14ac:dyDescent="0.25">
      <c r="A103" s="2215"/>
      <c r="B103" s="2394"/>
      <c r="C103" s="2230"/>
      <c r="D103" s="455"/>
      <c r="E103" s="1656"/>
      <c r="G103" s="2338"/>
      <c r="H103" s="2424"/>
      <c r="I103" s="2339"/>
      <c r="J103" s="592"/>
      <c r="K103" s="1668"/>
      <c r="L103" s="2370"/>
      <c r="M103" s="1656"/>
      <c r="O103" s="1668"/>
      <c r="P103" s="340"/>
      <c r="Q103" s="1656"/>
      <c r="R103" s="592"/>
      <c r="S103" s="2341"/>
      <c r="V103" s="952"/>
      <c r="W103" s="2343"/>
      <c r="AA103" s="1668"/>
    </row>
    <row r="104" spans="1:28" s="457" customFormat="1" x14ac:dyDescent="0.25">
      <c r="A104" s="2215"/>
      <c r="B104" s="2394"/>
      <c r="C104" s="2230"/>
      <c r="D104" s="455"/>
      <c r="E104" s="1656"/>
      <c r="G104" s="2338"/>
      <c r="H104" s="2424"/>
      <c r="I104" s="2339"/>
      <c r="J104" s="592"/>
      <c r="K104" s="1668"/>
      <c r="L104" s="2370"/>
      <c r="M104" s="1656"/>
      <c r="O104" s="1668"/>
      <c r="P104" s="340"/>
      <c r="Q104" s="1656"/>
      <c r="R104" s="592"/>
      <c r="S104" s="2341"/>
      <c r="V104" s="952"/>
      <c r="W104" s="2343"/>
      <c r="AA104" s="1668"/>
    </row>
    <row r="105" spans="1:28" s="457" customFormat="1" x14ac:dyDescent="0.25">
      <c r="A105" s="2215"/>
      <c r="B105" s="2394"/>
      <c r="C105" s="2230"/>
      <c r="D105" s="455"/>
      <c r="E105" s="1656"/>
      <c r="G105" s="2338"/>
      <c r="H105" s="2424"/>
      <c r="I105" s="2339"/>
      <c r="J105" s="592"/>
      <c r="K105" s="1668"/>
      <c r="L105" s="2370"/>
      <c r="M105" s="1656"/>
      <c r="O105" s="1668"/>
      <c r="P105" s="340"/>
      <c r="Q105" s="1656"/>
      <c r="R105" s="592"/>
      <c r="S105" s="2341"/>
      <c r="V105" s="952"/>
      <c r="W105" s="2343"/>
      <c r="AA105" s="1668"/>
    </row>
    <row r="106" spans="1:28" s="457" customFormat="1" ht="15" customHeight="1" x14ac:dyDescent="0.25">
      <c r="A106" s="2215"/>
      <c r="B106" s="2570"/>
      <c r="C106" s="2570"/>
      <c r="D106" s="455"/>
      <c r="E106" s="1656"/>
      <c r="G106" s="2338"/>
      <c r="H106" s="2424"/>
      <c r="I106" s="2339"/>
      <c r="J106" s="592"/>
      <c r="K106" s="1668"/>
      <c r="L106" s="2370"/>
      <c r="M106" s="1656"/>
      <c r="O106" s="1668"/>
      <c r="P106" s="340"/>
      <c r="Q106" s="1656"/>
      <c r="R106" s="592"/>
      <c r="S106" s="2341"/>
      <c r="V106" s="952"/>
      <c r="W106" s="2343"/>
      <c r="AA106" s="1668"/>
    </row>
    <row r="107" spans="1:28" s="457" customFormat="1" x14ac:dyDescent="0.25">
      <c r="A107" s="2215"/>
      <c r="B107" s="2570"/>
      <c r="C107" s="2570"/>
      <c r="D107" s="455"/>
      <c r="E107" s="1656"/>
      <c r="G107" s="2338"/>
      <c r="H107" s="2424"/>
      <c r="I107" s="2339"/>
      <c r="J107" s="592"/>
      <c r="K107" s="1668"/>
      <c r="L107" s="2370"/>
      <c r="M107" s="1656"/>
      <c r="O107" s="1668"/>
      <c r="P107" s="340"/>
      <c r="Q107" s="1656"/>
      <c r="R107" s="592"/>
      <c r="S107" s="2341"/>
      <c r="V107" s="952"/>
      <c r="W107" s="2343"/>
      <c r="AA107" s="1668"/>
    </row>
    <row r="108" spans="1:28" s="457" customFormat="1" x14ac:dyDescent="0.25">
      <c r="A108" s="2215"/>
      <c r="B108" s="2394"/>
      <c r="C108" s="2230"/>
      <c r="D108" s="460"/>
      <c r="E108" s="1656"/>
      <c r="G108" s="2338"/>
      <c r="H108" s="2424"/>
      <c r="I108" s="2339"/>
      <c r="J108" s="592"/>
      <c r="K108" s="1668"/>
      <c r="L108" s="2370"/>
      <c r="M108" s="1656"/>
      <c r="O108" s="1668"/>
      <c r="P108" s="340"/>
      <c r="Q108" s="1656"/>
      <c r="R108" s="592"/>
      <c r="S108" s="2341"/>
      <c r="V108" s="952"/>
      <c r="W108" s="2343"/>
      <c r="AA108" s="1668"/>
    </row>
    <row r="109" spans="1:28" s="457" customFormat="1" x14ac:dyDescent="0.25">
      <c r="A109" s="2215"/>
      <c r="B109" s="2394"/>
      <c r="C109" s="2230"/>
      <c r="D109" s="455"/>
      <c r="E109" s="1656"/>
      <c r="G109" s="2338"/>
      <c r="H109" s="2424"/>
      <c r="I109" s="2339"/>
      <c r="J109" s="592"/>
      <c r="K109" s="1668"/>
      <c r="L109" s="2370"/>
      <c r="M109" s="1656"/>
      <c r="O109" s="1668"/>
      <c r="P109" s="340"/>
      <c r="Q109" s="1656"/>
      <c r="R109" s="592"/>
      <c r="S109" s="2341"/>
      <c r="V109" s="952"/>
      <c r="W109" s="2343"/>
      <c r="AA109" s="1668"/>
    </row>
    <row r="110" spans="1:28" s="457" customFormat="1" x14ac:dyDescent="0.25">
      <c r="A110" s="2215"/>
      <c r="B110" s="2394"/>
      <c r="C110" s="2230"/>
      <c r="D110" s="455"/>
      <c r="E110" s="1656"/>
      <c r="G110" s="2338"/>
      <c r="H110" s="2424"/>
      <c r="I110" s="2339"/>
      <c r="J110" s="592"/>
      <c r="K110" s="1668"/>
      <c r="L110" s="2370"/>
      <c r="M110" s="1656"/>
      <c r="O110" s="1668"/>
      <c r="P110" s="340"/>
      <c r="Q110" s="1656"/>
      <c r="R110" s="592"/>
      <c r="S110" s="2341"/>
      <c r="V110" s="952"/>
      <c r="W110" s="2343"/>
      <c r="AA110" s="1668"/>
    </row>
    <row r="111" spans="1:28" s="457" customFormat="1" ht="28.5" customHeight="1" x14ac:dyDescent="0.25">
      <c r="A111" s="2215"/>
      <c r="B111" s="2394"/>
      <c r="C111" s="2230"/>
      <c r="D111" s="342"/>
      <c r="E111" s="1656"/>
      <c r="G111" s="2338"/>
      <c r="H111" s="2424"/>
      <c r="I111" s="2339"/>
      <c r="J111" s="592"/>
      <c r="K111" s="1668"/>
      <c r="L111" s="2370"/>
      <c r="M111" s="1656"/>
      <c r="O111" s="1668"/>
      <c r="P111" s="340"/>
      <c r="Q111" s="1656"/>
      <c r="R111" s="592"/>
      <c r="S111" s="2341"/>
      <c r="V111" s="952"/>
      <c r="W111" s="2343"/>
      <c r="AA111" s="1668"/>
    </row>
    <row r="112" spans="1:28" s="457" customFormat="1" x14ac:dyDescent="0.25">
      <c r="A112" s="2215"/>
      <c r="B112" s="2394"/>
      <c r="C112" s="2230"/>
      <c r="D112" s="455"/>
      <c r="E112" s="1656"/>
      <c r="G112" s="2338"/>
      <c r="H112" s="2424"/>
      <c r="I112" s="2339"/>
      <c r="J112" s="592"/>
      <c r="K112" s="1668"/>
      <c r="L112" s="2370"/>
      <c r="M112" s="1656"/>
      <c r="O112" s="1668"/>
      <c r="P112" s="340"/>
      <c r="Q112" s="1656"/>
      <c r="R112" s="592"/>
      <c r="S112" s="2341"/>
      <c r="V112" s="952"/>
      <c r="W112" s="2343"/>
      <c r="AA112" s="1668"/>
    </row>
    <row r="113" spans="1:27" s="457" customFormat="1" x14ac:dyDescent="0.25">
      <c r="A113" s="2215"/>
      <c r="B113" s="2394"/>
      <c r="C113" s="2230"/>
      <c r="D113" s="455"/>
      <c r="E113" s="1656"/>
      <c r="G113" s="2338"/>
      <c r="H113" s="2424"/>
      <c r="I113" s="2339"/>
      <c r="J113" s="592"/>
      <c r="K113" s="1668"/>
      <c r="L113" s="2370"/>
      <c r="M113" s="1656"/>
      <c r="O113" s="1668"/>
      <c r="P113" s="340"/>
      <c r="Q113" s="1656"/>
      <c r="R113" s="592"/>
      <c r="S113" s="2341"/>
      <c r="V113" s="952"/>
      <c r="W113" s="2343"/>
      <c r="AA113" s="1668"/>
    </row>
    <row r="114" spans="1:27" s="457" customFormat="1" x14ac:dyDescent="0.25">
      <c r="A114" s="2215"/>
      <c r="B114" s="2394"/>
      <c r="C114" s="2230"/>
      <c r="D114" s="455"/>
      <c r="E114" s="1656"/>
      <c r="G114" s="2338"/>
      <c r="H114" s="2424"/>
      <c r="I114" s="2339"/>
      <c r="J114" s="592"/>
      <c r="K114" s="1668"/>
      <c r="L114" s="2370"/>
      <c r="M114" s="1656"/>
      <c r="O114" s="1668"/>
      <c r="P114" s="340"/>
      <c r="Q114" s="1656"/>
      <c r="R114" s="592"/>
      <c r="S114" s="2341"/>
      <c r="V114" s="952"/>
      <c r="W114" s="2343"/>
      <c r="AA114" s="1668"/>
    </row>
    <row r="115" spans="1:27" s="457" customFormat="1" x14ac:dyDescent="0.25">
      <c r="A115" s="2215"/>
      <c r="B115" s="2394"/>
      <c r="C115" s="2230"/>
      <c r="D115" s="455"/>
      <c r="E115" s="1656"/>
      <c r="G115" s="2338"/>
      <c r="H115" s="2424"/>
      <c r="I115" s="2339"/>
      <c r="J115" s="592"/>
      <c r="K115" s="1668"/>
      <c r="L115" s="2370"/>
      <c r="M115" s="1656"/>
      <c r="O115" s="1668"/>
      <c r="P115" s="340"/>
      <c r="Q115" s="1656"/>
      <c r="R115" s="592"/>
      <c r="S115" s="2341"/>
      <c r="V115" s="952"/>
      <c r="W115" s="2343"/>
      <c r="AA115" s="1668"/>
    </row>
    <row r="116" spans="1:27" s="457" customFormat="1" x14ac:dyDescent="0.25">
      <c r="A116" s="2215"/>
      <c r="B116" s="2394"/>
      <c r="C116" s="2230"/>
      <c r="D116" s="455"/>
      <c r="E116" s="1656"/>
      <c r="G116" s="2338"/>
      <c r="H116" s="2424"/>
      <c r="I116" s="2339"/>
      <c r="J116" s="592"/>
      <c r="K116" s="1668"/>
      <c r="L116" s="2370"/>
      <c r="M116" s="1656"/>
      <c r="O116" s="1668"/>
      <c r="P116" s="340"/>
      <c r="Q116" s="1656"/>
      <c r="R116" s="592"/>
      <c r="S116" s="2341"/>
      <c r="V116" s="952"/>
      <c r="W116" s="2343"/>
      <c r="AA116" s="1668"/>
    </row>
    <row r="117" spans="1:27" s="457" customFormat="1" x14ac:dyDescent="0.25">
      <c r="A117" s="2215"/>
      <c r="B117" s="2394"/>
      <c r="C117" s="2230"/>
      <c r="D117" s="455"/>
      <c r="E117" s="1656"/>
      <c r="G117" s="2338"/>
      <c r="H117" s="2424"/>
      <c r="I117" s="2339"/>
      <c r="J117" s="592"/>
      <c r="K117" s="1668"/>
      <c r="L117" s="2370"/>
      <c r="M117" s="1656"/>
      <c r="O117" s="1668"/>
      <c r="P117" s="340"/>
      <c r="Q117" s="1656"/>
      <c r="R117" s="592"/>
      <c r="S117" s="2341"/>
      <c r="V117" s="952"/>
      <c r="W117" s="2343"/>
      <c r="AA117" s="1668"/>
    </row>
    <row r="118" spans="1:27" s="457" customFormat="1" x14ac:dyDescent="0.25">
      <c r="A118" s="2215"/>
      <c r="B118" s="2394"/>
      <c r="C118" s="2230"/>
      <c r="D118" s="455"/>
      <c r="E118" s="1656"/>
      <c r="G118" s="2338"/>
      <c r="H118" s="2424"/>
      <c r="I118" s="2339"/>
      <c r="J118" s="592"/>
      <c r="K118" s="1668"/>
      <c r="L118" s="2370"/>
      <c r="M118" s="1656"/>
      <c r="O118" s="1668"/>
      <c r="P118" s="340"/>
      <c r="Q118" s="1656"/>
      <c r="R118" s="592"/>
      <c r="S118" s="2341"/>
      <c r="V118" s="952"/>
      <c r="W118" s="2343"/>
      <c r="AA118" s="1668"/>
    </row>
    <row r="119" spans="1:27" s="457" customFormat="1" x14ac:dyDescent="0.25">
      <c r="A119" s="2215"/>
      <c r="B119" s="2394"/>
      <c r="C119" s="2230"/>
      <c r="D119" s="455"/>
      <c r="E119" s="1656"/>
      <c r="G119" s="2338"/>
      <c r="H119" s="2424"/>
      <c r="I119" s="2339"/>
      <c r="J119" s="592"/>
      <c r="K119" s="1668"/>
      <c r="L119" s="2370"/>
      <c r="M119" s="1656"/>
      <c r="O119" s="1668"/>
      <c r="P119" s="340"/>
      <c r="Q119" s="1656"/>
      <c r="R119" s="592"/>
      <c r="S119" s="2341"/>
      <c r="V119" s="952"/>
      <c r="W119" s="2343"/>
      <c r="AA119" s="1668"/>
    </row>
    <row r="120" spans="1:27" s="457" customFormat="1" x14ac:dyDescent="0.25">
      <c r="A120" s="2215"/>
      <c r="B120" s="2394"/>
      <c r="C120" s="2230"/>
      <c r="D120" s="455"/>
      <c r="E120" s="1656"/>
      <c r="G120" s="2338"/>
      <c r="H120" s="2424"/>
      <c r="I120" s="2339"/>
      <c r="J120" s="592"/>
      <c r="K120" s="1668"/>
      <c r="L120" s="2370"/>
      <c r="M120" s="1656"/>
      <c r="O120" s="1668"/>
      <c r="P120" s="340"/>
      <c r="Q120" s="1656"/>
      <c r="R120" s="592"/>
      <c r="S120" s="2341"/>
      <c r="V120" s="952"/>
      <c r="W120" s="2343"/>
      <c r="AA120" s="1668"/>
    </row>
    <row r="121" spans="1:27" s="457" customFormat="1" x14ac:dyDescent="0.25">
      <c r="A121" s="2215"/>
      <c r="B121" s="2394"/>
      <c r="C121" s="2230"/>
      <c r="D121" s="455"/>
      <c r="E121" s="1656"/>
      <c r="G121" s="2338"/>
      <c r="H121" s="2424"/>
      <c r="I121" s="2339"/>
      <c r="J121" s="592"/>
      <c r="K121" s="1668"/>
      <c r="L121" s="2370"/>
      <c r="M121" s="1656"/>
      <c r="O121" s="1668"/>
      <c r="P121" s="340"/>
      <c r="Q121" s="1656"/>
      <c r="R121" s="592"/>
      <c r="S121" s="2341"/>
      <c r="V121" s="952"/>
      <c r="W121" s="2343"/>
      <c r="AA121" s="1668"/>
    </row>
    <row r="122" spans="1:27" s="457" customFormat="1" x14ac:dyDescent="0.25">
      <c r="A122" s="2215"/>
      <c r="B122" s="2394"/>
      <c r="C122" s="2230"/>
      <c r="D122" s="455"/>
      <c r="E122" s="1656"/>
      <c r="G122" s="2338"/>
      <c r="H122" s="2424"/>
      <c r="I122" s="2339"/>
      <c r="J122" s="592"/>
      <c r="K122" s="1668"/>
      <c r="L122" s="2370"/>
      <c r="M122" s="1656"/>
      <c r="O122" s="1668"/>
      <c r="P122" s="340"/>
      <c r="Q122" s="1656"/>
      <c r="R122" s="592"/>
      <c r="S122" s="2341"/>
      <c r="V122" s="952"/>
      <c r="W122" s="2343"/>
      <c r="AA122" s="1668"/>
    </row>
    <row r="123" spans="1:27" s="457" customFormat="1" x14ac:dyDescent="0.25">
      <c r="A123" s="2215"/>
      <c r="B123" s="2394"/>
      <c r="C123" s="2230"/>
      <c r="D123" s="455"/>
      <c r="E123" s="1656"/>
      <c r="G123" s="2338"/>
      <c r="H123" s="2424"/>
      <c r="I123" s="2339"/>
      <c r="J123" s="592"/>
      <c r="K123" s="1668"/>
      <c r="L123" s="2370"/>
      <c r="M123" s="1656"/>
      <c r="O123" s="1668"/>
      <c r="P123" s="340"/>
      <c r="Q123" s="1656"/>
      <c r="R123" s="592"/>
      <c r="S123" s="2341"/>
      <c r="V123" s="952"/>
      <c r="W123" s="2343"/>
      <c r="AA123" s="1668"/>
    </row>
    <row r="124" spans="1:27" s="457" customFormat="1" x14ac:dyDescent="0.25">
      <c r="A124" s="2215"/>
      <c r="B124" s="2394"/>
      <c r="C124" s="2230"/>
      <c r="D124" s="455"/>
      <c r="E124" s="1656"/>
      <c r="G124" s="2338"/>
      <c r="H124" s="2424"/>
      <c r="I124" s="2339"/>
      <c r="J124" s="592"/>
      <c r="K124" s="1668"/>
      <c r="L124" s="2370"/>
      <c r="M124" s="1656"/>
      <c r="O124" s="1668"/>
      <c r="P124" s="340"/>
      <c r="Q124" s="1656"/>
      <c r="R124" s="592"/>
      <c r="S124" s="2341"/>
      <c r="V124" s="952"/>
      <c r="W124" s="2343"/>
      <c r="AA124" s="1668"/>
    </row>
    <row r="125" spans="1:27" s="457" customFormat="1" x14ac:dyDescent="0.25">
      <c r="A125" s="2215"/>
      <c r="B125" s="2394"/>
      <c r="C125" s="2230"/>
      <c r="D125" s="455"/>
      <c r="E125" s="1656"/>
      <c r="G125" s="2338"/>
      <c r="H125" s="2424"/>
      <c r="I125" s="2339"/>
      <c r="J125" s="592"/>
      <c r="K125" s="1668"/>
      <c r="L125" s="2370"/>
      <c r="M125" s="1656"/>
      <c r="O125" s="1668"/>
      <c r="P125" s="340"/>
      <c r="Q125" s="1656"/>
      <c r="R125" s="592"/>
      <c r="S125" s="2341"/>
      <c r="V125" s="952"/>
      <c r="W125" s="2343"/>
      <c r="AA125" s="1668"/>
    </row>
    <row r="126" spans="1:27" s="457" customFormat="1" x14ac:dyDescent="0.25">
      <c r="A126" s="2215"/>
      <c r="B126" s="2394"/>
      <c r="C126" s="2230"/>
      <c r="D126" s="455"/>
      <c r="E126" s="1656"/>
      <c r="G126" s="2338"/>
      <c r="H126" s="2424"/>
      <c r="I126" s="2339"/>
      <c r="J126" s="592"/>
      <c r="K126" s="1668"/>
      <c r="L126" s="2370"/>
      <c r="M126" s="1656"/>
      <c r="O126" s="1668"/>
      <c r="P126" s="340"/>
      <c r="Q126" s="1656"/>
      <c r="R126" s="592"/>
      <c r="S126" s="2341"/>
      <c r="V126" s="952"/>
      <c r="W126" s="2343"/>
      <c r="AA126" s="1668"/>
    </row>
    <row r="127" spans="1:27" s="457" customFormat="1" x14ac:dyDescent="0.25">
      <c r="A127" s="2215"/>
      <c r="B127" s="2345"/>
      <c r="C127" s="2215"/>
      <c r="D127" s="340"/>
      <c r="E127" s="1656"/>
      <c r="G127" s="2338"/>
      <c r="H127" s="2424"/>
      <c r="I127" s="2339"/>
      <c r="J127" s="592"/>
      <c r="K127" s="1668"/>
      <c r="L127" s="2370"/>
      <c r="M127" s="1656"/>
      <c r="O127" s="1668"/>
      <c r="P127" s="340"/>
      <c r="Q127" s="1656"/>
      <c r="R127" s="592"/>
      <c r="S127" s="2341"/>
      <c r="V127" s="952"/>
      <c r="W127" s="2343"/>
      <c r="AA127" s="1668"/>
    </row>
    <row r="128" spans="1:27" s="457" customFormat="1" x14ac:dyDescent="0.25">
      <c r="A128" s="2215"/>
      <c r="B128" s="2345"/>
      <c r="C128" s="2215"/>
      <c r="D128" s="340"/>
      <c r="E128" s="1656"/>
      <c r="G128" s="2338"/>
      <c r="H128" s="2424"/>
      <c r="I128" s="2339"/>
      <c r="J128" s="592"/>
      <c r="K128" s="1668"/>
      <c r="L128" s="2370"/>
      <c r="M128" s="1656"/>
      <c r="O128" s="1668"/>
      <c r="P128" s="340"/>
      <c r="Q128" s="1656"/>
      <c r="R128" s="592"/>
      <c r="S128" s="2341"/>
      <c r="V128" s="952"/>
      <c r="W128" s="2343"/>
      <c r="AA128" s="1668"/>
    </row>
    <row r="129" spans="1:27" s="457" customFormat="1" x14ac:dyDescent="0.25">
      <c r="A129" s="2215"/>
      <c r="B129" s="2345"/>
      <c r="C129" s="2215"/>
      <c r="D129" s="340"/>
      <c r="E129" s="1656"/>
      <c r="G129" s="2338"/>
      <c r="H129" s="2424"/>
      <c r="I129" s="2339"/>
      <c r="J129" s="592"/>
      <c r="K129" s="1668"/>
      <c r="L129" s="2370"/>
      <c r="M129" s="1656"/>
      <c r="O129" s="1668"/>
      <c r="P129" s="340"/>
      <c r="Q129" s="1656"/>
      <c r="R129" s="592"/>
      <c r="S129" s="2341"/>
      <c r="V129" s="952"/>
      <c r="W129" s="2343"/>
      <c r="AA129" s="1668"/>
    </row>
    <row r="130" spans="1:27" s="457" customFormat="1" x14ac:dyDescent="0.25">
      <c r="A130" s="2215"/>
      <c r="B130" s="2345"/>
      <c r="C130" s="2215"/>
      <c r="D130" s="340"/>
      <c r="E130" s="1656"/>
      <c r="G130" s="2338"/>
      <c r="H130" s="2424"/>
      <c r="I130" s="2339"/>
      <c r="J130" s="592"/>
      <c r="K130" s="1668"/>
      <c r="L130" s="2370"/>
      <c r="M130" s="1656"/>
      <c r="O130" s="1668"/>
      <c r="P130" s="340"/>
      <c r="Q130" s="1656"/>
      <c r="R130" s="592"/>
      <c r="S130" s="2341"/>
      <c r="V130" s="952"/>
      <c r="W130" s="2343"/>
      <c r="AA130" s="1668"/>
    </row>
    <row r="131" spans="1:27" s="457" customFormat="1" x14ac:dyDescent="0.25">
      <c r="A131" s="2215"/>
      <c r="B131" s="2345"/>
      <c r="C131" s="2215"/>
      <c r="D131" s="340"/>
      <c r="E131" s="1656"/>
      <c r="G131" s="2338"/>
      <c r="H131" s="2424"/>
      <c r="I131" s="2339"/>
      <c r="J131" s="592"/>
      <c r="K131" s="1668"/>
      <c r="L131" s="2370"/>
      <c r="M131" s="1656"/>
      <c r="O131" s="1668"/>
      <c r="P131" s="340"/>
      <c r="Q131" s="1656"/>
      <c r="R131" s="592"/>
      <c r="S131" s="2341"/>
      <c r="V131" s="952"/>
      <c r="W131" s="2343"/>
      <c r="AA131" s="1668"/>
    </row>
  </sheetData>
  <sheetProtection password="E247" sheet="1" objects="1" scenarios="1"/>
  <mergeCells count="1">
    <mergeCell ref="B106:C107"/>
  </mergeCells>
  <pageMargins left="0.25" right="0.25" top="0.5" bottom="0.5" header="0.25" footer="0.25"/>
  <pageSetup paperSize="5" orientation="portrait" r:id="rId1"/>
  <headerFooter>
    <oddHeader>&amp;L&amp;F</oddHeader>
    <oddFooter>&amp;R&amp;A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C129"/>
  <sheetViews>
    <sheetView zoomScaleNormal="100" workbookViewId="0">
      <pane xSplit="3" ySplit="6" topLeftCell="D7" activePane="bottomRight" state="frozen"/>
      <selection activeCell="B41" sqref="B41:C42"/>
      <selection pane="topRight" activeCell="B41" sqref="B41:C42"/>
      <selection pane="bottomLeft" activeCell="B41" sqref="B41:C42"/>
      <selection pane="bottomRight" activeCell="B41" sqref="B41:C42"/>
    </sheetView>
  </sheetViews>
  <sheetFormatPr defaultRowHeight="15" x14ac:dyDescent="0.25"/>
  <cols>
    <col min="1" max="1" width="1.7109375" style="143" customWidth="1"/>
    <col min="2" max="2" width="8.5703125" style="872" customWidth="1"/>
    <col min="3" max="3" width="18.28515625" style="844" customWidth="1"/>
    <col min="4" max="4" width="16" style="2" customWidth="1"/>
    <col min="5" max="5" width="17.7109375" style="844" hidden="1" customWidth="1"/>
    <col min="6" max="6" width="6" style="39" customWidth="1"/>
    <col min="7" max="7" width="9.42578125" style="52" bestFit="1" customWidth="1"/>
    <col min="8" max="8" width="13.85546875" style="121" bestFit="1" customWidth="1"/>
    <col min="9" max="9" width="26" style="853" hidden="1" customWidth="1"/>
    <col min="10" max="10" width="5.7109375" style="59" customWidth="1"/>
    <col min="11" max="11" width="10.5703125" style="333" customWidth="1"/>
    <col min="12" max="12" width="14" style="122" bestFit="1" customWidth="1"/>
    <col min="13" max="13" width="26" style="844" hidden="1" customWidth="1"/>
    <col min="14" max="14" width="5.7109375" style="39" customWidth="1"/>
    <col min="15" max="15" width="9.42578125" style="333" bestFit="1" customWidth="1"/>
    <col min="16" max="16" width="14" style="2" bestFit="1" customWidth="1"/>
    <col min="17" max="17" width="24.85546875" style="844" hidden="1" customWidth="1"/>
    <col min="18" max="18" width="5.7109375" style="109" customWidth="1"/>
    <col min="19" max="19" width="9.42578125" style="39" hidden="1" customWidth="1"/>
    <col min="20" max="20" width="14" style="39" hidden="1" customWidth="1"/>
    <col min="21" max="21" width="24.85546875" style="39" hidden="1" customWidth="1"/>
    <col min="22" max="22" width="5.7109375" style="39" hidden="1" customWidth="1"/>
    <col min="23" max="23" width="9.42578125" style="39" hidden="1" customWidth="1"/>
    <col min="24" max="24" width="14" style="39" hidden="1" customWidth="1"/>
    <col min="25" max="25" width="24.85546875" style="39" hidden="1" customWidth="1"/>
    <col min="26" max="26" width="5.7109375" style="39" hidden="1" customWidth="1"/>
    <col min="27" max="27" width="9.42578125" style="39" hidden="1" customWidth="1"/>
    <col min="28" max="28" width="14" style="39" hidden="1" customWidth="1"/>
    <col min="29" max="29" width="24.85546875" style="39" hidden="1" customWidth="1"/>
    <col min="30" max="16384" width="9.140625" style="39"/>
  </cols>
  <sheetData>
    <row r="1" spans="1:29" x14ac:dyDescent="0.25">
      <c r="B1" s="872" t="s">
        <v>61</v>
      </c>
      <c r="C1" s="873" t="s">
        <v>269</v>
      </c>
      <c r="D1" s="933"/>
      <c r="E1" s="842"/>
      <c r="F1" s="98"/>
      <c r="G1" s="325"/>
      <c r="H1" s="934"/>
      <c r="I1" s="842"/>
      <c r="K1" s="338"/>
      <c r="L1" s="121"/>
      <c r="M1" s="842"/>
      <c r="N1" s="51"/>
      <c r="O1" s="338"/>
      <c r="P1" s="121"/>
      <c r="Q1" s="842"/>
      <c r="T1" s="86">
        <v>0</v>
      </c>
      <c r="U1" s="98"/>
      <c r="X1" s="86">
        <v>0</v>
      </c>
      <c r="Y1" s="98"/>
      <c r="AB1" s="86">
        <v>0</v>
      </c>
      <c r="AC1" s="98"/>
    </row>
    <row r="2" spans="1:29" ht="17.25" x14ac:dyDescent="0.4">
      <c r="B2" s="874" t="s">
        <v>59</v>
      </c>
      <c r="C2" s="875">
        <v>7810</v>
      </c>
      <c r="D2" s="934"/>
      <c r="E2" s="842"/>
      <c r="F2" s="98"/>
      <c r="G2" s="1663"/>
      <c r="H2" s="934"/>
      <c r="I2" s="842"/>
      <c r="K2" s="338"/>
      <c r="L2" s="87"/>
      <c r="M2" s="842"/>
      <c r="N2" s="51"/>
      <c r="O2" s="338"/>
      <c r="P2" s="87"/>
      <c r="Q2" s="842"/>
      <c r="T2" s="87">
        <v>0</v>
      </c>
      <c r="U2" s="98"/>
      <c r="X2" s="87">
        <v>0</v>
      </c>
      <c r="Y2" s="98"/>
      <c r="AB2" s="87">
        <v>0</v>
      </c>
      <c r="AC2" s="98"/>
    </row>
    <row r="3" spans="1:29" x14ac:dyDescent="0.25">
      <c r="D3" s="935"/>
      <c r="E3" s="852"/>
      <c r="F3" s="936"/>
      <c r="G3" s="1664"/>
      <c r="H3" s="935"/>
      <c r="I3" s="852"/>
      <c r="K3" s="338"/>
      <c r="L3" s="121"/>
      <c r="M3" s="853"/>
      <c r="N3" s="51"/>
      <c r="O3" s="338"/>
      <c r="P3" s="121"/>
      <c r="Q3" s="853"/>
      <c r="T3" s="86">
        <f>SUM(T1:T2)</f>
        <v>0</v>
      </c>
      <c r="U3" s="51"/>
      <c r="X3" s="86">
        <f>SUM(X1:X2)</f>
        <v>0</v>
      </c>
      <c r="Y3" s="51"/>
      <c r="AB3" s="86">
        <f>SUM(AB1:AB2)</f>
        <v>0</v>
      </c>
      <c r="AC3" s="51"/>
    </row>
    <row r="4" spans="1:29" x14ac:dyDescent="0.25">
      <c r="L4" s="121"/>
      <c r="M4" s="853"/>
      <c r="P4" s="121"/>
      <c r="Q4" s="853"/>
      <c r="T4" s="86"/>
      <c r="U4" s="51"/>
      <c r="X4" s="86"/>
      <c r="Y4" s="51"/>
      <c r="AB4" s="86"/>
      <c r="AC4" s="51"/>
    </row>
    <row r="5" spans="1:29" ht="15.75" x14ac:dyDescent="0.25">
      <c r="B5" s="876" t="s">
        <v>56</v>
      </c>
      <c r="P5" s="122"/>
      <c r="T5" s="73"/>
      <c r="X5" s="73"/>
      <c r="AB5" s="73"/>
    </row>
    <row r="6" spans="1:29" s="89" customFormat="1" ht="15.75" x14ac:dyDescent="0.25">
      <c r="A6" s="144"/>
      <c r="B6" s="877"/>
      <c r="C6" s="877"/>
      <c r="D6" s="243" t="s">
        <v>55</v>
      </c>
      <c r="E6" s="845"/>
      <c r="G6" s="327"/>
      <c r="H6" s="282" t="str">
        <f>LEFT(D6,4)+1&amp;"-"&amp;RIGHT(D6,4)+1</f>
        <v>2017-2018</v>
      </c>
      <c r="I6" s="854"/>
      <c r="J6" s="93"/>
      <c r="K6" s="334"/>
      <c r="L6" s="123" t="str">
        <f>LEFT(H6,4)+1&amp;"-"&amp;RIGHT(H6,4)+1</f>
        <v>2018-2019</v>
      </c>
      <c r="M6" s="888"/>
      <c r="N6" s="96"/>
      <c r="O6" s="337"/>
      <c r="P6" s="123" t="str">
        <f>LEFT(L6,4)+1&amp;"-"&amp;RIGHT(L6,4)+1</f>
        <v>2019-2020</v>
      </c>
      <c r="Q6" s="888"/>
      <c r="R6" s="110"/>
      <c r="S6" s="95"/>
      <c r="T6" s="95" t="str">
        <f>LEFT(P6,4)+1&amp;"-"&amp;RIGHT(P6,4)+1</f>
        <v>2020-2021</v>
      </c>
      <c r="U6" s="95"/>
      <c r="V6" s="96"/>
      <c r="W6" s="95"/>
      <c r="X6" s="95" t="str">
        <f>LEFT(T6,4)+1&amp;"-"&amp;RIGHT(T6,4)+1</f>
        <v>2021-2022</v>
      </c>
      <c r="Y6" s="95"/>
      <c r="Z6" s="96"/>
      <c r="AA6" s="95"/>
      <c r="AB6" s="95" t="str">
        <f>LEFT(X6,4)+1&amp;"-"&amp;RIGHT(X6,4)+1</f>
        <v>2022-2023</v>
      </c>
      <c r="AC6" s="95"/>
    </row>
    <row r="7" spans="1:29" x14ac:dyDescent="0.25">
      <c r="B7" s="878" t="s">
        <v>54</v>
      </c>
      <c r="D7" s="2">
        <v>-190310.3</v>
      </c>
      <c r="E7" s="870"/>
      <c r="H7" s="2">
        <f>D92</f>
        <v>0</v>
      </c>
      <c r="I7" s="870"/>
      <c r="J7" s="60"/>
      <c r="L7" s="2">
        <f>H92</f>
        <v>0</v>
      </c>
      <c r="M7" s="870"/>
      <c r="P7" s="2">
        <f>L92</f>
        <v>0</v>
      </c>
      <c r="Q7" s="870"/>
      <c r="T7" s="2">
        <f>P92</f>
        <v>0</v>
      </c>
      <c r="U7" s="105"/>
      <c r="X7" s="2">
        <f>T92</f>
        <v>0</v>
      </c>
      <c r="Y7" s="105"/>
      <c r="AB7" s="2">
        <f>X92</f>
        <v>0</v>
      </c>
      <c r="AC7" s="105"/>
    </row>
    <row r="8" spans="1:29" x14ac:dyDescent="0.25">
      <c r="E8" s="870"/>
      <c r="H8" s="2"/>
      <c r="I8" s="870"/>
      <c r="L8" s="2"/>
      <c r="M8" s="870"/>
      <c r="Q8" s="870"/>
      <c r="U8" s="105"/>
      <c r="Y8" s="105"/>
      <c r="AC8" s="105"/>
    </row>
    <row r="9" spans="1:29" x14ac:dyDescent="0.25">
      <c r="B9" s="872" t="s">
        <v>52</v>
      </c>
      <c r="C9" s="844" t="s">
        <v>270</v>
      </c>
      <c r="D9" s="2">
        <v>843860.64</v>
      </c>
      <c r="E9" s="870" t="s">
        <v>459</v>
      </c>
      <c r="G9" s="83">
        <f>IF(D9=0,"0.00%",(H9-D9)/D9)</f>
        <v>-1</v>
      </c>
      <c r="H9" s="3">
        <f>-H7</f>
        <v>0</v>
      </c>
      <c r="I9" s="870"/>
      <c r="J9" s="61"/>
      <c r="K9" s="83" t="str">
        <f>IF(H9=0,"0.00%",(L9-H9)/H9)</f>
        <v>0.00%</v>
      </c>
      <c r="L9" s="3">
        <f>L3</f>
        <v>0</v>
      </c>
      <c r="M9" s="870"/>
      <c r="O9" s="83" t="str">
        <f>IF(L9=0,"0.00%",(P9-L9)/L9)</f>
        <v>0.00%</v>
      </c>
      <c r="P9" s="3">
        <f>P3</f>
        <v>0</v>
      </c>
      <c r="Q9" s="870"/>
      <c r="S9" s="83" t="str">
        <f>IF(P9=0,"0.00%",(T9-P9)/P9)</f>
        <v>0.00%</v>
      </c>
      <c r="T9" s="3">
        <f>T3</f>
        <v>0</v>
      </c>
      <c r="U9" s="105"/>
      <c r="W9" s="83" t="str">
        <f>IF(T9=0,"0.00%",(X9-T9)/T9)</f>
        <v>0.00%</v>
      </c>
      <c r="X9" s="3">
        <f>X3</f>
        <v>0</v>
      </c>
      <c r="Y9" s="105"/>
      <c r="AA9" s="83" t="str">
        <f>IF(X9=0,"0.00%",(AB9-X9)/X9)</f>
        <v>0.00%</v>
      </c>
      <c r="AB9" s="3">
        <f>AB3</f>
        <v>0</v>
      </c>
      <c r="AC9" s="105"/>
    </row>
    <row r="10" spans="1:29" x14ac:dyDescent="0.25">
      <c r="D10" s="2">
        <v>0</v>
      </c>
      <c r="E10" s="870"/>
      <c r="G10" s="83" t="str">
        <f t="shared" ref="G10:G15" si="0">IF(D10=0,"0.00%",(H10-D10)/D10)</f>
        <v>0.00%</v>
      </c>
      <c r="H10" s="3">
        <v>0</v>
      </c>
      <c r="I10" s="870"/>
      <c r="J10" s="61"/>
      <c r="K10" s="83" t="str">
        <f>IF(H10=0,"0.00%",(L10-H10)/H10)</f>
        <v>0.00%</v>
      </c>
      <c r="L10" s="3">
        <f>-H2</f>
        <v>0</v>
      </c>
      <c r="M10" s="870"/>
      <c r="O10" s="83" t="str">
        <f>IF(L10=0,"0.00%",(P10-L10)/L10)</f>
        <v>0.00%</v>
      </c>
      <c r="P10" s="3">
        <f>-L2</f>
        <v>0</v>
      </c>
      <c r="Q10" s="870"/>
      <c r="S10" s="83" t="str">
        <f>IF(P10=0,"0.00%",(T10-P10)/P10)</f>
        <v>0.00%</v>
      </c>
      <c r="T10" s="3">
        <f>-P2</f>
        <v>0</v>
      </c>
      <c r="U10" s="105"/>
      <c r="W10" s="83" t="str">
        <f>IF(T10=0,"0.00%",(X10-T10)/T10)</f>
        <v>0.00%</v>
      </c>
      <c r="X10" s="3">
        <f>-T2</f>
        <v>0</v>
      </c>
      <c r="Y10" s="105"/>
      <c r="AA10" s="83" t="str">
        <f>IF(X10=0,"0.00%",(AB10-X10)/X10)</f>
        <v>0.00%</v>
      </c>
      <c r="AB10" s="3">
        <f>-X2</f>
        <v>0</v>
      </c>
      <c r="AC10" s="105"/>
    </row>
    <row r="11" spans="1:29" x14ac:dyDescent="0.25">
      <c r="B11" s="878" t="s">
        <v>137</v>
      </c>
      <c r="D11" s="8">
        <f>SUM(D9:D10)</f>
        <v>843860.64</v>
      </c>
      <c r="E11" s="870"/>
      <c r="G11" s="83">
        <f t="shared" si="0"/>
        <v>-1</v>
      </c>
      <c r="H11" s="8">
        <f>SUM(H9:H10)</f>
        <v>0</v>
      </c>
      <c r="I11" s="870"/>
      <c r="J11" s="62"/>
      <c r="K11" s="83" t="str">
        <f>IF(H11=0,"0.00%",(L11-H11)/H11)</f>
        <v>0.00%</v>
      </c>
      <c r="L11" s="8">
        <f>SUM(L9:L10)</f>
        <v>0</v>
      </c>
      <c r="M11" s="870"/>
      <c r="O11" s="83" t="str">
        <f>IF(L11=0,"0.00%",(P11-L11)/L11)</f>
        <v>0.00%</v>
      </c>
      <c r="P11" s="8">
        <f>SUM(P9:P10)</f>
        <v>0</v>
      </c>
      <c r="Q11" s="870"/>
      <c r="S11" s="83" t="str">
        <f>IF(P11=0,"0.00%",(T11-P11)/P11)</f>
        <v>0.00%</v>
      </c>
      <c r="T11" s="78">
        <f>SUM(T9:T10)</f>
        <v>0</v>
      </c>
      <c r="U11" s="105"/>
      <c r="W11" s="83" t="str">
        <f>IF(T11=0,"0.00%",(X11-T11)/T11)</f>
        <v>0.00%</v>
      </c>
      <c r="X11" s="78">
        <f>SUM(X9:X10)</f>
        <v>0</v>
      </c>
      <c r="Y11" s="105"/>
      <c r="AA11" s="83" t="str">
        <f>IF(X11=0,"0.00%",(AB11-X11)/X11)</f>
        <v>0.00%</v>
      </c>
      <c r="AB11" s="78">
        <f>SUM(AB9:AB10)</f>
        <v>0</v>
      </c>
      <c r="AC11" s="105"/>
    </row>
    <row r="12" spans="1:29" x14ac:dyDescent="0.25">
      <c r="E12" s="870"/>
      <c r="H12" s="3"/>
      <c r="I12" s="870"/>
      <c r="J12" s="63"/>
      <c r="K12" s="52"/>
      <c r="L12" s="3"/>
      <c r="M12" s="870"/>
      <c r="O12" s="52"/>
      <c r="P12" s="3"/>
      <c r="Q12" s="870"/>
      <c r="S12" s="46"/>
      <c r="T12" s="44"/>
      <c r="U12" s="105"/>
      <c r="W12" s="46"/>
      <c r="X12" s="44"/>
      <c r="Y12" s="105"/>
      <c r="AA12" s="46"/>
      <c r="AB12" s="44"/>
      <c r="AC12" s="105"/>
    </row>
    <row r="13" spans="1:29" x14ac:dyDescent="0.25">
      <c r="B13" s="879"/>
      <c r="C13" s="880" t="s">
        <v>64</v>
      </c>
      <c r="D13" s="9">
        <f>ROUND(D11-(D11/(1+B13)),0)</f>
        <v>0</v>
      </c>
      <c r="E13" s="870"/>
      <c r="G13" s="83" t="str">
        <f t="shared" si="0"/>
        <v>0.00%</v>
      </c>
      <c r="H13" s="9">
        <f>ROUND(H11-(H11/(1+B13)),0)</f>
        <v>0</v>
      </c>
      <c r="I13" s="870"/>
      <c r="J13" s="64"/>
      <c r="K13" s="83" t="str">
        <f>IF(H13=0,"0.00%",(L13-H13)/H13)</f>
        <v>0.00%</v>
      </c>
      <c r="L13" s="9">
        <f>ROUND(L11-(L11/(1+B13)),0)</f>
        <v>0</v>
      </c>
      <c r="M13" s="870"/>
      <c r="O13" s="83" t="str">
        <f>IF(L13=0,"0.00%",(P13-L13)/L13)</f>
        <v>0.00%</v>
      </c>
      <c r="P13" s="9">
        <f>ROUND(P11-(P11/(1+B13)),0)</f>
        <v>0</v>
      </c>
      <c r="Q13" s="870"/>
      <c r="S13" s="83" t="str">
        <f>IF(P13=0,"0.00%",(T13-P13)/P13)</f>
        <v>0.00%</v>
      </c>
      <c r="T13" s="77">
        <f>ROUND(T11-(T11/(1+B13)),0)</f>
        <v>0</v>
      </c>
      <c r="U13" s="105"/>
      <c r="W13" s="83" t="str">
        <f>IF(T13=0,"0.00%",(X13-T13)/T13)</f>
        <v>0.00%</v>
      </c>
      <c r="X13" s="77">
        <f>ROUND(X11-(X11/(1+B13)),0)</f>
        <v>0</v>
      </c>
      <c r="Y13" s="105"/>
      <c r="AA13" s="83" t="str">
        <f>IF(X13=0,"0.00%",(AB13-X13)/X13)</f>
        <v>0.00%</v>
      </c>
      <c r="AB13" s="77">
        <f>ROUND(AB11-(AB11/(1+G13)),0)</f>
        <v>0</v>
      </c>
      <c r="AC13" s="105"/>
    </row>
    <row r="14" spans="1:29" x14ac:dyDescent="0.25">
      <c r="E14" s="870"/>
      <c r="H14" s="3"/>
      <c r="I14" s="870"/>
      <c r="J14" s="63"/>
      <c r="K14" s="52"/>
      <c r="L14" s="3"/>
      <c r="M14" s="870"/>
      <c r="O14" s="52"/>
      <c r="P14" s="3"/>
      <c r="Q14" s="870"/>
      <c r="S14" s="46"/>
      <c r="T14" s="44"/>
      <c r="U14" s="105"/>
      <c r="W14" s="46"/>
      <c r="X14" s="44"/>
      <c r="Y14" s="105"/>
      <c r="AA14" s="46"/>
      <c r="AB14" s="44"/>
      <c r="AC14" s="105"/>
    </row>
    <row r="15" spans="1:29" x14ac:dyDescent="0.25">
      <c r="B15" s="878" t="s">
        <v>50</v>
      </c>
      <c r="D15" s="10">
        <f>D11-D13+D7</f>
        <v>653550.34000000008</v>
      </c>
      <c r="E15" s="870"/>
      <c r="G15" s="83">
        <f t="shared" si="0"/>
        <v>-1</v>
      </c>
      <c r="H15" s="10">
        <f>H11-H13+H7</f>
        <v>0</v>
      </c>
      <c r="I15" s="870"/>
      <c r="J15" s="62"/>
      <c r="K15" s="83" t="str">
        <f>IF(H15=0,"0.00%",(L15-H15)/H15)</f>
        <v>0.00%</v>
      </c>
      <c r="L15" s="10">
        <f>L11-L13+L7</f>
        <v>0</v>
      </c>
      <c r="M15" s="870"/>
      <c r="O15" s="83" t="str">
        <f>IF(L15=0,"0.00%",(P15-L15)/L15)</f>
        <v>0.00%</v>
      </c>
      <c r="P15" s="10">
        <f>P11-P13+P7</f>
        <v>0</v>
      </c>
      <c r="Q15" s="870"/>
      <c r="S15" s="83" t="str">
        <f>IF(P15=0,"0.00%",(T15-P15)/P15)</f>
        <v>0.00%</v>
      </c>
      <c r="T15" s="53">
        <f>T11-T13+T7</f>
        <v>0</v>
      </c>
      <c r="U15" s="105"/>
      <c r="W15" s="83" t="str">
        <f>IF(T15=0,"0.00%",(X15-T15)/T15)</f>
        <v>0.00%</v>
      </c>
      <c r="X15" s="53">
        <f>X11-X13+X7</f>
        <v>0</v>
      </c>
      <c r="Y15" s="105"/>
      <c r="AA15" s="83" t="str">
        <f>IF(X15=0,"0.00%",(AB15-X15)/X15)</f>
        <v>0.00%</v>
      </c>
      <c r="AB15" s="53">
        <f>AB11-AB13+AB7</f>
        <v>0</v>
      </c>
      <c r="AC15" s="105"/>
    </row>
    <row r="16" spans="1:29" x14ac:dyDescent="0.25">
      <c r="E16" s="870"/>
      <c r="H16" s="3"/>
      <c r="I16" s="870"/>
      <c r="J16" s="62"/>
      <c r="L16" s="3"/>
      <c r="M16" s="870"/>
      <c r="P16" s="3"/>
      <c r="Q16" s="870"/>
      <c r="T16" s="49"/>
      <c r="U16" s="105"/>
      <c r="X16" s="49"/>
      <c r="Y16" s="105"/>
      <c r="AB16" s="49"/>
      <c r="AC16" s="105"/>
    </row>
    <row r="17" spans="1:29" x14ac:dyDescent="0.25">
      <c r="C17" s="872"/>
      <c r="E17" s="870"/>
      <c r="H17" s="3"/>
      <c r="I17" s="870"/>
      <c r="J17" s="63"/>
      <c r="L17" s="3"/>
      <c r="M17" s="870"/>
      <c r="P17" s="3"/>
      <c r="Q17" s="870"/>
      <c r="T17" s="44"/>
      <c r="U17" s="105"/>
      <c r="X17" s="44"/>
      <c r="Y17" s="105"/>
      <c r="AB17" s="44"/>
      <c r="AC17" s="105"/>
    </row>
    <row r="18" spans="1:29" x14ac:dyDescent="0.25">
      <c r="A18" s="145"/>
      <c r="D18" s="29" t="s">
        <v>807</v>
      </c>
      <c r="E18" s="871"/>
      <c r="F18" s="32"/>
      <c r="H18" s="29" t="s">
        <v>176</v>
      </c>
      <c r="I18" s="871"/>
      <c r="J18" s="65"/>
      <c r="M18" s="871"/>
      <c r="Q18" s="871"/>
      <c r="U18" s="106"/>
      <c r="Y18" s="106"/>
      <c r="AC18" s="106"/>
    </row>
    <row r="19" spans="1:29" ht="17.25" x14ac:dyDescent="0.4">
      <c r="A19" s="146"/>
      <c r="D19" s="35" t="s">
        <v>808</v>
      </c>
      <c r="E19" s="846"/>
      <c r="F19" s="34"/>
      <c r="H19" s="35" t="s">
        <v>48</v>
      </c>
      <c r="I19" s="855">
        <v>0.02</v>
      </c>
      <c r="J19" s="29"/>
      <c r="L19" s="14" t="s">
        <v>48</v>
      </c>
      <c r="M19" s="855">
        <v>0.02</v>
      </c>
      <c r="P19" s="14" t="s">
        <v>48</v>
      </c>
      <c r="Q19" s="855">
        <v>0.02</v>
      </c>
      <c r="T19" s="14" t="s">
        <v>48</v>
      </c>
      <c r="U19" s="104">
        <v>0.02</v>
      </c>
      <c r="X19" s="14" t="s">
        <v>48</v>
      </c>
      <c r="Y19" s="104">
        <v>0.02</v>
      </c>
      <c r="AB19" s="14" t="s">
        <v>48</v>
      </c>
      <c r="AC19" s="104">
        <v>0.02</v>
      </c>
    </row>
    <row r="20" spans="1:29" s="13" customFormat="1" hidden="1" x14ac:dyDescent="0.25">
      <c r="A20" s="147"/>
      <c r="B20" s="878" t="s">
        <v>46</v>
      </c>
      <c r="C20" s="880"/>
      <c r="D20" s="10"/>
      <c r="E20" s="847"/>
      <c r="F20" s="10"/>
      <c r="G20" s="328"/>
      <c r="H20" s="10"/>
      <c r="I20" s="849"/>
      <c r="J20" s="57"/>
      <c r="K20" s="335"/>
      <c r="L20" s="10"/>
      <c r="M20" s="889"/>
      <c r="O20" s="335"/>
      <c r="P20" s="10"/>
      <c r="Q20" s="889"/>
      <c r="R20" s="111"/>
      <c r="T20" s="10"/>
      <c r="U20" s="74"/>
      <c r="X20" s="10"/>
      <c r="Y20" s="74"/>
      <c r="AB20" s="10"/>
      <c r="AC20" s="74"/>
    </row>
    <row r="21" spans="1:29" hidden="1" x14ac:dyDescent="0.25">
      <c r="A21" s="148"/>
      <c r="B21" s="881"/>
      <c r="D21" s="2">
        <v>0</v>
      </c>
      <c r="E21" s="848"/>
      <c r="F21" s="2"/>
      <c r="G21" s="83" t="str">
        <f t="shared" ref="G21:G30" si="1">IF(D21=0,"0.00%",(H21-D21)/D21)</f>
        <v>0.00%</v>
      </c>
      <c r="H21" s="2">
        <f t="shared" ref="H21:H27" si="2">ROUND(D21*(1+$I$19),0)</f>
        <v>0</v>
      </c>
      <c r="I21" s="841" t="str">
        <f t="shared" ref="I21:I28" si="3">TEXT($I$19,"0.0%")&amp;" = Est. S &amp; C"</f>
        <v>2.0% = Est. S &amp; C</v>
      </c>
      <c r="J21" s="66"/>
      <c r="K21" s="83" t="str">
        <f t="shared" ref="K21:K27" si="4">IF(H21=0,"0.00%",(L21-H21)/H21)</f>
        <v>0.00%</v>
      </c>
      <c r="L21" s="2">
        <f>ROUND(H21*(1+M19),0)</f>
        <v>0</v>
      </c>
      <c r="M21" s="856" t="str">
        <f>TEXT(M19,"0.0%")&amp;" = Est. S &amp; C"</f>
        <v>2.0% = Est. S &amp; C</v>
      </c>
      <c r="O21" s="83" t="str">
        <f t="shared" ref="O21:O27" si="5">IF(L21=0,"0.00%",(P21-L21)/L21)</f>
        <v>0.00%</v>
      </c>
      <c r="P21" s="2">
        <f>ROUND(L21*(1+Q19),0)</f>
        <v>0</v>
      </c>
      <c r="Q21" s="856" t="str">
        <f>TEXT(Q19,"0.0%")&amp;" = Est. S &amp; C"</f>
        <v>2.0% = Est. S &amp; C</v>
      </c>
      <c r="S21" s="83" t="str">
        <f t="shared" ref="S21:S27" si="6">IF(P21=0,"0.00%",(T21-P21)/P21)</f>
        <v>0.00%</v>
      </c>
      <c r="T21" s="2">
        <f>ROUND(P21*(1+U19),0)</f>
        <v>0</v>
      </c>
      <c r="U21" s="36" t="str">
        <f>TEXT(U19,"0.0%")&amp;" = Est. S &amp; C"</f>
        <v>2.0% = Est. S &amp; C</v>
      </c>
      <c r="W21" s="83" t="str">
        <f t="shared" ref="W21:W27" si="7">IF(T21=0,"0.00%",(X21-T21)/T21)</f>
        <v>0.00%</v>
      </c>
      <c r="X21" s="2">
        <f>ROUND(T21*(1+Y19),0)</f>
        <v>0</v>
      </c>
      <c r="Y21" s="36" t="str">
        <f>TEXT(Y19,"0.0%")&amp;" = Est. S &amp; C"</f>
        <v>2.0% = Est. S &amp; C</v>
      </c>
      <c r="AA21" s="83" t="str">
        <f t="shared" ref="AA21:AA27" si="8">IF(X21=0,"0.00%",(AB21-X21)/X21)</f>
        <v>0.00%</v>
      </c>
      <c r="AB21" s="2">
        <f>ROUND(X21*(1+AC19),0)</f>
        <v>0</v>
      </c>
      <c r="AC21" s="36" t="str">
        <f>TEXT(AC19,"0.0%")&amp;" = Est. S &amp; C"</f>
        <v>2.0% = Est. S &amp; C</v>
      </c>
    </row>
    <row r="22" spans="1:29" hidden="1" x14ac:dyDescent="0.25">
      <c r="A22" s="149"/>
      <c r="B22" s="881"/>
      <c r="D22" s="2">
        <v>0</v>
      </c>
      <c r="E22" s="848"/>
      <c r="F22" s="2"/>
      <c r="G22" s="83" t="str">
        <f t="shared" si="1"/>
        <v>0.00%</v>
      </c>
      <c r="H22" s="2">
        <f t="shared" si="2"/>
        <v>0</v>
      </c>
      <c r="I22" s="856" t="str">
        <f t="shared" si="3"/>
        <v>2.0% = Est. S &amp; C</v>
      </c>
      <c r="J22" s="66"/>
      <c r="K22" s="83" t="str">
        <f t="shared" si="4"/>
        <v>0.00%</v>
      </c>
      <c r="L22" s="2">
        <f>ROUND(H22*(1+M19),0)</f>
        <v>0</v>
      </c>
      <c r="M22" s="856" t="str">
        <f>TEXT(M19,"0.0%")&amp;" = Est. S &amp; C"</f>
        <v>2.0% = Est. S &amp; C</v>
      </c>
      <c r="O22" s="83" t="str">
        <f t="shared" si="5"/>
        <v>0.00%</v>
      </c>
      <c r="P22" s="2">
        <f>ROUND(L22*(1+Q19),0)</f>
        <v>0</v>
      </c>
      <c r="Q22" s="856" t="str">
        <f>TEXT(Q19,"0.0%")&amp;" = Est. S &amp; C"</f>
        <v>2.0% = Est. S &amp; C</v>
      </c>
      <c r="S22" s="83" t="str">
        <f t="shared" si="6"/>
        <v>0.00%</v>
      </c>
      <c r="T22" s="2">
        <f>ROUND(P22*(1+U19),0)</f>
        <v>0</v>
      </c>
      <c r="U22" s="36" t="str">
        <f>TEXT(U19,"0.0%")&amp;" = Est. S &amp; C"</f>
        <v>2.0% = Est. S &amp; C</v>
      </c>
      <c r="W22" s="83" t="str">
        <f t="shared" si="7"/>
        <v>0.00%</v>
      </c>
      <c r="X22" s="2">
        <f>ROUND(T22*(1+Y19),0)</f>
        <v>0</v>
      </c>
      <c r="Y22" s="36" t="str">
        <f>TEXT(Y19,"0.0%")&amp;" = Est. S &amp; C"</f>
        <v>2.0% = Est. S &amp; C</v>
      </c>
      <c r="AA22" s="83" t="str">
        <f t="shared" si="8"/>
        <v>0.00%</v>
      </c>
      <c r="AB22" s="2">
        <f>ROUND(X22*(1+AC19),0)</f>
        <v>0</v>
      </c>
      <c r="AC22" s="36" t="str">
        <f>TEXT(AC19,"0.0%")&amp;" = Est. S &amp; C"</f>
        <v>2.0% = Est. S &amp; C</v>
      </c>
    </row>
    <row r="23" spans="1:29" hidden="1" x14ac:dyDescent="0.25">
      <c r="A23" s="149"/>
      <c r="B23" s="881"/>
      <c r="D23" s="2">
        <v>0</v>
      </c>
      <c r="E23" s="848"/>
      <c r="F23" s="2"/>
      <c r="G23" s="83" t="str">
        <f t="shared" si="1"/>
        <v>0.00%</v>
      </c>
      <c r="H23" s="2">
        <f t="shared" si="2"/>
        <v>0</v>
      </c>
      <c r="I23" s="856" t="str">
        <f t="shared" si="3"/>
        <v>2.0% = Est. S &amp; C</v>
      </c>
      <c r="J23" s="66"/>
      <c r="K23" s="83" t="str">
        <f t="shared" si="4"/>
        <v>0.00%</v>
      </c>
      <c r="L23" s="2">
        <f>ROUND(H23*(1+M19),0)</f>
        <v>0</v>
      </c>
      <c r="M23" s="856" t="str">
        <f>TEXT(M19,"0.0%")&amp;" = Est. S &amp; C"</f>
        <v>2.0% = Est. S &amp; C</v>
      </c>
      <c r="O23" s="83" t="str">
        <f t="shared" si="5"/>
        <v>0.00%</v>
      </c>
      <c r="P23" s="2">
        <f>ROUND(L23*(1+Q19),0)</f>
        <v>0</v>
      </c>
      <c r="Q23" s="856" t="str">
        <f>TEXT(Q19,"0.0%")&amp;" = Est. S &amp; C"</f>
        <v>2.0% = Est. S &amp; C</v>
      </c>
      <c r="S23" s="83" t="str">
        <f t="shared" si="6"/>
        <v>0.00%</v>
      </c>
      <c r="T23" s="2">
        <f>ROUND(P23*(1+U19),0)</f>
        <v>0</v>
      </c>
      <c r="U23" s="36" t="str">
        <f>TEXT(U19,"0.0%")&amp;" = Est. S &amp; C"</f>
        <v>2.0% = Est. S &amp; C</v>
      </c>
      <c r="W23" s="83" t="str">
        <f t="shared" si="7"/>
        <v>0.00%</v>
      </c>
      <c r="X23" s="2">
        <f>ROUND(T23*(1+Y19),0)</f>
        <v>0</v>
      </c>
      <c r="Y23" s="36" t="str">
        <f>TEXT(Y19,"0.0%")&amp;" = Est. S &amp; C"</f>
        <v>2.0% = Est. S &amp; C</v>
      </c>
      <c r="AA23" s="83" t="str">
        <f t="shared" si="8"/>
        <v>0.00%</v>
      </c>
      <c r="AB23" s="2">
        <f>ROUND(X23*(1+AC19),0)</f>
        <v>0</v>
      </c>
      <c r="AC23" s="36" t="str">
        <f>TEXT(AC19,"0.0%")&amp;" = Est. S &amp; C"</f>
        <v>2.0% = Est. S &amp; C</v>
      </c>
    </row>
    <row r="24" spans="1:29" hidden="1" x14ac:dyDescent="0.25">
      <c r="A24" s="149"/>
      <c r="B24" s="881"/>
      <c r="D24" s="2">
        <v>0</v>
      </c>
      <c r="E24" s="848"/>
      <c r="F24" s="2"/>
      <c r="G24" s="83" t="str">
        <f t="shared" si="1"/>
        <v>0.00%</v>
      </c>
      <c r="H24" s="2">
        <f t="shared" si="2"/>
        <v>0</v>
      </c>
      <c r="I24" s="856" t="str">
        <f t="shared" si="3"/>
        <v>2.0% = Est. S &amp; C</v>
      </c>
      <c r="J24" s="66"/>
      <c r="K24" s="83" t="str">
        <f t="shared" si="4"/>
        <v>0.00%</v>
      </c>
      <c r="L24" s="2">
        <f>ROUND(H24*(1+M19),0)</f>
        <v>0</v>
      </c>
      <c r="M24" s="856" t="str">
        <f>TEXT(M19,"0.0%")&amp;" = Est. S &amp; C"</f>
        <v>2.0% = Est. S &amp; C</v>
      </c>
      <c r="O24" s="83" t="str">
        <f t="shared" si="5"/>
        <v>0.00%</v>
      </c>
      <c r="P24" s="2">
        <f>ROUND(L24*(1+Q19),0)</f>
        <v>0</v>
      </c>
      <c r="Q24" s="856" t="str">
        <f>TEXT(Q19,"0.0%")&amp;" = Est. S &amp; C"</f>
        <v>2.0% = Est. S &amp; C</v>
      </c>
      <c r="S24" s="83" t="str">
        <f t="shared" si="6"/>
        <v>0.00%</v>
      </c>
      <c r="T24" s="2">
        <f>ROUND(P24*(1+U19),0)</f>
        <v>0</v>
      </c>
      <c r="U24" s="36" t="str">
        <f>TEXT(U19,"0.0%")&amp;" = Est. S &amp; C"</f>
        <v>2.0% = Est. S &amp; C</v>
      </c>
      <c r="W24" s="83" t="str">
        <f t="shared" si="7"/>
        <v>0.00%</v>
      </c>
      <c r="X24" s="2">
        <f>ROUND(T24*(1+Y19),0)</f>
        <v>0</v>
      </c>
      <c r="Y24" s="36" t="str">
        <f>TEXT(Y19,"0.0%")&amp;" = Est. S &amp; C"</f>
        <v>2.0% = Est. S &amp; C</v>
      </c>
      <c r="AA24" s="83" t="str">
        <f t="shared" si="8"/>
        <v>0.00%</v>
      </c>
      <c r="AB24" s="2">
        <f>ROUND(X24*(1+AC19),0)</f>
        <v>0</v>
      </c>
      <c r="AC24" s="36" t="str">
        <f>TEXT(AC19,"0.0%")&amp;" = Est. S &amp; C"</f>
        <v>2.0% = Est. S &amp; C</v>
      </c>
    </row>
    <row r="25" spans="1:29" hidden="1" x14ac:dyDescent="0.25">
      <c r="A25" s="149"/>
      <c r="B25" s="881"/>
      <c r="D25" s="2">
        <v>0</v>
      </c>
      <c r="E25" s="848"/>
      <c r="F25" s="2"/>
      <c r="G25" s="83" t="str">
        <f t="shared" si="1"/>
        <v>0.00%</v>
      </c>
      <c r="H25" s="2">
        <f t="shared" si="2"/>
        <v>0</v>
      </c>
      <c r="I25" s="856" t="str">
        <f t="shared" si="3"/>
        <v>2.0% = Est. S &amp; C</v>
      </c>
      <c r="J25" s="66"/>
      <c r="K25" s="83" t="str">
        <f t="shared" si="4"/>
        <v>0.00%</v>
      </c>
      <c r="L25" s="2">
        <f>ROUND(H25*(1+M19),0)</f>
        <v>0</v>
      </c>
      <c r="M25" s="856" t="str">
        <f>TEXT(M19,"0.0%")&amp;" = Est. S &amp; C"</f>
        <v>2.0% = Est. S &amp; C</v>
      </c>
      <c r="O25" s="83" t="str">
        <f t="shared" si="5"/>
        <v>0.00%</v>
      </c>
      <c r="P25" s="2">
        <f>ROUND(L25*(1+Q19),0)</f>
        <v>0</v>
      </c>
      <c r="Q25" s="856" t="str">
        <f>TEXT(Q19,"0.0%")&amp;" = Est. S &amp; C"</f>
        <v>2.0% = Est. S &amp; C</v>
      </c>
      <c r="S25" s="83" t="str">
        <f t="shared" si="6"/>
        <v>0.00%</v>
      </c>
      <c r="T25" s="2">
        <f>ROUND(P25*(1+U19),0)</f>
        <v>0</v>
      </c>
      <c r="U25" s="36" t="str">
        <f>TEXT(U19,"0.0%")&amp;" = Est. S &amp; C"</f>
        <v>2.0% = Est. S &amp; C</v>
      </c>
      <c r="W25" s="83" t="str">
        <f t="shared" si="7"/>
        <v>0.00%</v>
      </c>
      <c r="X25" s="2">
        <f>ROUND(T25*(1+Y19),0)</f>
        <v>0</v>
      </c>
      <c r="Y25" s="36" t="str">
        <f>TEXT(Y19,"0.0%")&amp;" = Est. S &amp; C"</f>
        <v>2.0% = Est. S &amp; C</v>
      </c>
      <c r="AA25" s="83" t="str">
        <f t="shared" si="8"/>
        <v>0.00%</v>
      </c>
      <c r="AB25" s="2">
        <f>ROUND(X25*(1+AC19),0)</f>
        <v>0</v>
      </c>
      <c r="AC25" s="36" t="str">
        <f>TEXT(AC19,"0.0%")&amp;" = Est. S &amp; C"</f>
        <v>2.0% = Est. S &amp; C</v>
      </c>
    </row>
    <row r="26" spans="1:29" hidden="1" x14ac:dyDescent="0.25">
      <c r="A26" s="149"/>
      <c r="B26" s="881"/>
      <c r="D26" s="2">
        <v>0</v>
      </c>
      <c r="E26" s="848"/>
      <c r="F26" s="2"/>
      <c r="G26" s="83" t="str">
        <f t="shared" si="1"/>
        <v>0.00%</v>
      </c>
      <c r="H26" s="2">
        <f t="shared" si="2"/>
        <v>0</v>
      </c>
      <c r="I26" s="856" t="str">
        <f t="shared" si="3"/>
        <v>2.0% = Est. S &amp; C</v>
      </c>
      <c r="J26" s="66"/>
      <c r="K26" s="83" t="str">
        <f t="shared" si="4"/>
        <v>0.00%</v>
      </c>
      <c r="L26" s="2">
        <f>ROUND(H26*(1+M19),0)</f>
        <v>0</v>
      </c>
      <c r="M26" s="338" t="str">
        <f>TEXT(M19,"0.0%")&amp;" = Est. S &amp; C"</f>
        <v>2.0% = Est. S &amp; C</v>
      </c>
      <c r="O26" s="83" t="str">
        <f t="shared" si="5"/>
        <v>0.00%</v>
      </c>
      <c r="P26" s="2">
        <f>ROUND(L26*(1+Q19),0)</f>
        <v>0</v>
      </c>
      <c r="Q26" s="856" t="str">
        <f>TEXT(Q19,"0.0%")&amp;" = Est. S &amp; C"</f>
        <v>2.0% = Est. S &amp; C</v>
      </c>
      <c r="S26" s="83" t="str">
        <f t="shared" si="6"/>
        <v>0.00%</v>
      </c>
      <c r="T26" s="2">
        <f>ROUND(P26*(1+U19),0)</f>
        <v>0</v>
      </c>
      <c r="U26" s="36" t="str">
        <f>TEXT(U19,"0.0%")&amp;" = Est. S &amp; C"</f>
        <v>2.0% = Est. S &amp; C</v>
      </c>
      <c r="W26" s="83" t="str">
        <f t="shared" si="7"/>
        <v>0.00%</v>
      </c>
      <c r="X26" s="2">
        <f>ROUND(T26*(1+Y19),0)</f>
        <v>0</v>
      </c>
      <c r="Y26" s="36" t="str">
        <f>TEXT(Y19,"0.0%")&amp;" = Est. S &amp; C"</f>
        <v>2.0% = Est. S &amp; C</v>
      </c>
      <c r="AA26" s="83" t="str">
        <f t="shared" si="8"/>
        <v>0.00%</v>
      </c>
      <c r="AB26" s="2">
        <f>ROUND(X26*(1+AC19),0)</f>
        <v>0</v>
      </c>
      <c r="AC26" s="36" t="str">
        <f>TEXT(AC19,"0.0%")&amp;" = Est. S &amp; C"</f>
        <v>2.0% = Est. S &amp; C</v>
      </c>
    </row>
    <row r="27" spans="1:29" hidden="1" x14ac:dyDescent="0.25">
      <c r="A27" s="149"/>
      <c r="B27" s="881"/>
      <c r="D27" s="2">
        <v>0</v>
      </c>
      <c r="E27" s="848"/>
      <c r="F27" s="2"/>
      <c r="G27" s="83" t="str">
        <f t="shared" si="1"/>
        <v>0.00%</v>
      </c>
      <c r="H27" s="2">
        <f t="shared" si="2"/>
        <v>0</v>
      </c>
      <c r="I27" s="856" t="str">
        <f t="shared" si="3"/>
        <v>2.0% = Est. S &amp; C</v>
      </c>
      <c r="J27" s="66"/>
      <c r="K27" s="83" t="str">
        <f t="shared" si="4"/>
        <v>0.00%</v>
      </c>
      <c r="L27" s="2">
        <f>ROUND(H27*(1+M19),0)</f>
        <v>0</v>
      </c>
      <c r="M27" s="856" t="str">
        <f>TEXT(M19,"0.0%")&amp;" = Est. S &amp; C"</f>
        <v>2.0% = Est. S &amp; C</v>
      </c>
      <c r="O27" s="83" t="str">
        <f t="shared" si="5"/>
        <v>0.00%</v>
      </c>
      <c r="P27" s="2">
        <f>ROUND(L27*(1+Q19),0)</f>
        <v>0</v>
      </c>
      <c r="Q27" s="856" t="str">
        <f>TEXT(Q19,"0.0%")&amp;" = Est. S &amp; C"</f>
        <v>2.0% = Est. S &amp; C</v>
      </c>
      <c r="S27" s="83" t="str">
        <f t="shared" si="6"/>
        <v>0.00%</v>
      </c>
      <c r="T27" s="2">
        <f>ROUND(P27*(1+U19),0)</f>
        <v>0</v>
      </c>
      <c r="U27" s="36" t="str">
        <f>TEXT(U19,"0.0%")&amp;" = Est. S &amp; C"</f>
        <v>2.0% = Est. S &amp; C</v>
      </c>
      <c r="W27" s="83" t="str">
        <f t="shared" si="7"/>
        <v>0.00%</v>
      </c>
      <c r="X27" s="2">
        <f>ROUND(T27*(1+Y19),0)</f>
        <v>0</v>
      </c>
      <c r="Y27" s="36" t="str">
        <f>TEXT(Y19,"0.0%")&amp;" = Est. S &amp; C"</f>
        <v>2.0% = Est. S &amp; C</v>
      </c>
      <c r="AA27" s="83" t="str">
        <f t="shared" si="8"/>
        <v>0.00%</v>
      </c>
      <c r="AB27" s="2">
        <f>ROUND(X27*(1+AC19),0)</f>
        <v>0</v>
      </c>
      <c r="AC27" s="36" t="str">
        <f>TEXT(AC19,"0.0%")&amp;" = Est. S &amp; C"</f>
        <v>2.0% = Est. S &amp; C</v>
      </c>
    </row>
    <row r="28" spans="1:29" hidden="1" x14ac:dyDescent="0.25">
      <c r="A28" s="149"/>
      <c r="B28" s="881"/>
      <c r="D28" s="2">
        <v>0</v>
      </c>
      <c r="E28" s="848"/>
      <c r="F28" s="2"/>
      <c r="G28" s="83" t="str">
        <f>IF(D28=0,"0.00%",(H28-D28)/D28)</f>
        <v>0.00%</v>
      </c>
      <c r="H28" s="2">
        <f>ROUND(D28*(1+$I$19),0)</f>
        <v>0</v>
      </c>
      <c r="I28" s="856" t="str">
        <f t="shared" si="3"/>
        <v>2.0% = Est. S &amp; C</v>
      </c>
      <c r="J28" s="66"/>
      <c r="K28" s="83" t="str">
        <f>IF(H28=0,"0.00%",(L28-H28)/H28)</f>
        <v>0.00%</v>
      </c>
      <c r="L28" s="2">
        <f>ROUND(H28*(1+M20),0)</f>
        <v>0</v>
      </c>
      <c r="M28" s="856" t="str">
        <f>TEXT(M20,"0.0%")&amp;" = Est. S &amp; C"</f>
        <v>0.0% = Est. S &amp; C</v>
      </c>
      <c r="O28" s="83" t="str">
        <f>IF(L28=0,"0.00%",(P28-L28)/L28)</f>
        <v>0.00%</v>
      </c>
      <c r="P28" s="2">
        <f>ROUND(L28*(1+Q20),0)</f>
        <v>0</v>
      </c>
      <c r="Q28" s="856" t="str">
        <f>TEXT(Q20,"0.0%")&amp;" = Est. S &amp; C"</f>
        <v>0.0% = Est. S &amp; C</v>
      </c>
      <c r="S28" s="83" t="str">
        <f>IF(P28=0,"0.00%",(T28-P28)/P28)</f>
        <v>0.00%</v>
      </c>
      <c r="T28" s="2">
        <f>ROUND(P28*(1+U20),0)</f>
        <v>0</v>
      </c>
      <c r="U28" s="36" t="str">
        <f>TEXT(U20,"0.0%")&amp;" = Est. S &amp; C"</f>
        <v>0.0% = Est. S &amp; C</v>
      </c>
      <c r="W28" s="83" t="str">
        <f>IF(T28=0,"0.00%",(X28-T28)/T28)</f>
        <v>0.00%</v>
      </c>
      <c r="X28" s="2">
        <f>ROUND(T28*(1+Y20),0)</f>
        <v>0</v>
      </c>
      <c r="Y28" s="36" t="str">
        <f>TEXT(Y20,"0.0%")&amp;" = Est. S &amp; C"</f>
        <v>0.0% = Est. S &amp; C</v>
      </c>
      <c r="AA28" s="83" t="str">
        <f>IF(X28=0,"0.00%",(AB28-X28)/X28)</f>
        <v>0.00%</v>
      </c>
      <c r="AB28" s="2">
        <f>ROUND(X28*(1+AC20),0)</f>
        <v>0</v>
      </c>
      <c r="AC28" s="36" t="str">
        <f>TEXT(AC20,"0.0%")&amp;" = Est. S &amp; C"</f>
        <v>0.0% = Est. S &amp; C</v>
      </c>
    </row>
    <row r="29" spans="1:29" ht="6" hidden="1" customHeight="1" x14ac:dyDescent="0.25">
      <c r="A29" s="149"/>
      <c r="B29" s="881"/>
      <c r="E29" s="848"/>
      <c r="F29" s="2"/>
      <c r="G29" s="83"/>
      <c r="H29" s="2"/>
      <c r="I29" s="856"/>
      <c r="J29" s="66"/>
      <c r="L29" s="2"/>
      <c r="M29" s="890"/>
      <c r="Q29" s="890"/>
      <c r="T29" s="2"/>
      <c r="U29" s="73"/>
      <c r="X29" s="2"/>
      <c r="Y29" s="73"/>
      <c r="AB29" s="2"/>
      <c r="AC29" s="73"/>
    </row>
    <row r="30" spans="1:29" hidden="1" x14ac:dyDescent="0.25">
      <c r="A30" s="150"/>
      <c r="B30" s="881"/>
      <c r="D30" s="8">
        <f>SUM(D21:D29)</f>
        <v>0</v>
      </c>
      <c r="E30" s="848"/>
      <c r="F30" s="2"/>
      <c r="G30" s="83" t="str">
        <f t="shared" si="1"/>
        <v>0.00%</v>
      </c>
      <c r="H30" s="8">
        <f>SUM(H21:H29)</f>
        <v>0</v>
      </c>
      <c r="I30" s="857"/>
      <c r="J30" s="29"/>
      <c r="K30" s="83" t="str">
        <f>IF(H30=0,"0.00%",(L30-H30)/H30)</f>
        <v>0.00%</v>
      </c>
      <c r="L30" s="8">
        <f>SUM(L21:L29)</f>
        <v>0</v>
      </c>
      <c r="M30" s="890"/>
      <c r="O30" s="83" t="str">
        <f>IF(L30=0,"0.00%",(P30-L30)/L30)</f>
        <v>0.00%</v>
      </c>
      <c r="P30" s="8">
        <f>SUM(P21:P29)</f>
        <v>0</v>
      </c>
      <c r="Q30" s="890"/>
      <c r="S30" s="83" t="str">
        <f>IF(P30=0,"0.00%",(T30-P30)/P30)</f>
        <v>0.00%</v>
      </c>
      <c r="T30" s="8">
        <f>SUM(T21:T29)</f>
        <v>0</v>
      </c>
      <c r="U30" s="73"/>
      <c r="W30" s="83" t="str">
        <f>IF(T30=0,"0.00%",(X30-T30)/T30)</f>
        <v>0.00%</v>
      </c>
      <c r="X30" s="8">
        <f>SUM(X21:X29)</f>
        <v>0</v>
      </c>
      <c r="Y30" s="73"/>
      <c r="AA30" s="83" t="str">
        <f>IF(X30=0,"0.00%",(AB30-X30)/X30)</f>
        <v>0.00%</v>
      </c>
      <c r="AB30" s="8">
        <f>SUM(AB21:AB29)</f>
        <v>0</v>
      </c>
      <c r="AC30" s="73"/>
    </row>
    <row r="31" spans="1:29" hidden="1" x14ac:dyDescent="0.25">
      <c r="A31" s="149"/>
      <c r="E31" s="848"/>
      <c r="F31" s="2"/>
      <c r="H31" s="2"/>
      <c r="I31" s="841"/>
      <c r="J31" s="66"/>
      <c r="L31" s="2"/>
      <c r="M31" s="891"/>
      <c r="Q31" s="891"/>
      <c r="T31" s="2"/>
      <c r="U31" s="73"/>
      <c r="X31" s="2"/>
      <c r="Y31" s="73"/>
      <c r="AB31" s="2"/>
      <c r="AC31" s="73"/>
    </row>
    <row r="32" spans="1:29" s="4" customFormat="1" hidden="1" x14ac:dyDescent="0.25">
      <c r="A32" s="147"/>
      <c r="B32" s="882" t="s">
        <v>35</v>
      </c>
      <c r="C32" s="858"/>
      <c r="D32" s="6"/>
      <c r="E32" s="849"/>
      <c r="F32" s="6"/>
      <c r="G32" s="329"/>
      <c r="H32" s="6"/>
      <c r="I32" s="849"/>
      <c r="J32" s="57"/>
      <c r="K32" s="336"/>
      <c r="L32" s="6"/>
      <c r="M32" s="892"/>
      <c r="O32" s="336"/>
      <c r="P32" s="6"/>
      <c r="Q32" s="892"/>
      <c r="R32" s="111"/>
      <c r="T32" s="6"/>
      <c r="U32" s="71"/>
      <c r="X32" s="6"/>
      <c r="Y32" s="71"/>
      <c r="AB32" s="6"/>
      <c r="AC32" s="71"/>
    </row>
    <row r="33" spans="1:29" hidden="1" x14ac:dyDescent="0.25">
      <c r="A33" s="149"/>
      <c r="B33" s="881"/>
      <c r="D33" s="2">
        <v>0</v>
      </c>
      <c r="E33" s="848"/>
      <c r="F33" s="2"/>
      <c r="G33" s="83" t="str">
        <f t="shared" ref="G33:G39" si="9">IF(D33=0,"0.00%",(H33-D33)/D33)</f>
        <v>0.00%</v>
      </c>
      <c r="H33" s="2">
        <f t="shared" ref="H33:H39" si="10">ROUND(D33*(1+$I$19),0)</f>
        <v>0</v>
      </c>
      <c r="I33" s="856" t="str">
        <f t="shared" ref="I33:I39" si="11">TEXT($I$19,"0.0%")&amp;" = Est. S &amp; C"</f>
        <v>2.0% = Est. S &amp; C</v>
      </c>
      <c r="J33" s="66"/>
      <c r="K33" s="83" t="str">
        <f t="shared" ref="K33:K39" si="12">IF(H33=0,"0.00%",(L33-H33)/H33)</f>
        <v>0.00%</v>
      </c>
      <c r="L33" s="2">
        <f>ROUND(H33*(1+M19),0)</f>
        <v>0</v>
      </c>
      <c r="M33" s="856" t="str">
        <f>TEXT(M19,"0.0%")&amp;" = Est. S &amp; C"</f>
        <v>2.0% = Est. S &amp; C</v>
      </c>
      <c r="O33" s="83" t="str">
        <f t="shared" ref="O33:O39" si="13">IF(L33=0,"0.00%",(P33-L33)/L33)</f>
        <v>0.00%</v>
      </c>
      <c r="P33" s="2">
        <f>ROUND(L33*(1+Q19),0)</f>
        <v>0</v>
      </c>
      <c r="Q33" s="856" t="str">
        <f>TEXT(Q19,"0.0%")&amp;" = Est. S &amp; C"</f>
        <v>2.0% = Est. S &amp; C</v>
      </c>
      <c r="S33" s="83" t="str">
        <f t="shared" ref="S33:S39" si="14">IF(P33=0,"0.00%",(T33-P33)/P33)</f>
        <v>0.00%</v>
      </c>
      <c r="T33" s="2">
        <f>ROUND(P33*(1+U19),0)</f>
        <v>0</v>
      </c>
      <c r="U33" s="36" t="str">
        <f>TEXT(U19,"0.0%")&amp;" = Est. S &amp; C"</f>
        <v>2.0% = Est. S &amp; C</v>
      </c>
      <c r="W33" s="83" t="str">
        <f t="shared" ref="W33:W39" si="15">IF(T33=0,"0.00%",(X33-T33)/T33)</f>
        <v>0.00%</v>
      </c>
      <c r="X33" s="2">
        <f>ROUND(T33*(1+Y19),0)</f>
        <v>0</v>
      </c>
      <c r="Y33" s="36" t="str">
        <f>TEXT(Y19,"0.0%")&amp;" = Est. S &amp; C"</f>
        <v>2.0% = Est. S &amp; C</v>
      </c>
      <c r="AA33" s="83" t="str">
        <f t="shared" ref="AA33:AA39" si="16">IF(X33=0,"0.00%",(AB33-X33)/X33)</f>
        <v>0.00%</v>
      </c>
      <c r="AB33" s="2">
        <f>ROUND(X33*(1+AC19),0)</f>
        <v>0</v>
      </c>
      <c r="AC33" s="36" t="str">
        <f>TEXT(AC19,"0.0%")&amp;" = Est. S &amp; C"</f>
        <v>2.0% = Est. S &amp; C</v>
      </c>
    </row>
    <row r="34" spans="1:29" hidden="1" x14ac:dyDescent="0.25">
      <c r="A34" s="149"/>
      <c r="B34" s="881"/>
      <c r="D34" s="2">
        <v>0</v>
      </c>
      <c r="E34" s="848"/>
      <c r="F34" s="2"/>
      <c r="G34" s="83" t="str">
        <f t="shared" si="9"/>
        <v>0.00%</v>
      </c>
      <c r="H34" s="2">
        <f t="shared" si="10"/>
        <v>0</v>
      </c>
      <c r="I34" s="856" t="str">
        <f t="shared" si="11"/>
        <v>2.0% = Est. S &amp; C</v>
      </c>
      <c r="J34" s="66"/>
      <c r="K34" s="83" t="str">
        <f t="shared" si="12"/>
        <v>0.00%</v>
      </c>
      <c r="L34" s="2">
        <f>ROUND(H34*(1+M19),0)</f>
        <v>0</v>
      </c>
      <c r="M34" s="856" t="str">
        <f>TEXT(M19,"0.0%")&amp;" = Est. S &amp; C"</f>
        <v>2.0% = Est. S &amp; C</v>
      </c>
      <c r="O34" s="83" t="str">
        <f t="shared" si="13"/>
        <v>0.00%</v>
      </c>
      <c r="P34" s="2">
        <f>ROUND(L34*(1+Q19),0)</f>
        <v>0</v>
      </c>
      <c r="Q34" s="856" t="str">
        <f>TEXT(Q19,"0.0%")&amp;" = Est. S &amp; C"</f>
        <v>2.0% = Est. S &amp; C</v>
      </c>
      <c r="S34" s="83" t="str">
        <f t="shared" si="14"/>
        <v>0.00%</v>
      </c>
      <c r="T34" s="2">
        <f>ROUND(P34*(1+U19),0)</f>
        <v>0</v>
      </c>
      <c r="U34" s="36" t="str">
        <f>TEXT(U19,"0.0%")&amp;" = Est. S &amp; C"</f>
        <v>2.0% = Est. S &amp; C</v>
      </c>
      <c r="W34" s="83" t="str">
        <f t="shared" si="15"/>
        <v>0.00%</v>
      </c>
      <c r="X34" s="2">
        <f>ROUND(T34*(1+Y19),0)</f>
        <v>0</v>
      </c>
      <c r="Y34" s="36" t="str">
        <f>TEXT(Y19,"0.0%")&amp;" = Est. S &amp; C"</f>
        <v>2.0% = Est. S &amp; C</v>
      </c>
      <c r="AA34" s="83" t="str">
        <f t="shared" si="16"/>
        <v>0.00%</v>
      </c>
      <c r="AB34" s="2">
        <f>ROUND(X34*(1+AC19),0)</f>
        <v>0</v>
      </c>
      <c r="AC34" s="36" t="str">
        <f>TEXT(AC19,"0.0%")&amp;" = Est. S &amp; C"</f>
        <v>2.0% = Est. S &amp; C</v>
      </c>
    </row>
    <row r="35" spans="1:29" hidden="1" x14ac:dyDescent="0.25">
      <c r="A35" s="149"/>
      <c r="B35" s="881"/>
      <c r="D35" s="2">
        <v>0</v>
      </c>
      <c r="E35" s="848"/>
      <c r="F35" s="2"/>
      <c r="G35" s="83" t="str">
        <f t="shared" si="9"/>
        <v>0.00%</v>
      </c>
      <c r="H35" s="2">
        <f t="shared" si="10"/>
        <v>0</v>
      </c>
      <c r="I35" s="856" t="str">
        <f t="shared" si="11"/>
        <v>2.0% = Est. S &amp; C</v>
      </c>
      <c r="J35" s="66"/>
      <c r="K35" s="83" t="str">
        <f t="shared" si="12"/>
        <v>0.00%</v>
      </c>
      <c r="L35" s="2">
        <f>ROUND(H35*(1+M19),0)</f>
        <v>0</v>
      </c>
      <c r="M35" s="856" t="str">
        <f>TEXT(M19,"0.0%")&amp;" = Est. S &amp; C"</f>
        <v>2.0% = Est. S &amp; C</v>
      </c>
      <c r="O35" s="83" t="str">
        <f t="shared" si="13"/>
        <v>0.00%</v>
      </c>
      <c r="P35" s="2">
        <f>ROUND(L35*(1+Q19),0)</f>
        <v>0</v>
      </c>
      <c r="Q35" s="856" t="str">
        <f>TEXT(Q19,"0.0%")&amp;" = Est. S &amp; C"</f>
        <v>2.0% = Est. S &amp; C</v>
      </c>
      <c r="S35" s="83" t="str">
        <f t="shared" si="14"/>
        <v>0.00%</v>
      </c>
      <c r="T35" s="2">
        <f>ROUND(P35*(1+U19),0)</f>
        <v>0</v>
      </c>
      <c r="U35" s="36" t="str">
        <f>TEXT(U19,"0.0%")&amp;" = Est. S &amp; C"</f>
        <v>2.0% = Est. S &amp; C</v>
      </c>
      <c r="W35" s="83" t="str">
        <f t="shared" si="15"/>
        <v>0.00%</v>
      </c>
      <c r="X35" s="2">
        <f>ROUND(T35*(1+Y19),0)</f>
        <v>0</v>
      </c>
      <c r="Y35" s="36" t="str">
        <f>TEXT(Y19,"0.0%")&amp;" = Est. S &amp; C"</f>
        <v>2.0% = Est. S &amp; C</v>
      </c>
      <c r="AA35" s="83" t="str">
        <f t="shared" si="16"/>
        <v>0.00%</v>
      </c>
      <c r="AB35" s="2">
        <f>ROUND(X35*(1+AC19),0)</f>
        <v>0</v>
      </c>
      <c r="AC35" s="36" t="str">
        <f>TEXT(AC19,"0.0%")&amp;" = Est. S &amp; C"</f>
        <v>2.0% = Est. S &amp; C</v>
      </c>
    </row>
    <row r="36" spans="1:29" hidden="1" x14ac:dyDescent="0.25">
      <c r="A36" s="149"/>
      <c r="B36" s="881"/>
      <c r="D36" s="2">
        <v>0</v>
      </c>
      <c r="E36" s="848"/>
      <c r="F36" s="2"/>
      <c r="G36" s="83" t="str">
        <f t="shared" si="9"/>
        <v>0.00%</v>
      </c>
      <c r="H36" s="2">
        <f t="shared" si="10"/>
        <v>0</v>
      </c>
      <c r="I36" s="856" t="str">
        <f t="shared" si="11"/>
        <v>2.0% = Est. S &amp; C</v>
      </c>
      <c r="J36" s="66"/>
      <c r="K36" s="83" t="str">
        <f t="shared" si="12"/>
        <v>0.00%</v>
      </c>
      <c r="L36" s="2">
        <f>ROUND(H36*(1+M19),0)</f>
        <v>0</v>
      </c>
      <c r="M36" s="856" t="str">
        <f>TEXT(M19,"0.0%")&amp;" = Est. S &amp; C"</f>
        <v>2.0% = Est. S &amp; C</v>
      </c>
      <c r="O36" s="83" t="str">
        <f t="shared" si="13"/>
        <v>0.00%</v>
      </c>
      <c r="P36" s="2">
        <f>ROUND(L36*(1+Q19),0)</f>
        <v>0</v>
      </c>
      <c r="Q36" s="856" t="str">
        <f>TEXT(Q19,"0.0%")&amp;" = Est. S &amp; C"</f>
        <v>2.0% = Est. S &amp; C</v>
      </c>
      <c r="S36" s="83" t="str">
        <f t="shared" si="14"/>
        <v>0.00%</v>
      </c>
      <c r="T36" s="2">
        <f>ROUND(P36*(1+U19),0)</f>
        <v>0</v>
      </c>
      <c r="U36" s="36" t="str">
        <f>TEXT(U19,"0.0%")&amp;" = Est. S &amp; C"</f>
        <v>2.0% = Est. S &amp; C</v>
      </c>
      <c r="W36" s="83" t="str">
        <f t="shared" si="15"/>
        <v>0.00%</v>
      </c>
      <c r="X36" s="2">
        <f>ROUND(T36*(1+Y19),0)</f>
        <v>0</v>
      </c>
      <c r="Y36" s="36" t="str">
        <f>TEXT(Y19,"0.0%")&amp;" = Est. S &amp; C"</f>
        <v>2.0% = Est. S &amp; C</v>
      </c>
      <c r="AA36" s="83" t="str">
        <f t="shared" si="16"/>
        <v>0.00%</v>
      </c>
      <c r="AB36" s="2">
        <f>ROUND(X36*(1+AC19),0)</f>
        <v>0</v>
      </c>
      <c r="AC36" s="36" t="str">
        <f>TEXT(AC19,"0.0%")&amp;" = Est. S &amp; C"</f>
        <v>2.0% = Est. S &amp; C</v>
      </c>
    </row>
    <row r="37" spans="1:29" hidden="1" x14ac:dyDescent="0.25">
      <c r="A37" s="149"/>
      <c r="B37" s="881"/>
      <c r="D37" s="2">
        <v>0</v>
      </c>
      <c r="E37" s="848"/>
      <c r="F37" s="2"/>
      <c r="G37" s="83" t="str">
        <f t="shared" si="9"/>
        <v>0.00%</v>
      </c>
      <c r="H37" s="2">
        <f t="shared" si="10"/>
        <v>0</v>
      </c>
      <c r="I37" s="856" t="str">
        <f t="shared" si="11"/>
        <v>2.0% = Est. S &amp; C</v>
      </c>
      <c r="J37" s="66"/>
      <c r="K37" s="83" t="str">
        <f t="shared" si="12"/>
        <v>0.00%</v>
      </c>
      <c r="L37" s="2">
        <f>ROUND(H37*(1+M19),0)</f>
        <v>0</v>
      </c>
      <c r="M37" s="856" t="str">
        <f>TEXT(M19,"0.0%")&amp;" = Est. S &amp; C"</f>
        <v>2.0% = Est. S &amp; C</v>
      </c>
      <c r="O37" s="83" t="str">
        <f t="shared" si="13"/>
        <v>0.00%</v>
      </c>
      <c r="P37" s="2">
        <f>ROUND(L37*(1+Q19),0)</f>
        <v>0</v>
      </c>
      <c r="Q37" s="856" t="str">
        <f>TEXT(Q19,"0.0%")&amp;" = Est. S &amp; C"</f>
        <v>2.0% = Est. S &amp; C</v>
      </c>
      <c r="S37" s="83" t="str">
        <f t="shared" si="14"/>
        <v>0.00%</v>
      </c>
      <c r="T37" s="2">
        <f>ROUND(P37*(1+U19),0)</f>
        <v>0</v>
      </c>
      <c r="U37" s="36" t="str">
        <f>TEXT(U19,"0.0%")&amp;" = Est. S &amp; C"</f>
        <v>2.0% = Est. S &amp; C</v>
      </c>
      <c r="W37" s="83" t="str">
        <f t="shared" si="15"/>
        <v>0.00%</v>
      </c>
      <c r="X37" s="2">
        <f>ROUND(T37*(1+Y19),0)</f>
        <v>0</v>
      </c>
      <c r="Y37" s="36" t="str">
        <f>TEXT(Y19,"0.0%")&amp;" = Est. S &amp; C"</f>
        <v>2.0% = Est. S &amp; C</v>
      </c>
      <c r="AA37" s="83" t="str">
        <f t="shared" si="16"/>
        <v>0.00%</v>
      </c>
      <c r="AB37" s="2">
        <f>ROUND(X37*(1+AC19),0)</f>
        <v>0</v>
      </c>
      <c r="AC37" s="36" t="str">
        <f>TEXT(AC19,"0.0%")&amp;" = Est. S &amp; C"</f>
        <v>2.0% = Est. S &amp; C</v>
      </c>
    </row>
    <row r="38" spans="1:29" hidden="1" x14ac:dyDescent="0.25">
      <c r="A38" s="149"/>
      <c r="B38" s="881"/>
      <c r="D38" s="2">
        <v>0</v>
      </c>
      <c r="E38" s="848"/>
      <c r="F38" s="2"/>
      <c r="G38" s="83" t="str">
        <f t="shared" si="9"/>
        <v>0.00%</v>
      </c>
      <c r="H38" s="2">
        <f t="shared" si="10"/>
        <v>0</v>
      </c>
      <c r="I38" s="856" t="str">
        <f t="shared" si="11"/>
        <v>2.0% = Est. S &amp; C</v>
      </c>
      <c r="J38" s="66"/>
      <c r="K38" s="83" t="str">
        <f t="shared" si="12"/>
        <v>0.00%</v>
      </c>
      <c r="L38" s="2">
        <f>ROUND(H38*(1+M19),0)</f>
        <v>0</v>
      </c>
      <c r="M38" s="856" t="str">
        <f>TEXT(M19,"0.0%")&amp;" = Est. S &amp; C"</f>
        <v>2.0% = Est. S &amp; C</v>
      </c>
      <c r="O38" s="83" t="str">
        <f t="shared" si="13"/>
        <v>0.00%</v>
      </c>
      <c r="P38" s="2">
        <f>ROUND(L38*(1+Q19),0)</f>
        <v>0</v>
      </c>
      <c r="Q38" s="856" t="str">
        <f>TEXT(Q19,"0.0%")&amp;" = Est. S &amp; C"</f>
        <v>2.0% = Est. S &amp; C</v>
      </c>
      <c r="S38" s="83" t="str">
        <f t="shared" si="14"/>
        <v>0.00%</v>
      </c>
      <c r="T38" s="2">
        <f>ROUND(P38*(1+U19),0)</f>
        <v>0</v>
      </c>
      <c r="U38" s="36" t="str">
        <f>TEXT(U19,"0.0%")&amp;" = Est. S &amp; C"</f>
        <v>2.0% = Est. S &amp; C</v>
      </c>
      <c r="W38" s="83" t="str">
        <f t="shared" si="15"/>
        <v>0.00%</v>
      </c>
      <c r="X38" s="2">
        <f>ROUND(T38*(1+Y19),0)</f>
        <v>0</v>
      </c>
      <c r="Y38" s="36" t="str">
        <f>TEXT(Y19,"0.0%")&amp;" = Est. S &amp; C"</f>
        <v>2.0% = Est. S &amp; C</v>
      </c>
      <c r="AA38" s="83" t="str">
        <f t="shared" si="16"/>
        <v>0.00%</v>
      </c>
      <c r="AB38" s="2">
        <f>ROUND(X38*(1+AC19),0)</f>
        <v>0</v>
      </c>
      <c r="AC38" s="36" t="str">
        <f>TEXT(AC19,"0.0%")&amp;" = Est. S &amp; C"</f>
        <v>2.0% = Est. S &amp; C</v>
      </c>
    </row>
    <row r="39" spans="1:29" hidden="1" x14ac:dyDescent="0.25">
      <c r="A39" s="149"/>
      <c r="B39" s="881"/>
      <c r="D39" s="2">
        <v>0</v>
      </c>
      <c r="E39" s="848"/>
      <c r="F39" s="2"/>
      <c r="G39" s="83" t="str">
        <f t="shared" si="9"/>
        <v>0.00%</v>
      </c>
      <c r="H39" s="2">
        <f t="shared" si="10"/>
        <v>0</v>
      </c>
      <c r="I39" s="856" t="str">
        <f t="shared" si="11"/>
        <v>2.0% = Est. S &amp; C</v>
      </c>
      <c r="J39" s="66"/>
      <c r="K39" s="83" t="str">
        <f t="shared" si="12"/>
        <v>0.00%</v>
      </c>
      <c r="L39" s="2">
        <f>ROUND(H39*(1+M19),0)</f>
        <v>0</v>
      </c>
      <c r="M39" s="856" t="str">
        <f>TEXT(M19,"0.0%")&amp;" = Est. S &amp; C"</f>
        <v>2.0% = Est. S &amp; C</v>
      </c>
      <c r="O39" s="83" t="str">
        <f t="shared" si="13"/>
        <v>0.00%</v>
      </c>
      <c r="P39" s="2">
        <f>ROUND(L39*(1+Q19),0)</f>
        <v>0</v>
      </c>
      <c r="Q39" s="856" t="str">
        <f>TEXT(Q19,"0.0%")&amp;" = Est. S &amp; C"</f>
        <v>2.0% = Est. S &amp; C</v>
      </c>
      <c r="S39" s="83" t="str">
        <f t="shared" si="14"/>
        <v>0.00%</v>
      </c>
      <c r="T39" s="2">
        <f>ROUND(P39*(1+U19),0)</f>
        <v>0</v>
      </c>
      <c r="U39" s="36" t="str">
        <f>TEXT(U19,"0.0%")&amp;" = Est. S &amp; C"</f>
        <v>2.0% = Est. S &amp; C</v>
      </c>
      <c r="W39" s="83" t="str">
        <f t="shared" si="15"/>
        <v>0.00%</v>
      </c>
      <c r="X39" s="2">
        <f>ROUND(T39*(1+Y19),0)</f>
        <v>0</v>
      </c>
      <c r="Y39" s="36" t="str">
        <f>TEXT(Y19,"0.0%")&amp;" = Est. S &amp; C"</f>
        <v>2.0% = Est. S &amp; C</v>
      </c>
      <c r="AA39" s="83" t="str">
        <f t="shared" si="16"/>
        <v>0.00%</v>
      </c>
      <c r="AB39" s="2">
        <f>ROUND(X39*(1+AC19),0)</f>
        <v>0</v>
      </c>
      <c r="AC39" s="36" t="str">
        <f>TEXT(AC19,"0.0%")&amp;" = Est. S &amp; C"</f>
        <v>2.0% = Est. S &amp; C</v>
      </c>
    </row>
    <row r="40" spans="1:29" ht="6" hidden="1" customHeight="1" x14ac:dyDescent="0.25">
      <c r="A40" s="149"/>
      <c r="B40" s="881"/>
      <c r="E40" s="848"/>
      <c r="F40" s="2"/>
      <c r="H40" s="2"/>
      <c r="I40" s="856"/>
      <c r="J40" s="66"/>
      <c r="L40" s="2"/>
      <c r="M40" s="890"/>
      <c r="Q40" s="890"/>
      <c r="T40" s="2"/>
      <c r="U40" s="73"/>
      <c r="X40" s="2"/>
      <c r="Y40" s="73"/>
      <c r="AB40" s="2"/>
      <c r="AC40" s="73"/>
    </row>
    <row r="41" spans="1:29" hidden="1" x14ac:dyDescent="0.25">
      <c r="A41" s="150"/>
      <c r="B41" s="881"/>
      <c r="D41" s="8">
        <f>SUM(D33:D40)</f>
        <v>0</v>
      </c>
      <c r="E41" s="848"/>
      <c r="F41" s="2"/>
      <c r="G41" s="83" t="str">
        <f>IF(D41=0,"0.00%",(H41-D41)/D41)</f>
        <v>0.00%</v>
      </c>
      <c r="H41" s="8">
        <f>SUM(H33:H40)</f>
        <v>0</v>
      </c>
      <c r="I41" s="857"/>
      <c r="J41" s="29"/>
      <c r="K41" s="83" t="str">
        <f>IF(H41=0,"0.00%",(L41-H41)/H41)</f>
        <v>0.00%</v>
      </c>
      <c r="L41" s="8">
        <f>SUM(L33:L40)</f>
        <v>0</v>
      </c>
      <c r="M41" s="890"/>
      <c r="O41" s="83" t="str">
        <f>IF(L41=0,"0.00%",(P41-L41)/L41)</f>
        <v>0.00%</v>
      </c>
      <c r="P41" s="8">
        <f>SUM(P33:P40)</f>
        <v>0</v>
      </c>
      <c r="Q41" s="890"/>
      <c r="S41" s="83" t="str">
        <f>IF(P41=0,"0.00%",(T41-P41)/P41)</f>
        <v>0.00%</v>
      </c>
      <c r="T41" s="8">
        <f>SUM(T33:T40)</f>
        <v>0</v>
      </c>
      <c r="U41" s="73"/>
      <c r="W41" s="83" t="str">
        <f>IF(T41=0,"0.00%",(X41-T41)/T41)</f>
        <v>0.00%</v>
      </c>
      <c r="X41" s="8">
        <f>SUM(X33:X40)</f>
        <v>0</v>
      </c>
      <c r="Y41" s="73"/>
      <c r="AA41" s="83" t="str">
        <f>IF(X41=0,"0.00%",(AB41-X41)/X41)</f>
        <v>0.00%</v>
      </c>
      <c r="AB41" s="8">
        <f>SUM(AB33:AB40)</f>
        <v>0</v>
      </c>
      <c r="AC41" s="73"/>
    </row>
    <row r="42" spans="1:29" hidden="1" x14ac:dyDescent="0.25">
      <c r="A42" s="149"/>
      <c r="B42" s="872" t="s">
        <v>28</v>
      </c>
      <c r="E42" s="848"/>
      <c r="F42" s="2"/>
      <c r="H42" s="2"/>
      <c r="I42" s="856"/>
      <c r="J42" s="66"/>
      <c r="L42" s="2"/>
      <c r="M42" s="890"/>
      <c r="Q42" s="890"/>
      <c r="T42" s="2"/>
      <c r="U42" s="73"/>
      <c r="X42" s="2"/>
      <c r="Y42" s="73"/>
      <c r="AB42" s="2"/>
      <c r="AC42" s="73"/>
    </row>
    <row r="43" spans="1:29" hidden="1" x14ac:dyDescent="0.25">
      <c r="A43" s="151"/>
      <c r="B43" s="878" t="s">
        <v>27</v>
      </c>
      <c r="E43" s="848"/>
      <c r="F43" s="2"/>
      <c r="H43" s="2"/>
      <c r="I43" s="856"/>
      <c r="J43" s="66"/>
      <c r="L43" s="2"/>
      <c r="M43" s="890"/>
      <c r="Q43" s="890"/>
      <c r="T43" s="2"/>
      <c r="U43" s="73"/>
      <c r="X43" s="2"/>
      <c r="Y43" s="73"/>
      <c r="AB43" s="2"/>
      <c r="AC43" s="73"/>
    </row>
    <row r="44" spans="1:29" hidden="1" x14ac:dyDescent="0.25">
      <c r="A44" s="149"/>
      <c r="B44" s="881" t="s">
        <v>83</v>
      </c>
      <c r="C44" s="844" t="s">
        <v>76</v>
      </c>
      <c r="D44" s="2">
        <v>0</v>
      </c>
      <c r="E44" s="841" t="str">
        <f>TEXT('MYP Assumptions'!$D$57,"0.00%")&amp;", STRS rate"</f>
        <v>12.58%, STRS rate</v>
      </c>
      <c r="F44" s="2"/>
      <c r="G44" s="83" t="str">
        <f t="shared" ref="G44:G53" si="17">IF(D44=0,"0.00%",(H44-D44)/D44)</f>
        <v>0.00%</v>
      </c>
      <c r="H44" s="2">
        <f>ROUND(H30*LEFT(I44,6),0)</f>
        <v>0</v>
      </c>
      <c r="I44" s="841" t="str">
        <f>TEXT('MYP Assumptions'!E57,"0.00%")&amp;", projected STRS rate"</f>
        <v>14.43%, projected STRS rate</v>
      </c>
      <c r="J44" s="66"/>
      <c r="K44" s="83" t="str">
        <f t="shared" ref="K44:K53" si="18">IF(H44=0,"0.00%",(L44-H44)/H44)</f>
        <v>0.00%</v>
      </c>
      <c r="L44" s="2">
        <f>ROUND(L30*LEFT(M44,6),0)</f>
        <v>0</v>
      </c>
      <c r="M44" s="841" t="str">
        <f>TEXT('MYP Assumptions'!F57,"0.00%")&amp;", projected STRS rate"</f>
        <v>16.28%, projected STRS rate</v>
      </c>
      <c r="O44" s="83" t="str">
        <f t="shared" ref="O44:O53" si="19">IF(L44=0,"0.00%",(P44-L44)/L44)</f>
        <v>0.00%</v>
      </c>
      <c r="P44" s="2">
        <f>ROUND(P30*LEFT(Q44,6),0)</f>
        <v>0</v>
      </c>
      <c r="Q44" s="841" t="str">
        <f>TEXT('MYP Assumptions'!G57,"0.00%")&amp;", projected STRS rate"</f>
        <v>18.13%, projected STRS rate</v>
      </c>
      <c r="S44" s="83" t="str">
        <f t="shared" ref="S44:S53" si="20">IF(P44=0,"0.00%",(T44-P44)/P44)</f>
        <v>0.00%</v>
      </c>
      <c r="T44" s="2">
        <f>ROUND(T30*LEFT(U44,6),0)</f>
        <v>0</v>
      </c>
      <c r="U44" s="81" t="str">
        <f>TEXT('MYP Assumptions'!H57,"0.00%")&amp;", projected STRS rate"</f>
        <v>19.10%, projected STRS rate</v>
      </c>
      <c r="W44" s="83" t="str">
        <f t="shared" ref="W44:W53" si="21">IF(T44=0,"0.00%",(X44-T44)/T44)</f>
        <v>0.00%</v>
      </c>
      <c r="X44" s="2">
        <f>ROUND(X30*LEFT(Y44,6),0)</f>
        <v>0</v>
      </c>
      <c r="Y44" s="81" t="str">
        <f>TEXT('MYP Assumptions'!I57,"0.00%")&amp;", projected STRS rate"</f>
        <v>19.10%, projected STRS rate</v>
      </c>
      <c r="AA44" s="83" t="str">
        <f t="shared" ref="AA44:AA53" si="22">IF(X44=0,"0.00%",(AB44-X44)/X44)</f>
        <v>0.00%</v>
      </c>
      <c r="AB44" s="2" t="e">
        <f>ROUND(AB30*LEFT(AC44,6),0)</f>
        <v>#VALUE!</v>
      </c>
      <c r="AC44" s="81" t="str">
        <f>TEXT('MYP Assumptions'!J57,"0.00%")&amp;", projected STRS rate"</f>
        <v>0.00%, projected STRS rate</v>
      </c>
    </row>
    <row r="45" spans="1:29" hidden="1" x14ac:dyDescent="0.25">
      <c r="A45" s="149"/>
      <c r="B45" s="881" t="s">
        <v>84</v>
      </c>
      <c r="C45" s="844" t="s">
        <v>77</v>
      </c>
      <c r="D45" s="2">
        <v>0</v>
      </c>
      <c r="E45" s="841" t="str">
        <f>TEXT('MYP Assumptions'!$D$58,"0.00%")&amp;", PERS rate"</f>
        <v>13.89%, PERS rate</v>
      </c>
      <c r="F45" s="2"/>
      <c r="G45" s="83" t="str">
        <f t="shared" si="17"/>
        <v>0.00%</v>
      </c>
      <c r="H45" s="2">
        <f>ROUND(H41*LEFT(I45,6),0)</f>
        <v>0</v>
      </c>
      <c r="I45" s="841" t="str">
        <f>TEXT('MYP Assumptions'!E58,"0.00%")&amp;", projected PERS rate"</f>
        <v>15.53%, projected PERS rate</v>
      </c>
      <c r="J45" s="66"/>
      <c r="K45" s="83" t="str">
        <f t="shared" si="18"/>
        <v>0.00%</v>
      </c>
      <c r="L45" s="2">
        <f>ROUND(L41*LEFT(M45,6),0)</f>
        <v>0</v>
      </c>
      <c r="M45" s="841" t="str">
        <f>TEXT('MYP Assumptions'!F58,"0.00%")&amp;", projected PERS rate"</f>
        <v>18.06%, projected PERS rate</v>
      </c>
      <c r="O45" s="83" t="str">
        <f t="shared" si="19"/>
        <v>0.00%</v>
      </c>
      <c r="P45" s="2">
        <f>ROUND(P41*LEFT(Q45,6),0)</f>
        <v>0</v>
      </c>
      <c r="Q45" s="841" t="str">
        <f>TEXT('MYP Assumptions'!G58,"0.00%")&amp;", projected PERS rate"</f>
        <v>20.80%, projected PERS rate</v>
      </c>
      <c r="S45" s="83" t="str">
        <f t="shared" si="20"/>
        <v>0.00%</v>
      </c>
      <c r="T45" s="2">
        <f>ROUND(T41*LEFT(U45,6),0)</f>
        <v>0</v>
      </c>
      <c r="U45" s="81" t="str">
        <f>TEXT('MYP Assumptions'!H58,"0.00%")&amp;", projected PERS rate"</f>
        <v>23.50%, projected PERS rate</v>
      </c>
      <c r="W45" s="83" t="str">
        <f t="shared" si="21"/>
        <v>0.00%</v>
      </c>
      <c r="X45" s="2">
        <f>ROUND(X41*LEFT(Y45,6),0)</f>
        <v>0</v>
      </c>
      <c r="Y45" s="81" t="str">
        <f>TEXT('MYP Assumptions'!I58,"0.00%")&amp;", projected PERS rate"</f>
        <v>24.60%, projected PERS rate</v>
      </c>
      <c r="AA45" s="83" t="str">
        <f t="shared" si="22"/>
        <v>0.00%</v>
      </c>
      <c r="AB45" s="2" t="e">
        <f>ROUND(AB41*LEFT(AC45,6),0)</f>
        <v>#VALUE!</v>
      </c>
      <c r="AC45" s="81" t="str">
        <f>TEXT('MYP Assumptions'!J58,"0.00%")&amp;", projected PERS rate"</f>
        <v>0.00%, projected PERS rate</v>
      </c>
    </row>
    <row r="46" spans="1:29" hidden="1" x14ac:dyDescent="0.25">
      <c r="A46" s="149"/>
      <c r="B46" s="881" t="s">
        <v>85</v>
      </c>
      <c r="C46" s="844" t="s">
        <v>78</v>
      </c>
      <c r="D46" s="2">
        <v>0</v>
      </c>
      <c r="E46" s="841" t="str">
        <f>TEXT('MYP Assumptions'!$D$60,"0.00%")&amp;", SS rate"</f>
        <v>6.20%, SS rate</v>
      </c>
      <c r="F46" s="2"/>
      <c r="G46" s="83" t="str">
        <f t="shared" si="17"/>
        <v>0.00%</v>
      </c>
      <c r="H46" s="2">
        <f>ROUND(H41*LEFT(I46,5),0)</f>
        <v>0</v>
      </c>
      <c r="I46" s="841" t="str">
        <f>TEXT('MYP Assumptions'!E60,"0.00%")&amp;", no rate change"</f>
        <v>6.20%, no rate change</v>
      </c>
      <c r="J46" s="66"/>
      <c r="K46" s="83" t="str">
        <f t="shared" si="18"/>
        <v>0.00%</v>
      </c>
      <c r="L46" s="2">
        <f>ROUND(L41*LEFT(M46,5),0)</f>
        <v>0</v>
      </c>
      <c r="M46" s="841" t="str">
        <f>TEXT('MYP Assumptions'!F60,"0.00%")&amp;", no rate change"</f>
        <v>6.20%, no rate change</v>
      </c>
      <c r="O46" s="83" t="str">
        <f t="shared" si="19"/>
        <v>0.00%</v>
      </c>
      <c r="P46" s="2">
        <f>ROUND(P41*LEFT(Q46,5),0)</f>
        <v>0</v>
      </c>
      <c r="Q46" s="841" t="str">
        <f>TEXT('MYP Assumptions'!G60,"0.00%")&amp;", no rate change"</f>
        <v>6.20%, no rate change</v>
      </c>
      <c r="S46" s="83" t="str">
        <f t="shared" si="20"/>
        <v>0.00%</v>
      </c>
      <c r="T46" s="2">
        <f>ROUND(T41*LEFT(U46,5),0)</f>
        <v>0</v>
      </c>
      <c r="U46" s="81" t="str">
        <f>TEXT('MYP Assumptions'!H60,"0.00%")&amp;", no rate change"</f>
        <v>6.20%, no rate change</v>
      </c>
      <c r="W46" s="83" t="str">
        <f t="shared" si="21"/>
        <v>0.00%</v>
      </c>
      <c r="X46" s="2">
        <f>ROUND(X41*LEFT(Y46,5),0)</f>
        <v>0</v>
      </c>
      <c r="Y46" s="81" t="str">
        <f>TEXT('MYP Assumptions'!I60,"0.00%")&amp;", no rate change"</f>
        <v>6.20%, no rate change</v>
      </c>
      <c r="AA46" s="83" t="str">
        <f t="shared" si="22"/>
        <v>0.00%</v>
      </c>
      <c r="AB46" s="2">
        <f>ROUND(AB41*LEFT(AC46,5),0)</f>
        <v>0</v>
      </c>
      <c r="AC46" s="81" t="str">
        <f>TEXT('MYP Assumptions'!J60,"0.00%")&amp;", no rate change"</f>
        <v>0.00%, no rate change</v>
      </c>
    </row>
    <row r="47" spans="1:29" hidden="1" x14ac:dyDescent="0.25">
      <c r="A47" s="149"/>
      <c r="B47" s="881" t="s">
        <v>86</v>
      </c>
      <c r="C47" s="844" t="s">
        <v>79</v>
      </c>
      <c r="D47" s="2">
        <v>0</v>
      </c>
      <c r="E47" s="841" t="str">
        <f>TEXT('MYP Assumptions'!$D$61,"0.00%")&amp;", Medicare rate"</f>
        <v>1.45%, Medicare rate</v>
      </c>
      <c r="F47" s="2"/>
      <c r="G47" s="83" t="str">
        <f t="shared" si="17"/>
        <v>0.00%</v>
      </c>
      <c r="H47" s="2">
        <f>ROUND((H41+H30)*LEFT(I47,5),0)</f>
        <v>0</v>
      </c>
      <c r="I47" s="841" t="str">
        <f>TEXT('MYP Assumptions'!E61,"0.00%")&amp;", no rate change"</f>
        <v>1.45%, no rate change</v>
      </c>
      <c r="J47" s="66"/>
      <c r="K47" s="83" t="str">
        <f t="shared" si="18"/>
        <v>0.00%</v>
      </c>
      <c r="L47" s="2">
        <f>ROUND((L41+L30)*LEFT(M47,5),0)</f>
        <v>0</v>
      </c>
      <c r="M47" s="841" t="str">
        <f>TEXT('MYP Assumptions'!F61,"0.00%")&amp;", no rate change"</f>
        <v>1.45%, no rate change</v>
      </c>
      <c r="O47" s="83" t="str">
        <f t="shared" si="19"/>
        <v>0.00%</v>
      </c>
      <c r="P47" s="2">
        <f>ROUND((P41+P30)*LEFT(Q47,5),0)</f>
        <v>0</v>
      </c>
      <c r="Q47" s="841" t="str">
        <f>TEXT('MYP Assumptions'!G61,"0.00%")&amp;", no rate change"</f>
        <v>1.45%, no rate change</v>
      </c>
      <c r="S47" s="83" t="str">
        <f t="shared" si="20"/>
        <v>0.00%</v>
      </c>
      <c r="T47" s="2">
        <f>ROUND((T41+T30)*LEFT(U47,5),0)</f>
        <v>0</v>
      </c>
      <c r="U47" s="81" t="str">
        <f>TEXT('MYP Assumptions'!H61,"0.00%")&amp;", no rate change"</f>
        <v>1.45%, no rate change</v>
      </c>
      <c r="W47" s="83" t="str">
        <f t="shared" si="21"/>
        <v>0.00%</v>
      </c>
      <c r="X47" s="2">
        <f>ROUND((X41+X30)*LEFT(Y47,5),0)</f>
        <v>0</v>
      </c>
      <c r="Y47" s="81" t="str">
        <f>TEXT('MYP Assumptions'!I61,"0.00%")&amp;", no rate change"</f>
        <v>1.45%, no rate change</v>
      </c>
      <c r="AA47" s="83" t="str">
        <f t="shared" si="22"/>
        <v>0.00%</v>
      </c>
      <c r="AB47" s="2">
        <f>ROUND((AB41+AB30)*LEFT(AC47,5),0)</f>
        <v>0</v>
      </c>
      <c r="AC47" s="81" t="str">
        <f>TEXT('MYP Assumptions'!J61,"0.00%")&amp;", no rate change"</f>
        <v>0.00%, no rate change</v>
      </c>
    </row>
    <row r="48" spans="1:29" hidden="1" x14ac:dyDescent="0.25">
      <c r="A48" s="149"/>
      <c r="B48" s="881" t="s">
        <v>87</v>
      </c>
      <c r="C48" s="844" t="s">
        <v>80</v>
      </c>
      <c r="D48" s="2">
        <v>0</v>
      </c>
      <c r="E48" s="841"/>
      <c r="F48" s="2"/>
      <c r="G48" s="83" t="str">
        <f t="shared" si="17"/>
        <v>0.00%</v>
      </c>
      <c r="H48" s="2">
        <f>ROUND((D48)*(LEFT(I48,5)+1),0)</f>
        <v>0</v>
      </c>
      <c r="I48" s="841" t="str">
        <f>TEXT('MYP Assumptions'!$I$68,"0.00%")&amp;", projected increase"</f>
        <v>5.00%, projected increase</v>
      </c>
      <c r="J48" s="66"/>
      <c r="K48" s="83" t="str">
        <f t="shared" si="18"/>
        <v>0.00%</v>
      </c>
      <c r="L48" s="2">
        <f>ROUND((H48)*(LEFT(M48,5)+1),0)</f>
        <v>0</v>
      </c>
      <c r="M48" s="841" t="str">
        <f>TEXT('MYP Assumptions'!$I$68,"0.00%")&amp;", projected increase"</f>
        <v>5.00%, projected increase</v>
      </c>
      <c r="O48" s="83" t="str">
        <f t="shared" si="19"/>
        <v>0.00%</v>
      </c>
      <c r="P48" s="2">
        <f>ROUND((L48)*(LEFT(Q48,5)+1),0)</f>
        <v>0</v>
      </c>
      <c r="Q48" s="841" t="str">
        <f>TEXT('MYP Assumptions'!$I$68,"0.00%")&amp;", projected increase"</f>
        <v>5.00%, projected increase</v>
      </c>
      <c r="S48" s="83" t="str">
        <f t="shared" si="20"/>
        <v>0.00%</v>
      </c>
      <c r="T48" s="2">
        <f>ROUND((P48)*(LEFT(U48,5)+1),0)</f>
        <v>0</v>
      </c>
      <c r="U48" s="81" t="str">
        <f>TEXT('MYP Assumptions'!$I$68,"0.00%")&amp;", projected increase"</f>
        <v>5.00%, projected increase</v>
      </c>
      <c r="W48" s="83" t="str">
        <f t="shared" si="21"/>
        <v>0.00%</v>
      </c>
      <c r="X48" s="2">
        <f>ROUND((T48)*(LEFT(Y48,5)+1),0)</f>
        <v>0</v>
      </c>
      <c r="Y48" s="81" t="str">
        <f>TEXT('MYP Assumptions'!$I$68,"0.00%")&amp;", projected increase"</f>
        <v>5.00%, projected increase</v>
      </c>
      <c r="AA48" s="83" t="str">
        <f t="shared" si="22"/>
        <v>0.00%</v>
      </c>
      <c r="AB48" s="2">
        <f>ROUND((X48)*(LEFT(AC48,5)+1),0)</f>
        <v>0</v>
      </c>
      <c r="AC48" s="81" t="str">
        <f>TEXT('MYP Assumptions'!$I$68,"0.00%")&amp;", projected increase"</f>
        <v>5.00%, projected increase</v>
      </c>
    </row>
    <row r="49" spans="1:29" hidden="1" x14ac:dyDescent="0.25">
      <c r="A49" s="149"/>
      <c r="B49" s="881" t="s">
        <v>88</v>
      </c>
      <c r="C49" s="844" t="s">
        <v>81</v>
      </c>
      <c r="D49" s="2">
        <v>0</v>
      </c>
      <c r="E49" s="841" t="str">
        <f>TEXT('MYP Assumptions'!$D$62,"0.00%")&amp;", SUI rate"</f>
        <v>0.05%, SUI rate</v>
      </c>
      <c r="F49" s="2"/>
      <c r="G49" s="83" t="str">
        <f t="shared" si="17"/>
        <v>0.00%</v>
      </c>
      <c r="H49" s="2">
        <f>ROUND((H41+H30)*LEFT(I49,5),0)</f>
        <v>0</v>
      </c>
      <c r="I49" s="841" t="str">
        <f>TEXT('MYP Assumptions'!E62,"0.00%")&amp;", no rate change"</f>
        <v>0.05%, no rate change</v>
      </c>
      <c r="J49" s="66"/>
      <c r="K49" s="83" t="str">
        <f t="shared" si="18"/>
        <v>0.00%</v>
      </c>
      <c r="L49" s="2">
        <f>ROUND((L41+L30)*LEFT(M49,5),0)</f>
        <v>0</v>
      </c>
      <c r="M49" s="841" t="str">
        <f>TEXT('MYP Assumptions'!F62,"0.00%")&amp;", no rate change"</f>
        <v>0.05%, no rate change</v>
      </c>
      <c r="O49" s="83" t="str">
        <f t="shared" si="19"/>
        <v>0.00%</v>
      </c>
      <c r="P49" s="2">
        <f>ROUND((P41+P30)*LEFT(Q49,5),0)</f>
        <v>0</v>
      </c>
      <c r="Q49" s="841" t="str">
        <f>TEXT('MYP Assumptions'!G62,"0.00%")&amp;", no rate change"</f>
        <v>0.05%, no rate change</v>
      </c>
      <c r="S49" s="83" t="str">
        <f t="shared" si="20"/>
        <v>0.00%</v>
      </c>
      <c r="T49" s="2">
        <f>ROUND((T41+T30)*LEFT(U49,5),0)</f>
        <v>0</v>
      </c>
      <c r="U49" s="81" t="str">
        <f>TEXT('MYP Assumptions'!H62,"0.00%")&amp;", no rate change"</f>
        <v>0.05%, no rate change</v>
      </c>
      <c r="W49" s="83" t="str">
        <f t="shared" si="21"/>
        <v>0.00%</v>
      </c>
      <c r="X49" s="2">
        <f>ROUND((X41+X30)*LEFT(Y49,5),0)</f>
        <v>0</v>
      </c>
      <c r="Y49" s="81" t="str">
        <f>TEXT('MYP Assumptions'!I62,"0.00%")&amp;", no rate change"</f>
        <v>0.05%, no rate change</v>
      </c>
      <c r="AA49" s="83" t="str">
        <f t="shared" si="22"/>
        <v>0.00%</v>
      </c>
      <c r="AB49" s="2">
        <f>ROUND((AB41+AB30)*LEFT(AC49,5),0)</f>
        <v>0</v>
      </c>
      <c r="AC49" s="81" t="str">
        <f>TEXT('MYP Assumptions'!J62,"0.00%")&amp;", no rate change"</f>
        <v>0.00%, no rate change</v>
      </c>
    </row>
    <row r="50" spans="1:29" hidden="1" x14ac:dyDescent="0.25">
      <c r="A50" s="149"/>
      <c r="B50" s="881" t="s">
        <v>89</v>
      </c>
      <c r="C50" s="844" t="s">
        <v>82</v>
      </c>
      <c r="D50" s="2">
        <v>0</v>
      </c>
      <c r="E50" s="841" t="str">
        <f>TEXT('MYP Assumptions'!$D$63,"0.00%")&amp;", W/C rate"</f>
        <v>1.10%, W/C rate</v>
      </c>
      <c r="F50" s="2"/>
      <c r="G50" s="83" t="str">
        <f t="shared" si="17"/>
        <v>0.00%</v>
      </c>
      <c r="H50" s="2">
        <f>ROUND((H41+H30)*LEFT(I50,5),0)</f>
        <v>0</v>
      </c>
      <c r="I50" s="841" t="str">
        <f>TEXT('MYP Assumptions'!E63,"0.00%")&amp;", no rate change"</f>
        <v>0.80%, no rate change</v>
      </c>
      <c r="J50" s="66"/>
      <c r="K50" s="83" t="str">
        <f t="shared" si="18"/>
        <v>0.00%</v>
      </c>
      <c r="L50" s="2">
        <f>ROUND((L41+L30)*LEFT(M50,5),0)</f>
        <v>0</v>
      </c>
      <c r="M50" s="841" t="str">
        <f>TEXT('MYP Assumptions'!F63,"0.00%")&amp;", no rate change"</f>
        <v>0.80%, no rate change</v>
      </c>
      <c r="O50" s="83" t="str">
        <f t="shared" si="19"/>
        <v>0.00%</v>
      </c>
      <c r="P50" s="2">
        <f>ROUND((P41+P30)*LEFT(Q50,5),0)</f>
        <v>0</v>
      </c>
      <c r="Q50" s="841" t="str">
        <f>TEXT('MYP Assumptions'!G63,"0.00%")&amp;", no rate change"</f>
        <v>0.80%, no rate change</v>
      </c>
      <c r="S50" s="83" t="str">
        <f t="shared" si="20"/>
        <v>0.00%</v>
      </c>
      <c r="T50" s="2">
        <f>ROUND((T41+T30)*LEFT(U50,5),0)</f>
        <v>0</v>
      </c>
      <c r="U50" s="81" t="str">
        <f>TEXT('MYP Assumptions'!H63,"0.00%")&amp;", no rate change"</f>
        <v>0.80%, no rate change</v>
      </c>
      <c r="W50" s="83" t="str">
        <f t="shared" si="21"/>
        <v>0.00%</v>
      </c>
      <c r="X50" s="2">
        <f>ROUND((X41+X30)*LEFT(Y50,5),0)</f>
        <v>0</v>
      </c>
      <c r="Y50" s="81" t="str">
        <f>TEXT('MYP Assumptions'!I63,"0.00%")&amp;", no rate change"</f>
        <v>0.80%, no rate change</v>
      </c>
      <c r="AA50" s="83" t="str">
        <f t="shared" si="22"/>
        <v>0.00%</v>
      </c>
      <c r="AB50" s="2">
        <f>ROUND((AB41+AB30)*LEFT(AC50,5),0)</f>
        <v>0</v>
      </c>
      <c r="AC50" s="81" t="str">
        <f>TEXT('MYP Assumptions'!J63,"0.00%")&amp;", no rate change"</f>
        <v>0.00%, no rate change</v>
      </c>
    </row>
    <row r="51" spans="1:29" hidden="1" x14ac:dyDescent="0.25">
      <c r="A51" s="149"/>
      <c r="B51" s="881" t="s">
        <v>90</v>
      </c>
      <c r="C51" s="844" t="s">
        <v>92</v>
      </c>
      <c r="D51" s="2">
        <v>0</v>
      </c>
      <c r="E51" s="848"/>
      <c r="F51" s="2"/>
      <c r="G51" s="83" t="str">
        <f t="shared" si="17"/>
        <v>0.00%</v>
      </c>
      <c r="H51" s="2">
        <f>D51</f>
        <v>0</v>
      </c>
      <c r="I51" s="841" t="s">
        <v>165</v>
      </c>
      <c r="J51" s="66"/>
      <c r="K51" s="83" t="str">
        <f t="shared" si="18"/>
        <v>0.00%</v>
      </c>
      <c r="L51" s="2">
        <f>H51</f>
        <v>0</v>
      </c>
      <c r="M51" s="841" t="s">
        <v>165</v>
      </c>
      <c r="O51" s="83" t="str">
        <f t="shared" si="19"/>
        <v>0.00%</v>
      </c>
      <c r="P51" s="2">
        <f>L51</f>
        <v>0</v>
      </c>
      <c r="Q51" s="841" t="s">
        <v>165</v>
      </c>
      <c r="S51" s="83" t="str">
        <f t="shared" si="20"/>
        <v>0.00%</v>
      </c>
      <c r="T51" s="2">
        <f>P51</f>
        <v>0</v>
      </c>
      <c r="U51" s="81" t="s">
        <v>165</v>
      </c>
      <c r="W51" s="83" t="str">
        <f t="shared" si="21"/>
        <v>0.00%</v>
      </c>
      <c r="X51" s="2">
        <f>T51</f>
        <v>0</v>
      </c>
      <c r="Y51" s="81" t="s">
        <v>165</v>
      </c>
      <c r="AA51" s="83" t="str">
        <f t="shared" si="22"/>
        <v>0.00%</v>
      </c>
      <c r="AB51" s="2">
        <f>X51</f>
        <v>0</v>
      </c>
      <c r="AC51" s="81" t="s">
        <v>165</v>
      </c>
    </row>
    <row r="52" spans="1:29" hidden="1" x14ac:dyDescent="0.25">
      <c r="A52" s="149"/>
      <c r="B52" s="881" t="s">
        <v>91</v>
      </c>
      <c r="C52" s="844" t="s">
        <v>93</v>
      </c>
      <c r="D52" s="2">
        <v>0</v>
      </c>
      <c r="E52" s="848"/>
      <c r="F52" s="2"/>
      <c r="G52" s="83" t="str">
        <f t="shared" si="17"/>
        <v>0.00%</v>
      </c>
      <c r="H52" s="2">
        <f>D52</f>
        <v>0</v>
      </c>
      <c r="I52" s="841" t="s">
        <v>165</v>
      </c>
      <c r="J52" s="66"/>
      <c r="K52" s="83" t="str">
        <f t="shared" si="18"/>
        <v>0.00%</v>
      </c>
      <c r="L52" s="2">
        <f>H52</f>
        <v>0</v>
      </c>
      <c r="M52" s="841" t="s">
        <v>165</v>
      </c>
      <c r="O52" s="83" t="str">
        <f t="shared" si="19"/>
        <v>0.00%</v>
      </c>
      <c r="P52" s="2">
        <f>L52</f>
        <v>0</v>
      </c>
      <c r="Q52" s="841" t="s">
        <v>165</v>
      </c>
      <c r="S52" s="83" t="str">
        <f t="shared" si="20"/>
        <v>0.00%</v>
      </c>
      <c r="T52" s="2">
        <f>P52</f>
        <v>0</v>
      </c>
      <c r="U52" s="81" t="s">
        <v>165</v>
      </c>
      <c r="W52" s="83" t="str">
        <f t="shared" si="21"/>
        <v>0.00%</v>
      </c>
      <c r="X52" s="2">
        <f>T52</f>
        <v>0</v>
      </c>
      <c r="Y52" s="81" t="s">
        <v>165</v>
      </c>
      <c r="AA52" s="83" t="str">
        <f t="shared" si="22"/>
        <v>0.00%</v>
      </c>
      <c r="AB52" s="2">
        <f>X52</f>
        <v>0</v>
      </c>
      <c r="AC52" s="81" t="s">
        <v>165</v>
      </c>
    </row>
    <row r="53" spans="1:29" hidden="1" x14ac:dyDescent="0.25">
      <c r="A53" s="150"/>
      <c r="B53" s="881"/>
      <c r="D53" s="8">
        <f>SUM(D44:D52)</f>
        <v>0</v>
      </c>
      <c r="E53" s="848"/>
      <c r="F53" s="2"/>
      <c r="G53" s="83" t="str">
        <f t="shared" si="17"/>
        <v>0.00%</v>
      </c>
      <c r="H53" s="8">
        <f>SUM(H44:H52)</f>
        <v>0</v>
      </c>
      <c r="I53" s="857"/>
      <c r="J53" s="29"/>
      <c r="K53" s="83" t="str">
        <f t="shared" si="18"/>
        <v>0.00%</v>
      </c>
      <c r="L53" s="8">
        <f>SUM(L44:L52)</f>
        <v>0</v>
      </c>
      <c r="M53" s="890"/>
      <c r="O53" s="83" t="str">
        <f t="shared" si="19"/>
        <v>0.00%</v>
      </c>
      <c r="P53" s="8">
        <f>SUM(P44:P52)</f>
        <v>0</v>
      </c>
      <c r="Q53" s="890"/>
      <c r="S53" s="83" t="str">
        <f t="shared" si="20"/>
        <v>0.00%</v>
      </c>
      <c r="T53" s="8">
        <f>SUM(T44:T52)</f>
        <v>0</v>
      </c>
      <c r="U53" s="73"/>
      <c r="W53" s="83" t="str">
        <f t="shared" si="21"/>
        <v>0.00%</v>
      </c>
      <c r="X53" s="8">
        <f>SUM(X44:X52)</f>
        <v>0</v>
      </c>
      <c r="Y53" s="73"/>
      <c r="AA53" s="83" t="str">
        <f t="shared" si="22"/>
        <v>0.00%</v>
      </c>
      <c r="AB53" s="8" t="e">
        <f>SUM(AB44:AB52)</f>
        <v>#VALUE!</v>
      </c>
      <c r="AC53" s="73"/>
    </row>
    <row r="54" spans="1:29" hidden="1" x14ac:dyDescent="0.25">
      <c r="A54" s="151"/>
      <c r="B54" s="881"/>
      <c r="E54" s="848"/>
      <c r="F54" s="2"/>
      <c r="H54" s="2"/>
      <c r="I54" s="856"/>
      <c r="J54" s="66"/>
      <c r="L54" s="2"/>
      <c r="M54" s="890"/>
      <c r="Q54" s="890"/>
      <c r="T54" s="2"/>
      <c r="U54" s="73"/>
      <c r="X54" s="2"/>
      <c r="Y54" s="73"/>
      <c r="AB54" s="2"/>
      <c r="AC54" s="73"/>
    </row>
    <row r="55" spans="1:29" hidden="1" x14ac:dyDescent="0.25">
      <c r="A55" s="150"/>
      <c r="B55" s="878" t="s">
        <v>26</v>
      </c>
      <c r="D55" s="8">
        <f>SUM(D53,D41,D30)</f>
        <v>0</v>
      </c>
      <c r="E55" s="848"/>
      <c r="F55" s="2"/>
      <c r="G55" s="83" t="str">
        <f>IF(D55=0,"0.00%",(H55-D55)/D55)</f>
        <v>0.00%</v>
      </c>
      <c r="H55" s="8">
        <f>SUM(H53,H41,H30)</f>
        <v>0</v>
      </c>
      <c r="I55" s="857"/>
      <c r="J55" s="29"/>
      <c r="K55" s="83" t="str">
        <f>IF(H55=0,"0.00%",(L55-H55)/H55)</f>
        <v>0.00%</v>
      </c>
      <c r="L55" s="8">
        <f>SUM(L53,L41,L30)</f>
        <v>0</v>
      </c>
      <c r="M55" s="890"/>
      <c r="O55" s="83" t="str">
        <f>IF(L55=0,"0.00%",(P55-L55)/L55)</f>
        <v>0.00%</v>
      </c>
      <c r="P55" s="8">
        <f>SUM(P53,P41,P30)</f>
        <v>0</v>
      </c>
      <c r="Q55" s="890"/>
      <c r="S55" s="83" t="str">
        <f>IF(P55=0,"0.00%",(T55-P55)/P55)</f>
        <v>0.00%</v>
      </c>
      <c r="T55" s="8">
        <f>SUM(T53,T41,T30)</f>
        <v>0</v>
      </c>
      <c r="U55" s="73"/>
      <c r="W55" s="83" t="str">
        <f>IF(T55=0,"0.00%",(X55-T55)/T55)</f>
        <v>0.00%</v>
      </c>
      <c r="X55" s="8">
        <f>SUM(X53,X41,X30)</f>
        <v>0</v>
      </c>
      <c r="Y55" s="73"/>
      <c r="AA55" s="83" t="str">
        <f>IF(X55=0,"0.00%",(AB55-X55)/X55)</f>
        <v>0.00%</v>
      </c>
      <c r="AB55" s="8" t="e">
        <f>SUM(AB53,AB41,AB30)</f>
        <v>#VALUE!</v>
      </c>
      <c r="AC55" s="73"/>
    </row>
    <row r="56" spans="1:29" hidden="1" x14ac:dyDescent="0.25">
      <c r="A56" s="152"/>
      <c r="E56" s="848"/>
      <c r="F56" s="2"/>
      <c r="H56" s="2"/>
      <c r="I56" s="856"/>
      <c r="J56" s="66"/>
      <c r="L56" s="2"/>
      <c r="M56" s="890"/>
      <c r="Q56" s="890"/>
      <c r="T56" s="2"/>
      <c r="U56" s="73"/>
      <c r="X56" s="2"/>
      <c r="Y56" s="73"/>
      <c r="AB56" s="2"/>
      <c r="AC56" s="73"/>
    </row>
    <row r="57" spans="1:29" hidden="1" x14ac:dyDescent="0.25">
      <c r="A57" s="149"/>
      <c r="E57" s="848"/>
      <c r="F57" s="2"/>
      <c r="H57" s="2"/>
      <c r="I57" s="856"/>
      <c r="J57" s="66"/>
      <c r="L57" s="2"/>
      <c r="M57" s="890"/>
      <c r="Q57" s="890"/>
      <c r="T57" s="2"/>
      <c r="U57" s="73"/>
      <c r="X57" s="2"/>
      <c r="Y57" s="73"/>
      <c r="AB57" s="2"/>
      <c r="AC57" s="73"/>
    </row>
    <row r="58" spans="1:29" hidden="1" x14ac:dyDescent="0.25">
      <c r="A58" s="152"/>
      <c r="B58" s="882" t="s">
        <v>25</v>
      </c>
      <c r="C58" s="858"/>
      <c r="E58" s="848"/>
      <c r="F58" s="2"/>
      <c r="H58" s="2"/>
      <c r="I58" s="856"/>
      <c r="J58" s="66"/>
      <c r="L58" s="2"/>
      <c r="M58" s="890"/>
      <c r="Q58" s="890"/>
      <c r="T58" s="2"/>
      <c r="U58" s="73"/>
      <c r="X58" s="2"/>
      <c r="Y58" s="73"/>
      <c r="AB58" s="2"/>
      <c r="AC58" s="73"/>
    </row>
    <row r="59" spans="1:29" hidden="1" x14ac:dyDescent="0.25">
      <c r="A59" s="149"/>
      <c r="B59" s="881"/>
      <c r="D59" s="2">
        <v>0</v>
      </c>
      <c r="E59" s="848"/>
      <c r="F59" s="2"/>
      <c r="G59" s="83" t="str">
        <f t="shared" ref="G59:G66" si="23">IF(D59=0,"0.00%",(H59-D59)/D59)</f>
        <v>0.00%</v>
      </c>
      <c r="H59" s="2">
        <f t="shared" ref="H59:H65" si="24">ROUND(D59*(LEFT(I59,5)+1),0)</f>
        <v>0</v>
      </c>
      <c r="I59" s="841" t="str">
        <f>TEXT('MYP Assumptions'!E78,"0.00%")&amp;", CPI"</f>
        <v>3.37%, CPI</v>
      </c>
      <c r="J59" s="66"/>
      <c r="K59" s="83" t="str">
        <f t="shared" ref="K59:K66" si="25">IF(H59=0,"0.00%",(L59-H59)/H59)</f>
        <v>0.00%</v>
      </c>
      <c r="L59" s="2">
        <f>ROUND(H59*(LEFT(M59,5)+1),0)</f>
        <v>0</v>
      </c>
      <c r="M59" s="841" t="str">
        <f>TEXT('MYP Assumptions'!F78,"0.00%")&amp;", CPI"</f>
        <v>3.58%, CPI</v>
      </c>
      <c r="O59" s="83" t="str">
        <f t="shared" ref="O59:O66" si="26">IF(L59=0,"0.00%",(P59-L59)/L59)</f>
        <v>0.00%</v>
      </c>
      <c r="P59" s="2">
        <f>ROUND(L59*(LEFT(Q59,5)+1),0)</f>
        <v>0</v>
      </c>
      <c r="Q59" s="841" t="str">
        <f>TEXT('MYP Assumptions'!G78,"0.00%")&amp;", CPI"</f>
        <v>3.36%, CPI</v>
      </c>
      <c r="S59" s="83" t="str">
        <f t="shared" ref="S59:S66" si="27">IF(P59=0,"0.00%",(T59-P59)/P59)</f>
        <v>0.00%</v>
      </c>
      <c r="T59" s="2">
        <f>ROUND(P59*(LEFT(U59,5)+1),0)</f>
        <v>0</v>
      </c>
      <c r="U59" s="81" t="str">
        <f>TEXT('MYP Assumptions'!H78,"0.00%")&amp;", CPI"</f>
        <v>3.23%, CPI</v>
      </c>
      <c r="W59" s="83" t="str">
        <f t="shared" ref="W59:W66" si="28">IF(T59=0,"0.00%",(X59-T59)/T59)</f>
        <v>0.00%</v>
      </c>
      <c r="X59" s="2">
        <f>ROUND(T59*(LEFT(Y59,5)+1),0)</f>
        <v>0</v>
      </c>
      <c r="Y59" s="81" t="str">
        <f>TEXT('MYP Assumptions'!I78,"0.00%")&amp;", CPI"</f>
        <v>2.73%, CPI</v>
      </c>
      <c r="AA59" s="83" t="str">
        <f t="shared" ref="AA59:AA66" si="29">IF(X59=0,"0.00%",(AB59-X59)/X59)</f>
        <v>0.00%</v>
      </c>
      <c r="AB59" s="2">
        <f>ROUND(X59*(LEFT(AC59,5)+1),0)</f>
        <v>0</v>
      </c>
      <c r="AC59" s="81" t="str">
        <f>TEXT('MYP Assumptions'!J78,"0.00%")&amp;", CPI"</f>
        <v>2.73%, CPI</v>
      </c>
    </row>
    <row r="60" spans="1:29" hidden="1" x14ac:dyDescent="0.25">
      <c r="A60" s="149"/>
      <c r="B60" s="881"/>
      <c r="D60" s="2">
        <v>0</v>
      </c>
      <c r="E60" s="848"/>
      <c r="F60" s="2"/>
      <c r="G60" s="83" t="str">
        <f t="shared" si="23"/>
        <v>0.00%</v>
      </c>
      <c r="H60" s="2">
        <f t="shared" si="24"/>
        <v>0</v>
      </c>
      <c r="I60" s="841" t="str">
        <f>TEXT('MYP Assumptions'!E78,"0.00%")&amp;", CPI"</f>
        <v>3.37%, CPI</v>
      </c>
      <c r="J60" s="66"/>
      <c r="K60" s="83" t="str">
        <f t="shared" si="25"/>
        <v>0.00%</v>
      </c>
      <c r="L60" s="2">
        <f t="shared" ref="L60:L65" si="30">ROUND(H60*(LEFT(M60,5)+1),0)</f>
        <v>0</v>
      </c>
      <c r="M60" s="841" t="str">
        <f>TEXT('MYP Assumptions'!F78,"0.00%")&amp;", CPI"</f>
        <v>3.58%, CPI</v>
      </c>
      <c r="O60" s="83" t="str">
        <f t="shared" si="26"/>
        <v>0.00%</v>
      </c>
      <c r="P60" s="2">
        <f t="shared" ref="P60:P65" si="31">ROUND(L60*(LEFT(Q60,5)+1),0)</f>
        <v>0</v>
      </c>
      <c r="Q60" s="841" t="str">
        <f>TEXT('MYP Assumptions'!G78,"0.00%")&amp;", CPI"</f>
        <v>3.36%, CPI</v>
      </c>
      <c r="S60" s="83" t="str">
        <f t="shared" si="27"/>
        <v>0.00%</v>
      </c>
      <c r="T60" s="2">
        <f t="shared" ref="T60:T65" si="32">ROUND(P60*(LEFT(U60,5)+1),0)</f>
        <v>0</v>
      </c>
      <c r="U60" s="81" t="str">
        <f>TEXT('MYP Assumptions'!H78,"0.00%")&amp;", CPI"</f>
        <v>3.23%, CPI</v>
      </c>
      <c r="W60" s="83" t="str">
        <f t="shared" si="28"/>
        <v>0.00%</v>
      </c>
      <c r="X60" s="2">
        <f t="shared" ref="X60:X65" si="33">ROUND(T60*(LEFT(Y60,5)+1),0)</f>
        <v>0</v>
      </c>
      <c r="Y60" s="81" t="str">
        <f>TEXT('MYP Assumptions'!I78,"0.00%")&amp;", CPI"</f>
        <v>2.73%, CPI</v>
      </c>
      <c r="AA60" s="83" t="str">
        <f t="shared" si="29"/>
        <v>0.00%</v>
      </c>
      <c r="AB60" s="2">
        <f t="shared" ref="AB60:AB65" si="34">ROUND(X60*(LEFT(AC60,5)+1),0)</f>
        <v>0</v>
      </c>
      <c r="AC60" s="81" t="str">
        <f>TEXT('MYP Assumptions'!J78,"0.00%")&amp;", CPI"</f>
        <v>2.73%, CPI</v>
      </c>
    </row>
    <row r="61" spans="1:29" hidden="1" x14ac:dyDescent="0.25">
      <c r="A61" s="149"/>
      <c r="B61" s="881"/>
      <c r="D61" s="2">
        <v>0</v>
      </c>
      <c r="E61" s="848"/>
      <c r="F61" s="2"/>
      <c r="G61" s="83" t="str">
        <f t="shared" si="23"/>
        <v>0.00%</v>
      </c>
      <c r="H61" s="2">
        <f t="shared" si="24"/>
        <v>0</v>
      </c>
      <c r="I61" s="841" t="str">
        <f>TEXT('MYP Assumptions'!E78,"0.00%")&amp;", CPI"</f>
        <v>3.37%, CPI</v>
      </c>
      <c r="J61" s="66"/>
      <c r="K61" s="83" t="str">
        <f t="shared" si="25"/>
        <v>0.00%</v>
      </c>
      <c r="L61" s="2">
        <f t="shared" si="30"/>
        <v>0</v>
      </c>
      <c r="M61" s="841" t="str">
        <f>TEXT('MYP Assumptions'!F78,"0.00%")&amp;", CPI"</f>
        <v>3.58%, CPI</v>
      </c>
      <c r="O61" s="83" t="str">
        <f t="shared" si="26"/>
        <v>0.00%</v>
      </c>
      <c r="P61" s="2">
        <f t="shared" si="31"/>
        <v>0</v>
      </c>
      <c r="Q61" s="841" t="str">
        <f>TEXT('MYP Assumptions'!G78,"0.00%")&amp;", CPI"</f>
        <v>3.36%, CPI</v>
      </c>
      <c r="S61" s="83" t="str">
        <f t="shared" si="27"/>
        <v>0.00%</v>
      </c>
      <c r="T61" s="2">
        <f t="shared" si="32"/>
        <v>0</v>
      </c>
      <c r="U61" s="81" t="str">
        <f>TEXT('MYP Assumptions'!H78,"0.00%")&amp;", CPI"</f>
        <v>3.23%, CPI</v>
      </c>
      <c r="W61" s="83" t="str">
        <f t="shared" si="28"/>
        <v>0.00%</v>
      </c>
      <c r="X61" s="2">
        <f t="shared" si="33"/>
        <v>0</v>
      </c>
      <c r="Y61" s="81" t="str">
        <f>TEXT('MYP Assumptions'!I78,"0.00%")&amp;", CPI"</f>
        <v>2.73%, CPI</v>
      </c>
      <c r="AA61" s="83" t="str">
        <f t="shared" si="29"/>
        <v>0.00%</v>
      </c>
      <c r="AB61" s="2">
        <f t="shared" si="34"/>
        <v>0</v>
      </c>
      <c r="AC61" s="81" t="str">
        <f>TEXT('MYP Assumptions'!J78,"0.00%")&amp;", CPI"</f>
        <v>2.73%, CPI</v>
      </c>
    </row>
    <row r="62" spans="1:29" hidden="1" x14ac:dyDescent="0.25">
      <c r="A62" s="149"/>
      <c r="B62" s="881"/>
      <c r="D62" s="2">
        <v>0</v>
      </c>
      <c r="E62" s="848"/>
      <c r="F62" s="2"/>
      <c r="G62" s="83" t="str">
        <f t="shared" si="23"/>
        <v>0.00%</v>
      </c>
      <c r="H62" s="2">
        <f t="shared" si="24"/>
        <v>0</v>
      </c>
      <c r="I62" s="841" t="str">
        <f>TEXT('MYP Assumptions'!E78,"0.00%")&amp;", CPI"</f>
        <v>3.37%, CPI</v>
      </c>
      <c r="J62" s="66"/>
      <c r="K62" s="83" t="str">
        <f t="shared" si="25"/>
        <v>0.00%</v>
      </c>
      <c r="L62" s="2">
        <f t="shared" si="30"/>
        <v>0</v>
      </c>
      <c r="M62" s="841" t="str">
        <f>TEXT('MYP Assumptions'!F78,"0.00%")&amp;", CPI"</f>
        <v>3.58%, CPI</v>
      </c>
      <c r="O62" s="83" t="str">
        <f t="shared" si="26"/>
        <v>0.00%</v>
      </c>
      <c r="P62" s="2">
        <f t="shared" si="31"/>
        <v>0</v>
      </c>
      <c r="Q62" s="841" t="str">
        <f>TEXT('MYP Assumptions'!G78,"0.00%")&amp;", CPI"</f>
        <v>3.36%, CPI</v>
      </c>
      <c r="S62" s="83" t="str">
        <f t="shared" si="27"/>
        <v>0.00%</v>
      </c>
      <c r="T62" s="2">
        <f t="shared" si="32"/>
        <v>0</v>
      </c>
      <c r="U62" s="81" t="str">
        <f>TEXT('MYP Assumptions'!H78,"0.00%")&amp;", CPI"</f>
        <v>3.23%, CPI</v>
      </c>
      <c r="W62" s="83" t="str">
        <f t="shared" si="28"/>
        <v>0.00%</v>
      </c>
      <c r="X62" s="2">
        <f t="shared" si="33"/>
        <v>0</v>
      </c>
      <c r="Y62" s="81" t="str">
        <f>TEXT('MYP Assumptions'!I78,"0.00%")&amp;", CPI"</f>
        <v>2.73%, CPI</v>
      </c>
      <c r="AA62" s="83" t="str">
        <f t="shared" si="29"/>
        <v>0.00%</v>
      </c>
      <c r="AB62" s="2">
        <f t="shared" si="34"/>
        <v>0</v>
      </c>
      <c r="AC62" s="81" t="str">
        <f>TEXT('MYP Assumptions'!J78,"0.00%")&amp;", CPI"</f>
        <v>2.73%, CPI</v>
      </c>
    </row>
    <row r="63" spans="1:29" hidden="1" x14ac:dyDescent="0.25">
      <c r="A63" s="149"/>
      <c r="B63" s="881"/>
      <c r="D63" s="2">
        <v>0</v>
      </c>
      <c r="E63" s="848"/>
      <c r="F63" s="2"/>
      <c r="G63" s="83" t="str">
        <f t="shared" si="23"/>
        <v>0.00%</v>
      </c>
      <c r="H63" s="2">
        <f t="shared" si="24"/>
        <v>0</v>
      </c>
      <c r="I63" s="841" t="str">
        <f>TEXT('MYP Assumptions'!E78,"0.00%")&amp;", CPI"</f>
        <v>3.37%, CPI</v>
      </c>
      <c r="J63" s="66"/>
      <c r="K63" s="83" t="str">
        <f t="shared" si="25"/>
        <v>0.00%</v>
      </c>
      <c r="L63" s="2">
        <f t="shared" si="30"/>
        <v>0</v>
      </c>
      <c r="M63" s="841" t="str">
        <f>TEXT('MYP Assumptions'!F78,"0.00%")&amp;", CPI"</f>
        <v>3.58%, CPI</v>
      </c>
      <c r="O63" s="83" t="str">
        <f t="shared" si="26"/>
        <v>0.00%</v>
      </c>
      <c r="P63" s="2">
        <f t="shared" si="31"/>
        <v>0</v>
      </c>
      <c r="Q63" s="841" t="str">
        <f>TEXT('MYP Assumptions'!G78,"0.00%")&amp;", CPI"</f>
        <v>3.36%, CPI</v>
      </c>
      <c r="S63" s="83" t="str">
        <f t="shared" si="27"/>
        <v>0.00%</v>
      </c>
      <c r="T63" s="2">
        <f t="shared" si="32"/>
        <v>0</v>
      </c>
      <c r="U63" s="81" t="str">
        <f>TEXT('MYP Assumptions'!H78,"0.00%")&amp;", CPI"</f>
        <v>3.23%, CPI</v>
      </c>
      <c r="W63" s="83" t="str">
        <f t="shared" si="28"/>
        <v>0.00%</v>
      </c>
      <c r="X63" s="2">
        <f t="shared" si="33"/>
        <v>0</v>
      </c>
      <c r="Y63" s="81" t="str">
        <f>TEXT('MYP Assumptions'!I78,"0.00%")&amp;", CPI"</f>
        <v>2.73%, CPI</v>
      </c>
      <c r="AA63" s="83" t="str">
        <f t="shared" si="29"/>
        <v>0.00%</v>
      </c>
      <c r="AB63" s="2">
        <f t="shared" si="34"/>
        <v>0</v>
      </c>
      <c r="AC63" s="81" t="str">
        <f>TEXT('MYP Assumptions'!J78,"0.00%")&amp;", CPI"</f>
        <v>2.73%, CPI</v>
      </c>
    </row>
    <row r="64" spans="1:29" hidden="1" x14ac:dyDescent="0.25">
      <c r="A64" s="149"/>
      <c r="B64" s="881"/>
      <c r="D64" s="2">
        <v>0</v>
      </c>
      <c r="E64" s="848"/>
      <c r="F64" s="2"/>
      <c r="G64" s="83" t="str">
        <f t="shared" si="23"/>
        <v>0.00%</v>
      </c>
      <c r="H64" s="2">
        <f t="shared" si="24"/>
        <v>0</v>
      </c>
      <c r="I64" s="841" t="str">
        <f>TEXT('MYP Assumptions'!E78,"0.00%")&amp;", CPI"</f>
        <v>3.37%, CPI</v>
      </c>
      <c r="J64" s="66"/>
      <c r="K64" s="83" t="str">
        <f t="shared" si="25"/>
        <v>0.00%</v>
      </c>
      <c r="L64" s="2">
        <f t="shared" si="30"/>
        <v>0</v>
      </c>
      <c r="M64" s="841" t="str">
        <f>TEXT('MYP Assumptions'!F78,"0.00%")&amp;", CPI"</f>
        <v>3.58%, CPI</v>
      </c>
      <c r="O64" s="83" t="str">
        <f t="shared" si="26"/>
        <v>0.00%</v>
      </c>
      <c r="P64" s="2">
        <f t="shared" si="31"/>
        <v>0</v>
      </c>
      <c r="Q64" s="841" t="str">
        <f>TEXT('MYP Assumptions'!G78,"0.00%")&amp;", CPI"</f>
        <v>3.36%, CPI</v>
      </c>
      <c r="S64" s="83" t="str">
        <f t="shared" si="27"/>
        <v>0.00%</v>
      </c>
      <c r="T64" s="2">
        <f t="shared" si="32"/>
        <v>0</v>
      </c>
      <c r="U64" s="81" t="str">
        <f>TEXT('MYP Assumptions'!H78,"0.00%")&amp;", CPI"</f>
        <v>3.23%, CPI</v>
      </c>
      <c r="W64" s="83" t="str">
        <f t="shared" si="28"/>
        <v>0.00%</v>
      </c>
      <c r="X64" s="2">
        <f t="shared" si="33"/>
        <v>0</v>
      </c>
      <c r="Y64" s="81" t="str">
        <f>TEXT('MYP Assumptions'!I78,"0.00%")&amp;", CPI"</f>
        <v>2.73%, CPI</v>
      </c>
      <c r="AA64" s="83" t="str">
        <f t="shared" si="29"/>
        <v>0.00%</v>
      </c>
      <c r="AB64" s="2">
        <f t="shared" si="34"/>
        <v>0</v>
      </c>
      <c r="AC64" s="81" t="str">
        <f>TEXT('MYP Assumptions'!J78,"0.00%")&amp;", CPI"</f>
        <v>2.73%, CPI</v>
      </c>
    </row>
    <row r="65" spans="1:29" hidden="1" x14ac:dyDescent="0.25">
      <c r="A65" s="149"/>
      <c r="B65" s="881"/>
      <c r="C65" s="883"/>
      <c r="D65" s="2">
        <v>0</v>
      </c>
      <c r="E65" s="848"/>
      <c r="F65" s="2"/>
      <c r="G65" s="83" t="str">
        <f t="shared" si="23"/>
        <v>0.00%</v>
      </c>
      <c r="H65" s="2">
        <f t="shared" si="24"/>
        <v>0</v>
      </c>
      <c r="I65" s="841" t="str">
        <f>TEXT('MYP Assumptions'!E78,"0.00%")&amp;", CPI"</f>
        <v>3.37%, CPI</v>
      </c>
      <c r="J65" s="66"/>
      <c r="K65" s="83" t="str">
        <f t="shared" si="25"/>
        <v>0.00%</v>
      </c>
      <c r="L65" s="2">
        <f t="shared" si="30"/>
        <v>0</v>
      </c>
      <c r="M65" s="841" t="str">
        <f>TEXT('MYP Assumptions'!F78,"0.00%")&amp;", CPI"</f>
        <v>3.58%, CPI</v>
      </c>
      <c r="O65" s="83" t="str">
        <f t="shared" si="26"/>
        <v>0.00%</v>
      </c>
      <c r="P65" s="2">
        <f t="shared" si="31"/>
        <v>0</v>
      </c>
      <c r="Q65" s="841" t="str">
        <f>TEXT('MYP Assumptions'!G78,"0.00%")&amp;", CPI"</f>
        <v>3.36%, CPI</v>
      </c>
      <c r="S65" s="83" t="str">
        <f t="shared" si="27"/>
        <v>0.00%</v>
      </c>
      <c r="T65" s="2">
        <f t="shared" si="32"/>
        <v>0</v>
      </c>
      <c r="U65" s="81" t="str">
        <f>TEXT('MYP Assumptions'!H78,"0.00%")&amp;", CPI"</f>
        <v>3.23%, CPI</v>
      </c>
      <c r="W65" s="83" t="str">
        <f t="shared" si="28"/>
        <v>0.00%</v>
      </c>
      <c r="X65" s="2">
        <f t="shared" si="33"/>
        <v>0</v>
      </c>
      <c r="Y65" s="81" t="str">
        <f>TEXT('MYP Assumptions'!I78,"0.00%")&amp;", CPI"</f>
        <v>2.73%, CPI</v>
      </c>
      <c r="AA65" s="83" t="str">
        <f t="shared" si="29"/>
        <v>0.00%</v>
      </c>
      <c r="AB65" s="2">
        <f t="shared" si="34"/>
        <v>0</v>
      </c>
      <c r="AC65" s="81" t="str">
        <f>TEXT('MYP Assumptions'!J78,"0.00%")&amp;", CPI"</f>
        <v>2.73%, CPI</v>
      </c>
    </row>
    <row r="66" spans="1:29" hidden="1" x14ac:dyDescent="0.25">
      <c r="A66" s="150"/>
      <c r="B66" s="844"/>
      <c r="D66" s="8">
        <f>SUM(D59:D65)</f>
        <v>0</v>
      </c>
      <c r="E66" s="848"/>
      <c r="F66" s="2"/>
      <c r="G66" s="83" t="str">
        <f t="shared" si="23"/>
        <v>0.00%</v>
      </c>
      <c r="H66" s="8">
        <f>SUM(H59:H65)</f>
        <v>0</v>
      </c>
      <c r="I66" s="857"/>
      <c r="J66" s="29"/>
      <c r="K66" s="83" t="str">
        <f t="shared" si="25"/>
        <v>0.00%</v>
      </c>
      <c r="L66" s="8">
        <f>SUM(L59:L65)</f>
        <v>0</v>
      </c>
      <c r="M66" s="890"/>
      <c r="O66" s="83" t="str">
        <f t="shared" si="26"/>
        <v>0.00%</v>
      </c>
      <c r="P66" s="8">
        <f>SUM(P59:P65)</f>
        <v>0</v>
      </c>
      <c r="Q66" s="890"/>
      <c r="S66" s="83" t="str">
        <f t="shared" si="27"/>
        <v>0.00%</v>
      </c>
      <c r="T66" s="8">
        <f>SUM(T59:T65)</f>
        <v>0</v>
      </c>
      <c r="U66" s="73"/>
      <c r="W66" s="83" t="str">
        <f t="shared" si="28"/>
        <v>0.00%</v>
      </c>
      <c r="X66" s="8">
        <f>SUM(X59:X65)</f>
        <v>0</v>
      </c>
      <c r="Y66" s="73"/>
      <c r="AA66" s="83" t="str">
        <f t="shared" si="29"/>
        <v>0.00%</v>
      </c>
      <c r="AB66" s="8">
        <f>SUM(AB59:AB65)</f>
        <v>0</v>
      </c>
      <c r="AC66" s="73"/>
    </row>
    <row r="67" spans="1:29" hidden="1" x14ac:dyDescent="0.25">
      <c r="A67" s="149"/>
      <c r="E67" s="848"/>
      <c r="F67" s="2"/>
      <c r="H67" s="2"/>
      <c r="I67" s="856"/>
      <c r="J67" s="66"/>
      <c r="L67" s="2"/>
      <c r="M67" s="890"/>
      <c r="Q67" s="890"/>
      <c r="T67" s="2"/>
      <c r="U67" s="73"/>
      <c r="X67" s="2"/>
      <c r="Y67" s="73"/>
      <c r="AB67" s="2"/>
      <c r="AC67" s="73"/>
    </row>
    <row r="68" spans="1:29" s="4" customFormat="1" x14ac:dyDescent="0.25">
      <c r="A68" s="147"/>
      <c r="B68" s="878" t="s">
        <v>16</v>
      </c>
      <c r="C68" s="858"/>
      <c r="D68" s="6"/>
      <c r="E68" s="849"/>
      <c r="F68" s="6"/>
      <c r="G68" s="329"/>
      <c r="H68" s="6"/>
      <c r="I68" s="858"/>
      <c r="J68" s="58"/>
      <c r="K68" s="336"/>
      <c r="L68" s="6"/>
      <c r="M68" s="892"/>
      <c r="O68" s="336"/>
      <c r="P68" s="6"/>
      <c r="Q68" s="892"/>
      <c r="R68" s="111"/>
      <c r="U68" s="71"/>
      <c r="Y68" s="71"/>
      <c r="AC68" s="71"/>
    </row>
    <row r="69" spans="1:29" x14ac:dyDescent="0.25">
      <c r="A69" s="149"/>
      <c r="B69" s="881">
        <v>5814</v>
      </c>
      <c r="C69" s="844" t="s">
        <v>4</v>
      </c>
      <c r="D69" s="2">
        <v>640821.34</v>
      </c>
      <c r="E69" s="848" t="s">
        <v>268</v>
      </c>
      <c r="F69" s="2"/>
      <c r="G69" s="83">
        <f t="shared" ref="G69:G74" si="35">IF(D69=0,"0.00%",(H69-D69)/D69)</f>
        <v>-1</v>
      </c>
      <c r="H69" s="2">
        <v>0</v>
      </c>
      <c r="I69" s="841"/>
      <c r="J69" s="66"/>
      <c r="K69" s="83" t="str">
        <f t="shared" ref="K69:K82" si="36">IF(H69=0,"0.00%",(L69-H69)/H69)</f>
        <v>0.00%</v>
      </c>
      <c r="L69" s="2">
        <v>0</v>
      </c>
      <c r="M69" s="841"/>
      <c r="O69" s="83" t="str">
        <f t="shared" ref="O69:O82" si="37">IF(L69=0,"0.00%",(P69-L69)/L69)</f>
        <v>0.00%</v>
      </c>
      <c r="P69" s="2">
        <v>0</v>
      </c>
      <c r="Q69" s="841"/>
      <c r="S69" s="83" t="str">
        <f t="shared" ref="S69:S82" si="38">IF(P69=0,"0.00%",(T69-P69)/P69)</f>
        <v>0.00%</v>
      </c>
      <c r="T69" s="2">
        <f>ROUND(P69*(LEFT(U69,5)+1),0)</f>
        <v>0</v>
      </c>
      <c r="U69" s="81" t="str">
        <f>TEXT('MYP Assumptions'!H78,"0.00%")&amp;", CPI"</f>
        <v>3.23%, CPI</v>
      </c>
      <c r="W69" s="83" t="str">
        <f t="shared" ref="W69:W82" si="39">IF(T69=0,"0.00%",(X69-T69)/T69)</f>
        <v>0.00%</v>
      </c>
      <c r="X69" s="2">
        <f>ROUND(T69*(LEFT(Y69,5)+1),0)</f>
        <v>0</v>
      </c>
      <c r="Y69" s="81" t="str">
        <f>TEXT('MYP Assumptions'!I78,"0.00%")&amp;", CPI"</f>
        <v>2.73%, CPI</v>
      </c>
      <c r="AA69" s="83" t="str">
        <f t="shared" ref="AA69:AA82" si="40">IF(X69=0,"0.00%",(AB69-X69)/X69)</f>
        <v>0.00%</v>
      </c>
      <c r="AB69" s="2">
        <f>ROUND(X69*(LEFT(AC69,5)+1),0)</f>
        <v>0</v>
      </c>
      <c r="AC69" s="81" t="str">
        <f>TEXT('MYP Assumptions'!J78,"0.00%")&amp;", CPI"</f>
        <v>2.73%, CPI</v>
      </c>
    </row>
    <row r="70" spans="1:29" hidden="1" x14ac:dyDescent="0.25">
      <c r="A70" s="149"/>
      <c r="B70" s="881"/>
      <c r="D70" s="2">
        <v>0</v>
      </c>
      <c r="E70" s="848"/>
      <c r="F70" s="2"/>
      <c r="G70" s="83" t="str">
        <f t="shared" si="35"/>
        <v>0.00%</v>
      </c>
      <c r="H70" s="2">
        <f>ROUND(D70*(LEFT(I70,5)+1),0)</f>
        <v>0</v>
      </c>
      <c r="I70" s="841" t="str">
        <f>TEXT('MYP Assumptions'!E78,"0.00%")&amp;", CPI"</f>
        <v>3.37%, CPI</v>
      </c>
      <c r="J70" s="66"/>
      <c r="K70" s="83" t="str">
        <f t="shared" si="36"/>
        <v>0.00%</v>
      </c>
      <c r="L70" s="2">
        <f t="shared" ref="L70:L81" si="41">ROUND(H70*(LEFT(M70,5)+1),0)</f>
        <v>0</v>
      </c>
      <c r="M70" s="841" t="str">
        <f>TEXT('MYP Assumptions'!F78,"0.00%")&amp;", CPI"</f>
        <v>3.58%, CPI</v>
      </c>
      <c r="O70" s="83" t="str">
        <f t="shared" si="37"/>
        <v>0.00%</v>
      </c>
      <c r="P70" s="2">
        <f t="shared" ref="P70:P81" si="42">ROUND(L70*(LEFT(Q70,5)+1),0)</f>
        <v>0</v>
      </c>
      <c r="Q70" s="841" t="str">
        <f>TEXT('MYP Assumptions'!G78,"0.00%")&amp;", CPI"</f>
        <v>3.36%, CPI</v>
      </c>
      <c r="S70" s="83" t="str">
        <f t="shared" si="38"/>
        <v>0.00%</v>
      </c>
      <c r="T70" s="2">
        <f t="shared" ref="T70:T81" si="43">ROUND(P70*(LEFT(U70,5)+1),0)</f>
        <v>0</v>
      </c>
      <c r="U70" s="81" t="str">
        <f>TEXT('MYP Assumptions'!H78,"0.00%")&amp;", CPI"</f>
        <v>3.23%, CPI</v>
      </c>
      <c r="W70" s="83" t="str">
        <f t="shared" si="39"/>
        <v>0.00%</v>
      </c>
      <c r="X70" s="2">
        <f t="shared" ref="X70:X81" si="44">ROUND(T70*(LEFT(Y70,5)+1),0)</f>
        <v>0</v>
      </c>
      <c r="Y70" s="81" t="str">
        <f>TEXT('MYP Assumptions'!I78,"0.00%")&amp;", CPI"</f>
        <v>2.73%, CPI</v>
      </c>
      <c r="AA70" s="83" t="str">
        <f t="shared" si="40"/>
        <v>0.00%</v>
      </c>
      <c r="AB70" s="2">
        <f t="shared" ref="AB70:AB81" si="45">ROUND(X70*(LEFT(AC70,5)+1),0)</f>
        <v>0</v>
      </c>
      <c r="AC70" s="81" t="str">
        <f>TEXT('MYP Assumptions'!J78,"0.00%")&amp;", CPI"</f>
        <v>2.73%, CPI</v>
      </c>
    </row>
    <row r="71" spans="1:29" hidden="1" x14ac:dyDescent="0.25">
      <c r="A71" s="149"/>
      <c r="B71" s="881"/>
      <c r="D71" s="2">
        <v>0</v>
      </c>
      <c r="E71" s="848"/>
      <c r="F71" s="2"/>
      <c r="G71" s="83" t="str">
        <f t="shared" si="35"/>
        <v>0.00%</v>
      </c>
      <c r="H71" s="2">
        <f t="shared" ref="H71:H76" si="46">ROUND(D71*(LEFT(I71,5)+1),0)</f>
        <v>0</v>
      </c>
      <c r="I71" s="841" t="str">
        <f>TEXT('MYP Assumptions'!E78,"0.00%")&amp;", CPI"</f>
        <v>3.37%, CPI</v>
      </c>
      <c r="J71" s="66"/>
      <c r="K71" s="83" t="str">
        <f t="shared" si="36"/>
        <v>0.00%</v>
      </c>
      <c r="L71" s="2">
        <f t="shared" si="41"/>
        <v>0</v>
      </c>
      <c r="M71" s="841" t="str">
        <f>TEXT('MYP Assumptions'!F78,"0.00%")&amp;", CPI"</f>
        <v>3.58%, CPI</v>
      </c>
      <c r="O71" s="83" t="str">
        <f t="shared" si="37"/>
        <v>0.00%</v>
      </c>
      <c r="P71" s="2">
        <f t="shared" si="42"/>
        <v>0</v>
      </c>
      <c r="Q71" s="841" t="str">
        <f>TEXT('MYP Assumptions'!G78,"0.00%")&amp;", CPI"</f>
        <v>3.36%, CPI</v>
      </c>
      <c r="S71" s="83" t="str">
        <f t="shared" si="38"/>
        <v>0.00%</v>
      </c>
      <c r="T71" s="2">
        <f t="shared" si="43"/>
        <v>0</v>
      </c>
      <c r="U71" s="81" t="str">
        <f>TEXT('MYP Assumptions'!H78,"0.00%")&amp;", CPI"</f>
        <v>3.23%, CPI</v>
      </c>
      <c r="W71" s="83" t="str">
        <f t="shared" si="39"/>
        <v>0.00%</v>
      </c>
      <c r="X71" s="2">
        <f t="shared" si="44"/>
        <v>0</v>
      </c>
      <c r="Y71" s="81" t="str">
        <f>TEXT('MYP Assumptions'!I78,"0.00%")&amp;", CPI"</f>
        <v>2.73%, CPI</v>
      </c>
      <c r="AA71" s="83" t="str">
        <f t="shared" si="40"/>
        <v>0.00%</v>
      </c>
      <c r="AB71" s="2">
        <f t="shared" si="45"/>
        <v>0</v>
      </c>
      <c r="AC71" s="81" t="str">
        <f>TEXT('MYP Assumptions'!J78,"0.00%")&amp;", CPI"</f>
        <v>2.73%, CPI</v>
      </c>
    </row>
    <row r="72" spans="1:29" hidden="1" x14ac:dyDescent="0.25">
      <c r="A72" s="149"/>
      <c r="B72" s="881"/>
      <c r="D72" s="2">
        <v>0</v>
      </c>
      <c r="E72" s="848"/>
      <c r="F72" s="2"/>
      <c r="G72" s="83" t="str">
        <f t="shared" si="35"/>
        <v>0.00%</v>
      </c>
      <c r="H72" s="2">
        <f t="shared" si="46"/>
        <v>0</v>
      </c>
      <c r="I72" s="841" t="str">
        <f>TEXT('MYP Assumptions'!E78,"0.00%")&amp;", CPI"</f>
        <v>3.37%, CPI</v>
      </c>
      <c r="J72" s="66"/>
      <c r="K72" s="83" t="str">
        <f t="shared" si="36"/>
        <v>0.00%</v>
      </c>
      <c r="L72" s="2">
        <f t="shared" si="41"/>
        <v>0</v>
      </c>
      <c r="M72" s="841" t="str">
        <f>TEXT('MYP Assumptions'!F78,"0.00%")&amp;", CPI"</f>
        <v>3.58%, CPI</v>
      </c>
      <c r="O72" s="83" t="str">
        <f t="shared" si="37"/>
        <v>0.00%</v>
      </c>
      <c r="P72" s="2">
        <f t="shared" si="42"/>
        <v>0</v>
      </c>
      <c r="Q72" s="841" t="str">
        <f>TEXT('MYP Assumptions'!G78,"0.00%")&amp;", CPI"</f>
        <v>3.36%, CPI</v>
      </c>
      <c r="S72" s="83" t="str">
        <f t="shared" si="38"/>
        <v>0.00%</v>
      </c>
      <c r="T72" s="2">
        <f t="shared" si="43"/>
        <v>0</v>
      </c>
      <c r="U72" s="81" t="str">
        <f>TEXT('MYP Assumptions'!H78,"0.00%")&amp;", CPI"</f>
        <v>3.23%, CPI</v>
      </c>
      <c r="W72" s="83" t="str">
        <f t="shared" si="39"/>
        <v>0.00%</v>
      </c>
      <c r="X72" s="2">
        <f t="shared" si="44"/>
        <v>0</v>
      </c>
      <c r="Y72" s="81" t="str">
        <f>TEXT('MYP Assumptions'!I78,"0.00%")&amp;", CPI"</f>
        <v>2.73%, CPI</v>
      </c>
      <c r="AA72" s="83" t="str">
        <f t="shared" si="40"/>
        <v>0.00%</v>
      </c>
      <c r="AB72" s="2">
        <f t="shared" si="45"/>
        <v>0</v>
      </c>
      <c r="AC72" s="81" t="str">
        <f>TEXT('MYP Assumptions'!J78,"0.00%")&amp;", CPI"</f>
        <v>2.73%, CPI</v>
      </c>
    </row>
    <row r="73" spans="1:29" hidden="1" x14ac:dyDescent="0.25">
      <c r="A73" s="149"/>
      <c r="B73" s="881"/>
      <c r="D73" s="2">
        <v>0</v>
      </c>
      <c r="E73" s="848"/>
      <c r="F73" s="2"/>
      <c r="G73" s="83" t="str">
        <f t="shared" si="35"/>
        <v>0.00%</v>
      </c>
      <c r="H73" s="2">
        <f t="shared" si="46"/>
        <v>0</v>
      </c>
      <c r="I73" s="841" t="str">
        <f>TEXT('MYP Assumptions'!E78,"0.00%")&amp;", CPI"</f>
        <v>3.37%, CPI</v>
      </c>
      <c r="J73" s="66"/>
      <c r="K73" s="83" t="str">
        <f t="shared" si="36"/>
        <v>0.00%</v>
      </c>
      <c r="L73" s="2">
        <f t="shared" si="41"/>
        <v>0</v>
      </c>
      <c r="M73" s="841" t="str">
        <f>TEXT('MYP Assumptions'!F78,"0.00%")&amp;", CPI"</f>
        <v>3.58%, CPI</v>
      </c>
      <c r="O73" s="83" t="str">
        <f t="shared" si="37"/>
        <v>0.00%</v>
      </c>
      <c r="P73" s="2">
        <f t="shared" si="42"/>
        <v>0</v>
      </c>
      <c r="Q73" s="841" t="str">
        <f>TEXT('MYP Assumptions'!G78,"0.00%")&amp;", CPI"</f>
        <v>3.36%, CPI</v>
      </c>
      <c r="S73" s="83" t="str">
        <f t="shared" si="38"/>
        <v>0.00%</v>
      </c>
      <c r="T73" s="2">
        <f t="shared" si="43"/>
        <v>0</v>
      </c>
      <c r="U73" s="81" t="str">
        <f>TEXT('MYP Assumptions'!H78,"0.00%")&amp;", CPI"</f>
        <v>3.23%, CPI</v>
      </c>
      <c r="W73" s="83" t="str">
        <f t="shared" si="39"/>
        <v>0.00%</v>
      </c>
      <c r="X73" s="2">
        <f t="shared" si="44"/>
        <v>0</v>
      </c>
      <c r="Y73" s="81" t="str">
        <f>TEXT('MYP Assumptions'!I78,"0.00%")&amp;", CPI"</f>
        <v>2.73%, CPI</v>
      </c>
      <c r="AA73" s="83" t="str">
        <f t="shared" si="40"/>
        <v>0.00%</v>
      </c>
      <c r="AB73" s="2">
        <f t="shared" si="45"/>
        <v>0</v>
      </c>
      <c r="AC73" s="81" t="str">
        <f>TEXT('MYP Assumptions'!J78,"0.00%")&amp;", CPI"</f>
        <v>2.73%, CPI</v>
      </c>
    </row>
    <row r="74" spans="1:29" hidden="1" x14ac:dyDescent="0.25">
      <c r="A74" s="149"/>
      <c r="B74" s="881"/>
      <c r="D74" s="2">
        <v>0</v>
      </c>
      <c r="E74" s="848"/>
      <c r="F74" s="2"/>
      <c r="G74" s="83" t="str">
        <f t="shared" si="35"/>
        <v>0.00%</v>
      </c>
      <c r="H74" s="2">
        <f t="shared" si="46"/>
        <v>0</v>
      </c>
      <c r="I74" s="841" t="str">
        <f>TEXT('MYP Assumptions'!E78,"0.00%")&amp;", CPI"</f>
        <v>3.37%, CPI</v>
      </c>
      <c r="J74" s="66"/>
      <c r="K74" s="83" t="str">
        <f t="shared" si="36"/>
        <v>0.00%</v>
      </c>
      <c r="L74" s="2">
        <f t="shared" si="41"/>
        <v>0</v>
      </c>
      <c r="M74" s="841" t="str">
        <f>TEXT('MYP Assumptions'!F78,"0.00%")&amp;", CPI"</f>
        <v>3.58%, CPI</v>
      </c>
      <c r="O74" s="83" t="str">
        <f t="shared" si="37"/>
        <v>0.00%</v>
      </c>
      <c r="P74" s="2">
        <f t="shared" si="42"/>
        <v>0</v>
      </c>
      <c r="Q74" s="841" t="str">
        <f>TEXT('MYP Assumptions'!G78,"0.00%")&amp;", CPI"</f>
        <v>3.36%, CPI</v>
      </c>
      <c r="S74" s="83" t="str">
        <f t="shared" si="38"/>
        <v>0.00%</v>
      </c>
      <c r="T74" s="2">
        <f t="shared" si="43"/>
        <v>0</v>
      </c>
      <c r="U74" s="81" t="str">
        <f>TEXT('MYP Assumptions'!H78,"0.00%")&amp;", CPI"</f>
        <v>3.23%, CPI</v>
      </c>
      <c r="W74" s="83" t="str">
        <f t="shared" si="39"/>
        <v>0.00%</v>
      </c>
      <c r="X74" s="2">
        <f t="shared" si="44"/>
        <v>0</v>
      </c>
      <c r="Y74" s="81" t="str">
        <f>TEXT('MYP Assumptions'!I78,"0.00%")&amp;", CPI"</f>
        <v>2.73%, CPI</v>
      </c>
      <c r="AA74" s="83" t="str">
        <f t="shared" si="40"/>
        <v>0.00%</v>
      </c>
      <c r="AB74" s="2">
        <f t="shared" si="45"/>
        <v>0</v>
      </c>
      <c r="AC74" s="81" t="str">
        <f>TEXT('MYP Assumptions'!J78,"0.00%")&amp;", CPI"</f>
        <v>2.73%, CPI</v>
      </c>
    </row>
    <row r="75" spans="1:29" hidden="1" x14ac:dyDescent="0.25">
      <c r="A75" s="149"/>
      <c r="B75" s="881"/>
      <c r="D75" s="2">
        <v>0</v>
      </c>
      <c r="E75" s="848"/>
      <c r="F75" s="2"/>
      <c r="G75" s="83" t="str">
        <f>IF(D75=0,"0.00%",(H75-D75)/D75)</f>
        <v>0.00%</v>
      </c>
      <c r="H75" s="2">
        <f t="shared" si="46"/>
        <v>0</v>
      </c>
      <c r="I75" s="841" t="str">
        <f>TEXT('MYP Assumptions'!E78,"0.00%")&amp;", CPI"</f>
        <v>3.37%, CPI</v>
      </c>
      <c r="J75" s="66"/>
      <c r="K75" s="83" t="str">
        <f t="shared" si="36"/>
        <v>0.00%</v>
      </c>
      <c r="L75" s="2">
        <f t="shared" si="41"/>
        <v>0</v>
      </c>
      <c r="M75" s="841" t="str">
        <f>TEXT('MYP Assumptions'!F78,"0.00%")&amp;", CPI"</f>
        <v>3.58%, CPI</v>
      </c>
      <c r="O75" s="83" t="str">
        <f t="shared" si="37"/>
        <v>0.00%</v>
      </c>
      <c r="P75" s="2">
        <f t="shared" si="42"/>
        <v>0</v>
      </c>
      <c r="Q75" s="841" t="str">
        <f>TEXT('MYP Assumptions'!G78,"0.00%")&amp;", CPI"</f>
        <v>3.36%, CPI</v>
      </c>
      <c r="S75" s="83" t="str">
        <f t="shared" si="38"/>
        <v>0.00%</v>
      </c>
      <c r="T75" s="2">
        <f t="shared" si="43"/>
        <v>0</v>
      </c>
      <c r="U75" s="81" t="str">
        <f>TEXT('MYP Assumptions'!H78,"0.00%")&amp;", CPI"</f>
        <v>3.23%, CPI</v>
      </c>
      <c r="W75" s="83" t="str">
        <f t="shared" si="39"/>
        <v>0.00%</v>
      </c>
      <c r="X75" s="2">
        <f t="shared" si="44"/>
        <v>0</v>
      </c>
      <c r="Y75" s="81" t="str">
        <f>TEXT('MYP Assumptions'!I78,"0.00%")&amp;", CPI"</f>
        <v>2.73%, CPI</v>
      </c>
      <c r="AA75" s="83" t="str">
        <f t="shared" si="40"/>
        <v>0.00%</v>
      </c>
      <c r="AB75" s="2">
        <f t="shared" si="45"/>
        <v>0</v>
      </c>
      <c r="AC75" s="81" t="str">
        <f>TEXT('MYP Assumptions'!J78,"0.00%")&amp;", CPI"</f>
        <v>2.73%, CPI</v>
      </c>
    </row>
    <row r="76" spans="1:29" hidden="1" x14ac:dyDescent="0.25">
      <c r="A76" s="149"/>
      <c r="B76" s="881"/>
      <c r="D76" s="2">
        <v>0</v>
      </c>
      <c r="E76" s="848"/>
      <c r="F76" s="2"/>
      <c r="G76" s="83" t="str">
        <f t="shared" ref="G76:G82" si="47">IF(D76=0,"0.00%",(H76-D76)/D76)</f>
        <v>0.00%</v>
      </c>
      <c r="H76" s="2">
        <f t="shared" si="46"/>
        <v>0</v>
      </c>
      <c r="I76" s="841" t="str">
        <f>TEXT('MYP Assumptions'!E78,"0.00%")&amp;", CPI"</f>
        <v>3.37%, CPI</v>
      </c>
      <c r="J76" s="66"/>
      <c r="K76" s="83" t="str">
        <f t="shared" si="36"/>
        <v>0.00%</v>
      </c>
      <c r="L76" s="2">
        <f t="shared" si="41"/>
        <v>0</v>
      </c>
      <c r="M76" s="841" t="str">
        <f>TEXT('MYP Assumptions'!F78,"0.00%")&amp;", CPI"</f>
        <v>3.58%, CPI</v>
      </c>
      <c r="O76" s="83" t="str">
        <f t="shared" si="37"/>
        <v>0.00%</v>
      </c>
      <c r="P76" s="2">
        <f t="shared" si="42"/>
        <v>0</v>
      </c>
      <c r="Q76" s="841" t="str">
        <f>TEXT('MYP Assumptions'!G78,"0.00%")&amp;", CPI"</f>
        <v>3.36%, CPI</v>
      </c>
      <c r="S76" s="83" t="str">
        <f t="shared" si="38"/>
        <v>0.00%</v>
      </c>
      <c r="T76" s="2">
        <f t="shared" si="43"/>
        <v>0</v>
      </c>
      <c r="U76" s="81" t="str">
        <f>TEXT('MYP Assumptions'!H78,"0.00%")&amp;", CPI"</f>
        <v>3.23%, CPI</v>
      </c>
      <c r="W76" s="83" t="str">
        <f t="shared" si="39"/>
        <v>0.00%</v>
      </c>
      <c r="X76" s="2">
        <f t="shared" si="44"/>
        <v>0</v>
      </c>
      <c r="Y76" s="81" t="str">
        <f>TEXT('MYP Assumptions'!I78,"0.00%")&amp;", CPI"</f>
        <v>2.73%, CPI</v>
      </c>
      <c r="AA76" s="83" t="str">
        <f t="shared" si="40"/>
        <v>0.00%</v>
      </c>
      <c r="AB76" s="2">
        <f t="shared" si="45"/>
        <v>0</v>
      </c>
      <c r="AC76" s="81" t="str">
        <f>TEXT('MYP Assumptions'!J78,"0.00%")&amp;", CPI"</f>
        <v>2.73%, CPI</v>
      </c>
    </row>
    <row r="77" spans="1:29" hidden="1" x14ac:dyDescent="0.25">
      <c r="A77" s="149"/>
      <c r="B77" s="881"/>
      <c r="D77" s="2">
        <v>0</v>
      </c>
      <c r="E77" s="848"/>
      <c r="F77" s="2"/>
      <c r="G77" s="83" t="str">
        <f t="shared" si="47"/>
        <v>0.00%</v>
      </c>
      <c r="H77" s="2">
        <f>ROUND(D77*(LEFT(I77,5)+1),0)</f>
        <v>0</v>
      </c>
      <c r="I77" s="841" t="str">
        <f>TEXT('MYP Assumptions'!E78,"0.00%")&amp;", CPI"</f>
        <v>3.37%, CPI</v>
      </c>
      <c r="J77" s="66"/>
      <c r="K77" s="83" t="str">
        <f t="shared" si="36"/>
        <v>0.00%</v>
      </c>
      <c r="L77" s="2">
        <f t="shared" si="41"/>
        <v>0</v>
      </c>
      <c r="M77" s="841" t="str">
        <f>TEXT('MYP Assumptions'!F78,"0.00%")&amp;", CPI"</f>
        <v>3.58%, CPI</v>
      </c>
      <c r="O77" s="83" t="str">
        <f t="shared" si="37"/>
        <v>0.00%</v>
      </c>
      <c r="P77" s="2">
        <f t="shared" si="42"/>
        <v>0</v>
      </c>
      <c r="Q77" s="841" t="str">
        <f>TEXT('MYP Assumptions'!G78,"0.00%")&amp;", CPI"</f>
        <v>3.36%, CPI</v>
      </c>
      <c r="S77" s="83" t="str">
        <f t="shared" si="38"/>
        <v>0.00%</v>
      </c>
      <c r="T77" s="2">
        <f t="shared" si="43"/>
        <v>0</v>
      </c>
      <c r="U77" s="81" t="str">
        <f>TEXT('MYP Assumptions'!H78,"0.00%")&amp;", CPI"</f>
        <v>3.23%, CPI</v>
      </c>
      <c r="W77" s="83" t="str">
        <f t="shared" si="39"/>
        <v>0.00%</v>
      </c>
      <c r="X77" s="2">
        <f t="shared" si="44"/>
        <v>0</v>
      </c>
      <c r="Y77" s="81" t="str">
        <f>TEXT('MYP Assumptions'!I78,"0.00%")&amp;", CPI"</f>
        <v>2.73%, CPI</v>
      </c>
      <c r="AA77" s="83" t="str">
        <f t="shared" si="40"/>
        <v>0.00%</v>
      </c>
      <c r="AB77" s="2">
        <f t="shared" si="45"/>
        <v>0</v>
      </c>
      <c r="AC77" s="81" t="str">
        <f>TEXT('MYP Assumptions'!J78,"0.00%")&amp;", CPI"</f>
        <v>2.73%, CPI</v>
      </c>
    </row>
    <row r="78" spans="1:29" hidden="1" x14ac:dyDescent="0.25">
      <c r="A78" s="149"/>
      <c r="B78" s="881"/>
      <c r="D78" s="2">
        <v>0</v>
      </c>
      <c r="E78" s="848"/>
      <c r="F78" s="2"/>
      <c r="G78" s="83" t="str">
        <f t="shared" si="47"/>
        <v>0.00%</v>
      </c>
      <c r="H78" s="2">
        <f>ROUND(D78*(LEFT(I78,5)+1),0)</f>
        <v>0</v>
      </c>
      <c r="I78" s="841" t="str">
        <f>TEXT('MYP Assumptions'!E78,"0.00%")&amp;", CPI"</f>
        <v>3.37%, CPI</v>
      </c>
      <c r="J78" s="66"/>
      <c r="K78" s="83" t="str">
        <f t="shared" si="36"/>
        <v>0.00%</v>
      </c>
      <c r="L78" s="2">
        <f t="shared" si="41"/>
        <v>0</v>
      </c>
      <c r="M78" s="841" t="str">
        <f>TEXT('MYP Assumptions'!F78,"0.00%")&amp;", CPI"</f>
        <v>3.58%, CPI</v>
      </c>
      <c r="O78" s="83" t="str">
        <f t="shared" si="37"/>
        <v>0.00%</v>
      </c>
      <c r="P78" s="2">
        <f t="shared" si="42"/>
        <v>0</v>
      </c>
      <c r="Q78" s="841" t="str">
        <f>TEXT('MYP Assumptions'!G78,"0.00%")&amp;", CPI"</f>
        <v>3.36%, CPI</v>
      </c>
      <c r="S78" s="83" t="str">
        <f t="shared" si="38"/>
        <v>0.00%</v>
      </c>
      <c r="T78" s="2">
        <f t="shared" si="43"/>
        <v>0</v>
      </c>
      <c r="U78" s="81" t="str">
        <f>TEXT('MYP Assumptions'!H78,"0.00%")&amp;", CPI"</f>
        <v>3.23%, CPI</v>
      </c>
      <c r="W78" s="83" t="str">
        <f t="shared" si="39"/>
        <v>0.00%</v>
      </c>
      <c r="X78" s="2">
        <f t="shared" si="44"/>
        <v>0</v>
      </c>
      <c r="Y78" s="81" t="str">
        <f>TEXT('MYP Assumptions'!I78,"0.00%")&amp;", CPI"</f>
        <v>2.73%, CPI</v>
      </c>
      <c r="AA78" s="83" t="str">
        <f t="shared" si="40"/>
        <v>0.00%</v>
      </c>
      <c r="AB78" s="2">
        <f t="shared" si="45"/>
        <v>0</v>
      </c>
      <c r="AC78" s="81" t="str">
        <f>TEXT('MYP Assumptions'!J78,"0.00%")&amp;", CPI"</f>
        <v>2.73%, CPI</v>
      </c>
    </row>
    <row r="79" spans="1:29" hidden="1" x14ac:dyDescent="0.25">
      <c r="A79" s="149"/>
      <c r="B79" s="881"/>
      <c r="D79" s="2">
        <v>0</v>
      </c>
      <c r="E79" s="848"/>
      <c r="F79" s="2"/>
      <c r="G79" s="83" t="str">
        <f t="shared" si="47"/>
        <v>0.00%</v>
      </c>
      <c r="H79" s="2">
        <f>ROUND(D79*(LEFT(I79,5)+1),0)</f>
        <v>0</v>
      </c>
      <c r="I79" s="841" t="str">
        <f>TEXT('MYP Assumptions'!E78,"0.00%")&amp;", CPI"</f>
        <v>3.37%, CPI</v>
      </c>
      <c r="J79" s="66"/>
      <c r="K79" s="83" t="str">
        <f t="shared" si="36"/>
        <v>0.00%</v>
      </c>
      <c r="L79" s="2">
        <f t="shared" si="41"/>
        <v>0</v>
      </c>
      <c r="M79" s="841" t="str">
        <f>TEXT('MYP Assumptions'!F78,"0.00%")&amp;", CPI"</f>
        <v>3.58%, CPI</v>
      </c>
      <c r="O79" s="83" t="str">
        <f t="shared" si="37"/>
        <v>0.00%</v>
      </c>
      <c r="P79" s="2">
        <f t="shared" si="42"/>
        <v>0</v>
      </c>
      <c r="Q79" s="841" t="str">
        <f>TEXT('MYP Assumptions'!G78,"0.00%")&amp;", CPI"</f>
        <v>3.36%, CPI</v>
      </c>
      <c r="S79" s="83" t="str">
        <f t="shared" si="38"/>
        <v>0.00%</v>
      </c>
      <c r="T79" s="2">
        <f t="shared" si="43"/>
        <v>0</v>
      </c>
      <c r="U79" s="81" t="str">
        <f>TEXT('MYP Assumptions'!H78,"0.00%")&amp;", CPI"</f>
        <v>3.23%, CPI</v>
      </c>
      <c r="W79" s="83" t="str">
        <f t="shared" si="39"/>
        <v>0.00%</v>
      </c>
      <c r="X79" s="2">
        <f t="shared" si="44"/>
        <v>0</v>
      </c>
      <c r="Y79" s="81" t="str">
        <f>TEXT('MYP Assumptions'!I78,"0.00%")&amp;", CPI"</f>
        <v>2.73%, CPI</v>
      </c>
      <c r="AA79" s="83" t="str">
        <f t="shared" si="40"/>
        <v>0.00%</v>
      </c>
      <c r="AB79" s="2">
        <f t="shared" si="45"/>
        <v>0</v>
      </c>
      <c r="AC79" s="81" t="str">
        <f>TEXT('MYP Assumptions'!J78,"0.00%")&amp;", CPI"</f>
        <v>2.73%, CPI</v>
      </c>
    </row>
    <row r="80" spans="1:29" hidden="1" x14ac:dyDescent="0.25">
      <c r="A80" s="149"/>
      <c r="B80" s="881"/>
      <c r="D80" s="2">
        <v>0</v>
      </c>
      <c r="E80" s="848"/>
      <c r="F80" s="2"/>
      <c r="G80" s="83" t="str">
        <f t="shared" si="47"/>
        <v>0.00%</v>
      </c>
      <c r="H80" s="2">
        <f>ROUND(D80*(LEFT(I80,5)+1),0)</f>
        <v>0</v>
      </c>
      <c r="I80" s="841" t="str">
        <f>TEXT('MYP Assumptions'!E78,"0.00%")&amp;", CPI"</f>
        <v>3.37%, CPI</v>
      </c>
      <c r="J80" s="66"/>
      <c r="K80" s="83" t="str">
        <f t="shared" si="36"/>
        <v>0.00%</v>
      </c>
      <c r="L80" s="2">
        <f t="shared" si="41"/>
        <v>0</v>
      </c>
      <c r="M80" s="841" t="str">
        <f>TEXT('MYP Assumptions'!F78,"0.00%")&amp;", CPI"</f>
        <v>3.58%, CPI</v>
      </c>
      <c r="O80" s="83" t="str">
        <f t="shared" si="37"/>
        <v>0.00%</v>
      </c>
      <c r="P80" s="2">
        <f t="shared" si="42"/>
        <v>0</v>
      </c>
      <c r="Q80" s="841" t="str">
        <f>TEXT('MYP Assumptions'!G78,"0.00%")&amp;", CPI"</f>
        <v>3.36%, CPI</v>
      </c>
      <c r="S80" s="83" t="str">
        <f t="shared" si="38"/>
        <v>0.00%</v>
      </c>
      <c r="T80" s="2">
        <f t="shared" si="43"/>
        <v>0</v>
      </c>
      <c r="U80" s="81" t="str">
        <f>TEXT('MYP Assumptions'!H78,"0.00%")&amp;", CPI"</f>
        <v>3.23%, CPI</v>
      </c>
      <c r="W80" s="83" t="str">
        <f t="shared" si="39"/>
        <v>0.00%</v>
      </c>
      <c r="X80" s="2">
        <f t="shared" si="44"/>
        <v>0</v>
      </c>
      <c r="Y80" s="81" t="str">
        <f>TEXT('MYP Assumptions'!I78,"0.00%")&amp;", CPI"</f>
        <v>2.73%, CPI</v>
      </c>
      <c r="AA80" s="83" t="str">
        <f t="shared" si="40"/>
        <v>0.00%</v>
      </c>
      <c r="AB80" s="2">
        <f t="shared" si="45"/>
        <v>0</v>
      </c>
      <c r="AC80" s="81" t="str">
        <f>TEXT('MYP Assumptions'!J78,"0.00%")&amp;", CPI"</f>
        <v>2.73%, CPI</v>
      </c>
    </row>
    <row r="81" spans="1:29" hidden="1" x14ac:dyDescent="0.25">
      <c r="A81" s="149"/>
      <c r="B81" s="881"/>
      <c r="D81" s="2">
        <f>'18-19 Budget RS 3010-ALL'!AF80</f>
        <v>0</v>
      </c>
      <c r="E81" s="848"/>
      <c r="F81" s="2"/>
      <c r="G81" s="83" t="str">
        <f t="shared" si="47"/>
        <v>0.00%</v>
      </c>
      <c r="H81" s="2">
        <f>ROUND(D81*(LEFT(I81,5)+1),0)</f>
        <v>0</v>
      </c>
      <c r="I81" s="841" t="str">
        <f>TEXT('MYP Assumptions'!E78,"0.00%")&amp;", CPI"</f>
        <v>3.37%, CPI</v>
      </c>
      <c r="J81" s="66"/>
      <c r="K81" s="83" t="str">
        <f t="shared" si="36"/>
        <v>0.00%</v>
      </c>
      <c r="L81" s="2">
        <f t="shared" si="41"/>
        <v>0</v>
      </c>
      <c r="M81" s="841" t="str">
        <f>TEXT('MYP Assumptions'!F78,"0.00%")&amp;", CPI"</f>
        <v>3.58%, CPI</v>
      </c>
      <c r="O81" s="83" t="str">
        <f t="shared" si="37"/>
        <v>0.00%</v>
      </c>
      <c r="P81" s="2">
        <f t="shared" si="42"/>
        <v>0</v>
      </c>
      <c r="Q81" s="841" t="str">
        <f>TEXT('MYP Assumptions'!G78,"0.00%")&amp;", CPI"</f>
        <v>3.36%, CPI</v>
      </c>
      <c r="S81" s="83" t="str">
        <f t="shared" si="38"/>
        <v>0.00%</v>
      </c>
      <c r="T81" s="2">
        <f t="shared" si="43"/>
        <v>0</v>
      </c>
      <c r="U81" s="81" t="str">
        <f>TEXT('MYP Assumptions'!H78,"0.00%")&amp;", CPI"</f>
        <v>3.23%, CPI</v>
      </c>
      <c r="W81" s="83" t="str">
        <f t="shared" si="39"/>
        <v>0.00%</v>
      </c>
      <c r="X81" s="2">
        <f t="shared" si="44"/>
        <v>0</v>
      </c>
      <c r="Y81" s="81" t="str">
        <f>TEXT('MYP Assumptions'!I78,"0.00%")&amp;", CPI"</f>
        <v>2.73%, CPI</v>
      </c>
      <c r="AA81" s="83" t="str">
        <f t="shared" si="40"/>
        <v>0.00%</v>
      </c>
      <c r="AB81" s="2">
        <f t="shared" si="45"/>
        <v>0</v>
      </c>
      <c r="AC81" s="81" t="str">
        <f>TEXT('MYP Assumptions'!J78,"0.00%")&amp;", CPI"</f>
        <v>2.73%, CPI</v>
      </c>
    </row>
    <row r="82" spans="1:29" x14ac:dyDescent="0.25">
      <c r="A82" s="150"/>
      <c r="D82" s="8">
        <f>SUM(D69:D81)</f>
        <v>640821.34</v>
      </c>
      <c r="E82" s="848"/>
      <c r="F82" s="2"/>
      <c r="G82" s="83">
        <f t="shared" si="47"/>
        <v>-1</v>
      </c>
      <c r="H82" s="8">
        <f>SUM(H69:H81)</f>
        <v>0</v>
      </c>
      <c r="I82" s="857"/>
      <c r="J82" s="29"/>
      <c r="K82" s="83" t="str">
        <f t="shared" si="36"/>
        <v>0.00%</v>
      </c>
      <c r="L82" s="8">
        <f>SUM(L69:L81)</f>
        <v>0</v>
      </c>
      <c r="M82" s="890"/>
      <c r="O82" s="83" t="str">
        <f t="shared" si="37"/>
        <v>0.00%</v>
      </c>
      <c r="P82" s="8">
        <f>SUM(P69:P81)</f>
        <v>0</v>
      </c>
      <c r="Q82" s="890"/>
      <c r="S82" s="83" t="str">
        <f t="shared" si="38"/>
        <v>0.00%</v>
      </c>
      <c r="T82" s="8">
        <f>SUM(T69:T81)</f>
        <v>0</v>
      </c>
      <c r="U82" s="73"/>
      <c r="W82" s="83" t="str">
        <f t="shared" si="39"/>
        <v>0.00%</v>
      </c>
      <c r="X82" s="8">
        <f>SUM(X69:X81)</f>
        <v>0</v>
      </c>
      <c r="Y82" s="73"/>
      <c r="AA82" s="83" t="str">
        <f t="shared" si="40"/>
        <v>0.00%</v>
      </c>
      <c r="AB82" s="8">
        <f>SUM(AB69:AB81)</f>
        <v>0</v>
      </c>
      <c r="AC82" s="73"/>
    </row>
    <row r="83" spans="1:29" x14ac:dyDescent="0.25">
      <c r="A83" s="149"/>
      <c r="B83" s="878"/>
      <c r="E83" s="848"/>
      <c r="F83" s="2"/>
      <c r="G83" s="83"/>
      <c r="H83" s="2"/>
      <c r="I83" s="856"/>
      <c r="J83" s="66"/>
      <c r="L83" s="2"/>
      <c r="M83" s="890"/>
      <c r="Q83" s="890"/>
      <c r="T83" s="2"/>
      <c r="U83" s="73"/>
      <c r="X83" s="2"/>
      <c r="Y83" s="73"/>
      <c r="AB83" s="2"/>
      <c r="AC83" s="73"/>
    </row>
    <row r="84" spans="1:29" x14ac:dyDescent="0.25">
      <c r="A84" s="149"/>
      <c r="B84" s="878" t="s">
        <v>328</v>
      </c>
      <c r="E84" s="848"/>
      <c r="F84" s="2"/>
      <c r="G84" s="83"/>
      <c r="H84" s="2"/>
      <c r="I84" s="856"/>
      <c r="J84" s="66"/>
      <c r="L84" s="2"/>
      <c r="M84" s="890"/>
      <c r="Q84" s="890"/>
      <c r="T84" s="2"/>
      <c r="U84" s="73"/>
      <c r="X84" s="2"/>
      <c r="Y84" s="73"/>
      <c r="AB84" s="2"/>
      <c r="AC84" s="73"/>
    </row>
    <row r="85" spans="1:29" x14ac:dyDescent="0.25">
      <c r="A85" s="149"/>
      <c r="B85" s="881" t="s">
        <v>342</v>
      </c>
      <c r="C85" s="844" t="s">
        <v>907</v>
      </c>
      <c r="D85" s="10">
        <v>12729</v>
      </c>
      <c r="E85" s="848"/>
      <c r="F85" s="2"/>
      <c r="G85" s="83"/>
      <c r="H85" s="10">
        <v>0</v>
      </c>
      <c r="I85" s="856"/>
      <c r="J85" s="66"/>
      <c r="L85" s="10">
        <v>0</v>
      </c>
      <c r="M85" s="890"/>
      <c r="P85" s="10">
        <v>0</v>
      </c>
      <c r="Q85" s="890"/>
      <c r="T85" s="2"/>
      <c r="U85" s="73"/>
      <c r="X85" s="2"/>
      <c r="Y85" s="73"/>
      <c r="AB85" s="2"/>
      <c r="AC85" s="73"/>
    </row>
    <row r="86" spans="1:29" x14ac:dyDescent="0.25">
      <c r="A86" s="149"/>
      <c r="B86" s="878"/>
      <c r="E86" s="848"/>
      <c r="F86" s="2"/>
      <c r="G86" s="83"/>
      <c r="H86" s="2"/>
      <c r="I86" s="856"/>
      <c r="J86" s="66"/>
      <c r="L86" s="2"/>
      <c r="M86" s="890"/>
      <c r="Q86" s="890"/>
      <c r="T86" s="2"/>
      <c r="U86" s="73"/>
      <c r="X86" s="2"/>
      <c r="Y86" s="73"/>
      <c r="AB86" s="2"/>
      <c r="AC86" s="73"/>
    </row>
    <row r="87" spans="1:29" x14ac:dyDescent="0.25">
      <c r="A87" s="149"/>
      <c r="E87" s="848"/>
      <c r="F87" s="2"/>
      <c r="H87" s="2"/>
      <c r="I87" s="856"/>
      <c r="J87" s="66"/>
      <c r="L87" s="2"/>
      <c r="M87" s="890"/>
      <c r="Q87" s="890"/>
      <c r="T87" s="2"/>
      <c r="U87" s="73"/>
      <c r="X87" s="2"/>
      <c r="Y87" s="73"/>
      <c r="AB87" s="2"/>
      <c r="AC87" s="73"/>
    </row>
    <row r="88" spans="1:29" x14ac:dyDescent="0.25">
      <c r="A88" s="150"/>
      <c r="B88" s="878" t="s">
        <v>0</v>
      </c>
      <c r="D88" s="8">
        <f>SUM(D82,D66,D55,D13,D85)</f>
        <v>653550.34</v>
      </c>
      <c r="E88" s="848"/>
      <c r="F88" s="2"/>
      <c r="G88" s="83">
        <f>IF(D88=0,"0.00%",(H88-D88)/D88)</f>
        <v>-1</v>
      </c>
      <c r="H88" s="8">
        <f>SUM(H82,H66,H55,H13,H85)</f>
        <v>0</v>
      </c>
      <c r="I88" s="857"/>
      <c r="J88" s="29"/>
      <c r="K88" s="83" t="str">
        <f>IF(H88=0,"0.00%",(L88-H88)/H88)</f>
        <v>0.00%</v>
      </c>
      <c r="L88" s="8">
        <f>SUM(L82,L66,L55,L13,L85)</f>
        <v>0</v>
      </c>
      <c r="M88" s="890"/>
      <c r="O88" s="83" t="str">
        <f>IF(L88=0,"0.00%",(P88-L88)/L88)</f>
        <v>0.00%</v>
      </c>
      <c r="P88" s="8">
        <f>SUM(P82,P66,P55,P13,P85)</f>
        <v>0</v>
      </c>
      <c r="Q88" s="890"/>
      <c r="S88" s="83" t="str">
        <f>IF(P88=0,"0.00%",(T88-P88)/P88)</f>
        <v>0.00%</v>
      </c>
      <c r="T88" s="8">
        <f>SUM(T82,T66,T55,T13)</f>
        <v>0</v>
      </c>
      <c r="U88" s="73"/>
      <c r="W88" s="83" t="str">
        <f>IF(T88=0,"0.00%",(X88-T88)/T88)</f>
        <v>0.00%</v>
      </c>
      <c r="X88" s="8">
        <f>SUM(X82,X66,X55,X13)</f>
        <v>0</v>
      </c>
      <c r="Y88" s="73"/>
      <c r="AA88" s="83" t="str">
        <f>IF(X88=0,"0.00%",(AB88-X88)/X88)</f>
        <v>0.00%</v>
      </c>
      <c r="AB88" s="8" t="e">
        <f>SUM(AB82,AB66,AB55,AB13)</f>
        <v>#VALUE!</v>
      </c>
      <c r="AC88" s="73"/>
    </row>
    <row r="89" spans="1:29" x14ac:dyDescent="0.25">
      <c r="A89" s="149"/>
      <c r="E89" s="848"/>
      <c r="F89" s="2"/>
      <c r="H89" s="2"/>
      <c r="I89" s="856"/>
      <c r="J89" s="66"/>
      <c r="L89" s="2"/>
      <c r="M89" s="890"/>
      <c r="Q89" s="890"/>
      <c r="T89" s="2"/>
      <c r="U89" s="73"/>
      <c r="X89" s="2"/>
      <c r="Y89" s="73"/>
      <c r="AB89" s="2"/>
      <c r="AC89" s="73"/>
    </row>
    <row r="90" spans="1:29" x14ac:dyDescent="0.25">
      <c r="A90" s="149"/>
      <c r="B90" s="878" t="s">
        <v>138</v>
      </c>
      <c r="D90" s="3">
        <f>+D11-D88</f>
        <v>190310.30000000005</v>
      </c>
      <c r="G90" s="83">
        <f>IF(D90=0,"0.00%",(H90-D90)/D90)</f>
        <v>-1</v>
      </c>
      <c r="H90" s="3">
        <f>H11-H88</f>
        <v>0</v>
      </c>
      <c r="I90" s="856"/>
      <c r="J90" s="66"/>
      <c r="K90" s="83" t="str">
        <f>IF(H90=0,"0.00%",(L90-H90)/H90)</f>
        <v>0.00%</v>
      </c>
      <c r="L90" s="3">
        <f>L11-L88</f>
        <v>0</v>
      </c>
      <c r="M90" s="890"/>
      <c r="O90" s="83" t="str">
        <f>IF(L90=0,"0.00%",(P90-L90)/L90)</f>
        <v>0.00%</v>
      </c>
      <c r="P90" s="3">
        <f>P11-P88</f>
        <v>0</v>
      </c>
      <c r="Q90" s="890"/>
      <c r="S90" s="83" t="str">
        <f>IF(P90=0,"0.00%",(T90-P90)/P90)</f>
        <v>0.00%</v>
      </c>
      <c r="T90" s="3">
        <f>T11-T88</f>
        <v>0</v>
      </c>
      <c r="U90" s="73"/>
      <c r="W90" s="83" t="str">
        <f>IF(T90=0,"0.00%",(X90-T90)/T90)</f>
        <v>0.00%</v>
      </c>
      <c r="X90" s="3">
        <f>X11-X88</f>
        <v>0</v>
      </c>
      <c r="Y90" s="73"/>
      <c r="AA90" s="83" t="str">
        <f>IF(X90=0,"0.00%",(AB90-X90)/X90)</f>
        <v>0.00%</v>
      </c>
      <c r="AB90" s="3" t="e">
        <f>AB11-AB88</f>
        <v>#VALUE!</v>
      </c>
      <c r="AC90" s="73"/>
    </row>
    <row r="91" spans="1:29" x14ac:dyDescent="0.25">
      <c r="B91" s="878"/>
      <c r="C91" s="872"/>
      <c r="D91" s="3"/>
      <c r="H91" s="3"/>
      <c r="I91" s="856"/>
      <c r="J91" s="66"/>
      <c r="L91" s="3"/>
      <c r="M91" s="890"/>
      <c r="P91" s="3"/>
      <c r="Q91" s="890"/>
      <c r="T91" s="44"/>
      <c r="U91" s="73"/>
      <c r="X91" s="44"/>
      <c r="Y91" s="73"/>
      <c r="AB91" s="44"/>
      <c r="AC91" s="73"/>
    </row>
    <row r="92" spans="1:29" x14ac:dyDescent="0.25">
      <c r="B92" s="878" t="s">
        <v>136</v>
      </c>
      <c r="C92" s="874"/>
      <c r="D92" s="3">
        <f>D7+D90</f>
        <v>0</v>
      </c>
      <c r="G92" s="83" t="str">
        <f>IF(D92=0,"0.00%",(H92-D92)/D92)</f>
        <v>0.00%</v>
      </c>
      <c r="H92" s="3">
        <f>H7+H90</f>
        <v>0</v>
      </c>
      <c r="I92" s="856"/>
      <c r="J92" s="66"/>
      <c r="K92" s="83" t="str">
        <f>IF(H92=0,"0.00%",(L92-H92)/H92)</f>
        <v>0.00%</v>
      </c>
      <c r="L92" s="3">
        <f>L7+L90</f>
        <v>0</v>
      </c>
      <c r="M92" s="890"/>
      <c r="O92" s="83" t="str">
        <f>IF(L92=0,"0.00%",(P92-L92)/L92)</f>
        <v>0.00%</v>
      </c>
      <c r="P92" s="3">
        <f>P7+P90</f>
        <v>0</v>
      </c>
      <c r="Q92" s="890"/>
      <c r="S92" s="83" t="str">
        <f>IF(P92=0,"0.00%",(T92-P92)/P92)</f>
        <v>0.00%</v>
      </c>
      <c r="T92" s="49">
        <f>T7+T90</f>
        <v>0</v>
      </c>
      <c r="U92" s="73"/>
      <c r="W92" s="83" t="str">
        <f>IF(T92=0,"0.00%",(X92-T92)/T92)</f>
        <v>0.00%</v>
      </c>
      <c r="X92" s="49">
        <f>X7+X90</f>
        <v>0</v>
      </c>
      <c r="Y92" s="73"/>
      <c r="AA92" s="83" t="str">
        <f>IF(X92=0,"0.00%",(AB92-X92)/X92)</f>
        <v>0.00%</v>
      </c>
      <c r="AB92" s="49" t="e">
        <f>AB7+AB90</f>
        <v>#VALUE!</v>
      </c>
      <c r="AC92" s="73"/>
    </row>
    <row r="93" spans="1:29" x14ac:dyDescent="0.25">
      <c r="C93" s="858"/>
      <c r="G93" s="330"/>
      <c r="H93" s="5"/>
      <c r="I93" s="857"/>
      <c r="J93" s="29"/>
      <c r="L93" s="5"/>
      <c r="M93" s="890"/>
      <c r="P93" s="5"/>
      <c r="Q93" s="890"/>
      <c r="T93" s="5"/>
      <c r="U93" s="73"/>
      <c r="X93" s="5"/>
      <c r="Y93" s="73"/>
      <c r="AB93" s="5"/>
      <c r="AC93" s="73"/>
    </row>
    <row r="94" spans="1:29" x14ac:dyDescent="0.25">
      <c r="C94" s="853"/>
      <c r="G94" s="330"/>
      <c r="H94" s="36"/>
      <c r="I94" s="856"/>
      <c r="J94" s="66"/>
      <c r="L94" s="2"/>
      <c r="M94" s="890"/>
      <c r="Q94" s="890"/>
      <c r="T94" s="2"/>
      <c r="U94" s="73"/>
      <c r="X94" s="2"/>
      <c r="Y94" s="73"/>
      <c r="AB94" s="2"/>
      <c r="AC94" s="73"/>
    </row>
    <row r="95" spans="1:29" x14ac:dyDescent="0.25">
      <c r="C95" s="853"/>
      <c r="G95" s="330"/>
      <c r="H95" s="36"/>
      <c r="I95" s="856"/>
      <c r="J95" s="66"/>
      <c r="L95" s="2"/>
      <c r="M95" s="890"/>
      <c r="Q95" s="890"/>
      <c r="T95" s="2"/>
      <c r="U95" s="73"/>
      <c r="X95" s="2"/>
      <c r="Y95" s="73"/>
      <c r="AB95" s="2"/>
      <c r="AC95" s="73"/>
    </row>
    <row r="96" spans="1:29" x14ac:dyDescent="0.25">
      <c r="C96" s="853"/>
      <c r="G96" s="330"/>
      <c r="H96" s="36"/>
      <c r="I96" s="856"/>
      <c r="J96" s="66"/>
      <c r="L96" s="2"/>
      <c r="M96" s="890"/>
      <c r="Q96" s="890"/>
      <c r="T96" s="2"/>
      <c r="U96" s="73"/>
      <c r="X96" s="2"/>
      <c r="Y96" s="73"/>
      <c r="AB96" s="2"/>
      <c r="AC96" s="73"/>
    </row>
    <row r="97" spans="1:29" x14ac:dyDescent="0.25">
      <c r="C97" s="853"/>
      <c r="G97" s="330"/>
      <c r="H97" s="36"/>
      <c r="I97" s="856"/>
      <c r="J97" s="66"/>
      <c r="L97" s="2"/>
      <c r="M97" s="890"/>
      <c r="Q97" s="890"/>
      <c r="T97" s="2"/>
      <c r="U97" s="73"/>
      <c r="X97" s="2"/>
      <c r="Y97" s="73"/>
      <c r="AB97" s="2"/>
      <c r="AC97" s="73"/>
    </row>
    <row r="98" spans="1:29" s="134" customFormat="1" ht="11.25" x14ac:dyDescent="0.2">
      <c r="A98" s="153"/>
      <c r="B98" s="884"/>
      <c r="C98" s="885" t="s">
        <v>221</v>
      </c>
      <c r="D98" s="131">
        <f>+D82+D66+D53+D41+D30</f>
        <v>640821.34</v>
      </c>
      <c r="E98" s="850"/>
      <c r="G98" s="130" t="s">
        <v>221</v>
      </c>
      <c r="H98" s="131">
        <f>+H82+H66+H53+H41+H30</f>
        <v>0</v>
      </c>
      <c r="I98" s="859"/>
      <c r="J98" s="132"/>
      <c r="K98" s="130" t="s">
        <v>221</v>
      </c>
      <c r="L98" s="131">
        <f>+L82+L66+L53+L41+L30</f>
        <v>0</v>
      </c>
      <c r="M98" s="893"/>
      <c r="O98" s="130" t="s">
        <v>221</v>
      </c>
      <c r="P98" s="131">
        <f>+P82+P66+P53+P41+P30</f>
        <v>0</v>
      </c>
      <c r="Q98" s="893"/>
      <c r="R98" s="136"/>
      <c r="S98" s="130" t="s">
        <v>221</v>
      </c>
      <c r="T98" s="131">
        <f>+T82+T66+T53+T41+T30</f>
        <v>0</v>
      </c>
      <c r="U98" s="135"/>
      <c r="W98" s="130" t="s">
        <v>221</v>
      </c>
      <c r="X98" s="131">
        <f>+X82+X66+X53+X41+X30</f>
        <v>0</v>
      </c>
      <c r="Y98" s="135"/>
      <c r="AA98" s="130" t="s">
        <v>221</v>
      </c>
      <c r="AB98" s="131" t="e">
        <f>+AB82+AB66+AB53+AB41+AB30</f>
        <v>#VALUE!</v>
      </c>
      <c r="AC98" s="135"/>
    </row>
    <row r="99" spans="1:29" s="134" customFormat="1" ht="11.25" x14ac:dyDescent="0.2">
      <c r="A99" s="154"/>
      <c r="B99" s="884"/>
      <c r="C99" s="886" t="s">
        <v>222</v>
      </c>
      <c r="D99" s="139">
        <f>+D13</f>
        <v>0</v>
      </c>
      <c r="E99" s="851"/>
      <c r="F99" s="141"/>
      <c r="G99" s="331" t="s">
        <v>222</v>
      </c>
      <c r="H99" s="139">
        <f>+H13</f>
        <v>0</v>
      </c>
      <c r="I99" s="860"/>
      <c r="J99" s="140"/>
      <c r="K99" s="331" t="s">
        <v>222</v>
      </c>
      <c r="L99" s="139">
        <f>+L13</f>
        <v>0</v>
      </c>
      <c r="M99" s="893"/>
      <c r="O99" s="331" t="s">
        <v>222</v>
      </c>
      <c r="P99" s="139">
        <f>+P13</f>
        <v>0</v>
      </c>
      <c r="Q99" s="850"/>
      <c r="R99" s="136"/>
      <c r="S99" s="138" t="s">
        <v>222</v>
      </c>
      <c r="T99" s="139">
        <f>+T13</f>
        <v>0</v>
      </c>
      <c r="W99" s="138" t="s">
        <v>222</v>
      </c>
      <c r="X99" s="139">
        <f>+X13</f>
        <v>0</v>
      </c>
      <c r="AA99" s="138" t="s">
        <v>222</v>
      </c>
      <c r="AB99" s="139">
        <f>+AB13</f>
        <v>0</v>
      </c>
    </row>
    <row r="100" spans="1:29" s="134" customFormat="1" ht="11.25" x14ac:dyDescent="0.2">
      <c r="A100" s="154"/>
      <c r="B100" s="884"/>
      <c r="C100" s="886"/>
      <c r="D100" s="142">
        <f>+D98+D99</f>
        <v>640821.34</v>
      </c>
      <c r="E100" s="851"/>
      <c r="F100" s="141"/>
      <c r="G100" s="331"/>
      <c r="H100" s="142">
        <f>+H98+H99</f>
        <v>0</v>
      </c>
      <c r="I100" s="860"/>
      <c r="J100" s="140"/>
      <c r="K100" s="331"/>
      <c r="L100" s="142">
        <f>+L98+L99</f>
        <v>0</v>
      </c>
      <c r="M100" s="850"/>
      <c r="O100" s="331"/>
      <c r="P100" s="142">
        <f>+P98+P99</f>
        <v>0</v>
      </c>
      <c r="Q100" s="850"/>
      <c r="R100" s="136"/>
      <c r="S100" s="138"/>
      <c r="T100" s="142">
        <f>+T98+T99</f>
        <v>0</v>
      </c>
      <c r="W100" s="138"/>
      <c r="X100" s="142">
        <f>+X98+X99</f>
        <v>0</v>
      </c>
      <c r="AA100" s="138"/>
      <c r="AB100" s="142" t="e">
        <f>+AB98+AB99</f>
        <v>#VALUE!</v>
      </c>
    </row>
    <row r="101" spans="1:29" ht="15" customHeight="1" x14ac:dyDescent="0.25">
      <c r="A101" s="149"/>
      <c r="B101" s="887"/>
      <c r="C101" s="887"/>
      <c r="D101" s="5">
        <f>+D88-D100</f>
        <v>12729</v>
      </c>
      <c r="E101" s="848"/>
      <c r="F101" s="2"/>
      <c r="G101" s="332"/>
      <c r="H101" s="5">
        <f>+H88-H100</f>
        <v>0</v>
      </c>
      <c r="K101" s="332"/>
      <c r="L101" s="5">
        <f>+L88-L100</f>
        <v>0</v>
      </c>
      <c r="O101" s="332"/>
      <c r="P101" s="5">
        <f>+P88-P100</f>
        <v>0</v>
      </c>
      <c r="S101" s="103"/>
      <c r="T101" s="5">
        <f>+T88-T100</f>
        <v>0</v>
      </c>
      <c r="W101" s="103"/>
      <c r="X101" s="5">
        <f>+X88-X100</f>
        <v>0</v>
      </c>
      <c r="AA101" s="103"/>
      <c r="AB101" s="5" t="e">
        <f>+AB88-AB100</f>
        <v>#VALUE!</v>
      </c>
    </row>
    <row r="102" spans="1:29" x14ac:dyDescent="0.25">
      <c r="A102" s="149"/>
      <c r="B102" s="887"/>
      <c r="C102" s="887"/>
      <c r="D102" s="36"/>
      <c r="E102" s="848"/>
      <c r="F102" s="2"/>
    </row>
    <row r="103" spans="1:29" x14ac:dyDescent="0.25">
      <c r="A103" s="149"/>
      <c r="B103" s="874"/>
      <c r="C103" s="853"/>
      <c r="D103" s="25"/>
      <c r="E103" s="848"/>
      <c r="F103" s="2"/>
    </row>
    <row r="104" spans="1:29" x14ac:dyDescent="0.25">
      <c r="B104" s="874"/>
      <c r="C104" s="853"/>
      <c r="D104" s="36"/>
    </row>
    <row r="105" spans="1:29" x14ac:dyDescent="0.25">
      <c r="B105" s="874"/>
      <c r="C105" s="853"/>
      <c r="D105" s="36"/>
    </row>
    <row r="106" spans="1:29" ht="15" customHeight="1" x14ac:dyDescent="0.25">
      <c r="B106" s="874"/>
      <c r="C106" s="853"/>
      <c r="D106" s="36"/>
    </row>
    <row r="107" spans="1:29" x14ac:dyDescent="0.25">
      <c r="B107" s="874"/>
      <c r="C107" s="853"/>
      <c r="D107" s="36"/>
    </row>
    <row r="108" spans="1:29" x14ac:dyDescent="0.25">
      <c r="B108" s="874"/>
      <c r="C108" s="853"/>
      <c r="D108" s="36"/>
    </row>
    <row r="109" spans="1:29" ht="15" customHeight="1" x14ac:dyDescent="0.25">
      <c r="B109" s="2572"/>
      <c r="C109" s="2572"/>
      <c r="D109" s="36"/>
    </row>
    <row r="110" spans="1:29" x14ac:dyDescent="0.25">
      <c r="B110" s="2572"/>
      <c r="C110" s="2572"/>
      <c r="D110" s="36"/>
    </row>
    <row r="111" spans="1:29" x14ac:dyDescent="0.25">
      <c r="B111" s="874"/>
      <c r="C111" s="853"/>
      <c r="D111" s="6"/>
    </row>
    <row r="112" spans="1:29" x14ac:dyDescent="0.25">
      <c r="B112" s="874"/>
      <c r="C112" s="853"/>
      <c r="D112" s="36"/>
    </row>
    <row r="113" spans="2:4" x14ac:dyDescent="0.25">
      <c r="B113" s="874"/>
      <c r="C113" s="853"/>
      <c r="D113" s="36"/>
    </row>
    <row r="114" spans="2:4" ht="28.5" customHeight="1" x14ac:dyDescent="0.25">
      <c r="B114" s="874"/>
      <c r="C114" s="853"/>
      <c r="D114" s="25"/>
    </row>
    <row r="115" spans="2:4" x14ac:dyDescent="0.25">
      <c r="B115" s="874"/>
      <c r="C115" s="853"/>
      <c r="D115" s="36"/>
    </row>
    <row r="116" spans="2:4" x14ac:dyDescent="0.25">
      <c r="B116" s="874"/>
      <c r="C116" s="853"/>
      <c r="D116" s="36"/>
    </row>
    <row r="117" spans="2:4" x14ac:dyDescent="0.25">
      <c r="B117" s="874"/>
      <c r="C117" s="853"/>
      <c r="D117" s="36"/>
    </row>
    <row r="118" spans="2:4" x14ac:dyDescent="0.25">
      <c r="B118" s="874"/>
      <c r="C118" s="853"/>
      <c r="D118" s="36"/>
    </row>
    <row r="119" spans="2:4" x14ac:dyDescent="0.25">
      <c r="B119" s="874"/>
      <c r="C119" s="853"/>
      <c r="D119" s="36"/>
    </row>
    <row r="120" spans="2:4" x14ac:dyDescent="0.25">
      <c r="B120" s="874"/>
      <c r="C120" s="853"/>
      <c r="D120" s="36"/>
    </row>
    <row r="121" spans="2:4" x14ac:dyDescent="0.25">
      <c r="B121" s="874"/>
      <c r="C121" s="853"/>
      <c r="D121" s="36"/>
    </row>
    <row r="122" spans="2:4" x14ac:dyDescent="0.25">
      <c r="B122" s="874"/>
      <c r="C122" s="853"/>
      <c r="D122" s="36"/>
    </row>
    <row r="123" spans="2:4" x14ac:dyDescent="0.25">
      <c r="B123" s="874"/>
      <c r="C123" s="853"/>
      <c r="D123" s="36"/>
    </row>
    <row r="124" spans="2:4" x14ac:dyDescent="0.25">
      <c r="B124" s="874"/>
      <c r="C124" s="853"/>
      <c r="D124" s="36"/>
    </row>
    <row r="125" spans="2:4" x14ac:dyDescent="0.25">
      <c r="B125" s="874"/>
      <c r="C125" s="853"/>
      <c r="D125" s="36"/>
    </row>
    <row r="126" spans="2:4" x14ac:dyDescent="0.25">
      <c r="B126" s="874"/>
      <c r="C126" s="853"/>
      <c r="D126" s="36"/>
    </row>
    <row r="127" spans="2:4" x14ac:dyDescent="0.25">
      <c r="B127" s="874"/>
      <c r="C127" s="853"/>
      <c r="D127" s="36"/>
    </row>
    <row r="128" spans="2:4" x14ac:dyDescent="0.25">
      <c r="B128" s="874"/>
      <c r="C128" s="853"/>
      <c r="D128" s="36"/>
    </row>
    <row r="129" spans="2:4" x14ac:dyDescent="0.25">
      <c r="B129" s="874"/>
      <c r="C129" s="853"/>
      <c r="D129" s="36"/>
    </row>
  </sheetData>
  <mergeCells count="1">
    <mergeCell ref="B109:C110"/>
  </mergeCells>
  <pageMargins left="0.25" right="0.25" top="0.5" bottom="0.5" header="0.25" footer="0.25"/>
  <pageSetup paperSize="5" scale="73" orientation="portrait" r:id="rId1"/>
  <headerFooter>
    <oddHeader>&amp;L&amp;F</oddHeader>
    <oddFooter>&amp;R&amp;A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C139"/>
  <sheetViews>
    <sheetView zoomScaleNormal="100" workbookViewId="0">
      <pane xSplit="3" ySplit="6" topLeftCell="H7" activePane="bottomRight" state="frozen"/>
      <selection activeCell="H7" sqref="H7"/>
      <selection pane="topRight" activeCell="H7" sqref="H7"/>
      <selection pane="bottomLeft" activeCell="H7" sqref="H7"/>
      <selection pane="bottomRight" activeCell="H7" sqref="H7"/>
    </sheetView>
  </sheetViews>
  <sheetFormatPr defaultRowHeight="15" x14ac:dyDescent="0.25"/>
  <cols>
    <col min="1" max="1" width="1.7109375" style="143" customWidth="1"/>
    <col min="2" max="2" width="8.5703125" style="2172" customWidth="1"/>
    <col min="3" max="3" width="18.28515625" style="2176" customWidth="1"/>
    <col min="4" max="4" width="16" style="2" hidden="1" customWidth="1"/>
    <col min="5" max="5" width="17.7109375" style="844" hidden="1" customWidth="1"/>
    <col min="6" max="6" width="6" style="39" hidden="1" customWidth="1"/>
    <col min="7" max="7" width="11.28515625" style="52" hidden="1" customWidth="1"/>
    <col min="8" max="8" width="13.85546875" style="121" bestFit="1" customWidth="1"/>
    <col min="9" max="9" width="26" style="853" hidden="1" customWidth="1"/>
    <col min="10" max="10" width="5.7109375" style="59" hidden="1" customWidth="1"/>
    <col min="11" max="11" width="9.42578125" style="333" hidden="1" customWidth="1"/>
    <col min="12" max="12" width="14.28515625" style="122" bestFit="1" customWidth="1"/>
    <col min="13" max="13" width="26" style="844" hidden="1" customWidth="1"/>
    <col min="14" max="14" width="5.7109375" style="39" hidden="1" customWidth="1"/>
    <col min="15" max="15" width="9.42578125" style="333" hidden="1" customWidth="1"/>
    <col min="16" max="16" width="14" style="2" bestFit="1" customWidth="1"/>
    <col min="17" max="17" width="26" style="844" hidden="1" customWidth="1"/>
    <col min="18" max="18" width="5.28515625" style="51" hidden="1" customWidth="1"/>
    <col min="19" max="19" width="9.42578125" style="338" hidden="1" customWidth="1"/>
    <col min="20" max="20" width="14" style="39" customWidth="1"/>
    <col min="21" max="21" width="24.85546875" style="39" hidden="1" customWidth="1"/>
    <col min="22" max="22" width="5.7109375" style="109" customWidth="1"/>
    <col min="23" max="23" width="9.42578125" style="2244" hidden="1" customWidth="1"/>
    <col min="24" max="24" width="14" style="39" hidden="1" customWidth="1"/>
    <col min="25" max="25" width="24.85546875" style="39" hidden="1" customWidth="1"/>
    <col min="26" max="26" width="5.7109375" style="39" hidden="1" customWidth="1"/>
    <col min="27" max="27" width="9.42578125" style="333" hidden="1" customWidth="1"/>
    <col min="28" max="28" width="14" style="39" hidden="1" customWidth="1"/>
    <col min="29" max="29" width="24.85546875" style="39" hidden="1" customWidth="1"/>
    <col min="30" max="16384" width="9.140625" style="39"/>
  </cols>
  <sheetData>
    <row r="1" spans="1:29" x14ac:dyDescent="0.25">
      <c r="B1" s="2172" t="s">
        <v>61</v>
      </c>
      <c r="C1" s="2178" t="s">
        <v>303</v>
      </c>
      <c r="D1" s="933"/>
      <c r="E1" s="842"/>
      <c r="F1" s="98"/>
      <c r="G1" s="325"/>
      <c r="H1" s="934"/>
      <c r="I1" s="842"/>
      <c r="K1" s="338"/>
      <c r="L1" s="121"/>
      <c r="M1" s="842"/>
      <c r="N1" s="51"/>
      <c r="O1" s="338"/>
      <c r="P1" s="121"/>
      <c r="Q1" s="842"/>
      <c r="T1" s="86"/>
      <c r="U1" s="98"/>
      <c r="X1" s="86">
        <v>0</v>
      </c>
      <c r="Y1" s="98"/>
      <c r="AB1" s="86">
        <v>0</v>
      </c>
      <c r="AC1" s="98"/>
    </row>
    <row r="2" spans="1:29" ht="17.25" x14ac:dyDescent="0.4">
      <c r="B2" s="2173" t="s">
        <v>59</v>
      </c>
      <c r="C2" s="2177">
        <v>8150</v>
      </c>
      <c r="D2" s="934"/>
      <c r="E2" s="842"/>
      <c r="F2" s="98"/>
      <c r="G2" s="1663"/>
      <c r="H2" s="286">
        <f>ROUND(+COMBINED!G58*0.03,0)</f>
        <v>2603840</v>
      </c>
      <c r="I2" s="286" t="s">
        <v>942</v>
      </c>
      <c r="J2" s="286"/>
      <c r="K2" s="286"/>
      <c r="L2" s="286">
        <f>ROUND(+COMBINED!H58*0.03,0)</f>
        <v>2612567</v>
      </c>
      <c r="M2" s="286" t="s">
        <v>942</v>
      </c>
      <c r="N2" s="286"/>
      <c r="O2" s="286"/>
      <c r="P2" s="286">
        <f>ROUND(+COMBINED!I58*0.03,0)</f>
        <v>2596585</v>
      </c>
      <c r="Q2" s="286" t="s">
        <v>942</v>
      </c>
      <c r="T2" s="286">
        <f>ROUND(+COMBINED!J58*0.03,0)</f>
        <v>2570321</v>
      </c>
      <c r="U2" s="286" t="s">
        <v>942</v>
      </c>
      <c r="X2" s="87">
        <v>0</v>
      </c>
      <c r="Y2" s="98"/>
      <c r="AB2" s="87">
        <v>0</v>
      </c>
      <c r="AC2" s="98"/>
    </row>
    <row r="3" spans="1:29" x14ac:dyDescent="0.25">
      <c r="D3" s="935"/>
      <c r="E3" s="852"/>
      <c r="F3" s="936"/>
      <c r="G3" s="1664"/>
      <c r="H3" s="121">
        <f>+H2-H9</f>
        <v>-4958</v>
      </c>
      <c r="I3" s="852" t="s">
        <v>943</v>
      </c>
      <c r="K3" s="338"/>
      <c r="L3" s="121">
        <f>+L2-L9</f>
        <v>0</v>
      </c>
      <c r="M3" s="853"/>
      <c r="N3" s="51"/>
      <c r="O3" s="338"/>
      <c r="P3" s="121">
        <f>+P2-P9</f>
        <v>0.34000000031664968</v>
      </c>
      <c r="Q3" s="853"/>
      <c r="T3" s="86"/>
      <c r="U3" s="51"/>
      <c r="X3" s="86">
        <f>SUM(X1:X2)</f>
        <v>0</v>
      </c>
      <c r="Y3" s="51"/>
      <c r="AB3" s="86">
        <f>SUM(AB1:AB2)</f>
        <v>0</v>
      </c>
      <c r="AC3" s="51"/>
    </row>
    <row r="4" spans="1:29" x14ac:dyDescent="0.25">
      <c r="D4" s="36"/>
      <c r="E4" s="853"/>
      <c r="F4" s="51"/>
      <c r="G4" s="330"/>
      <c r="K4" s="338"/>
      <c r="L4" s="121"/>
      <c r="M4" s="853"/>
      <c r="N4" s="51"/>
      <c r="O4" s="338"/>
      <c r="P4" s="121"/>
      <c r="Q4" s="853"/>
      <c r="T4" s="86"/>
      <c r="U4" s="51"/>
      <c r="X4" s="86"/>
      <c r="Y4" s="51"/>
      <c r="AB4" s="86"/>
      <c r="AC4" s="51"/>
    </row>
    <row r="5" spans="1:29" ht="15.75" x14ac:dyDescent="0.25">
      <c r="B5" s="2174" t="s">
        <v>56</v>
      </c>
      <c r="L5" s="122">
        <f>L102</f>
        <v>486.48000000044703</v>
      </c>
      <c r="P5" s="122">
        <f>P102</f>
        <v>-0.33999999985098839</v>
      </c>
      <c r="T5" s="122">
        <f>T102</f>
        <v>16200.089999999851</v>
      </c>
      <c r="X5" s="73"/>
      <c r="AB5" s="73"/>
    </row>
    <row r="6" spans="1:29" s="89" customFormat="1" ht="15.75" x14ac:dyDescent="0.25">
      <c r="A6" s="144"/>
      <c r="B6" s="2175"/>
      <c r="C6" s="2175"/>
      <c r="D6" s="243" t="s">
        <v>55</v>
      </c>
      <c r="E6" s="845"/>
      <c r="G6" s="327"/>
      <c r="H6" s="282" t="str">
        <f>LEFT(D6,4)+1&amp;"-"&amp;RIGHT(D6,4)+1</f>
        <v>2017-2018</v>
      </c>
      <c r="I6" s="854"/>
      <c r="J6" s="93"/>
      <c r="K6" s="334"/>
      <c r="L6" s="123" t="str">
        <f>LEFT(H6,4)+1&amp;"-"&amp;RIGHT(H6,4)+1</f>
        <v>2018-2019</v>
      </c>
      <c r="M6" s="888"/>
      <c r="N6" s="96"/>
      <c r="O6" s="337"/>
      <c r="P6" s="123" t="str">
        <f>LEFT(L6,4)+1&amp;"-"&amp;RIGHT(L6,4)+1</f>
        <v>2019-2020</v>
      </c>
      <c r="Q6" s="888"/>
      <c r="R6" s="2237"/>
      <c r="S6" s="2242"/>
      <c r="T6" s="95" t="str">
        <f>LEFT(P6,4)+1&amp;"-"&amp;RIGHT(P6,4)+1</f>
        <v>2020-2021</v>
      </c>
      <c r="U6" s="95"/>
      <c r="V6" s="110"/>
      <c r="W6" s="2245"/>
      <c r="X6" s="95" t="str">
        <f>LEFT(T6,4)+1&amp;"-"&amp;RIGHT(T6,4)+1</f>
        <v>2021-2022</v>
      </c>
      <c r="Y6" s="95"/>
      <c r="Z6" s="96"/>
      <c r="AA6" s="337"/>
      <c r="AB6" s="95" t="str">
        <f>LEFT(X6,4)+1&amp;"-"&amp;RIGHT(X6,4)+1</f>
        <v>2022-2023</v>
      </c>
      <c r="AC6" s="95"/>
    </row>
    <row r="7" spans="1:29" s="457" customFormat="1" x14ac:dyDescent="0.25">
      <c r="A7" s="1656"/>
      <c r="B7" s="2337" t="s">
        <v>54</v>
      </c>
      <c r="C7" s="2215"/>
      <c r="D7" s="340">
        <v>796942.06</v>
      </c>
      <c r="E7" s="1656"/>
      <c r="G7" s="2338"/>
      <c r="H7" s="340">
        <f>D102</f>
        <v>887128.48000000045</v>
      </c>
      <c r="I7" s="1656"/>
      <c r="J7" s="599"/>
      <c r="K7" s="1668"/>
      <c r="L7" s="340">
        <f>H102</f>
        <v>507464.48000000045</v>
      </c>
      <c r="M7" s="1656"/>
      <c r="O7" s="1668"/>
      <c r="P7" s="340">
        <f>L102</f>
        <v>486.48000000044703</v>
      </c>
      <c r="Q7" s="1656"/>
      <c r="R7" s="592"/>
      <c r="S7" s="2341"/>
      <c r="T7" s="340">
        <f>P102</f>
        <v>-0.33999999985098839</v>
      </c>
      <c r="V7" s="952"/>
      <c r="W7" s="2343"/>
      <c r="X7" s="340">
        <f>T102</f>
        <v>16200.089999999851</v>
      </c>
      <c r="AA7" s="1668"/>
      <c r="AB7" s="340">
        <f>X102</f>
        <v>16200.089999999851</v>
      </c>
    </row>
    <row r="8" spans="1:29" s="457" customFormat="1" x14ac:dyDescent="0.25">
      <c r="A8" s="1656"/>
      <c r="B8" s="2345"/>
      <c r="C8" s="2215"/>
      <c r="D8" s="340"/>
      <c r="E8" s="1656"/>
      <c r="G8" s="2338"/>
      <c r="H8" s="340"/>
      <c r="I8" s="2339"/>
      <c r="J8" s="592"/>
      <c r="K8" s="1668"/>
      <c r="L8" s="340"/>
      <c r="M8" s="1656"/>
      <c r="O8" s="1668"/>
      <c r="P8" s="340"/>
      <c r="Q8" s="1656"/>
      <c r="R8" s="592"/>
      <c r="S8" s="2341"/>
      <c r="V8" s="952"/>
      <c r="W8" s="2343"/>
      <c r="AA8" s="1668"/>
    </row>
    <row r="9" spans="1:29" s="457" customFormat="1" x14ac:dyDescent="0.25">
      <c r="A9" s="1656"/>
      <c r="B9" s="2345" t="s">
        <v>52</v>
      </c>
      <c r="C9" s="2215" t="s">
        <v>304</v>
      </c>
      <c r="D9" s="340">
        <v>2400861</v>
      </c>
      <c r="E9" s="1656"/>
      <c r="G9" s="456">
        <f>IF(D9=0,"0.00%",(H9-D9)/D9)</f>
        <v>8.6609345563945603E-2</v>
      </c>
      <c r="H9" s="833">
        <v>2608798</v>
      </c>
      <c r="I9" s="1656" t="s">
        <v>331</v>
      </c>
      <c r="J9" s="342"/>
      <c r="K9" s="456">
        <f>IF(H9=0,"0.00%",(L9-H9)/H9)</f>
        <v>1.4447266518910241E-3</v>
      </c>
      <c r="L9" s="833">
        <f>ROUND(COMBINED!H58*0.03,0)</f>
        <v>2612567</v>
      </c>
      <c r="M9" s="1656" t="s">
        <v>331</v>
      </c>
      <c r="O9" s="456">
        <f>IF(L9=0,"0.00%",(P9-L9)/L9)</f>
        <v>-6.1174852166471965E-3</v>
      </c>
      <c r="P9" s="833">
        <f>COMBINED!I58*0.03</f>
        <v>2596584.6599999997</v>
      </c>
      <c r="Q9" s="1656" t="s">
        <v>331</v>
      </c>
      <c r="R9" s="592"/>
      <c r="S9" s="2238">
        <f>IF(P9=0,"0.00%",(T9-P9)/P9)</f>
        <v>-1.0114528674755393E-2</v>
      </c>
      <c r="T9" s="833">
        <f>COMBINED!J58*0.03</f>
        <v>2570321.4299999997</v>
      </c>
      <c r="U9" s="1656" t="s">
        <v>331</v>
      </c>
      <c r="V9" s="952"/>
      <c r="W9" s="2241">
        <f>IF(T9=0,"0.00%",(X9-T9)/T9)</f>
        <v>-1</v>
      </c>
      <c r="X9" s="833">
        <f>X3</f>
        <v>0</v>
      </c>
      <c r="AA9" s="456" t="str">
        <f>IF(X9=0,"0.00%",(AB9-X9)/X9)</f>
        <v>0.00%</v>
      </c>
      <c r="AB9" s="833">
        <f>AB3</f>
        <v>0</v>
      </c>
    </row>
    <row r="10" spans="1:29" s="457" customFormat="1" x14ac:dyDescent="0.25">
      <c r="A10" s="1656"/>
      <c r="B10" s="2345"/>
      <c r="C10" s="2215" t="s">
        <v>305</v>
      </c>
      <c r="D10" s="340">
        <v>0</v>
      </c>
      <c r="E10" s="1656"/>
      <c r="G10" s="456" t="str">
        <f t="shared" ref="G10:G15" si="0">IF(D10=0,"0.00%",(H10-D10)/D10)</f>
        <v>0.00%</v>
      </c>
      <c r="H10" s="833">
        <v>0</v>
      </c>
      <c r="I10" s="1656"/>
      <c r="J10" s="342"/>
      <c r="K10" s="456" t="str">
        <f>IF(H10=0,"0.00%",(L10-H10)/H10)</f>
        <v>0.00%</v>
      </c>
      <c r="L10" s="833">
        <f>2679245-2612567</f>
        <v>66678</v>
      </c>
      <c r="M10" s="1656"/>
      <c r="O10" s="456">
        <f>IF(L10=0,"0.00%",(P10-L10)/L10)</f>
        <v>4.9855202615555356</v>
      </c>
      <c r="P10" s="833">
        <v>399102.52</v>
      </c>
      <c r="Q10" s="1656"/>
      <c r="R10" s="592"/>
      <c r="S10" s="2238">
        <f>IF(P10=0,"0.00%",(T10-P10)/P10)</f>
        <v>0.19740411561420354</v>
      </c>
      <c r="T10" s="833">
        <v>477887</v>
      </c>
      <c r="V10" s="952"/>
      <c r="W10" s="2241">
        <f>IF(T10=0,"0.00%",(X10-T10)/T10)</f>
        <v>5.0116324570452848</v>
      </c>
      <c r="X10" s="833">
        <f>+X98-X9</f>
        <v>2872881</v>
      </c>
      <c r="AA10" s="456" t="e">
        <f>IF(X10=0,"0.00%",(AB10-X10)/X10)</f>
        <v>#VALUE!</v>
      </c>
      <c r="AB10" s="833" t="e">
        <f>+AB98-AB9</f>
        <v>#VALUE!</v>
      </c>
    </row>
    <row r="11" spans="1:29" s="457" customFormat="1" x14ac:dyDescent="0.25">
      <c r="A11" s="1656"/>
      <c r="B11" s="2337" t="s">
        <v>137</v>
      </c>
      <c r="C11" s="2215"/>
      <c r="D11" s="458">
        <f>SUM(D9:D10)</f>
        <v>2400861</v>
      </c>
      <c r="E11" s="1656"/>
      <c r="G11" s="456">
        <f t="shared" si="0"/>
        <v>8.6609345563945603E-2</v>
      </c>
      <c r="H11" s="458">
        <f>SUM(H9:H10)</f>
        <v>2608798</v>
      </c>
      <c r="I11" s="2316">
        <f>+H11-D11</f>
        <v>207937</v>
      </c>
      <c r="J11" s="601"/>
      <c r="K11" s="456">
        <f>IF(H11=0,"0.00%",(L11-H11)/H11)</f>
        <v>2.7003623891156004E-2</v>
      </c>
      <c r="L11" s="458">
        <f>SUM(L9:L10)</f>
        <v>2679245</v>
      </c>
      <c r="M11" s="2316">
        <f>+L11-H11</f>
        <v>70447</v>
      </c>
      <c r="O11" s="456">
        <f>IF(L11=0,"0.00%",(P11-L11)/L11)</f>
        <v>0.11810871346218793</v>
      </c>
      <c r="P11" s="458">
        <f>SUM(P9:P10)</f>
        <v>2995687.1799999997</v>
      </c>
      <c r="Q11" s="2316">
        <f>+P11-L11</f>
        <v>316442.1799999997</v>
      </c>
      <c r="R11" s="592"/>
      <c r="S11" s="2238">
        <f>IF(P11=0,"0.00%",(T11-P11)/P11)</f>
        <v>1.7532287867253218E-2</v>
      </c>
      <c r="T11" s="2353">
        <f>SUM(T9:T10)</f>
        <v>3048208.4299999997</v>
      </c>
      <c r="V11" s="952"/>
      <c r="W11" s="2241">
        <f>IF(T11=0,"0.00%",(X11-T11)/T11)</f>
        <v>-5.7518189463179104E-2</v>
      </c>
      <c r="X11" s="2353">
        <f>SUM(X9:X10)</f>
        <v>2872881</v>
      </c>
      <c r="AA11" s="456" t="e">
        <f>IF(X11=0,"0.00%",(AB11-X11)/X11)</f>
        <v>#VALUE!</v>
      </c>
      <c r="AB11" s="2353" t="e">
        <f>SUM(AB9:AB10)</f>
        <v>#VALUE!</v>
      </c>
    </row>
    <row r="12" spans="1:29" s="457" customFormat="1" x14ac:dyDescent="0.25">
      <c r="A12" s="1656"/>
      <c r="B12" s="2345"/>
      <c r="C12" s="2215"/>
      <c r="D12" s="340"/>
      <c r="E12" s="1656"/>
      <c r="G12" s="2338"/>
      <c r="H12" s="833"/>
      <c r="I12" s="1656"/>
      <c r="J12" s="602"/>
      <c r="K12" s="2338"/>
      <c r="L12" s="833"/>
      <c r="M12" s="1656"/>
      <c r="O12" s="2338"/>
      <c r="P12" s="833"/>
      <c r="Q12" s="1656"/>
      <c r="R12" s="592"/>
      <c r="S12" s="2355"/>
      <c r="T12" s="2356"/>
      <c r="V12" s="952"/>
      <c r="W12" s="2357"/>
      <c r="X12" s="2356"/>
      <c r="AA12" s="2338"/>
      <c r="AB12" s="2356"/>
    </row>
    <row r="13" spans="1:29" s="457" customFormat="1" x14ac:dyDescent="0.25">
      <c r="A13" s="1656"/>
      <c r="B13" s="2449"/>
      <c r="C13" s="2358" t="s">
        <v>64</v>
      </c>
      <c r="D13" s="2359">
        <f>+ROUND((D55+D69+D89)*$B$13,0)</f>
        <v>0</v>
      </c>
      <c r="E13" s="1656"/>
      <c r="G13" s="456" t="str">
        <f t="shared" si="0"/>
        <v>0.00%</v>
      </c>
      <c r="H13" s="2359">
        <f>+ROUND((H55+H69+H89)*$B$13,0)</f>
        <v>0</v>
      </c>
      <c r="I13" s="1656"/>
      <c r="J13" s="603"/>
      <c r="K13" s="456" t="str">
        <f>IF(H13=0,"0.00%",(L13-H13)/H13)</f>
        <v>0.00%</v>
      </c>
      <c r="L13" s="2359">
        <f>+ROUND((L55+L69+L89)*$B$13,0)</f>
        <v>0</v>
      </c>
      <c r="M13" s="1656"/>
      <c r="O13" s="456" t="str">
        <f>IF(L13=0,"0.00%",(P13-L13)/L13)</f>
        <v>0.00%</v>
      </c>
      <c r="P13" s="2359">
        <f>+ROUND((P55+P69+P89)*$B$13,0)</f>
        <v>0</v>
      </c>
      <c r="Q13" s="1656"/>
      <c r="R13" s="592"/>
      <c r="S13" s="2238" t="str">
        <f>IF(P13=0,"0.00%",(T13-P13)/P13)</f>
        <v>0.00%</v>
      </c>
      <c r="T13" s="2362">
        <f>+ROUND((T55+T69+T89)*$B$13,0)</f>
        <v>0</v>
      </c>
      <c r="V13" s="952"/>
      <c r="W13" s="2241" t="str">
        <f>IF(T13=0,"0.00%",(X13-T13)/T13)</f>
        <v>0.00%</v>
      </c>
      <c r="X13" s="2362">
        <f>+ROUND((X55+X69+X89)*$B$13,0)</f>
        <v>0</v>
      </c>
      <c r="AA13" s="456" t="str">
        <f>IF(X13=0,"0.00%",(AB13-X13)/X13)</f>
        <v>0.00%</v>
      </c>
      <c r="AB13" s="2362" t="e">
        <f>+ROUND((AB55+AB69+AB89)*$B$13,0)</f>
        <v>#VALUE!</v>
      </c>
    </row>
    <row r="14" spans="1:29" s="457" customFormat="1" x14ac:dyDescent="0.25">
      <c r="A14" s="1656"/>
      <c r="B14" s="2345"/>
      <c r="C14" s="2215"/>
      <c r="D14" s="340"/>
      <c r="E14" s="1656"/>
      <c r="G14" s="2338"/>
      <c r="H14" s="833"/>
      <c r="I14" s="1656"/>
      <c r="J14" s="602"/>
      <c r="K14" s="2338"/>
      <c r="L14" s="833"/>
      <c r="M14" s="1656"/>
      <c r="O14" s="2338"/>
      <c r="P14" s="833"/>
      <c r="Q14" s="1656"/>
      <c r="R14" s="592"/>
      <c r="S14" s="2355"/>
      <c r="T14" s="2356"/>
      <c r="V14" s="952"/>
      <c r="W14" s="2357"/>
      <c r="X14" s="2356"/>
      <c r="AA14" s="2338"/>
      <c r="AB14" s="2356"/>
    </row>
    <row r="15" spans="1:29" s="457" customFormat="1" x14ac:dyDescent="0.25">
      <c r="A15" s="1656"/>
      <c r="B15" s="2337" t="s">
        <v>50</v>
      </c>
      <c r="C15" s="2215"/>
      <c r="D15" s="1866">
        <f>D11-D13+D7</f>
        <v>3197803.06</v>
      </c>
      <c r="E15" s="1656"/>
      <c r="G15" s="456">
        <f t="shared" si="0"/>
        <v>-0.18419053611137642</v>
      </c>
      <c r="H15" s="2359">
        <f>H11-H13</f>
        <v>2608798</v>
      </c>
      <c r="I15" s="2316">
        <f>+H15-D15</f>
        <v>-589005.06000000006</v>
      </c>
      <c r="J15" s="601"/>
      <c r="K15" s="456">
        <f>IF(H15=0,"0.00%",(L15-H15)/H15)</f>
        <v>2.7003623891156004E-2</v>
      </c>
      <c r="L15" s="2359">
        <f>L11-L13</f>
        <v>2679245</v>
      </c>
      <c r="M15" s="2316">
        <f>+L15-H15</f>
        <v>70447</v>
      </c>
      <c r="O15" s="456">
        <f>IF(L15=0,"0.00%",(P15-L15)/L15)</f>
        <v>0.11810871346218793</v>
      </c>
      <c r="P15" s="2359">
        <f>P11-P13</f>
        <v>2995687.1799999997</v>
      </c>
      <c r="Q15" s="2316">
        <f>+P15-L15</f>
        <v>316442.1799999997</v>
      </c>
      <c r="R15" s="592"/>
      <c r="S15" s="2238">
        <f>IF(P15=0,"0.00%",(T15-P15)/P15)</f>
        <v>1.7532287867253218E-2</v>
      </c>
      <c r="T15" s="2366">
        <f>T11-T13</f>
        <v>3048208.4299999997</v>
      </c>
      <c r="V15" s="952"/>
      <c r="W15" s="2241">
        <f>IF(T15=0,"0.00%",(X15-T15)/T15)</f>
        <v>-5.7518189463179104E-2</v>
      </c>
      <c r="X15" s="2366">
        <f>X11-X13</f>
        <v>2872881</v>
      </c>
      <c r="AA15" s="456" t="e">
        <f>IF(X15=0,"0.00%",(AB15-X15)/X15)</f>
        <v>#VALUE!</v>
      </c>
      <c r="AB15" s="2366" t="e">
        <f>AB11-AB13</f>
        <v>#VALUE!</v>
      </c>
    </row>
    <row r="16" spans="1:29" s="457" customFormat="1" x14ac:dyDescent="0.25">
      <c r="A16" s="1656"/>
      <c r="B16" s="2345"/>
      <c r="C16" s="2215"/>
      <c r="D16" s="340"/>
      <c r="E16" s="1656"/>
      <c r="G16" s="2338"/>
      <c r="H16" s="833"/>
      <c r="I16" s="1656"/>
      <c r="J16" s="601"/>
      <c r="K16" s="1668"/>
      <c r="L16" s="833"/>
      <c r="M16" s="1656"/>
      <c r="O16" s="1668"/>
      <c r="P16" s="833"/>
      <c r="Q16" s="1656"/>
      <c r="R16" s="592"/>
      <c r="S16" s="2341"/>
      <c r="T16" s="2367"/>
      <c r="V16" s="952"/>
      <c r="W16" s="2343"/>
      <c r="X16" s="2367"/>
      <c r="AA16" s="1668"/>
      <c r="AB16" s="2367"/>
    </row>
    <row r="17" spans="1:29" s="457" customFormat="1" x14ac:dyDescent="0.25">
      <c r="A17" s="1656"/>
      <c r="B17" s="2345"/>
      <c r="C17" s="2345"/>
      <c r="D17" s="340"/>
      <c r="E17" s="1656"/>
      <c r="G17" s="2338"/>
      <c r="H17" s="833"/>
      <c r="I17" s="1656"/>
      <c r="J17" s="602"/>
      <c r="K17" s="1668"/>
      <c r="L17" s="833"/>
      <c r="M17" s="1656"/>
      <c r="O17" s="1668"/>
      <c r="P17" s="833"/>
      <c r="Q17" s="1656"/>
      <c r="R17" s="592"/>
      <c r="S17" s="2341"/>
      <c r="T17" s="2356"/>
      <c r="V17" s="952"/>
      <c r="W17" s="2343"/>
      <c r="X17" s="2356"/>
      <c r="AA17" s="1668"/>
      <c r="AB17" s="2356"/>
    </row>
    <row r="18" spans="1:29" s="457" customFormat="1" x14ac:dyDescent="0.25">
      <c r="A18" s="1867"/>
      <c r="B18" s="2345"/>
      <c r="C18" s="2215"/>
      <c r="D18" s="459" t="s">
        <v>807</v>
      </c>
      <c r="E18" s="1867"/>
      <c r="F18" s="2433"/>
      <c r="G18" s="2338"/>
      <c r="H18" s="459" t="s">
        <v>176</v>
      </c>
      <c r="I18" s="1867"/>
      <c r="J18" s="604"/>
      <c r="K18" s="1668"/>
      <c r="L18" s="2370"/>
      <c r="M18" s="1867"/>
      <c r="O18" s="1668"/>
      <c r="P18" s="340"/>
      <c r="Q18" s="1867"/>
      <c r="R18" s="592"/>
      <c r="S18" s="2341"/>
      <c r="U18" s="2433"/>
      <c r="V18" s="952"/>
      <c r="W18" s="2343"/>
      <c r="Y18" s="2433"/>
      <c r="AA18" s="1668"/>
      <c r="AC18" s="2433"/>
    </row>
    <row r="19" spans="1:29" s="457" customFormat="1" ht="17.25" x14ac:dyDescent="0.4">
      <c r="A19" s="2434"/>
      <c r="B19" s="2345"/>
      <c r="C19" s="2215"/>
      <c r="D19" s="2435" t="s">
        <v>808</v>
      </c>
      <c r="E19" s="2434"/>
      <c r="F19" s="2436"/>
      <c r="G19" s="2338"/>
      <c r="H19" s="2435" t="s">
        <v>48</v>
      </c>
      <c r="I19" s="2371"/>
      <c r="J19" s="459"/>
      <c r="K19" s="1668"/>
      <c r="L19" s="2372" t="s">
        <v>48</v>
      </c>
      <c r="M19" s="2438"/>
      <c r="O19" s="1668"/>
      <c r="P19" s="2372" t="s">
        <v>48</v>
      </c>
      <c r="Q19" s="2438">
        <v>1.4999999999999999E-2</v>
      </c>
      <c r="R19" s="592"/>
      <c r="S19" s="2341"/>
      <c r="T19" s="2372" t="s">
        <v>48</v>
      </c>
      <c r="U19" s="2374">
        <v>0.02</v>
      </c>
      <c r="V19" s="952"/>
      <c r="W19" s="2343"/>
      <c r="X19" s="2372" t="s">
        <v>48</v>
      </c>
      <c r="Y19" s="2374">
        <v>0.02</v>
      </c>
      <c r="AA19" s="1668"/>
      <c r="AB19" s="2372" t="s">
        <v>48</v>
      </c>
      <c r="AC19" s="2374">
        <v>0.02</v>
      </c>
    </row>
    <row r="20" spans="1:29" s="2378" customFormat="1" hidden="1" x14ac:dyDescent="0.25">
      <c r="A20" s="900"/>
      <c r="B20" s="2337" t="s">
        <v>46</v>
      </c>
      <c r="C20" s="2358"/>
      <c r="D20" s="1866"/>
      <c r="E20" s="2375"/>
      <c r="F20" s="1866"/>
      <c r="G20" s="2376"/>
      <c r="H20" s="1866"/>
      <c r="I20" s="868"/>
      <c r="J20" s="460"/>
      <c r="K20" s="606"/>
      <c r="L20" s="1866"/>
      <c r="M20" s="2379"/>
      <c r="O20" s="606"/>
      <c r="P20" s="1866"/>
      <c r="Q20" s="2379"/>
      <c r="R20" s="461"/>
      <c r="S20" s="1669"/>
      <c r="T20" s="1866"/>
      <c r="U20" s="2383"/>
      <c r="V20" s="2381"/>
      <c r="W20" s="2382"/>
      <c r="X20" s="1866"/>
      <c r="Y20" s="2383"/>
      <c r="AA20" s="606"/>
      <c r="AB20" s="1866"/>
      <c r="AC20" s="2383"/>
    </row>
    <row r="21" spans="1:29" s="457" customFormat="1" hidden="1" x14ac:dyDescent="0.25">
      <c r="A21" s="2439"/>
      <c r="B21" s="2385"/>
      <c r="C21" s="2215"/>
      <c r="D21" s="340">
        <v>0</v>
      </c>
      <c r="E21" s="2386"/>
      <c r="F21" s="340"/>
      <c r="G21" s="456" t="str">
        <f t="shared" ref="G21:G30" si="1">IF(D21=0,"0.00%",(H21-D21)/D21)</f>
        <v>0.00%</v>
      </c>
      <c r="H21" s="340">
        <f t="shared" ref="H21:H27" si="2">ROUND(D21*(1+$I$19),0)</f>
        <v>0</v>
      </c>
      <c r="I21" s="899" t="str">
        <f t="shared" ref="I21:I28" si="3">TEXT($I$19,"0.0%")&amp;" = Est. S &amp; C"</f>
        <v>0.0% = Est. S &amp; C</v>
      </c>
      <c r="J21" s="455"/>
      <c r="K21" s="456" t="str">
        <f t="shared" ref="K21:K27" si="4">IF(H21=0,"0.00%",(L21-H21)/H21)</f>
        <v>0.00%</v>
      </c>
      <c r="L21" s="340">
        <f>ROUND(H21*(1+M19),0)</f>
        <v>0</v>
      </c>
      <c r="M21" s="897" t="str">
        <f>TEXT(M19,"0.0%")&amp;" = Est. S &amp; C"</f>
        <v>0.0% = Est. S &amp; C</v>
      </c>
      <c r="O21" s="456" t="str">
        <f t="shared" ref="O21:O27" si="5">IF(L21=0,"0.00%",(P21-L21)/L21)</f>
        <v>0.00%</v>
      </c>
      <c r="P21" s="340">
        <f>ROUND(L21*(1+Q19),0)</f>
        <v>0</v>
      </c>
      <c r="Q21" s="897" t="str">
        <f>TEXT(Q19,"0.0%")&amp;" = Est. S &amp; C"</f>
        <v>1.5% = Est. S &amp; C</v>
      </c>
      <c r="R21" s="592"/>
      <c r="S21" s="2238" t="str">
        <f t="shared" ref="S21:S27" si="6">IF(P21=0,"0.00%",(T21-P21)/P21)</f>
        <v>0.00%</v>
      </c>
      <c r="T21" s="340">
        <f>ROUND(P21*(1+U19),0)</f>
        <v>0</v>
      </c>
      <c r="U21" s="455" t="str">
        <f>TEXT(U19,"0.0%")&amp;" = Est. S &amp; C"</f>
        <v>2.0% = Est. S &amp; C</v>
      </c>
      <c r="V21" s="952"/>
      <c r="W21" s="2241" t="str">
        <f t="shared" ref="W21:W27" si="7">IF(T21=0,"0.00%",(X21-T21)/T21)</f>
        <v>0.00%</v>
      </c>
      <c r="X21" s="340">
        <f>ROUND(T21*(1+Y19),0)</f>
        <v>0</v>
      </c>
      <c r="Y21" s="455" t="str">
        <f>TEXT(Y19,"0.0%")&amp;" = Est. S &amp; C"</f>
        <v>2.0% = Est. S &amp; C</v>
      </c>
      <c r="AA21" s="456" t="str">
        <f t="shared" ref="AA21:AA27" si="8">IF(X21=0,"0.00%",(AB21-X21)/X21)</f>
        <v>0.00%</v>
      </c>
      <c r="AB21" s="340">
        <f>ROUND(X21*(1+AC19),0)</f>
        <v>0</v>
      </c>
      <c r="AC21" s="455" t="str">
        <f>TEXT(AC19,"0.0%")&amp;" = Est. S &amp; C"</f>
        <v>2.0% = Est. S &amp; C</v>
      </c>
    </row>
    <row r="22" spans="1:29" s="457" customFormat="1" hidden="1" x14ac:dyDescent="0.25">
      <c r="A22" s="897"/>
      <c r="B22" s="2385"/>
      <c r="C22" s="2215"/>
      <c r="D22" s="340">
        <v>0</v>
      </c>
      <c r="E22" s="2386"/>
      <c r="F22" s="340"/>
      <c r="G22" s="456" t="str">
        <f t="shared" si="1"/>
        <v>0.00%</v>
      </c>
      <c r="H22" s="340">
        <f t="shared" si="2"/>
        <v>0</v>
      </c>
      <c r="I22" s="897" t="str">
        <f t="shared" si="3"/>
        <v>0.0% = Est. S &amp; C</v>
      </c>
      <c r="J22" s="455"/>
      <c r="K22" s="456" t="str">
        <f t="shared" si="4"/>
        <v>0.00%</v>
      </c>
      <c r="L22" s="340">
        <f>ROUND(H22*(1+M19),0)</f>
        <v>0</v>
      </c>
      <c r="M22" s="897" t="str">
        <f>TEXT(M19,"0.0%")&amp;" = Est. S &amp; C"</f>
        <v>0.0% = Est. S &amp; C</v>
      </c>
      <c r="O22" s="456" t="str">
        <f t="shared" si="5"/>
        <v>0.00%</v>
      </c>
      <c r="P22" s="340">
        <f>ROUND(L22*(1+Q19),0)</f>
        <v>0</v>
      </c>
      <c r="Q22" s="897" t="str">
        <f>TEXT(Q19,"0.0%")&amp;" = Est. S &amp; C"</f>
        <v>1.5% = Est. S &amp; C</v>
      </c>
      <c r="R22" s="592"/>
      <c r="S22" s="2238" t="str">
        <f t="shared" si="6"/>
        <v>0.00%</v>
      </c>
      <c r="T22" s="340">
        <f>ROUND(P22*(1+U19),0)</f>
        <v>0</v>
      </c>
      <c r="U22" s="455" t="str">
        <f>TEXT(U19,"0.0%")&amp;" = Est. S &amp; C"</f>
        <v>2.0% = Est. S &amp; C</v>
      </c>
      <c r="V22" s="952"/>
      <c r="W22" s="2241" t="str">
        <f t="shared" si="7"/>
        <v>0.00%</v>
      </c>
      <c r="X22" s="340">
        <f>ROUND(T22*(1+Y19),0)</f>
        <v>0</v>
      </c>
      <c r="Y22" s="455" t="str">
        <f>TEXT(Y19,"0.0%")&amp;" = Est. S &amp; C"</f>
        <v>2.0% = Est. S &amp; C</v>
      </c>
      <c r="AA22" s="456" t="str">
        <f t="shared" si="8"/>
        <v>0.00%</v>
      </c>
      <c r="AB22" s="340">
        <f>ROUND(X22*(1+AC19),0)</f>
        <v>0</v>
      </c>
      <c r="AC22" s="455" t="str">
        <f>TEXT(AC19,"0.0%")&amp;" = Est. S &amp; C"</f>
        <v>2.0% = Est. S &amp; C</v>
      </c>
    </row>
    <row r="23" spans="1:29" s="457" customFormat="1" hidden="1" x14ac:dyDescent="0.25">
      <c r="A23" s="897"/>
      <c r="B23" s="2385"/>
      <c r="C23" s="2215"/>
      <c r="D23" s="340">
        <v>0</v>
      </c>
      <c r="E23" s="2386"/>
      <c r="F23" s="340"/>
      <c r="G23" s="456" t="str">
        <f t="shared" si="1"/>
        <v>0.00%</v>
      </c>
      <c r="H23" s="340">
        <f t="shared" si="2"/>
        <v>0</v>
      </c>
      <c r="I23" s="897" t="str">
        <f t="shared" si="3"/>
        <v>0.0% = Est. S &amp; C</v>
      </c>
      <c r="J23" s="455"/>
      <c r="K23" s="456" t="str">
        <f t="shared" si="4"/>
        <v>0.00%</v>
      </c>
      <c r="L23" s="340">
        <f>ROUND(H23*(1+M19),0)</f>
        <v>0</v>
      </c>
      <c r="M23" s="897" t="str">
        <f>TEXT(M19,"0.0%")&amp;" = Est. S &amp; C"</f>
        <v>0.0% = Est. S &amp; C</v>
      </c>
      <c r="O23" s="456" t="str">
        <f t="shared" si="5"/>
        <v>0.00%</v>
      </c>
      <c r="P23" s="340">
        <f>ROUND(L23*(1+Q19),0)</f>
        <v>0</v>
      </c>
      <c r="Q23" s="897" t="str">
        <f>TEXT(Q19,"0.0%")&amp;" = Est. S &amp; C"</f>
        <v>1.5% = Est. S &amp; C</v>
      </c>
      <c r="R23" s="592"/>
      <c r="S23" s="2238" t="str">
        <f t="shared" si="6"/>
        <v>0.00%</v>
      </c>
      <c r="T23" s="340">
        <f>ROUND(P23*(1+U19),0)</f>
        <v>0</v>
      </c>
      <c r="U23" s="455" t="str">
        <f>TEXT(U19,"0.0%")&amp;" = Est. S &amp; C"</f>
        <v>2.0% = Est. S &amp; C</v>
      </c>
      <c r="V23" s="952"/>
      <c r="W23" s="2241" t="str">
        <f t="shared" si="7"/>
        <v>0.00%</v>
      </c>
      <c r="X23" s="340">
        <f>ROUND(T23*(1+Y19),0)</f>
        <v>0</v>
      </c>
      <c r="Y23" s="455" t="str">
        <f>TEXT(Y19,"0.0%")&amp;" = Est. S &amp; C"</f>
        <v>2.0% = Est. S &amp; C</v>
      </c>
      <c r="AA23" s="456" t="str">
        <f t="shared" si="8"/>
        <v>0.00%</v>
      </c>
      <c r="AB23" s="340">
        <f>ROUND(X23*(1+AC19),0)</f>
        <v>0</v>
      </c>
      <c r="AC23" s="455" t="str">
        <f>TEXT(AC19,"0.0%")&amp;" = Est. S &amp; C"</f>
        <v>2.0% = Est. S &amp; C</v>
      </c>
    </row>
    <row r="24" spans="1:29" s="457" customFormat="1" hidden="1" x14ac:dyDescent="0.25">
      <c r="A24" s="897"/>
      <c r="B24" s="2385"/>
      <c r="C24" s="2215"/>
      <c r="D24" s="340">
        <v>0</v>
      </c>
      <c r="E24" s="2386"/>
      <c r="F24" s="340"/>
      <c r="G24" s="456" t="str">
        <f t="shared" si="1"/>
        <v>0.00%</v>
      </c>
      <c r="H24" s="340">
        <f t="shared" si="2"/>
        <v>0</v>
      </c>
      <c r="I24" s="897" t="str">
        <f t="shared" si="3"/>
        <v>0.0% = Est. S &amp; C</v>
      </c>
      <c r="J24" s="455"/>
      <c r="K24" s="456" t="str">
        <f t="shared" si="4"/>
        <v>0.00%</v>
      </c>
      <c r="L24" s="340">
        <f>ROUND(H24*(1+M19),0)</f>
        <v>0</v>
      </c>
      <c r="M24" s="897" t="str">
        <f>TEXT(M19,"0.0%")&amp;" = Est. S &amp; C"</f>
        <v>0.0% = Est. S &amp; C</v>
      </c>
      <c r="O24" s="456" t="str">
        <f t="shared" si="5"/>
        <v>0.00%</v>
      </c>
      <c r="P24" s="340">
        <f>ROUND(L24*(1+Q19),0)</f>
        <v>0</v>
      </c>
      <c r="Q24" s="897" t="str">
        <f>TEXT(Q19,"0.0%")&amp;" = Est. S &amp; C"</f>
        <v>1.5% = Est. S &amp; C</v>
      </c>
      <c r="R24" s="592"/>
      <c r="S24" s="2238" t="str">
        <f t="shared" si="6"/>
        <v>0.00%</v>
      </c>
      <c r="T24" s="340">
        <f>ROUND(P24*(1+U19),0)</f>
        <v>0</v>
      </c>
      <c r="U24" s="455" t="str">
        <f>TEXT(U19,"0.0%")&amp;" = Est. S &amp; C"</f>
        <v>2.0% = Est. S &amp; C</v>
      </c>
      <c r="V24" s="952"/>
      <c r="W24" s="2241" t="str">
        <f t="shared" si="7"/>
        <v>0.00%</v>
      </c>
      <c r="X24" s="340">
        <f>ROUND(T24*(1+Y19),0)</f>
        <v>0</v>
      </c>
      <c r="Y24" s="455" t="str">
        <f>TEXT(Y19,"0.0%")&amp;" = Est. S &amp; C"</f>
        <v>2.0% = Est. S &amp; C</v>
      </c>
      <c r="AA24" s="456" t="str">
        <f t="shared" si="8"/>
        <v>0.00%</v>
      </c>
      <c r="AB24" s="340">
        <f>ROUND(X24*(1+AC19),0)</f>
        <v>0</v>
      </c>
      <c r="AC24" s="455" t="str">
        <f>TEXT(AC19,"0.0%")&amp;" = Est. S &amp; C"</f>
        <v>2.0% = Est. S &amp; C</v>
      </c>
    </row>
    <row r="25" spans="1:29" s="457" customFormat="1" hidden="1" x14ac:dyDescent="0.25">
      <c r="A25" s="897"/>
      <c r="B25" s="2385"/>
      <c r="C25" s="2215"/>
      <c r="D25" s="340">
        <v>0</v>
      </c>
      <c r="E25" s="2386"/>
      <c r="F25" s="340"/>
      <c r="G25" s="456" t="str">
        <f t="shared" si="1"/>
        <v>0.00%</v>
      </c>
      <c r="H25" s="340">
        <f t="shared" si="2"/>
        <v>0</v>
      </c>
      <c r="I25" s="897" t="str">
        <f t="shared" si="3"/>
        <v>0.0% = Est. S &amp; C</v>
      </c>
      <c r="J25" s="455"/>
      <c r="K25" s="456" t="str">
        <f t="shared" si="4"/>
        <v>0.00%</v>
      </c>
      <c r="L25" s="340">
        <f>ROUND(H25*(1+M19),0)</f>
        <v>0</v>
      </c>
      <c r="M25" s="897" t="str">
        <f>TEXT(M19,"0.0%")&amp;" = Est. S &amp; C"</f>
        <v>0.0% = Est. S &amp; C</v>
      </c>
      <c r="O25" s="456" t="str">
        <f t="shared" si="5"/>
        <v>0.00%</v>
      </c>
      <c r="P25" s="340">
        <f>ROUND(L25*(1+Q19),0)</f>
        <v>0</v>
      </c>
      <c r="Q25" s="897" t="str">
        <f>TEXT(Q19,"0.0%")&amp;" = Est. S &amp; C"</f>
        <v>1.5% = Est. S &amp; C</v>
      </c>
      <c r="R25" s="592"/>
      <c r="S25" s="2238" t="str">
        <f t="shared" si="6"/>
        <v>0.00%</v>
      </c>
      <c r="T25" s="340">
        <f>ROUND(P25*(1+U19),0)</f>
        <v>0</v>
      </c>
      <c r="U25" s="455" t="str">
        <f>TEXT(U19,"0.0%")&amp;" = Est. S &amp; C"</f>
        <v>2.0% = Est. S &amp; C</v>
      </c>
      <c r="V25" s="952"/>
      <c r="W25" s="2241" t="str">
        <f t="shared" si="7"/>
        <v>0.00%</v>
      </c>
      <c r="X25" s="340">
        <f>ROUND(T25*(1+Y19),0)</f>
        <v>0</v>
      </c>
      <c r="Y25" s="455" t="str">
        <f>TEXT(Y19,"0.0%")&amp;" = Est. S &amp; C"</f>
        <v>2.0% = Est. S &amp; C</v>
      </c>
      <c r="AA25" s="456" t="str">
        <f t="shared" si="8"/>
        <v>0.00%</v>
      </c>
      <c r="AB25" s="340">
        <f>ROUND(X25*(1+AC19),0)</f>
        <v>0</v>
      </c>
      <c r="AC25" s="455" t="str">
        <f>TEXT(AC19,"0.0%")&amp;" = Est. S &amp; C"</f>
        <v>2.0% = Est. S &amp; C</v>
      </c>
    </row>
    <row r="26" spans="1:29" s="457" customFormat="1" hidden="1" x14ac:dyDescent="0.25">
      <c r="A26" s="897"/>
      <c r="B26" s="2385"/>
      <c r="C26" s="2215"/>
      <c r="D26" s="340">
        <v>0</v>
      </c>
      <c r="E26" s="2386"/>
      <c r="F26" s="340"/>
      <c r="G26" s="456" t="str">
        <f t="shared" si="1"/>
        <v>0.00%</v>
      </c>
      <c r="H26" s="340">
        <f t="shared" si="2"/>
        <v>0</v>
      </c>
      <c r="I26" s="897" t="str">
        <f t="shared" si="3"/>
        <v>0.0% = Est. S &amp; C</v>
      </c>
      <c r="J26" s="455"/>
      <c r="K26" s="456" t="str">
        <f t="shared" si="4"/>
        <v>0.00%</v>
      </c>
      <c r="L26" s="340">
        <f>ROUND(H26*(1+M19),0)</f>
        <v>0</v>
      </c>
      <c r="M26" s="2341" t="str">
        <f>TEXT(M19,"0.0%")&amp;" = Est. S &amp; C"</f>
        <v>0.0% = Est. S &amp; C</v>
      </c>
      <c r="O26" s="456" t="str">
        <f t="shared" si="5"/>
        <v>0.00%</v>
      </c>
      <c r="P26" s="340">
        <f>ROUND(L26*(1+Q19),0)</f>
        <v>0</v>
      </c>
      <c r="Q26" s="897" t="str">
        <f>TEXT(Q19,"0.0%")&amp;" = Est. S &amp; C"</f>
        <v>1.5% = Est. S &amp; C</v>
      </c>
      <c r="R26" s="592"/>
      <c r="S26" s="2238" t="str">
        <f t="shared" si="6"/>
        <v>0.00%</v>
      </c>
      <c r="T26" s="340">
        <f>ROUND(P26*(1+U19),0)</f>
        <v>0</v>
      </c>
      <c r="U26" s="455" t="str">
        <f>TEXT(U19,"0.0%")&amp;" = Est. S &amp; C"</f>
        <v>2.0% = Est. S &amp; C</v>
      </c>
      <c r="V26" s="952"/>
      <c r="W26" s="2241" t="str">
        <f t="shared" si="7"/>
        <v>0.00%</v>
      </c>
      <c r="X26" s="340">
        <f>ROUND(T26*(1+Y19),0)</f>
        <v>0</v>
      </c>
      <c r="Y26" s="455" t="str">
        <f>TEXT(Y19,"0.0%")&amp;" = Est. S &amp; C"</f>
        <v>2.0% = Est. S &amp; C</v>
      </c>
      <c r="AA26" s="456" t="str">
        <f t="shared" si="8"/>
        <v>0.00%</v>
      </c>
      <c r="AB26" s="340">
        <f>ROUND(X26*(1+AC19),0)</f>
        <v>0</v>
      </c>
      <c r="AC26" s="455" t="str">
        <f>TEXT(AC19,"0.0%")&amp;" = Est. S &amp; C"</f>
        <v>2.0% = Est. S &amp; C</v>
      </c>
    </row>
    <row r="27" spans="1:29" s="457" customFormat="1" hidden="1" x14ac:dyDescent="0.25">
      <c r="A27" s="897"/>
      <c r="B27" s="2385"/>
      <c r="C27" s="2215"/>
      <c r="D27" s="340">
        <v>0</v>
      </c>
      <c r="E27" s="2386"/>
      <c r="F27" s="340"/>
      <c r="G27" s="456" t="str">
        <f t="shared" si="1"/>
        <v>0.00%</v>
      </c>
      <c r="H27" s="340">
        <f t="shared" si="2"/>
        <v>0</v>
      </c>
      <c r="I27" s="897" t="str">
        <f t="shared" si="3"/>
        <v>0.0% = Est. S &amp; C</v>
      </c>
      <c r="J27" s="455"/>
      <c r="K27" s="456" t="str">
        <f t="shared" si="4"/>
        <v>0.00%</v>
      </c>
      <c r="L27" s="340">
        <f>ROUND(H27*(1+M19),0)</f>
        <v>0</v>
      </c>
      <c r="M27" s="897" t="str">
        <f>TEXT(M19,"0.0%")&amp;" = Est. S &amp; C"</f>
        <v>0.0% = Est. S &amp; C</v>
      </c>
      <c r="O27" s="456" t="str">
        <f t="shared" si="5"/>
        <v>0.00%</v>
      </c>
      <c r="P27" s="340">
        <f>ROUND(L27*(1+Q19),0)</f>
        <v>0</v>
      </c>
      <c r="Q27" s="897" t="str">
        <f>TEXT(Q19,"0.0%")&amp;" = Est. S &amp; C"</f>
        <v>1.5% = Est. S &amp; C</v>
      </c>
      <c r="R27" s="592"/>
      <c r="S27" s="2238" t="str">
        <f t="shared" si="6"/>
        <v>0.00%</v>
      </c>
      <c r="T27" s="340">
        <f>ROUND(P27*(1+U19),0)</f>
        <v>0</v>
      </c>
      <c r="U27" s="455" t="str">
        <f>TEXT(U19,"0.0%")&amp;" = Est. S &amp; C"</f>
        <v>2.0% = Est. S &amp; C</v>
      </c>
      <c r="V27" s="952"/>
      <c r="W27" s="2241" t="str">
        <f t="shared" si="7"/>
        <v>0.00%</v>
      </c>
      <c r="X27" s="340">
        <f>ROUND(T27*(1+Y19),0)</f>
        <v>0</v>
      </c>
      <c r="Y27" s="455" t="str">
        <f>TEXT(Y19,"0.0%")&amp;" = Est. S &amp; C"</f>
        <v>2.0% = Est. S &amp; C</v>
      </c>
      <c r="AA27" s="456" t="str">
        <f t="shared" si="8"/>
        <v>0.00%</v>
      </c>
      <c r="AB27" s="340">
        <f>ROUND(X27*(1+AC19),0)</f>
        <v>0</v>
      </c>
      <c r="AC27" s="455" t="str">
        <f>TEXT(AC19,"0.0%")&amp;" = Est. S &amp; C"</f>
        <v>2.0% = Est. S &amp; C</v>
      </c>
    </row>
    <row r="28" spans="1:29" s="457" customFormat="1" hidden="1" x14ac:dyDescent="0.25">
      <c r="A28" s="897"/>
      <c r="B28" s="2385"/>
      <c r="C28" s="2215"/>
      <c r="D28" s="340">
        <v>0</v>
      </c>
      <c r="E28" s="2386"/>
      <c r="F28" s="340"/>
      <c r="G28" s="456" t="str">
        <f>IF(D28=0,"0.00%",(H28-D28)/D28)</f>
        <v>0.00%</v>
      </c>
      <c r="H28" s="340">
        <f>ROUND(D28*(1+$I$19),0)</f>
        <v>0</v>
      </c>
      <c r="I28" s="897" t="str">
        <f t="shared" si="3"/>
        <v>0.0% = Est. S &amp; C</v>
      </c>
      <c r="J28" s="455"/>
      <c r="K28" s="456" t="str">
        <f>IF(H28=0,"0.00%",(L28-H28)/H28)</f>
        <v>0.00%</v>
      </c>
      <c r="L28" s="340">
        <f>ROUND(H28*(1+M20),0)</f>
        <v>0</v>
      </c>
      <c r="M28" s="897" t="str">
        <f>TEXT(M20,"0.0%")&amp;" = Est. S &amp; C"</f>
        <v>0.0% = Est. S &amp; C</v>
      </c>
      <c r="O28" s="456" t="str">
        <f>IF(L28=0,"0.00%",(P28-L28)/L28)</f>
        <v>0.00%</v>
      </c>
      <c r="P28" s="340">
        <f>ROUND(L28*(1+Q20),0)</f>
        <v>0</v>
      </c>
      <c r="Q28" s="897" t="str">
        <f>TEXT(Q20,"0.0%")&amp;" = Est. S &amp; C"</f>
        <v>0.0% = Est. S &amp; C</v>
      </c>
      <c r="R28" s="592"/>
      <c r="S28" s="2238" t="str">
        <f>IF(P28=0,"0.00%",(T28-P28)/P28)</f>
        <v>0.00%</v>
      </c>
      <c r="T28" s="340">
        <f>ROUND(P28*(1+U20),0)</f>
        <v>0</v>
      </c>
      <c r="U28" s="455" t="str">
        <f>TEXT(U20,"0.0%")&amp;" = Est. S &amp; C"</f>
        <v>0.0% = Est. S &amp; C</v>
      </c>
      <c r="V28" s="952"/>
      <c r="W28" s="2241" t="str">
        <f>IF(T28=0,"0.00%",(X28-T28)/T28)</f>
        <v>0.00%</v>
      </c>
      <c r="X28" s="340">
        <f>ROUND(T28*(1+Y20),0)</f>
        <v>0</v>
      </c>
      <c r="Y28" s="455" t="str">
        <f>TEXT(Y20,"0.0%")&amp;" = Est. S &amp; C"</f>
        <v>0.0% = Est. S &amp; C</v>
      </c>
      <c r="AA28" s="456" t="str">
        <f>IF(X28=0,"0.00%",(AB28-X28)/X28)</f>
        <v>0.00%</v>
      </c>
      <c r="AB28" s="340">
        <f>ROUND(X28*(1+AC20),0)</f>
        <v>0</v>
      </c>
      <c r="AC28" s="455" t="str">
        <f>TEXT(AC20,"0.0%")&amp;" = Est. S &amp; C"</f>
        <v>0.0% = Est. S &amp; C</v>
      </c>
    </row>
    <row r="29" spans="1:29" s="457" customFormat="1" ht="6" hidden="1" customHeight="1" x14ac:dyDescent="0.25">
      <c r="A29" s="897"/>
      <c r="B29" s="2385"/>
      <c r="C29" s="2215"/>
      <c r="D29" s="340"/>
      <c r="E29" s="2386"/>
      <c r="F29" s="340"/>
      <c r="G29" s="456"/>
      <c r="H29" s="340"/>
      <c r="I29" s="897"/>
      <c r="J29" s="455"/>
      <c r="K29" s="1668"/>
      <c r="L29" s="340"/>
      <c r="M29" s="901"/>
      <c r="O29" s="1668"/>
      <c r="P29" s="340"/>
      <c r="Q29" s="901"/>
      <c r="R29" s="592"/>
      <c r="S29" s="2341"/>
      <c r="T29" s="340"/>
      <c r="U29" s="2344"/>
      <c r="V29" s="952"/>
      <c r="W29" s="2343"/>
      <c r="X29" s="340"/>
      <c r="Y29" s="2344"/>
      <c r="AA29" s="1668"/>
      <c r="AB29" s="340"/>
      <c r="AC29" s="2344"/>
    </row>
    <row r="30" spans="1:29" s="457" customFormat="1" hidden="1" x14ac:dyDescent="0.25">
      <c r="A30" s="898"/>
      <c r="B30" s="2385"/>
      <c r="C30" s="2215"/>
      <c r="D30" s="458">
        <f>SUM(D21:D29)</f>
        <v>0</v>
      </c>
      <c r="E30" s="2386"/>
      <c r="F30" s="340"/>
      <c r="G30" s="456" t="str">
        <f t="shared" si="1"/>
        <v>0.00%</v>
      </c>
      <c r="H30" s="458">
        <f>SUM(H21:H29)</f>
        <v>0</v>
      </c>
      <c r="I30" s="898"/>
      <c r="J30" s="459"/>
      <c r="K30" s="456" t="str">
        <f>IF(H30=0,"0.00%",(L30-H30)/H30)</f>
        <v>0.00%</v>
      </c>
      <c r="L30" s="458">
        <f>SUM(L21:L29)</f>
        <v>0</v>
      </c>
      <c r="M30" s="901"/>
      <c r="O30" s="456" t="str">
        <f>IF(L30=0,"0.00%",(P30-L30)/L30)</f>
        <v>0.00%</v>
      </c>
      <c r="P30" s="458">
        <f>SUM(P21:P29)</f>
        <v>0</v>
      </c>
      <c r="Q30" s="901"/>
      <c r="R30" s="592"/>
      <c r="S30" s="2238" t="str">
        <f>IF(P30=0,"0.00%",(T30-P30)/P30)</f>
        <v>0.00%</v>
      </c>
      <c r="T30" s="458">
        <f>SUM(T21:T29)</f>
        <v>0</v>
      </c>
      <c r="U30" s="2344"/>
      <c r="V30" s="952"/>
      <c r="W30" s="2241" t="str">
        <f>IF(T30=0,"0.00%",(X30-T30)/T30)</f>
        <v>0.00%</v>
      </c>
      <c r="X30" s="458">
        <f>SUM(X21:X29)</f>
        <v>0</v>
      </c>
      <c r="Y30" s="2344"/>
      <c r="AA30" s="456" t="str">
        <f>IF(X30=0,"0.00%",(AB30-X30)/X30)</f>
        <v>0.00%</v>
      </c>
      <c r="AB30" s="458">
        <f>SUM(AB21:AB29)</f>
        <v>0</v>
      </c>
      <c r="AC30" s="2344"/>
    </row>
    <row r="31" spans="1:29" s="457" customFormat="1" hidden="1" x14ac:dyDescent="0.25">
      <c r="A31" s="897"/>
      <c r="B31" s="2345"/>
      <c r="C31" s="2215"/>
      <c r="D31" s="340"/>
      <c r="E31" s="2386"/>
      <c r="F31" s="340"/>
      <c r="G31" s="2338"/>
      <c r="H31" s="340"/>
      <c r="I31" s="899"/>
      <c r="J31" s="455"/>
      <c r="K31" s="1668"/>
      <c r="L31" s="340"/>
      <c r="M31" s="2388"/>
      <c r="O31" s="1668"/>
      <c r="P31" s="340"/>
      <c r="Q31" s="2388"/>
      <c r="R31" s="592"/>
      <c r="S31" s="2341"/>
      <c r="T31" s="340"/>
      <c r="U31" s="2344"/>
      <c r="V31" s="952"/>
      <c r="W31" s="2343"/>
      <c r="X31" s="340"/>
      <c r="Y31" s="2344"/>
      <c r="AA31" s="1668"/>
      <c r="AB31" s="340"/>
      <c r="AC31" s="2344"/>
    </row>
    <row r="32" spans="1:29" s="461" customFormat="1" x14ac:dyDescent="0.25">
      <c r="A32" s="900"/>
      <c r="B32" s="2440" t="s">
        <v>35</v>
      </c>
      <c r="C32" s="2225"/>
      <c r="D32" s="460"/>
      <c r="E32" s="868"/>
      <c r="F32" s="460"/>
      <c r="G32" s="2389"/>
      <c r="H32" s="460"/>
      <c r="I32" s="868"/>
      <c r="J32" s="460"/>
      <c r="K32" s="1669"/>
      <c r="L32" s="460"/>
      <c r="M32" s="902"/>
      <c r="O32" s="1669"/>
      <c r="P32" s="460"/>
      <c r="Q32" s="902"/>
      <c r="S32" s="1669"/>
      <c r="T32" s="460"/>
      <c r="U32" s="2392"/>
      <c r="V32" s="2381"/>
      <c r="W32" s="2382"/>
      <c r="X32" s="460"/>
      <c r="Y32" s="2392"/>
      <c r="AA32" s="1669"/>
      <c r="AB32" s="460"/>
      <c r="AC32" s="2392"/>
    </row>
    <row r="33" spans="1:29" s="457" customFormat="1" x14ac:dyDescent="0.25">
      <c r="A33" s="897"/>
      <c r="B33" s="2385">
        <v>2259</v>
      </c>
      <c r="C33" s="2215" t="s">
        <v>306</v>
      </c>
      <c r="D33" s="340">
        <v>295720.12</v>
      </c>
      <c r="E33" s="2386"/>
      <c r="F33" s="340"/>
      <c r="G33" s="456">
        <f t="shared" ref="G33:G39" si="9">IF(D33=0,"0.00%",(H33-D33)/D33)</f>
        <v>5.7956421767987938E-2</v>
      </c>
      <c r="H33" s="340">
        <v>312859</v>
      </c>
      <c r="I33" s="897"/>
      <c r="J33" s="455"/>
      <c r="K33" s="456">
        <f t="shared" ref="K33:K39" si="10">IF(H33=0,"0.00%",(L33-H33)/H33)</f>
        <v>-3.7131743053580045E-2</v>
      </c>
      <c r="L33" s="340">
        <v>301242</v>
      </c>
      <c r="M33" s="897"/>
      <c r="O33" s="456">
        <f t="shared" ref="O33:O40" si="11">IF(L33=0,"0.00%",(P33-L33)/L33)</f>
        <v>1.5001228248385019E-2</v>
      </c>
      <c r="P33" s="340">
        <f>ROUND(L33*(1+Q19),0)</f>
        <v>305761</v>
      </c>
      <c r="Q33" s="897" t="str">
        <f>TEXT(Q19,"0.0%")&amp;" = Est. S &amp; C"</f>
        <v>1.5% = Est. S &amp; C</v>
      </c>
      <c r="R33" s="592"/>
      <c r="S33" s="2238">
        <f t="shared" ref="S33:S39" si="12">IF(P33=0,"0.00%",(T33-P33)/P33)</f>
        <v>1.9999280483776544E-2</v>
      </c>
      <c r="T33" s="340">
        <f>ROUND(P33*(1+U19),0)</f>
        <v>311876</v>
      </c>
      <c r="U33" s="455" t="str">
        <f>TEXT(U19,"0.0%")&amp;" = Est. S &amp; C"</f>
        <v>2.0% = Est. S &amp; C</v>
      </c>
      <c r="V33" s="952"/>
      <c r="W33" s="2241">
        <f t="shared" ref="W33:W39" si="13">IF(T33=0,"0.00%",(X33-T33)/T33)</f>
        <v>2.0001539073221407E-2</v>
      </c>
      <c r="X33" s="340">
        <f>ROUND(T33*(1+Y19),0)</f>
        <v>318114</v>
      </c>
      <c r="Y33" s="455" t="str">
        <f>TEXT(Y19,"0.0%")&amp;" = Est. S &amp; C"</f>
        <v>2.0% = Est. S &amp; C</v>
      </c>
      <c r="AA33" s="456">
        <f t="shared" ref="AA33:AA39" si="14">IF(X33=0,"0.00%",(AB33-X33)/X33)</f>
        <v>1.99991198123943E-2</v>
      </c>
      <c r="AB33" s="340">
        <f>ROUND(X33*(1+AC19),0)</f>
        <v>324476</v>
      </c>
      <c r="AC33" s="455" t="str">
        <f>TEXT(AC19,"0.0%")&amp;" = Est. S &amp; C"</f>
        <v>2.0% = Est. S &amp; C</v>
      </c>
    </row>
    <row r="34" spans="1:29" s="457" customFormat="1" x14ac:dyDescent="0.25">
      <c r="A34" s="897"/>
      <c r="B34" s="2385">
        <v>2262</v>
      </c>
      <c r="C34" s="2215" t="s">
        <v>307</v>
      </c>
      <c r="D34" s="340">
        <v>168687.46</v>
      </c>
      <c r="E34" s="2386"/>
      <c r="F34" s="340"/>
      <c r="G34" s="456">
        <f t="shared" si="9"/>
        <v>4.2282573938809728E-2</v>
      </c>
      <c r="H34" s="340">
        <v>175820</v>
      </c>
      <c r="I34" s="897"/>
      <c r="J34" s="455"/>
      <c r="K34" s="456">
        <f t="shared" si="10"/>
        <v>-1.8723694687748833E-2</v>
      </c>
      <c r="L34" s="340">
        <v>172528</v>
      </c>
      <c r="M34" s="897"/>
      <c r="O34" s="456">
        <f t="shared" si="11"/>
        <v>1.5000463692849856E-2</v>
      </c>
      <c r="P34" s="340">
        <f>ROUND(L34*(1+Q19),0)</f>
        <v>175116</v>
      </c>
      <c r="Q34" s="897" t="str">
        <f>TEXT(Q19,"0.0%")&amp;" = Est. S &amp; C"</f>
        <v>1.5% = Est. S &amp; C</v>
      </c>
      <c r="R34" s="592"/>
      <c r="S34" s="2238">
        <f t="shared" si="12"/>
        <v>1.9998172639850157E-2</v>
      </c>
      <c r="T34" s="340">
        <f>ROUND(P34*(1+U19),0)</f>
        <v>178618</v>
      </c>
      <c r="U34" s="455" t="str">
        <f>TEXT(U19,"0.0%")&amp;" = Est. S &amp; C"</f>
        <v>2.0% = Est. S &amp; C</v>
      </c>
      <c r="V34" s="952"/>
      <c r="W34" s="2241">
        <f t="shared" si="13"/>
        <v>1.9997984525635715E-2</v>
      </c>
      <c r="X34" s="340">
        <f>ROUND(T34*(1+Y19),0)</f>
        <v>182190</v>
      </c>
      <c r="Y34" s="455" t="str">
        <f>TEXT(Y19,"0.0%")&amp;" = Est. S &amp; C"</f>
        <v>2.0% = Est. S &amp; C</v>
      </c>
      <c r="AA34" s="456">
        <f t="shared" si="14"/>
        <v>2.0001097755090839E-2</v>
      </c>
      <c r="AB34" s="340">
        <f>ROUND(X34*(1+AC19),0)</f>
        <v>185834</v>
      </c>
      <c r="AC34" s="455" t="str">
        <f>TEXT(AC19,"0.0%")&amp;" = Est. S &amp; C"</f>
        <v>2.0% = Est. S &amp; C</v>
      </c>
    </row>
    <row r="35" spans="1:29" s="457" customFormat="1" x14ac:dyDescent="0.25">
      <c r="A35" s="897"/>
      <c r="B35" s="2385">
        <v>2273</v>
      </c>
      <c r="C35" s="2215" t="s">
        <v>308</v>
      </c>
      <c r="D35" s="340">
        <v>3483.36</v>
      </c>
      <c r="E35" s="2386"/>
      <c r="F35" s="340"/>
      <c r="G35" s="456">
        <f t="shared" si="9"/>
        <v>-0.47091314133480322</v>
      </c>
      <c r="H35" s="340">
        <v>1843</v>
      </c>
      <c r="I35" s="897"/>
      <c r="J35" s="455"/>
      <c r="K35" s="456">
        <f t="shared" si="10"/>
        <v>0.62778079218665217</v>
      </c>
      <c r="L35" s="340">
        <v>3000</v>
      </c>
      <c r="M35" s="897"/>
      <c r="O35" s="456">
        <f t="shared" si="11"/>
        <v>1.4999999999999999E-2</v>
      </c>
      <c r="P35" s="340">
        <f>ROUND(L35*(1+Q19),0)</f>
        <v>3045</v>
      </c>
      <c r="Q35" s="897" t="str">
        <f>TEXT(Q19,"0.0%")&amp;" = Est. S &amp; C"</f>
        <v>1.5% = Est. S &amp; C</v>
      </c>
      <c r="R35" s="592"/>
      <c r="S35" s="2238">
        <f t="shared" si="12"/>
        <v>2.0032840722495896E-2</v>
      </c>
      <c r="T35" s="340">
        <f>ROUND(P35*(1+U19),0)</f>
        <v>3106</v>
      </c>
      <c r="U35" s="455" t="str">
        <f>TEXT(U19,"0.0%")&amp;" = Est. S &amp; C"</f>
        <v>2.0% = Est. S &amp; C</v>
      </c>
      <c r="V35" s="952"/>
      <c r="W35" s="2241">
        <f t="shared" si="13"/>
        <v>1.9961365099806824E-2</v>
      </c>
      <c r="X35" s="340">
        <f>ROUND(T35*(1+Y19),0)</f>
        <v>3168</v>
      </c>
      <c r="Y35" s="455" t="str">
        <f>TEXT(Y19,"0.0%")&amp;" = Est. S &amp; C"</f>
        <v>2.0% = Est. S &amp; C</v>
      </c>
      <c r="AA35" s="456">
        <f t="shared" si="14"/>
        <v>1.9886363636363636E-2</v>
      </c>
      <c r="AB35" s="340">
        <f>ROUND(X35*(1+AC19),0)</f>
        <v>3231</v>
      </c>
      <c r="AC35" s="455" t="str">
        <f>TEXT(AC19,"0.0%")&amp;" = Est. S &amp; C"</f>
        <v>2.0% = Est. S &amp; C</v>
      </c>
    </row>
    <row r="36" spans="1:29" s="457" customFormat="1" x14ac:dyDescent="0.25">
      <c r="A36" s="897"/>
      <c r="B36" s="2385">
        <v>2275</v>
      </c>
      <c r="C36" s="2215" t="s">
        <v>928</v>
      </c>
      <c r="D36" s="340">
        <f>14975.54+84521.54</f>
        <v>99497.079999999987</v>
      </c>
      <c r="E36" s="2386"/>
      <c r="F36" s="340"/>
      <c r="G36" s="456">
        <f t="shared" si="9"/>
        <v>-0.97586863855703099</v>
      </c>
      <c r="H36" s="340">
        <v>2401</v>
      </c>
      <c r="I36" s="897"/>
      <c r="J36" s="455"/>
      <c r="K36" s="456">
        <f t="shared" si="10"/>
        <v>0.24947938359017077</v>
      </c>
      <c r="L36" s="340">
        <v>3000</v>
      </c>
      <c r="M36" s="897"/>
      <c r="O36" s="456">
        <f t="shared" si="11"/>
        <v>1.4999999999999999E-2</v>
      </c>
      <c r="P36" s="340">
        <f>ROUND(L36*(1+Q19),0)</f>
        <v>3045</v>
      </c>
      <c r="Q36" s="897" t="str">
        <f>TEXT(Q19,"0.0%")&amp;" = Est. S &amp; C"</f>
        <v>1.5% = Est. S &amp; C</v>
      </c>
      <c r="R36" s="592"/>
      <c r="S36" s="2238">
        <f t="shared" si="12"/>
        <v>2.0032840722495896E-2</v>
      </c>
      <c r="T36" s="340">
        <f>ROUND(P36*(1+U19),0)</f>
        <v>3106</v>
      </c>
      <c r="U36" s="455" t="str">
        <f>TEXT(U19,"0.0%")&amp;" = Est. S &amp; C"</f>
        <v>2.0% = Est. S &amp; C</v>
      </c>
      <c r="V36" s="952"/>
      <c r="W36" s="2241">
        <f t="shared" si="13"/>
        <v>1.9961365099806824E-2</v>
      </c>
      <c r="X36" s="340">
        <f>ROUND(T36*(1+Y19),0)</f>
        <v>3168</v>
      </c>
      <c r="Y36" s="455" t="str">
        <f>TEXT(Y19,"0.0%")&amp;" = Est. S &amp; C"</f>
        <v>2.0% = Est. S &amp; C</v>
      </c>
      <c r="AA36" s="456">
        <f t="shared" si="14"/>
        <v>1.9886363636363636E-2</v>
      </c>
      <c r="AB36" s="340">
        <f>ROUND(X36*(1+AC19),0)</f>
        <v>3231</v>
      </c>
      <c r="AC36" s="455" t="str">
        <f>TEXT(AC19,"0.0%")&amp;" = Est. S &amp; C"</f>
        <v>2.0% = Est. S &amp; C</v>
      </c>
    </row>
    <row r="37" spans="1:29" s="457" customFormat="1" x14ac:dyDescent="0.25">
      <c r="A37" s="897"/>
      <c r="B37" s="2385">
        <v>2309</v>
      </c>
      <c r="C37" s="2215" t="s">
        <v>1058</v>
      </c>
      <c r="D37" s="340">
        <f>43547.28+9205.95</f>
        <v>52753.229999999996</v>
      </c>
      <c r="E37" s="2386"/>
      <c r="F37" s="340"/>
      <c r="G37" s="456">
        <f t="shared" si="9"/>
        <v>-0.71884186048892174</v>
      </c>
      <c r="H37" s="340">
        <v>14832</v>
      </c>
      <c r="I37" s="897"/>
      <c r="J37" s="455"/>
      <c r="K37" s="456">
        <f t="shared" si="10"/>
        <v>1.5574433656957929E-2</v>
      </c>
      <c r="L37" s="340">
        <v>15063</v>
      </c>
      <c r="M37" s="897"/>
      <c r="O37" s="456">
        <f t="shared" si="11"/>
        <v>1.5003651331076147E-2</v>
      </c>
      <c r="P37" s="340">
        <f>ROUND(L37*(1+Q19),0)</f>
        <v>15289</v>
      </c>
      <c r="Q37" s="897" t="str">
        <f>TEXT(Q19,"0.0%")&amp;" = Est. S &amp; C"</f>
        <v>1.5% = Est. S &amp; C</v>
      </c>
      <c r="R37" s="592"/>
      <c r="S37" s="2238">
        <f t="shared" si="12"/>
        <v>2.0014389430309372E-2</v>
      </c>
      <c r="T37" s="340">
        <f>ROUND(P37*(1+U19),0)</f>
        <v>15595</v>
      </c>
      <c r="U37" s="455" t="str">
        <f>TEXT(U19,"0.0%")&amp;" = Est. S &amp; C"</f>
        <v>2.0% = Est. S &amp; C</v>
      </c>
      <c r="V37" s="952"/>
      <c r="W37" s="2241">
        <f t="shared" si="13"/>
        <v>2.0006412311638345E-2</v>
      </c>
      <c r="X37" s="340">
        <f>ROUND(T37*(1+Y19),0)</f>
        <v>15907</v>
      </c>
      <c r="Y37" s="455" t="str">
        <f>TEXT(Y19,"0.0%")&amp;" = Est. S &amp; C"</f>
        <v>2.0% = Est. S &amp; C</v>
      </c>
      <c r="AA37" s="456">
        <f t="shared" si="14"/>
        <v>1.9991198843276544E-2</v>
      </c>
      <c r="AB37" s="340">
        <f>ROUND(X37*(1+AC19),0)</f>
        <v>16225</v>
      </c>
      <c r="AC37" s="455" t="str">
        <f>TEXT(AC19,"0.0%")&amp;" = Est. S &amp; C"</f>
        <v>2.0% = Est. S &amp; C</v>
      </c>
    </row>
    <row r="38" spans="1:29" s="457" customFormat="1" x14ac:dyDescent="0.25">
      <c r="A38" s="897"/>
      <c r="B38" s="2385">
        <v>2310</v>
      </c>
      <c r="C38" s="2215" t="s">
        <v>883</v>
      </c>
      <c r="D38" s="340">
        <v>0</v>
      </c>
      <c r="E38" s="2386"/>
      <c r="F38" s="340"/>
      <c r="G38" s="456" t="str">
        <f t="shared" si="9"/>
        <v>0.00%</v>
      </c>
      <c r="H38" s="340">
        <v>86300</v>
      </c>
      <c r="I38" s="897" t="str">
        <f t="shared" ref="I38:I39" si="15">TEXT($I$19,"0.0%")&amp;" = Est. S &amp; C"</f>
        <v>0.0% = Est. S &amp; C</v>
      </c>
      <c r="J38" s="455"/>
      <c r="K38" s="456">
        <f t="shared" si="10"/>
        <v>8.5851680185399765E-2</v>
      </c>
      <c r="L38" s="340">
        <v>93709</v>
      </c>
      <c r="M38" s="897"/>
      <c r="O38" s="456">
        <f t="shared" si="11"/>
        <v>1.5003895036762744E-2</v>
      </c>
      <c r="P38" s="340">
        <f>ROUND(L38*(1+Q19),0)</f>
        <v>95115</v>
      </c>
      <c r="Q38" s="897" t="str">
        <f>TEXT(Q19,"0.0%")&amp;" = Est. S &amp; C"</f>
        <v>1.5% = Est. S &amp; C</v>
      </c>
      <c r="R38" s="592"/>
      <c r="S38" s="2238">
        <f t="shared" si="12"/>
        <v>1.9996845923355936E-2</v>
      </c>
      <c r="T38" s="340">
        <f>ROUND(P38*(1+U19),0)</f>
        <v>97017</v>
      </c>
      <c r="U38" s="455" t="str">
        <f>TEXT(U19,"0.0%")&amp;" = Est. S &amp; C"</f>
        <v>2.0% = Est. S &amp; C</v>
      </c>
      <c r="V38" s="952"/>
      <c r="W38" s="2241">
        <f t="shared" si="13"/>
        <v>1.9996495459558634E-2</v>
      </c>
      <c r="X38" s="340">
        <f>ROUND(T38*(1+Y19),0)</f>
        <v>98957</v>
      </c>
      <c r="Y38" s="455" t="str">
        <f>TEXT(Y19,"0.0%")&amp;" = Est. S &amp; C"</f>
        <v>2.0% = Est. S &amp; C</v>
      </c>
      <c r="AA38" s="456">
        <f t="shared" si="14"/>
        <v>1.999858524409592E-2</v>
      </c>
      <c r="AB38" s="340">
        <f>ROUND(X38*(1+AC19),0)</f>
        <v>100936</v>
      </c>
      <c r="AC38" s="455" t="str">
        <f>TEXT(AC19,"0.0%")&amp;" = Est. S &amp; C"</f>
        <v>2.0% = Est. S &amp; C</v>
      </c>
    </row>
    <row r="39" spans="1:29" s="457" customFormat="1" x14ac:dyDescent="0.25">
      <c r="A39" s="897"/>
      <c r="B39" s="2385">
        <v>2403</v>
      </c>
      <c r="C39" s="2215" t="s">
        <v>1015</v>
      </c>
      <c r="D39" s="340">
        <v>0</v>
      </c>
      <c r="E39" s="2386"/>
      <c r="F39" s="340"/>
      <c r="G39" s="456" t="str">
        <f t="shared" si="9"/>
        <v>0.00%</v>
      </c>
      <c r="H39" s="340">
        <v>42745</v>
      </c>
      <c r="I39" s="897" t="str">
        <f t="shared" si="15"/>
        <v>0.0% = Est. S &amp; C</v>
      </c>
      <c r="J39" s="455"/>
      <c r="K39" s="456">
        <f t="shared" si="10"/>
        <v>0.21777985729325067</v>
      </c>
      <c r="L39" s="340">
        <v>52054</v>
      </c>
      <c r="M39" s="897"/>
      <c r="O39" s="456">
        <f t="shared" si="11"/>
        <v>1.5003650055711377E-2</v>
      </c>
      <c r="P39" s="340">
        <f>ROUND(L39*(1+Q19),0)</f>
        <v>52835</v>
      </c>
      <c r="Q39" s="897" t="str">
        <f>TEXT(Q19,"0.0%")&amp;" = Est. S &amp; C"</f>
        <v>1.5% = Est. S &amp; C</v>
      </c>
      <c r="R39" s="592"/>
      <c r="S39" s="2238">
        <f t="shared" si="12"/>
        <v>2.0005678054320054E-2</v>
      </c>
      <c r="T39" s="340">
        <f>ROUND(P39*(1+U19),0)</f>
        <v>53892</v>
      </c>
      <c r="U39" s="455" t="str">
        <f>TEXT(U19,"0.0%")&amp;" = Est. S &amp; C"</f>
        <v>2.0% = Est. S &amp; C</v>
      </c>
      <c r="V39" s="952"/>
      <c r="W39" s="2241">
        <f t="shared" si="13"/>
        <v>2.000296890076449E-2</v>
      </c>
      <c r="X39" s="340">
        <f>ROUND(T39*(1+Y19),0)</f>
        <v>54970</v>
      </c>
      <c r="Y39" s="455" t="str">
        <f>TEXT(Y19,"0.0%")&amp;" = Est. S &amp; C"</f>
        <v>2.0% = Est. S &amp; C</v>
      </c>
      <c r="AA39" s="456">
        <f t="shared" si="14"/>
        <v>1.9992723303620157E-2</v>
      </c>
      <c r="AB39" s="340">
        <f>ROUND(X39*(1+AC19),0)</f>
        <v>56069</v>
      </c>
      <c r="AC39" s="455" t="str">
        <f>TEXT(AC19,"0.0%")&amp;" = Est. S &amp; C"</f>
        <v>2.0% = Est. S &amp; C</v>
      </c>
    </row>
    <row r="40" spans="1:29" s="457" customFormat="1" x14ac:dyDescent="0.25">
      <c r="A40" s="897"/>
      <c r="B40" s="2385">
        <v>2481</v>
      </c>
      <c r="C40" s="2215" t="s">
        <v>1059</v>
      </c>
      <c r="D40" s="340"/>
      <c r="E40" s="2386"/>
      <c r="F40" s="340"/>
      <c r="G40" s="2338"/>
      <c r="H40" s="340">
        <v>10034</v>
      </c>
      <c r="I40" s="897"/>
      <c r="J40" s="455"/>
      <c r="K40" s="456">
        <f t="shared" ref="K40" si="16">IF(H40=0,"0.00%",(L40-H40)/H40)</f>
        <v>-0.78074546541758028</v>
      </c>
      <c r="L40" s="340">
        <v>2200</v>
      </c>
      <c r="M40" s="897"/>
      <c r="O40" s="456">
        <f t="shared" si="11"/>
        <v>1.4999999999999999E-2</v>
      </c>
      <c r="P40" s="340">
        <f>ROUND(L40*(1+Q19),0)</f>
        <v>2233</v>
      </c>
      <c r="Q40" s="897" t="str">
        <f>TEXT(Q19,"0.0%")&amp;" = Est. S &amp; C"</f>
        <v>1.5% = Est. S &amp; C</v>
      </c>
      <c r="R40" s="592"/>
      <c r="S40" s="2341"/>
      <c r="T40" s="340"/>
      <c r="U40" s="2344"/>
      <c r="V40" s="952"/>
      <c r="W40" s="2343"/>
      <c r="X40" s="340"/>
      <c r="Y40" s="2344"/>
      <c r="AA40" s="1668"/>
      <c r="AB40" s="340"/>
      <c r="AC40" s="2344"/>
    </row>
    <row r="41" spans="1:29" s="457" customFormat="1" x14ac:dyDescent="0.25">
      <c r="A41" s="898"/>
      <c r="B41" s="2385"/>
      <c r="C41" s="2215"/>
      <c r="D41" s="458">
        <f>SUM(D33:D40)</f>
        <v>620141.24999999988</v>
      </c>
      <c r="E41" s="2386"/>
      <c r="F41" s="340"/>
      <c r="G41" s="456">
        <f>IF(D41=0,"0.00%",(H41-D41)/D41)</f>
        <v>4.3043016409568174E-2</v>
      </c>
      <c r="H41" s="458">
        <f>SUM(H33:H40)</f>
        <v>646834</v>
      </c>
      <c r="I41" s="2316">
        <f>+H41-D41</f>
        <v>26692.750000000116</v>
      </c>
      <c r="J41" s="459"/>
      <c r="K41" s="456">
        <f>IF(H41=0,"0.00%",(L41-H41)/H41)</f>
        <v>-6.2427145140793467E-3</v>
      </c>
      <c r="L41" s="458">
        <f>SUM(L33:L40)</f>
        <v>642796</v>
      </c>
      <c r="M41" s="2316">
        <f>+L41-H41</f>
        <v>-4038</v>
      </c>
      <c r="O41" s="456">
        <f>IF(L41=0,"0.00%",(P41-L41)/L41)</f>
        <v>1.5001649045731461E-2</v>
      </c>
      <c r="P41" s="458">
        <f>SUM(P33:P40)</f>
        <v>652439</v>
      </c>
      <c r="Q41" s="2316">
        <f>+P41-L41</f>
        <v>9643</v>
      </c>
      <c r="R41" s="592"/>
      <c r="S41" s="2238">
        <f>IF(P41=0,"0.00%",(T41-P41)/P41)</f>
        <v>1.6508823047058807E-2</v>
      </c>
      <c r="T41" s="458">
        <f>SUM(T33:T40)</f>
        <v>663210</v>
      </c>
      <c r="U41" s="2344"/>
      <c r="V41" s="952"/>
      <c r="W41" s="2241">
        <f>IF(T41=0,"0.00%",(X41-T41)/T41)</f>
        <v>1.9999698436392696E-2</v>
      </c>
      <c r="X41" s="458">
        <f>SUM(X33:X40)</f>
        <v>676474</v>
      </c>
      <c r="Y41" s="2344"/>
      <c r="AA41" s="456">
        <f>IF(X41=0,"0.00%",(AB41-X41)/X41)</f>
        <v>1.9997812184947242E-2</v>
      </c>
      <c r="AB41" s="458">
        <f>SUM(AB33:AB40)</f>
        <v>690002</v>
      </c>
      <c r="AC41" s="2344"/>
    </row>
    <row r="42" spans="1:29" s="457" customFormat="1" x14ac:dyDescent="0.25">
      <c r="A42" s="897"/>
      <c r="B42" s="2345" t="s">
        <v>28</v>
      </c>
      <c r="C42" s="2215"/>
      <c r="D42" s="340"/>
      <c r="E42" s="2386"/>
      <c r="F42" s="340"/>
      <c r="G42" s="2338"/>
      <c r="H42" s="340"/>
      <c r="I42" s="897"/>
      <c r="J42" s="455"/>
      <c r="K42" s="1668"/>
      <c r="L42" s="340"/>
      <c r="M42" s="901"/>
      <c r="O42" s="1668"/>
      <c r="P42" s="340"/>
      <c r="Q42" s="901"/>
      <c r="R42" s="592"/>
      <c r="S42" s="2341"/>
      <c r="T42" s="340"/>
      <c r="U42" s="2344"/>
      <c r="V42" s="952"/>
      <c r="W42" s="2343"/>
      <c r="X42" s="340"/>
      <c r="Y42" s="2344"/>
      <c r="AA42" s="1668"/>
      <c r="AB42" s="340"/>
      <c r="AC42" s="2344"/>
    </row>
    <row r="43" spans="1:29" s="457" customFormat="1" x14ac:dyDescent="0.25">
      <c r="A43" s="868"/>
      <c r="B43" s="2337" t="s">
        <v>27</v>
      </c>
      <c r="C43" s="2215"/>
      <c r="D43" s="340"/>
      <c r="E43" s="2386"/>
      <c r="F43" s="340"/>
      <c r="G43" s="2338"/>
      <c r="H43" s="340"/>
      <c r="I43" s="897"/>
      <c r="J43" s="455"/>
      <c r="K43" s="1668"/>
      <c r="L43" s="340"/>
      <c r="M43" s="901"/>
      <c r="O43" s="1668"/>
      <c r="P43" s="340"/>
      <c r="Q43" s="901"/>
      <c r="R43" s="592"/>
      <c r="S43" s="2341"/>
      <c r="T43" s="340"/>
      <c r="U43" s="2344"/>
      <c r="V43" s="952"/>
      <c r="W43" s="2343"/>
      <c r="X43" s="340"/>
      <c r="Y43" s="2344"/>
      <c r="AA43" s="1668"/>
      <c r="AB43" s="340"/>
      <c r="AC43" s="2344"/>
    </row>
    <row r="44" spans="1:29" s="457" customFormat="1" x14ac:dyDescent="0.25">
      <c r="A44" s="897"/>
      <c r="B44" s="2385" t="s">
        <v>83</v>
      </c>
      <c r="C44" s="2215" t="s">
        <v>76</v>
      </c>
      <c r="D44" s="340">
        <v>0</v>
      </c>
      <c r="E44" s="899" t="str">
        <f>TEXT('MYP Assumptions'!$D$57,"0.00%")&amp;", STRS rate"</f>
        <v>12.58%, STRS rate</v>
      </c>
      <c r="F44" s="340"/>
      <c r="G44" s="456" t="str">
        <f t="shared" ref="G44:G53" si="17">IF(D44=0,"0.00%",(H44-D44)/D44)</f>
        <v>0.00%</v>
      </c>
      <c r="H44" s="340">
        <f>ROUND(H30*LEFT(I44,6),0)</f>
        <v>0</v>
      </c>
      <c r="I44" s="899" t="str">
        <f>TEXT('MYP Assumptions'!E57,"0.00%")&amp;", projected STRS rate"</f>
        <v>14.43%, projected STRS rate</v>
      </c>
      <c r="J44" s="455"/>
      <c r="K44" s="456" t="str">
        <f t="shared" ref="K44:K53" si="18">IF(H44=0,"0.00%",(L44-H44)/H44)</f>
        <v>0.00%</v>
      </c>
      <c r="L44" s="340">
        <f>ROUND(L30*LEFT(M44,6),0)</f>
        <v>0</v>
      </c>
      <c r="M44" s="899" t="str">
        <f>TEXT('MYP Assumptions'!F57,"0.00%")&amp;", projected STRS rate"</f>
        <v>16.28%, projected STRS rate</v>
      </c>
      <c r="O44" s="456" t="str">
        <f t="shared" ref="O44:O53" si="19">IF(L44=0,"0.00%",(P44-L44)/L44)</f>
        <v>0.00%</v>
      </c>
      <c r="P44" s="340">
        <f>ROUND(P30*LEFT(Q44,6),0)</f>
        <v>0</v>
      </c>
      <c r="Q44" s="899" t="str">
        <f>TEXT('MYP Assumptions'!G57,"0.00%")&amp;", projected STRS rate"</f>
        <v>18.13%, projected STRS rate</v>
      </c>
      <c r="R44" s="592"/>
      <c r="S44" s="2238" t="str">
        <f t="shared" ref="S44:S53" si="20">IF(P44=0,"0.00%",(T44-P44)/P44)</f>
        <v>0.00%</v>
      </c>
      <c r="T44" s="340">
        <f>ROUND(T30*LEFT(U44,6),0)</f>
        <v>0</v>
      </c>
      <c r="U44" s="953" t="str">
        <f>TEXT('MYP Assumptions'!H57,"0.00%")&amp;", projected STRS rate"</f>
        <v>19.10%, projected STRS rate</v>
      </c>
      <c r="V44" s="952"/>
      <c r="W44" s="2241" t="str">
        <f t="shared" ref="W44:W53" si="21">IF(T44=0,"0.00%",(X44-T44)/T44)</f>
        <v>0.00%</v>
      </c>
      <c r="X44" s="340">
        <f>ROUND(X30*LEFT(Y44,6),0)</f>
        <v>0</v>
      </c>
      <c r="Y44" s="953" t="str">
        <f>TEXT('MYP Assumptions'!I57,"0.00%")&amp;", projected STRS rate"</f>
        <v>19.10%, projected STRS rate</v>
      </c>
      <c r="AA44" s="456" t="str">
        <f t="shared" ref="AA44:AA53" si="22">IF(X44=0,"0.00%",(AB44-X44)/X44)</f>
        <v>0.00%</v>
      </c>
      <c r="AB44" s="340" t="e">
        <f>ROUND(AB30*LEFT(AC44,6),0)</f>
        <v>#VALUE!</v>
      </c>
      <c r="AC44" s="953" t="str">
        <f>TEXT('MYP Assumptions'!J57,"0.00%")&amp;", projected STRS rate"</f>
        <v>0.00%, projected STRS rate</v>
      </c>
    </row>
    <row r="45" spans="1:29" s="457" customFormat="1" x14ac:dyDescent="0.25">
      <c r="A45" s="897"/>
      <c r="B45" s="2385" t="s">
        <v>84</v>
      </c>
      <c r="C45" s="2215" t="s">
        <v>77</v>
      </c>
      <c r="D45" s="340">
        <v>83987.73</v>
      </c>
      <c r="E45" s="899" t="str">
        <f>TEXT('MYP Assumptions'!$D$58,"0.00%")&amp;", PERS rate"</f>
        <v>13.89%, PERS rate</v>
      </c>
      <c r="F45" s="340"/>
      <c r="G45" s="456">
        <f t="shared" si="17"/>
        <v>0.15585931421173074</v>
      </c>
      <c r="H45" s="340">
        <v>97078</v>
      </c>
      <c r="I45" s="899" t="str">
        <f>TEXT('MYP Assumptions'!E58,"0.00%")&amp;", projected PERS rate"</f>
        <v>15.53%, projected PERS rate</v>
      </c>
      <c r="J45" s="455"/>
      <c r="K45" s="456">
        <f t="shared" si="18"/>
        <v>0.18481015266074702</v>
      </c>
      <c r="L45" s="340">
        <v>115019</v>
      </c>
      <c r="M45" s="899" t="str">
        <f>TEXT('MYP Assumptions'!F58,"0.00%")&amp;", projected PERS rate"</f>
        <v>18.06%, projected PERS rate</v>
      </c>
      <c r="O45" s="456">
        <f t="shared" si="19"/>
        <v>0.1798659351933159</v>
      </c>
      <c r="P45" s="340">
        <f>ROUND(P41*LEFT(Q45,6),0)</f>
        <v>135707</v>
      </c>
      <c r="Q45" s="899" t="str">
        <f>TEXT('MYP Assumptions'!G58,"0.00%")&amp;", projected PERS rate"</f>
        <v>20.80%, projected PERS rate</v>
      </c>
      <c r="R45" s="592"/>
      <c r="S45" s="2238">
        <f t="shared" si="20"/>
        <v>0.14845954888104521</v>
      </c>
      <c r="T45" s="340">
        <f>ROUND(T41*LEFT(U45,6),0)</f>
        <v>155854</v>
      </c>
      <c r="U45" s="953" t="str">
        <f>TEXT('MYP Assumptions'!H58,"0.00%")&amp;", projected PERS rate"</f>
        <v>23.50%, projected PERS rate</v>
      </c>
      <c r="V45" s="952"/>
      <c r="W45" s="2241">
        <f t="shared" si="21"/>
        <v>6.7749303835641053E-2</v>
      </c>
      <c r="X45" s="340">
        <f>ROUND(X41*LEFT(Y45,6),0)</f>
        <v>166413</v>
      </c>
      <c r="Y45" s="953" t="str">
        <f>TEXT('MYP Assumptions'!I58,"0.00%")&amp;", projected PERS rate"</f>
        <v>24.60%, projected PERS rate</v>
      </c>
      <c r="AA45" s="456" t="e">
        <f t="shared" si="22"/>
        <v>#VALUE!</v>
      </c>
      <c r="AB45" s="340" t="e">
        <f>ROUND(AB41*LEFT(AC45,6),0)</f>
        <v>#VALUE!</v>
      </c>
      <c r="AC45" s="953" t="str">
        <f>TEXT('MYP Assumptions'!J58,"0.00%")&amp;", projected PERS rate"</f>
        <v>0.00%, projected PERS rate</v>
      </c>
    </row>
    <row r="46" spans="1:29" s="457" customFormat="1" x14ac:dyDescent="0.25">
      <c r="A46" s="897"/>
      <c r="B46" s="2385" t="s">
        <v>85</v>
      </c>
      <c r="C46" s="2215" t="s">
        <v>78</v>
      </c>
      <c r="D46" s="340">
        <v>35530.86</v>
      </c>
      <c r="E46" s="899" t="str">
        <f>TEXT('MYP Assumptions'!$D$60,"0.00%")&amp;", SS rate"</f>
        <v>6.20%, SS rate</v>
      </c>
      <c r="F46" s="340"/>
      <c r="G46" s="456">
        <f t="shared" si="17"/>
        <v>4.9031743110073876E-2</v>
      </c>
      <c r="H46" s="340">
        <v>37273</v>
      </c>
      <c r="I46" s="899" t="str">
        <f>TEXT('MYP Assumptions'!E60,"0.00%")&amp;", no rate change"</f>
        <v>6.20%, no rate change</v>
      </c>
      <c r="J46" s="455"/>
      <c r="K46" s="456">
        <f t="shared" si="18"/>
        <v>6.9272663858557126E-2</v>
      </c>
      <c r="L46" s="340">
        <v>39855</v>
      </c>
      <c r="M46" s="899" t="str">
        <f>TEXT('MYP Assumptions'!F60,"0.00%")&amp;", no rate change"</f>
        <v>6.20%, no rate change</v>
      </c>
      <c r="O46" s="456">
        <f t="shared" si="19"/>
        <v>1.4954209007652741E-2</v>
      </c>
      <c r="P46" s="340">
        <f>ROUND(P41*LEFT(Q46,5),0)</f>
        <v>40451</v>
      </c>
      <c r="Q46" s="899" t="str">
        <f>TEXT('MYP Assumptions'!G60,"0.00%")&amp;", no rate change"</f>
        <v>6.20%, no rate change</v>
      </c>
      <c r="R46" s="592"/>
      <c r="S46" s="2238">
        <f t="shared" si="20"/>
        <v>1.6513806828014142E-2</v>
      </c>
      <c r="T46" s="340">
        <f>ROUND(T41*LEFT(U46,5),0)</f>
        <v>41119</v>
      </c>
      <c r="U46" s="953" t="str">
        <f>TEXT('MYP Assumptions'!H60,"0.00%")&amp;", no rate change"</f>
        <v>6.20%, no rate change</v>
      </c>
      <c r="V46" s="952"/>
      <c r="W46" s="2241">
        <f t="shared" si="21"/>
        <v>1.9990758530119897E-2</v>
      </c>
      <c r="X46" s="340">
        <f>ROUND(X41*LEFT(Y46,5),0)</f>
        <v>41941</v>
      </c>
      <c r="Y46" s="953" t="str">
        <f>TEXT('MYP Assumptions'!I60,"0.00%")&amp;", no rate change"</f>
        <v>6.20%, no rate change</v>
      </c>
      <c r="AA46" s="456">
        <f t="shared" si="22"/>
        <v>-1</v>
      </c>
      <c r="AB46" s="340">
        <f>ROUND(AB41*LEFT(AC46,5),0)</f>
        <v>0</v>
      </c>
      <c r="AC46" s="953" t="str">
        <f>TEXT('MYP Assumptions'!J60,"0.00%")&amp;", no rate change"</f>
        <v>0.00%, no rate change</v>
      </c>
    </row>
    <row r="47" spans="1:29" s="457" customFormat="1" x14ac:dyDescent="0.25">
      <c r="A47" s="897"/>
      <c r="B47" s="2385" t="s">
        <v>86</v>
      </c>
      <c r="C47" s="2215" t="s">
        <v>79</v>
      </c>
      <c r="D47" s="340">
        <v>8352.7099999999991</v>
      </c>
      <c r="E47" s="899" t="str">
        <f>TEXT('MYP Assumptions'!$D$61,"0.00%")&amp;", Medicare rate"</f>
        <v>1.45%, Medicare rate</v>
      </c>
      <c r="F47" s="340"/>
      <c r="G47" s="456">
        <f t="shared" si="17"/>
        <v>4.6965595597117694E-2</v>
      </c>
      <c r="H47" s="340">
        <v>8745</v>
      </c>
      <c r="I47" s="899" t="str">
        <f>TEXT('MYP Assumptions'!E61,"0.00%")&amp;", no rate change"</f>
        <v>1.45%, no rate change</v>
      </c>
      <c r="J47" s="455"/>
      <c r="K47" s="456">
        <f t="shared" si="18"/>
        <v>6.5980560320182957E-2</v>
      </c>
      <c r="L47" s="340">
        <v>9322</v>
      </c>
      <c r="M47" s="899" t="str">
        <f>TEXT('MYP Assumptions'!F61,"0.00%")&amp;", no rate change"</f>
        <v>1.45%, no rate change</v>
      </c>
      <c r="O47" s="456">
        <f t="shared" si="19"/>
        <v>1.4803690195237074E-2</v>
      </c>
      <c r="P47" s="340">
        <f>ROUND((P41+P30)*LEFT(Q47,5),0)</f>
        <v>9460</v>
      </c>
      <c r="Q47" s="899" t="str">
        <f>TEXT('MYP Assumptions'!G61,"0.00%")&amp;", no rate change"</f>
        <v>1.45%, no rate change</v>
      </c>
      <c r="R47" s="592"/>
      <c r="S47" s="2238">
        <f t="shared" si="20"/>
        <v>1.6596194503171246E-2</v>
      </c>
      <c r="T47" s="340">
        <f>ROUND((T41+T30)*LEFT(U47,5),0)</f>
        <v>9617</v>
      </c>
      <c r="U47" s="953" t="str">
        <f>TEXT('MYP Assumptions'!H61,"0.00%")&amp;", no rate change"</f>
        <v>1.45%, no rate change</v>
      </c>
      <c r="V47" s="952"/>
      <c r="W47" s="2241">
        <f t="shared" si="21"/>
        <v>1.9964645939482165E-2</v>
      </c>
      <c r="X47" s="340">
        <f>ROUND((X41+X30)*LEFT(Y47,5),0)</f>
        <v>9809</v>
      </c>
      <c r="Y47" s="953" t="str">
        <f>TEXT('MYP Assumptions'!I61,"0.00%")&amp;", no rate change"</f>
        <v>1.45%, no rate change</v>
      </c>
      <c r="AA47" s="456">
        <f t="shared" si="22"/>
        <v>-1</v>
      </c>
      <c r="AB47" s="340">
        <f>ROUND((AB41+AB30)*LEFT(AC47,5),0)</f>
        <v>0</v>
      </c>
      <c r="AC47" s="953" t="str">
        <f>TEXT('MYP Assumptions'!J61,"0.00%")&amp;", no rate change"</f>
        <v>0.00%, no rate change</v>
      </c>
    </row>
    <row r="48" spans="1:29" s="457" customFormat="1" x14ac:dyDescent="0.25">
      <c r="A48" s="897"/>
      <c r="B48" s="2385" t="s">
        <v>87</v>
      </c>
      <c r="C48" s="2215" t="s">
        <v>80</v>
      </c>
      <c r="D48" s="340">
        <v>77353.759999999995</v>
      </c>
      <c r="E48" s="899"/>
      <c r="F48" s="340"/>
      <c r="G48" s="456">
        <f t="shared" si="17"/>
        <v>-4.233485224247658E-2</v>
      </c>
      <c r="H48" s="340">
        <v>74079</v>
      </c>
      <c r="I48" s="899"/>
      <c r="J48" s="455"/>
      <c r="K48" s="456">
        <f t="shared" si="18"/>
        <v>2.8186125622646094E-2</v>
      </c>
      <c r="L48" s="340">
        <v>76167</v>
      </c>
      <c r="M48" s="899" t="str">
        <f>TEXT('MYP Assumptions'!$I$68,"0.00%")&amp;", projected increase"</f>
        <v>5.00%, projected increase</v>
      </c>
      <c r="O48" s="456">
        <f t="shared" si="19"/>
        <v>4.9995404834114514E-2</v>
      </c>
      <c r="P48" s="340">
        <f>ROUND((L48)*(LEFT(Q48,5)+1),0)</f>
        <v>79975</v>
      </c>
      <c r="Q48" s="899" t="str">
        <f>TEXT('MYP Assumptions'!$I$68,"0.00%")&amp;", projected increase"</f>
        <v>5.00%, projected increase</v>
      </c>
      <c r="R48" s="592"/>
      <c r="S48" s="2238">
        <f t="shared" si="20"/>
        <v>5.000312597686777E-2</v>
      </c>
      <c r="T48" s="340">
        <f>ROUND((P48)*(LEFT(U48,5)+1),0)</f>
        <v>83974</v>
      </c>
      <c r="U48" s="953" t="str">
        <f>TEXT('MYP Assumptions'!$I$68,"0.00%")&amp;", projected increase"</f>
        <v>5.00%, projected increase</v>
      </c>
      <c r="V48" s="952"/>
      <c r="W48" s="2241">
        <f t="shared" si="21"/>
        <v>5.0003572534355875E-2</v>
      </c>
      <c r="X48" s="340">
        <f>ROUND((T48)*(LEFT(Y48,5)+1),0)</f>
        <v>88173</v>
      </c>
      <c r="Y48" s="953" t="str">
        <f>TEXT('MYP Assumptions'!$I$68,"0.00%")&amp;", projected increase"</f>
        <v>5.00%, projected increase</v>
      </c>
      <c r="AA48" s="456">
        <f t="shared" si="22"/>
        <v>5.0003969469111863E-2</v>
      </c>
      <c r="AB48" s="340">
        <f>ROUND((X48)*(LEFT(AC48,5)+1),0)</f>
        <v>92582</v>
      </c>
      <c r="AC48" s="953" t="str">
        <f>TEXT('MYP Assumptions'!$I$68,"0.00%")&amp;", projected increase"</f>
        <v>5.00%, projected increase</v>
      </c>
    </row>
    <row r="49" spans="1:29" s="457" customFormat="1" x14ac:dyDescent="0.25">
      <c r="A49" s="897"/>
      <c r="B49" s="2385" t="s">
        <v>88</v>
      </c>
      <c r="C49" s="2215" t="s">
        <v>81</v>
      </c>
      <c r="D49" s="340">
        <v>288.36</v>
      </c>
      <c r="E49" s="899" t="str">
        <f>TEXT('MYP Assumptions'!$D$62,"0.00%")&amp;", SUI rate"</f>
        <v>0.05%, SUI rate</v>
      </c>
      <c r="F49" s="340"/>
      <c r="G49" s="456">
        <f t="shared" si="17"/>
        <v>9.9320294076848337E-2</v>
      </c>
      <c r="H49" s="340">
        <v>317</v>
      </c>
      <c r="I49" s="899" t="str">
        <f>TEXT('MYP Assumptions'!E62,"0.00%")&amp;", no rate change"</f>
        <v>0.05%, no rate change</v>
      </c>
      <c r="J49" s="455"/>
      <c r="K49" s="456">
        <f t="shared" si="18"/>
        <v>2.5236593059936908E-2</v>
      </c>
      <c r="L49" s="340">
        <v>325</v>
      </c>
      <c r="M49" s="899" t="str">
        <f>TEXT('MYP Assumptions'!F62,"0.00%")&amp;", no rate change"</f>
        <v>0.05%, no rate change</v>
      </c>
      <c r="O49" s="456">
        <f t="shared" si="19"/>
        <v>3.0769230769230769E-3</v>
      </c>
      <c r="P49" s="340">
        <f>ROUND((P41+P30)*LEFT(Q49,5),0)</f>
        <v>326</v>
      </c>
      <c r="Q49" s="899" t="str">
        <f>TEXT('MYP Assumptions'!G62,"0.00%")&amp;", no rate change"</f>
        <v>0.05%, no rate change</v>
      </c>
      <c r="R49" s="592"/>
      <c r="S49" s="2238">
        <f t="shared" si="20"/>
        <v>1.8404907975460124E-2</v>
      </c>
      <c r="T49" s="340">
        <f>ROUND((T41+T30)*LEFT(U49,5),0)</f>
        <v>332</v>
      </c>
      <c r="U49" s="953" t="str">
        <f>TEXT('MYP Assumptions'!H62,"0.00%")&amp;", no rate change"</f>
        <v>0.05%, no rate change</v>
      </c>
      <c r="V49" s="952"/>
      <c r="W49" s="2241">
        <f t="shared" si="21"/>
        <v>1.8072289156626505E-2</v>
      </c>
      <c r="X49" s="340">
        <f>ROUND((X41+X30)*LEFT(Y49,5),0)</f>
        <v>338</v>
      </c>
      <c r="Y49" s="953" t="str">
        <f>TEXT('MYP Assumptions'!I62,"0.00%")&amp;", no rate change"</f>
        <v>0.05%, no rate change</v>
      </c>
      <c r="AA49" s="456">
        <f t="shared" si="22"/>
        <v>-1</v>
      </c>
      <c r="AB49" s="340">
        <f>ROUND((AB41+AB30)*LEFT(AC49,5),0)</f>
        <v>0</v>
      </c>
      <c r="AC49" s="953" t="str">
        <f>TEXT('MYP Assumptions'!J62,"0.00%")&amp;", no rate change"</f>
        <v>0.00%, no rate change</v>
      </c>
    </row>
    <row r="50" spans="1:29" s="457" customFormat="1" x14ac:dyDescent="0.25">
      <c r="A50" s="897"/>
      <c r="B50" s="2385" t="s">
        <v>89</v>
      </c>
      <c r="C50" s="2215" t="s">
        <v>82</v>
      </c>
      <c r="D50" s="340">
        <v>6339.36</v>
      </c>
      <c r="E50" s="899" t="str">
        <f>TEXT('MYP Assumptions'!$D$63,"0.00%")&amp;", W/C rate"</f>
        <v>1.10%, W/C rate</v>
      </c>
      <c r="F50" s="340"/>
      <c r="G50" s="456">
        <f t="shared" si="17"/>
        <v>-0.11962721788950299</v>
      </c>
      <c r="H50" s="340">
        <v>5581</v>
      </c>
      <c r="I50" s="899" t="str">
        <f>TEXT('MYP Assumptions'!E63,"0.00%")&amp;", no rate change"</f>
        <v>0.80%, no rate change</v>
      </c>
      <c r="J50" s="455"/>
      <c r="K50" s="456">
        <f t="shared" si="18"/>
        <v>-7.8480559039598635E-2</v>
      </c>
      <c r="L50" s="340">
        <v>5143</v>
      </c>
      <c r="M50" s="899" t="str">
        <f>TEXT('MYP Assumptions'!F63,"0.00%")&amp;", no rate change"</f>
        <v>0.80%, no rate change</v>
      </c>
      <c r="O50" s="456">
        <f t="shared" si="19"/>
        <v>1.4971806338712814E-2</v>
      </c>
      <c r="P50" s="340">
        <f>ROUND((P41+P30)*LEFT(Q50,5),0)</f>
        <v>5220</v>
      </c>
      <c r="Q50" s="899" t="str">
        <f>TEXT('MYP Assumptions'!G63,"0.00%")&amp;", no rate change"</f>
        <v>0.80%, no rate change</v>
      </c>
      <c r="R50" s="592"/>
      <c r="S50" s="2238">
        <f t="shared" si="20"/>
        <v>1.6475095785440614E-2</v>
      </c>
      <c r="T50" s="340">
        <f>ROUND((T41+T30)*LEFT(U50,5),0)</f>
        <v>5306</v>
      </c>
      <c r="U50" s="953" t="str">
        <f>TEXT('MYP Assumptions'!H63,"0.00%")&amp;", no rate change"</f>
        <v>0.80%, no rate change</v>
      </c>
      <c r="V50" s="952"/>
      <c r="W50" s="2241">
        <f t="shared" si="21"/>
        <v>1.9977384093479079E-2</v>
      </c>
      <c r="X50" s="340">
        <f>ROUND((X41+X30)*LEFT(Y50,5),0)</f>
        <v>5412</v>
      </c>
      <c r="Y50" s="953" t="str">
        <f>TEXT('MYP Assumptions'!I63,"0.00%")&amp;", no rate change"</f>
        <v>0.80%, no rate change</v>
      </c>
      <c r="AA50" s="456">
        <f t="shared" si="22"/>
        <v>-1</v>
      </c>
      <c r="AB50" s="340">
        <f>ROUND((AB41+AB30)*LEFT(AC50,5),0)</f>
        <v>0</v>
      </c>
      <c r="AC50" s="953" t="str">
        <f>TEXT('MYP Assumptions'!J63,"0.00%")&amp;", no rate change"</f>
        <v>0.00%, no rate change</v>
      </c>
    </row>
    <row r="51" spans="1:29" s="457" customFormat="1" x14ac:dyDescent="0.25">
      <c r="A51" s="897"/>
      <c r="B51" s="2441" t="s">
        <v>469</v>
      </c>
      <c r="C51" s="2451" t="s">
        <v>470</v>
      </c>
      <c r="D51" s="340">
        <v>0</v>
      </c>
      <c r="E51" s="2386"/>
      <c r="F51" s="340"/>
      <c r="G51" s="456" t="str">
        <f t="shared" si="17"/>
        <v>0.00%</v>
      </c>
      <c r="H51" s="340">
        <v>0</v>
      </c>
      <c r="I51" s="899"/>
      <c r="J51" s="455"/>
      <c r="K51" s="456" t="str">
        <f t="shared" si="18"/>
        <v>0.00%</v>
      </c>
      <c r="L51" s="340">
        <f>H51</f>
        <v>0</v>
      </c>
      <c r="M51" s="899"/>
      <c r="O51" s="456" t="str">
        <f t="shared" si="19"/>
        <v>0.00%</v>
      </c>
      <c r="P51" s="340">
        <f>L51</f>
        <v>0</v>
      </c>
      <c r="Q51" s="899"/>
      <c r="R51" s="592"/>
      <c r="S51" s="2238" t="str">
        <f t="shared" si="20"/>
        <v>0.00%</v>
      </c>
      <c r="T51" s="340">
        <f>P51</f>
        <v>0</v>
      </c>
      <c r="U51" s="953" t="s">
        <v>165</v>
      </c>
      <c r="V51" s="952"/>
      <c r="W51" s="2241" t="str">
        <f t="shared" si="21"/>
        <v>0.00%</v>
      </c>
      <c r="X51" s="340">
        <f>T51</f>
        <v>0</v>
      </c>
      <c r="Y51" s="953" t="s">
        <v>165</v>
      </c>
      <c r="AA51" s="456" t="str">
        <f t="shared" si="22"/>
        <v>0.00%</v>
      </c>
      <c r="AB51" s="340">
        <f>X51</f>
        <v>0</v>
      </c>
      <c r="AC51" s="953" t="s">
        <v>165</v>
      </c>
    </row>
    <row r="52" spans="1:29" s="457" customFormat="1" x14ac:dyDescent="0.25">
      <c r="A52" s="897"/>
      <c r="B52" s="2441" t="s">
        <v>91</v>
      </c>
      <c r="C52" s="2451" t="s">
        <v>93</v>
      </c>
      <c r="D52" s="340">
        <f>1500+1800</f>
        <v>3300</v>
      </c>
      <c r="E52" s="2386"/>
      <c r="F52" s="340"/>
      <c r="G52" s="456">
        <f t="shared" ref="G52" si="23">IF(D52=0,"0.00%",(H52-D52)/D52)</f>
        <v>0.14545454545454545</v>
      </c>
      <c r="H52" s="340">
        <f>1500+2280</f>
        <v>3780</v>
      </c>
      <c r="I52" s="899" t="s">
        <v>165</v>
      </c>
      <c r="J52" s="455"/>
      <c r="K52" s="456">
        <f t="shared" ref="K52" si="24">IF(H52=0,"0.00%",(L52-H52)/H52)</f>
        <v>-1</v>
      </c>
      <c r="L52" s="340">
        <v>0</v>
      </c>
      <c r="M52" s="899" t="s">
        <v>165</v>
      </c>
      <c r="O52" s="456" t="str">
        <f t="shared" ref="O52" si="25">IF(L52=0,"0.00%",(P52-L52)/L52)</f>
        <v>0.00%</v>
      </c>
      <c r="P52" s="340">
        <f>L52</f>
        <v>0</v>
      </c>
      <c r="Q52" s="899" t="s">
        <v>165</v>
      </c>
      <c r="R52" s="592"/>
      <c r="S52" s="2238" t="str">
        <f t="shared" ref="S52" si="26">IF(P52=0,"0.00%",(T52-P52)/P52)</f>
        <v>0.00%</v>
      </c>
      <c r="T52" s="340">
        <f>P52</f>
        <v>0</v>
      </c>
      <c r="U52" s="953" t="s">
        <v>165</v>
      </c>
      <c r="V52" s="952"/>
      <c r="W52" s="2241"/>
      <c r="X52" s="340"/>
      <c r="Y52" s="953"/>
      <c r="AA52" s="456"/>
      <c r="AB52" s="340"/>
      <c r="AC52" s="953"/>
    </row>
    <row r="53" spans="1:29" s="457" customFormat="1" x14ac:dyDescent="0.25">
      <c r="A53" s="898"/>
      <c r="B53" s="2385"/>
      <c r="C53" s="2215"/>
      <c r="D53" s="458">
        <f>SUM(D44:D52)</f>
        <v>215152.77999999997</v>
      </c>
      <c r="E53" s="2386"/>
      <c r="F53" s="340"/>
      <c r="G53" s="456">
        <f t="shared" si="17"/>
        <v>5.4380984526437595E-2</v>
      </c>
      <c r="H53" s="458">
        <f>SUM(H44:H52)</f>
        <v>226853</v>
      </c>
      <c r="I53" s="2316">
        <f>+H53-D53</f>
        <v>11700.22000000003</v>
      </c>
      <c r="J53" s="459"/>
      <c r="K53" s="456">
        <f t="shared" si="18"/>
        <v>8.3657699038584457E-2</v>
      </c>
      <c r="L53" s="458">
        <f>SUM(L44:L52)</f>
        <v>245831</v>
      </c>
      <c r="M53" s="2316">
        <f>+L53-H53</f>
        <v>18978</v>
      </c>
      <c r="O53" s="456">
        <f t="shared" si="19"/>
        <v>0.10294877375107289</v>
      </c>
      <c r="P53" s="458">
        <f>SUM(P44:P52)</f>
        <v>271139</v>
      </c>
      <c r="Q53" s="2316">
        <f>+P53-L53</f>
        <v>25308</v>
      </c>
      <c r="R53" s="592"/>
      <c r="S53" s="2238">
        <f t="shared" si="20"/>
        <v>9.2435983019779525E-2</v>
      </c>
      <c r="T53" s="458">
        <f>SUM(T44:T52)</f>
        <v>296202</v>
      </c>
      <c r="U53" s="2344"/>
      <c r="V53" s="952"/>
      <c r="W53" s="2241">
        <f t="shared" si="21"/>
        <v>5.3625566336486588E-2</v>
      </c>
      <c r="X53" s="458">
        <f>SUM(X44:X52)</f>
        <v>312086</v>
      </c>
      <c r="Y53" s="2344"/>
      <c r="AA53" s="456" t="e">
        <f t="shared" si="22"/>
        <v>#VALUE!</v>
      </c>
      <c r="AB53" s="458" t="e">
        <f>SUM(AB44:AB52)</f>
        <v>#VALUE!</v>
      </c>
      <c r="AC53" s="2344"/>
    </row>
    <row r="54" spans="1:29" s="457" customFormat="1" x14ac:dyDescent="0.25">
      <c r="A54" s="868"/>
      <c r="B54" s="2385"/>
      <c r="C54" s="2215"/>
      <c r="D54" s="340"/>
      <c r="E54" s="2386"/>
      <c r="F54" s="340"/>
      <c r="G54" s="2338"/>
      <c r="H54" s="340"/>
      <c r="I54" s="897"/>
      <c r="J54" s="455"/>
      <c r="K54" s="1668"/>
      <c r="L54" s="340"/>
      <c r="M54" s="901"/>
      <c r="O54" s="1668"/>
      <c r="P54" s="340"/>
      <c r="Q54" s="901"/>
      <c r="R54" s="592"/>
      <c r="S54" s="2341"/>
      <c r="T54" s="340"/>
      <c r="U54" s="2344"/>
      <c r="V54" s="952"/>
      <c r="W54" s="2343"/>
      <c r="X54" s="340"/>
      <c r="Y54" s="2344"/>
      <c r="AA54" s="1668"/>
      <c r="AB54" s="340"/>
      <c r="AC54" s="2344"/>
    </row>
    <row r="55" spans="1:29" s="457" customFormat="1" x14ac:dyDescent="0.25">
      <c r="A55" s="898"/>
      <c r="B55" s="2337" t="s">
        <v>26</v>
      </c>
      <c r="C55" s="2215"/>
      <c r="D55" s="458">
        <f>SUM(D53,D41,D30)</f>
        <v>835294.0299999998</v>
      </c>
      <c r="E55" s="2386"/>
      <c r="F55" s="340"/>
      <c r="G55" s="456">
        <f>IF(D55=0,"0.00%",(H55-D55)/D55)</f>
        <v>4.596341961165485E-2</v>
      </c>
      <c r="H55" s="458">
        <f>SUM(H53,H41,H30)</f>
        <v>873687</v>
      </c>
      <c r="I55" s="2316">
        <f>+H55-D55</f>
        <v>38392.970000000205</v>
      </c>
      <c r="J55" s="459"/>
      <c r="K55" s="456">
        <f>IF(H55=0,"0.00%",(L55-H55)/H55)</f>
        <v>1.7099945403788772E-2</v>
      </c>
      <c r="L55" s="458">
        <f>SUM(L53,L41,L30)</f>
        <v>888627</v>
      </c>
      <c r="M55" s="2316">
        <f>+L55-H55</f>
        <v>14940</v>
      </c>
      <c r="O55" s="456">
        <f>IF(L55=0,"0.00%",(P55-L55)/L55)</f>
        <v>3.9331463032295892E-2</v>
      </c>
      <c r="P55" s="458">
        <f>SUM(P53,P41,P30)</f>
        <v>923578</v>
      </c>
      <c r="Q55" s="2316">
        <f>+P55-L55</f>
        <v>34951</v>
      </c>
      <c r="R55" s="592"/>
      <c r="S55" s="2238">
        <f>IF(P55=0,"0.00%",(T55-P55)/P55)</f>
        <v>3.8799105219050257E-2</v>
      </c>
      <c r="T55" s="458">
        <f>SUM(T53,T41,T30)</f>
        <v>959412</v>
      </c>
      <c r="U55" s="2344"/>
      <c r="V55" s="952"/>
      <c r="W55" s="2241">
        <f>IF(T55=0,"0.00%",(X55-T55)/T55)</f>
        <v>3.0381108428912708E-2</v>
      </c>
      <c r="X55" s="458">
        <f>SUM(X53,X41,X30)</f>
        <v>988560</v>
      </c>
      <c r="Y55" s="2344"/>
      <c r="AA55" s="456" t="e">
        <f>IF(X55=0,"0.00%",(AB55-X55)/X55)</f>
        <v>#VALUE!</v>
      </c>
      <c r="AB55" s="458" t="e">
        <f>SUM(AB53,AB41,AB30)</f>
        <v>#VALUE!</v>
      </c>
      <c r="AC55" s="2344"/>
    </row>
    <row r="56" spans="1:29" s="457" customFormat="1" x14ac:dyDescent="0.25">
      <c r="A56" s="2339"/>
      <c r="B56" s="2345"/>
      <c r="C56" s="2215"/>
      <c r="D56" s="340"/>
      <c r="E56" s="2386"/>
      <c r="F56" s="340"/>
      <c r="G56" s="2338"/>
      <c r="H56" s="340"/>
      <c r="I56" s="897"/>
      <c r="J56" s="455"/>
      <c r="K56" s="1668"/>
      <c r="L56" s="340"/>
      <c r="M56" s="901"/>
      <c r="O56" s="1668"/>
      <c r="P56" s="340"/>
      <c r="Q56" s="901"/>
      <c r="R56" s="592"/>
      <c r="S56" s="2341"/>
      <c r="T56" s="340"/>
      <c r="U56" s="2344"/>
      <c r="V56" s="952"/>
      <c r="W56" s="2343"/>
      <c r="X56" s="340"/>
      <c r="Y56" s="2344"/>
      <c r="AA56" s="1668"/>
      <c r="AB56" s="340"/>
      <c r="AC56" s="2344"/>
    </row>
    <row r="57" spans="1:29" s="457" customFormat="1" x14ac:dyDescent="0.25">
      <c r="A57" s="897"/>
      <c r="B57" s="2345"/>
      <c r="C57" s="2215"/>
      <c r="D57" s="340"/>
      <c r="E57" s="2386"/>
      <c r="F57" s="340"/>
      <c r="G57" s="2338"/>
      <c r="H57" s="340"/>
      <c r="I57" s="897"/>
      <c r="J57" s="455"/>
      <c r="K57" s="1668"/>
      <c r="L57" s="340"/>
      <c r="M57" s="901"/>
      <c r="O57" s="1668"/>
      <c r="P57" s="340"/>
      <c r="Q57" s="901"/>
      <c r="R57" s="592"/>
      <c r="S57" s="2341"/>
      <c r="T57" s="340"/>
      <c r="U57" s="2344"/>
      <c r="V57" s="952"/>
      <c r="W57" s="2343"/>
      <c r="X57" s="340"/>
      <c r="Y57" s="2344"/>
      <c r="AA57" s="1668"/>
      <c r="AB57" s="340"/>
      <c r="AC57" s="2344"/>
    </row>
    <row r="58" spans="1:29" s="457" customFormat="1" x14ac:dyDescent="0.25">
      <c r="A58" s="2339"/>
      <c r="B58" s="2440" t="s">
        <v>25</v>
      </c>
      <c r="C58" s="2225"/>
      <c r="D58" s="340"/>
      <c r="E58" s="2386"/>
      <c r="F58" s="340"/>
      <c r="G58" s="2338"/>
      <c r="H58" s="606"/>
      <c r="I58" s="897"/>
      <c r="J58" s="455"/>
      <c r="K58" s="1668"/>
      <c r="L58" s="2452"/>
      <c r="M58" s="901"/>
      <c r="O58" s="1668"/>
      <c r="P58" s="2452"/>
      <c r="Q58" s="901"/>
      <c r="R58" s="592"/>
      <c r="S58" s="2341"/>
      <c r="T58" s="340"/>
      <c r="U58" s="2344"/>
      <c r="V58" s="952"/>
      <c r="W58" s="2343"/>
      <c r="X58" s="340"/>
      <c r="Y58" s="2344"/>
      <c r="AA58" s="1668"/>
      <c r="AB58" s="340"/>
      <c r="AC58" s="2344"/>
    </row>
    <row r="59" spans="1:29" s="457" customFormat="1" x14ac:dyDescent="0.25">
      <c r="A59" s="897"/>
      <c r="B59" s="2385">
        <v>4300</v>
      </c>
      <c r="C59" s="2215" t="s">
        <v>309</v>
      </c>
      <c r="D59" s="340">
        <v>219171.03</v>
      </c>
      <c r="E59" s="2386"/>
      <c r="F59" s="340"/>
      <c r="G59" s="456">
        <f t="shared" ref="G59:G69" si="27">IF(D59=0,"0.00%",(H59-D59)/D59)</f>
        <v>0.61421425085240511</v>
      </c>
      <c r="H59" s="340">
        <v>353789</v>
      </c>
      <c r="I59" s="897"/>
      <c r="J59" s="455"/>
      <c r="K59" s="456">
        <f t="shared" ref="K59:K69" si="28">IF(H59=0,"0.00%",(L59-H59)/H59)</f>
        <v>0.3868718360378644</v>
      </c>
      <c r="L59" s="340">
        <v>490660</v>
      </c>
      <c r="M59" s="899"/>
      <c r="O59" s="456">
        <f t="shared" ref="O59:O69" si="29">IF(L59=0,"0.00%",(P59-L59)/L59)</f>
        <v>0</v>
      </c>
      <c r="P59" s="340">
        <f>ROUND(L59*(1-$P$58),0)</f>
        <v>490660</v>
      </c>
      <c r="Q59" s="899"/>
      <c r="R59" s="592"/>
      <c r="S59" s="456">
        <f t="shared" ref="S59:S67" si="30">IF(P59=0,"0.00%",(T59-P59)/P59)</f>
        <v>0</v>
      </c>
      <c r="T59" s="340">
        <f>ROUND(P59*(1-$P$58),0)</f>
        <v>490660</v>
      </c>
      <c r="U59" s="899"/>
      <c r="V59" s="952"/>
      <c r="W59" s="2241">
        <f t="shared" ref="W59:W69" si="31">IF(T59=0,"0.00%",(X59-T59)/T59)</f>
        <v>2.7299963314718949E-2</v>
      </c>
      <c r="X59" s="340">
        <f>ROUND(T59*(LEFT(Y59,5)+1),0)</f>
        <v>504055</v>
      </c>
      <c r="Y59" s="953" t="str">
        <f>TEXT('MYP Assumptions'!I78,"0.00%")&amp;", CPI"</f>
        <v>2.73%, CPI</v>
      </c>
      <c r="AA59" s="456">
        <f t="shared" ref="AA59:AA69" si="32">IF(X59=0,"0.00%",(AB59-X59)/X59)</f>
        <v>2.7300592197280059E-2</v>
      </c>
      <c r="AB59" s="340">
        <f>ROUND(X59*(LEFT(AC59,5)+1),0)</f>
        <v>517816</v>
      </c>
      <c r="AC59" s="953" t="str">
        <f>TEXT('MYP Assumptions'!J78,"0.00%")&amp;", CPI"</f>
        <v>2.73%, CPI</v>
      </c>
    </row>
    <row r="60" spans="1:29" s="457" customFormat="1" x14ac:dyDescent="0.25">
      <c r="A60" s="897"/>
      <c r="B60" s="2385">
        <v>4345</v>
      </c>
      <c r="C60" s="2215" t="s">
        <v>310</v>
      </c>
      <c r="D60" s="340">
        <v>9861.33</v>
      </c>
      <c r="E60" s="2386"/>
      <c r="F60" s="340"/>
      <c r="G60" s="456">
        <f t="shared" si="27"/>
        <v>2.1893263890367729</v>
      </c>
      <c r="H60" s="340">
        <v>31451</v>
      </c>
      <c r="I60" s="897"/>
      <c r="J60" s="455"/>
      <c r="K60" s="456">
        <f t="shared" si="28"/>
        <v>0.12540141807891642</v>
      </c>
      <c r="L60" s="340">
        <v>35395</v>
      </c>
      <c r="M60" s="899"/>
      <c r="O60" s="456">
        <f t="shared" si="29"/>
        <v>0</v>
      </c>
      <c r="P60" s="340">
        <f t="shared" ref="P60:P67" si="33">ROUND(L60*(1-$P$58),0)</f>
        <v>35395</v>
      </c>
      <c r="Q60" s="899"/>
      <c r="R60" s="592"/>
      <c r="S60" s="456">
        <f t="shared" si="30"/>
        <v>0</v>
      </c>
      <c r="T60" s="340">
        <f t="shared" ref="T60:T67" si="34">ROUND(P60*(1-$P$58),0)</f>
        <v>35395</v>
      </c>
      <c r="U60" s="899"/>
      <c r="V60" s="952"/>
      <c r="W60" s="2241">
        <f t="shared" si="31"/>
        <v>2.7291990394123465E-2</v>
      </c>
      <c r="X60" s="340">
        <f t="shared" ref="X60:X68" si="35">ROUND(T60*(LEFT(Y60,5)+1),0)</f>
        <v>36361</v>
      </c>
      <c r="Y60" s="953" t="str">
        <f>TEXT('MYP Assumptions'!I78,"0.00%")&amp;", CPI"</f>
        <v>2.73%, CPI</v>
      </c>
      <c r="AA60" s="456">
        <f t="shared" si="32"/>
        <v>2.7309479937295454E-2</v>
      </c>
      <c r="AB60" s="340">
        <f t="shared" ref="AB60:AB68" si="36">ROUND(X60*(LEFT(AC60,5)+1),0)</f>
        <v>37354</v>
      </c>
      <c r="AC60" s="953" t="str">
        <f>TEXT('MYP Assumptions'!J78,"0.00%")&amp;", CPI"</f>
        <v>2.73%, CPI</v>
      </c>
    </row>
    <row r="61" spans="1:29" s="457" customFormat="1" x14ac:dyDescent="0.25">
      <c r="A61" s="897"/>
      <c r="B61" s="2385">
        <v>4347</v>
      </c>
      <c r="C61" s="2215" t="s">
        <v>311</v>
      </c>
      <c r="D61" s="340">
        <v>6638.46</v>
      </c>
      <c r="E61" s="2386"/>
      <c r="F61" s="340"/>
      <c r="G61" s="456">
        <f t="shared" si="27"/>
        <v>-9.6175920318869138E-2</v>
      </c>
      <c r="H61" s="340">
        <v>6000</v>
      </c>
      <c r="I61" s="897"/>
      <c r="J61" s="455"/>
      <c r="K61" s="456">
        <f t="shared" si="28"/>
        <v>0</v>
      </c>
      <c r="L61" s="340">
        <v>6000</v>
      </c>
      <c r="M61" s="899"/>
      <c r="O61" s="456">
        <f t="shared" si="29"/>
        <v>0</v>
      </c>
      <c r="P61" s="340">
        <f t="shared" si="33"/>
        <v>6000</v>
      </c>
      <c r="Q61" s="899"/>
      <c r="R61" s="592"/>
      <c r="S61" s="456">
        <f t="shared" si="30"/>
        <v>0</v>
      </c>
      <c r="T61" s="340">
        <f t="shared" si="34"/>
        <v>6000</v>
      </c>
      <c r="U61" s="899"/>
      <c r="V61" s="952"/>
      <c r="W61" s="2241">
        <f t="shared" si="31"/>
        <v>2.7333333333333334E-2</v>
      </c>
      <c r="X61" s="340">
        <f t="shared" si="35"/>
        <v>6164</v>
      </c>
      <c r="Y61" s="953" t="str">
        <f>TEXT('MYP Assumptions'!I78,"0.00%")&amp;", CPI"</f>
        <v>2.73%, CPI</v>
      </c>
      <c r="AA61" s="456">
        <f t="shared" si="32"/>
        <v>2.7255029201817001E-2</v>
      </c>
      <c r="AB61" s="340">
        <f t="shared" si="36"/>
        <v>6332</v>
      </c>
      <c r="AC61" s="953" t="str">
        <f>TEXT('MYP Assumptions'!J78,"0.00%")&amp;", CPI"</f>
        <v>2.73%, CPI</v>
      </c>
    </row>
    <row r="62" spans="1:29" s="457" customFormat="1" x14ac:dyDescent="0.25">
      <c r="A62" s="897"/>
      <c r="B62" s="2385">
        <v>4348</v>
      </c>
      <c r="C62" s="2215" t="s">
        <v>312</v>
      </c>
      <c r="D62" s="340">
        <v>0</v>
      </c>
      <c r="E62" s="2386"/>
      <c r="F62" s="340"/>
      <c r="G62" s="456" t="str">
        <f t="shared" si="27"/>
        <v>0.00%</v>
      </c>
      <c r="H62" s="340">
        <v>600</v>
      </c>
      <c r="I62" s="897"/>
      <c r="J62" s="455"/>
      <c r="K62" s="456">
        <f t="shared" si="28"/>
        <v>1</v>
      </c>
      <c r="L62" s="340">
        <v>1200</v>
      </c>
      <c r="M62" s="899"/>
      <c r="O62" s="456">
        <f t="shared" si="29"/>
        <v>0</v>
      </c>
      <c r="P62" s="340">
        <f t="shared" si="33"/>
        <v>1200</v>
      </c>
      <c r="Q62" s="899"/>
      <c r="R62" s="592"/>
      <c r="S62" s="456">
        <f t="shared" si="30"/>
        <v>0</v>
      </c>
      <c r="T62" s="340">
        <f t="shared" si="34"/>
        <v>1200</v>
      </c>
      <c r="U62" s="899"/>
      <c r="V62" s="952"/>
      <c r="W62" s="2241">
        <f t="shared" si="31"/>
        <v>2.75E-2</v>
      </c>
      <c r="X62" s="340">
        <f t="shared" si="35"/>
        <v>1233</v>
      </c>
      <c r="Y62" s="953" t="str">
        <f>TEXT('MYP Assumptions'!I78,"0.00%")&amp;", CPI"</f>
        <v>2.73%, CPI</v>
      </c>
      <c r="AA62" s="456">
        <f t="shared" si="32"/>
        <v>2.7575020275750203E-2</v>
      </c>
      <c r="AB62" s="340">
        <f t="shared" si="36"/>
        <v>1267</v>
      </c>
      <c r="AC62" s="953" t="str">
        <f>TEXT('MYP Assumptions'!J78,"0.00%")&amp;", CPI"</f>
        <v>2.73%, CPI</v>
      </c>
    </row>
    <row r="63" spans="1:29" s="457" customFormat="1" x14ac:dyDescent="0.25">
      <c r="A63" s="897"/>
      <c r="B63" s="2385">
        <v>4349</v>
      </c>
      <c r="C63" s="2215" t="s">
        <v>313</v>
      </c>
      <c r="D63" s="340">
        <v>4166.3100000000004</v>
      </c>
      <c r="E63" s="2386"/>
      <c r="F63" s="340"/>
      <c r="G63" s="456">
        <f t="shared" si="27"/>
        <v>1.1601849118284524</v>
      </c>
      <c r="H63" s="340">
        <v>9000</v>
      </c>
      <c r="I63" s="897"/>
      <c r="J63" s="455"/>
      <c r="K63" s="456">
        <f t="shared" si="28"/>
        <v>0</v>
      </c>
      <c r="L63" s="340">
        <v>9000</v>
      </c>
      <c r="M63" s="899"/>
      <c r="O63" s="456">
        <f t="shared" si="29"/>
        <v>0</v>
      </c>
      <c r="P63" s="340">
        <f t="shared" si="33"/>
        <v>9000</v>
      </c>
      <c r="Q63" s="899"/>
      <c r="R63" s="592"/>
      <c r="S63" s="456">
        <f t="shared" si="30"/>
        <v>0</v>
      </c>
      <c r="T63" s="340">
        <f t="shared" si="34"/>
        <v>9000</v>
      </c>
      <c r="U63" s="899"/>
      <c r="V63" s="952"/>
      <c r="W63" s="2241">
        <f t="shared" si="31"/>
        <v>2.7333333333333334E-2</v>
      </c>
      <c r="X63" s="340">
        <f t="shared" si="35"/>
        <v>9246</v>
      </c>
      <c r="Y63" s="953" t="str">
        <f>TEXT('MYP Assumptions'!I78,"0.00%")&amp;", CPI"</f>
        <v>2.73%, CPI</v>
      </c>
      <c r="AA63" s="456">
        <f t="shared" si="32"/>
        <v>2.7255029201817001E-2</v>
      </c>
      <c r="AB63" s="340">
        <f t="shared" si="36"/>
        <v>9498</v>
      </c>
      <c r="AC63" s="953" t="str">
        <f>TEXT('MYP Assumptions'!J78,"0.00%")&amp;", CPI"</f>
        <v>2.73%, CPI</v>
      </c>
    </row>
    <row r="64" spans="1:29" s="457" customFormat="1" x14ac:dyDescent="0.25">
      <c r="A64" s="897"/>
      <c r="B64" s="2385">
        <v>4352</v>
      </c>
      <c r="C64" s="2215" t="s">
        <v>314</v>
      </c>
      <c r="D64" s="340">
        <f>903.11+334.88</f>
        <v>1237.99</v>
      </c>
      <c r="E64" s="2386"/>
      <c r="F64" s="340"/>
      <c r="G64" s="456">
        <f t="shared" si="27"/>
        <v>-0.19223903262546549</v>
      </c>
      <c r="H64" s="340">
        <v>1000</v>
      </c>
      <c r="I64" s="897"/>
      <c r="J64" s="455"/>
      <c r="K64" s="456">
        <f t="shared" si="28"/>
        <v>0</v>
      </c>
      <c r="L64" s="340">
        <v>1000</v>
      </c>
      <c r="M64" s="899"/>
      <c r="O64" s="456">
        <f t="shared" si="29"/>
        <v>0</v>
      </c>
      <c r="P64" s="340">
        <f t="shared" si="33"/>
        <v>1000</v>
      </c>
      <c r="Q64" s="899"/>
      <c r="R64" s="592"/>
      <c r="S64" s="456">
        <f t="shared" si="30"/>
        <v>0</v>
      </c>
      <c r="T64" s="340">
        <f t="shared" si="34"/>
        <v>1000</v>
      </c>
      <c r="U64" s="899"/>
      <c r="V64" s="952"/>
      <c r="W64" s="2241">
        <f t="shared" si="31"/>
        <v>2.7E-2</v>
      </c>
      <c r="X64" s="340">
        <f t="shared" si="35"/>
        <v>1027</v>
      </c>
      <c r="Y64" s="953" t="str">
        <f>TEXT('MYP Assumptions'!I78,"0.00%")&amp;", CPI"</f>
        <v>2.73%, CPI</v>
      </c>
      <c r="AA64" s="456">
        <f t="shared" si="32"/>
        <v>2.7263875365141188E-2</v>
      </c>
      <c r="AB64" s="340">
        <f t="shared" si="36"/>
        <v>1055</v>
      </c>
      <c r="AC64" s="953" t="str">
        <f>TEXT('MYP Assumptions'!J78,"0.00%")&amp;", CPI"</f>
        <v>2.73%, CPI</v>
      </c>
    </row>
    <row r="65" spans="1:29" s="457" customFormat="1" x14ac:dyDescent="0.25">
      <c r="A65" s="897"/>
      <c r="B65" s="2385">
        <v>4354</v>
      </c>
      <c r="C65" s="2349" t="s">
        <v>315</v>
      </c>
      <c r="D65" s="340">
        <v>436.87</v>
      </c>
      <c r="E65" s="2386"/>
      <c r="F65" s="340"/>
      <c r="G65" s="456">
        <f t="shared" si="27"/>
        <v>3.8069219676333921</v>
      </c>
      <c r="H65" s="340">
        <v>2100</v>
      </c>
      <c r="I65" s="897"/>
      <c r="J65" s="455"/>
      <c r="K65" s="456">
        <f t="shared" ref="K65:K67" si="37">IF(H65=0,"0.00%",(L65-H65)/H65)</f>
        <v>-4.7619047619047616E-2</v>
      </c>
      <c r="L65" s="340">
        <v>2000</v>
      </c>
      <c r="M65" s="899"/>
      <c r="O65" s="456">
        <f t="shared" ref="O65:O67" si="38">IF(L65=0,"0.00%",(P65-L65)/L65)</f>
        <v>0</v>
      </c>
      <c r="P65" s="340">
        <f t="shared" si="33"/>
        <v>2000</v>
      </c>
      <c r="Q65" s="899"/>
      <c r="R65" s="592"/>
      <c r="S65" s="456">
        <f t="shared" si="30"/>
        <v>0</v>
      </c>
      <c r="T65" s="340">
        <f t="shared" si="34"/>
        <v>2000</v>
      </c>
      <c r="U65" s="899"/>
      <c r="V65" s="952"/>
      <c r="W65" s="2241"/>
      <c r="X65" s="340"/>
      <c r="Y65" s="953"/>
      <c r="AA65" s="456"/>
      <c r="AB65" s="340"/>
      <c r="AC65" s="953"/>
    </row>
    <row r="66" spans="1:29" s="457" customFormat="1" x14ac:dyDescent="0.25">
      <c r="A66" s="897"/>
      <c r="B66" s="2385">
        <v>4400</v>
      </c>
      <c r="C66" s="2215" t="s">
        <v>316</v>
      </c>
      <c r="D66" s="340">
        <v>13122.12</v>
      </c>
      <c r="E66" s="2386"/>
      <c r="F66" s="340"/>
      <c r="G66" s="456">
        <f t="shared" si="27"/>
        <v>1.0185762666398417</v>
      </c>
      <c r="H66" s="340">
        <v>26488</v>
      </c>
      <c r="I66" s="897"/>
      <c r="J66" s="455"/>
      <c r="K66" s="456">
        <f t="shared" si="37"/>
        <v>4.5303533675626698E-4</v>
      </c>
      <c r="L66" s="340">
        <v>26500</v>
      </c>
      <c r="M66" s="899"/>
      <c r="O66" s="456">
        <f t="shared" si="38"/>
        <v>0</v>
      </c>
      <c r="P66" s="340">
        <f t="shared" si="33"/>
        <v>26500</v>
      </c>
      <c r="Q66" s="899"/>
      <c r="R66" s="592"/>
      <c r="S66" s="456">
        <f t="shared" si="30"/>
        <v>0</v>
      </c>
      <c r="T66" s="340">
        <f t="shared" si="34"/>
        <v>26500</v>
      </c>
      <c r="U66" s="899"/>
      <c r="V66" s="952"/>
      <c r="W66" s="2241"/>
      <c r="X66" s="340"/>
      <c r="Y66" s="953"/>
      <c r="AA66" s="456"/>
      <c r="AB66" s="340"/>
      <c r="AC66" s="953"/>
    </row>
    <row r="67" spans="1:29" s="457" customFormat="1" x14ac:dyDescent="0.25">
      <c r="A67" s="897"/>
      <c r="B67" s="2385"/>
      <c r="C67" s="2215"/>
      <c r="D67" s="340">
        <v>0</v>
      </c>
      <c r="E67" s="2386"/>
      <c r="F67" s="340"/>
      <c r="G67" s="456" t="str">
        <f t="shared" si="27"/>
        <v>0.00%</v>
      </c>
      <c r="H67" s="340">
        <v>0</v>
      </c>
      <c r="I67" s="899"/>
      <c r="J67" s="455"/>
      <c r="K67" s="456" t="str">
        <f t="shared" si="37"/>
        <v>0.00%</v>
      </c>
      <c r="L67" s="340">
        <f t="shared" ref="L67" si="39">ROUND(H67*(1-$L$58),0)</f>
        <v>0</v>
      </c>
      <c r="M67" s="899"/>
      <c r="O67" s="456" t="str">
        <f t="shared" si="38"/>
        <v>0.00%</v>
      </c>
      <c r="P67" s="340">
        <f t="shared" si="33"/>
        <v>0</v>
      </c>
      <c r="Q67" s="899"/>
      <c r="R67" s="592"/>
      <c r="S67" s="456" t="str">
        <f t="shared" si="30"/>
        <v>0.00%</v>
      </c>
      <c r="T67" s="340">
        <f t="shared" si="34"/>
        <v>0</v>
      </c>
      <c r="U67" s="899"/>
      <c r="V67" s="952"/>
      <c r="W67" s="2241"/>
      <c r="X67" s="340"/>
      <c r="Y67" s="953"/>
      <c r="AA67" s="456"/>
      <c r="AB67" s="340"/>
      <c r="AC67" s="953"/>
    </row>
    <row r="68" spans="1:29" s="457" customFormat="1" hidden="1" x14ac:dyDescent="0.25">
      <c r="A68" s="897"/>
      <c r="B68" s="2385"/>
      <c r="C68" s="2349"/>
      <c r="D68" s="340">
        <v>0</v>
      </c>
      <c r="E68" s="2386"/>
      <c r="F68" s="340"/>
      <c r="G68" s="456" t="str">
        <f t="shared" si="27"/>
        <v>0.00%</v>
      </c>
      <c r="H68" s="340">
        <f t="shared" ref="H68" si="40">ROUND(D68*(LEFT(I68,5)+1),0)</f>
        <v>0</v>
      </c>
      <c r="I68" s="899" t="str">
        <f>TEXT('MYP Assumptions'!$E$78,"0.00%")&amp;", CPI"</f>
        <v>3.37%, CPI</v>
      </c>
      <c r="J68" s="455"/>
      <c r="K68" s="456" t="str">
        <f t="shared" si="28"/>
        <v>0.00%</v>
      </c>
      <c r="L68" s="340">
        <f t="shared" ref="L68" si="41">ROUND(H68*(LEFT(M68,5)+1),0)</f>
        <v>0</v>
      </c>
      <c r="M68" s="899" t="str">
        <f>TEXT('MYP Assumptions'!F78,"0.00%")&amp;", CPI"</f>
        <v>3.58%, CPI</v>
      </c>
      <c r="O68" s="456" t="str">
        <f t="shared" si="29"/>
        <v>0.00%</v>
      </c>
      <c r="P68" s="340">
        <f t="shared" ref="P68" si="42">ROUND(L68*(LEFT(Q68,5)+1),0)</f>
        <v>0</v>
      </c>
      <c r="Q68" s="899" t="str">
        <f>TEXT('MYP Assumptions'!G78,"0.00%")&amp;", CPI"</f>
        <v>3.36%, CPI</v>
      </c>
      <c r="R68" s="592"/>
      <c r="S68" s="2238" t="str">
        <f t="shared" ref="S68:S69" si="43">IF(P68=0,"0.00%",(T68-P68)/P68)</f>
        <v>0.00%</v>
      </c>
      <c r="T68" s="340">
        <f t="shared" ref="T68" si="44">ROUND(P68*(LEFT(U68,5)+1),0)</f>
        <v>0</v>
      </c>
      <c r="U68" s="953" t="str">
        <f>TEXT('MYP Assumptions'!H78,"0.00%")&amp;", CPI"</f>
        <v>3.23%, CPI</v>
      </c>
      <c r="V68" s="952"/>
      <c r="W68" s="2241" t="str">
        <f t="shared" si="31"/>
        <v>0.00%</v>
      </c>
      <c r="X68" s="340">
        <f t="shared" si="35"/>
        <v>0</v>
      </c>
      <c r="Y68" s="953" t="str">
        <f>TEXT('MYP Assumptions'!I78,"0.00%")&amp;", CPI"</f>
        <v>2.73%, CPI</v>
      </c>
      <c r="AA68" s="456" t="str">
        <f t="shared" si="32"/>
        <v>0.00%</v>
      </c>
      <c r="AB68" s="340">
        <f t="shared" si="36"/>
        <v>0</v>
      </c>
      <c r="AC68" s="953" t="str">
        <f>TEXT('MYP Assumptions'!J78,"0.00%")&amp;", CPI"</f>
        <v>2.73%, CPI</v>
      </c>
    </row>
    <row r="69" spans="1:29" s="457" customFormat="1" x14ac:dyDescent="0.25">
      <c r="A69" s="898"/>
      <c r="B69" s="2385"/>
      <c r="C69" s="2215"/>
      <c r="D69" s="458">
        <f>SUM(D59:D68)</f>
        <v>254634.10999999996</v>
      </c>
      <c r="E69" s="2386"/>
      <c r="F69" s="340"/>
      <c r="G69" s="456">
        <f t="shared" si="27"/>
        <v>0.69037840217086421</v>
      </c>
      <c r="H69" s="458">
        <f>SUM(H59:H68)</f>
        <v>430428</v>
      </c>
      <c r="I69" s="2316">
        <f>+H69-D69</f>
        <v>175793.89000000004</v>
      </c>
      <c r="J69" s="459"/>
      <c r="K69" s="456">
        <f t="shared" si="28"/>
        <v>0.32834062839778083</v>
      </c>
      <c r="L69" s="458">
        <f>SUM(L59:L68)</f>
        <v>571755</v>
      </c>
      <c r="M69" s="2316">
        <f>+L69-H69</f>
        <v>141327</v>
      </c>
      <c r="O69" s="456">
        <f t="shared" si="29"/>
        <v>0</v>
      </c>
      <c r="P69" s="458">
        <f>SUM(P59:P68)</f>
        <v>571755</v>
      </c>
      <c r="Q69" s="2316">
        <f>+P69-L69</f>
        <v>0</v>
      </c>
      <c r="R69" s="592"/>
      <c r="S69" s="2238">
        <f t="shared" si="43"/>
        <v>0</v>
      </c>
      <c r="T69" s="458">
        <f>SUM(T59:T68)</f>
        <v>571755</v>
      </c>
      <c r="U69" s="2344"/>
      <c r="V69" s="952"/>
      <c r="W69" s="2241">
        <f t="shared" si="31"/>
        <v>-2.3907093073082003E-2</v>
      </c>
      <c r="X69" s="458">
        <f>SUM(X59:X68)</f>
        <v>558086</v>
      </c>
      <c r="Y69" s="2344"/>
      <c r="AA69" s="456">
        <f t="shared" si="32"/>
        <v>2.7300451901678235E-2</v>
      </c>
      <c r="AB69" s="458">
        <f>SUM(AB59:AB68)</f>
        <v>573322</v>
      </c>
      <c r="AC69" s="2344"/>
    </row>
    <row r="70" spans="1:29" s="457" customFormat="1" x14ac:dyDescent="0.25">
      <c r="A70" s="897"/>
      <c r="B70" s="2345"/>
      <c r="C70" s="2215"/>
      <c r="D70" s="340"/>
      <c r="E70" s="2386"/>
      <c r="F70" s="340"/>
      <c r="G70" s="2338"/>
      <c r="H70" s="340"/>
      <c r="I70" s="897"/>
      <c r="J70" s="455"/>
      <c r="K70" s="1668"/>
      <c r="L70" s="340"/>
      <c r="M70" s="901"/>
      <c r="O70" s="1668"/>
      <c r="P70" s="340"/>
      <c r="Q70" s="901"/>
      <c r="R70" s="592"/>
      <c r="S70" s="2341"/>
      <c r="T70" s="340"/>
      <c r="U70" s="2344"/>
      <c r="V70" s="952"/>
      <c r="W70" s="2343"/>
      <c r="X70" s="340"/>
      <c r="Y70" s="2344"/>
      <c r="AA70" s="1668"/>
      <c r="AB70" s="340"/>
      <c r="AC70" s="2344"/>
    </row>
    <row r="71" spans="1:29" s="461" customFormat="1" x14ac:dyDescent="0.25">
      <c r="A71" s="900"/>
      <c r="B71" s="2337" t="s">
        <v>16</v>
      </c>
      <c r="C71" s="2225"/>
      <c r="D71" s="460"/>
      <c r="E71" s="868"/>
      <c r="F71" s="460"/>
      <c r="G71" s="2389"/>
      <c r="H71" s="606"/>
      <c r="I71" s="897"/>
      <c r="K71" s="1669"/>
      <c r="L71" s="460"/>
      <c r="M71" s="902"/>
      <c r="O71" s="1669"/>
      <c r="P71" s="460"/>
      <c r="Q71" s="902"/>
      <c r="S71" s="1669"/>
      <c r="U71" s="2392"/>
      <c r="V71" s="2381"/>
      <c r="W71" s="2382"/>
      <c r="Y71" s="2392"/>
      <c r="AA71" s="1669"/>
      <c r="AC71" s="2392"/>
    </row>
    <row r="72" spans="1:29" s="457" customFormat="1" x14ac:dyDescent="0.25">
      <c r="A72" s="897"/>
      <c r="B72" s="2385">
        <v>5213</v>
      </c>
      <c r="C72" s="2215" t="s">
        <v>252</v>
      </c>
      <c r="D72" s="340">
        <v>12279.69</v>
      </c>
      <c r="E72" s="2386"/>
      <c r="F72" s="340"/>
      <c r="G72" s="456">
        <f t="shared" ref="G72:G77" si="45">IF(D72=0,"0.00%",(H72-D72)/D72)</f>
        <v>-2.2776633612086337E-2</v>
      </c>
      <c r="H72" s="340">
        <v>12000</v>
      </c>
      <c r="I72" s="897"/>
      <c r="J72" s="455"/>
      <c r="K72" s="456">
        <f t="shared" ref="K72:K83" si="46">IF(H72=0,"0.00%",(L72-H72)/H72)</f>
        <v>0</v>
      </c>
      <c r="L72" s="340">
        <v>12000</v>
      </c>
      <c r="M72" s="899"/>
      <c r="O72" s="456">
        <f t="shared" ref="O72:O89" si="47">IF(L72=0,"0.00%",(P72-L72)/L72)</f>
        <v>0</v>
      </c>
      <c r="P72" s="340">
        <f t="shared" ref="P72:P88" si="48">ROUND(L72*(1-$P$58),0)</f>
        <v>12000</v>
      </c>
      <c r="Q72" s="899"/>
      <c r="R72" s="592"/>
      <c r="S72" s="456">
        <f t="shared" ref="S72:S88" si="49">IF(P72=0,"0.00%",(T72-P72)/P72)</f>
        <v>0</v>
      </c>
      <c r="T72" s="340">
        <f t="shared" ref="T72:T86" si="50">ROUND(P72*(1-$P$58),0)</f>
        <v>12000</v>
      </c>
      <c r="U72" s="899"/>
      <c r="V72" s="952"/>
      <c r="W72" s="2241">
        <f t="shared" ref="W72:W89" si="51">IF(T72=0,"0.00%",(X72-T72)/T72)</f>
        <v>2.7333333333333334E-2</v>
      </c>
      <c r="X72" s="340">
        <f>ROUND(T72*(LEFT(Y72,5)+1),0)</f>
        <v>12328</v>
      </c>
      <c r="Y72" s="953" t="str">
        <f>TEXT('MYP Assumptions'!I78,"0.00%")&amp;", CPI"</f>
        <v>2.73%, CPI</v>
      </c>
      <c r="AA72" s="456">
        <f t="shared" ref="AA72:AA89" si="52">IF(X72=0,"0.00%",(AB72-X72)/X72)</f>
        <v>2.7336145360155745E-2</v>
      </c>
      <c r="AB72" s="340">
        <f>ROUND(X72*(LEFT(AC72,5)+1),0)</f>
        <v>12665</v>
      </c>
      <c r="AC72" s="953" t="str">
        <f>TEXT('MYP Assumptions'!J78,"0.00%")&amp;", CPI"</f>
        <v>2.73%, CPI</v>
      </c>
    </row>
    <row r="73" spans="1:29" s="457" customFormat="1" x14ac:dyDescent="0.25">
      <c r="A73" s="897"/>
      <c r="B73" s="2385">
        <v>5310</v>
      </c>
      <c r="C73" s="2215" t="s">
        <v>12</v>
      </c>
      <c r="D73" s="340">
        <v>691.33</v>
      </c>
      <c r="E73" s="2386"/>
      <c r="F73" s="340"/>
      <c r="G73" s="456">
        <f t="shared" si="45"/>
        <v>0.44648720582066442</v>
      </c>
      <c r="H73" s="340">
        <v>1000</v>
      </c>
      <c r="I73" s="897"/>
      <c r="J73" s="455"/>
      <c r="K73" s="456">
        <f t="shared" si="46"/>
        <v>0</v>
      </c>
      <c r="L73" s="340">
        <f>+H73</f>
        <v>1000</v>
      </c>
      <c r="M73" s="899"/>
      <c r="O73" s="456">
        <f t="shared" si="47"/>
        <v>0</v>
      </c>
      <c r="P73" s="340">
        <f t="shared" si="48"/>
        <v>1000</v>
      </c>
      <c r="Q73" s="899"/>
      <c r="R73" s="592"/>
      <c r="S73" s="456">
        <f t="shared" si="49"/>
        <v>0</v>
      </c>
      <c r="T73" s="340">
        <f t="shared" si="50"/>
        <v>1000</v>
      </c>
      <c r="U73" s="899"/>
      <c r="V73" s="952"/>
      <c r="W73" s="2241">
        <f t="shared" si="51"/>
        <v>2.7E-2</v>
      </c>
      <c r="X73" s="340">
        <f t="shared" ref="X73:X88" si="53">ROUND(T73*(LEFT(Y73,5)+1),0)</f>
        <v>1027</v>
      </c>
      <c r="Y73" s="953" t="str">
        <f>TEXT('MYP Assumptions'!I78,"0.00%")&amp;", CPI"</f>
        <v>2.73%, CPI</v>
      </c>
      <c r="AA73" s="456">
        <f t="shared" si="52"/>
        <v>2.7263875365141188E-2</v>
      </c>
      <c r="AB73" s="340">
        <f t="shared" ref="AB73:AB88" si="54">ROUND(X73*(LEFT(AC73,5)+1),0)</f>
        <v>1055</v>
      </c>
      <c r="AC73" s="953" t="str">
        <f>TEXT('MYP Assumptions'!J78,"0.00%")&amp;", CPI"</f>
        <v>2.73%, CPI</v>
      </c>
    </row>
    <row r="74" spans="1:29" s="457" customFormat="1" x14ac:dyDescent="0.25">
      <c r="A74" s="897"/>
      <c r="B74" s="2385">
        <v>5504</v>
      </c>
      <c r="C74" s="2215" t="s">
        <v>317</v>
      </c>
      <c r="D74" s="340">
        <v>6362.59</v>
      </c>
      <c r="E74" s="2386"/>
      <c r="F74" s="340"/>
      <c r="G74" s="456">
        <f t="shared" si="45"/>
        <v>0.49310265159314048</v>
      </c>
      <c r="H74" s="340">
        <v>9500</v>
      </c>
      <c r="I74" s="897"/>
      <c r="J74" s="455"/>
      <c r="K74" s="456">
        <f t="shared" si="46"/>
        <v>0</v>
      </c>
      <c r="L74" s="340">
        <f t="shared" ref="L74:L88" si="55">+H74</f>
        <v>9500</v>
      </c>
      <c r="M74" s="899"/>
      <c r="O74" s="456">
        <f t="shared" si="47"/>
        <v>0</v>
      </c>
      <c r="P74" s="340">
        <f t="shared" si="48"/>
        <v>9500</v>
      </c>
      <c r="Q74" s="899"/>
      <c r="R74" s="592"/>
      <c r="S74" s="456">
        <f t="shared" si="49"/>
        <v>0</v>
      </c>
      <c r="T74" s="340">
        <f t="shared" si="50"/>
        <v>9500</v>
      </c>
      <c r="U74" s="899"/>
      <c r="V74" s="952"/>
      <c r="W74" s="2241">
        <f t="shared" si="51"/>
        <v>2.7263157894736843E-2</v>
      </c>
      <c r="X74" s="340">
        <f t="shared" si="53"/>
        <v>9759</v>
      </c>
      <c r="Y74" s="953" t="str">
        <f>TEXT('MYP Assumptions'!I78,"0.00%")&amp;", CPI"</f>
        <v>2.73%, CPI</v>
      </c>
      <c r="AA74" s="456">
        <f t="shared" si="52"/>
        <v>2.7256891074905216E-2</v>
      </c>
      <c r="AB74" s="340">
        <f t="shared" si="54"/>
        <v>10025</v>
      </c>
      <c r="AC74" s="953" t="str">
        <f>TEXT('MYP Assumptions'!J78,"0.00%")&amp;", CPI"</f>
        <v>2.73%, CPI</v>
      </c>
    </row>
    <row r="75" spans="1:29" s="457" customFormat="1" x14ac:dyDescent="0.25">
      <c r="A75" s="897"/>
      <c r="B75" s="2385">
        <v>5508</v>
      </c>
      <c r="C75" s="2215" t="s">
        <v>318</v>
      </c>
      <c r="D75" s="340">
        <v>9374.39</v>
      </c>
      <c r="E75" s="2386"/>
      <c r="F75" s="340"/>
      <c r="G75" s="456">
        <f t="shared" si="45"/>
        <v>-0.12527641798559688</v>
      </c>
      <c r="H75" s="340">
        <v>8200</v>
      </c>
      <c r="I75" s="897"/>
      <c r="J75" s="455"/>
      <c r="K75" s="456">
        <f t="shared" si="46"/>
        <v>-2.4390243902439025E-2</v>
      </c>
      <c r="L75" s="340">
        <v>8000</v>
      </c>
      <c r="M75" s="899"/>
      <c r="O75" s="456">
        <f t="shared" si="47"/>
        <v>0</v>
      </c>
      <c r="P75" s="340">
        <f t="shared" si="48"/>
        <v>8000</v>
      </c>
      <c r="Q75" s="899"/>
      <c r="R75" s="592"/>
      <c r="S75" s="456">
        <f t="shared" si="49"/>
        <v>0</v>
      </c>
      <c r="T75" s="340">
        <f t="shared" si="50"/>
        <v>8000</v>
      </c>
      <c r="U75" s="899"/>
      <c r="V75" s="952"/>
      <c r="W75" s="2241">
        <f t="shared" si="51"/>
        <v>2.725E-2</v>
      </c>
      <c r="X75" s="340">
        <f t="shared" si="53"/>
        <v>8218</v>
      </c>
      <c r="Y75" s="953" t="str">
        <f>TEXT('MYP Assumptions'!I78,"0.00%")&amp;", CPI"</f>
        <v>2.73%, CPI</v>
      </c>
      <c r="AA75" s="456">
        <f t="shared" si="52"/>
        <v>2.7257240204429302E-2</v>
      </c>
      <c r="AB75" s="340">
        <f t="shared" si="54"/>
        <v>8442</v>
      </c>
      <c r="AC75" s="953" t="str">
        <f>TEXT('MYP Assumptions'!J78,"0.00%")&amp;", CPI"</f>
        <v>2.73%, CPI</v>
      </c>
    </row>
    <row r="76" spans="1:29" s="457" customFormat="1" x14ac:dyDescent="0.25">
      <c r="A76" s="897"/>
      <c r="B76" s="2385">
        <v>5600</v>
      </c>
      <c r="C76" s="2215" t="s">
        <v>319</v>
      </c>
      <c r="D76" s="340">
        <v>947127.64</v>
      </c>
      <c r="E76" s="2386"/>
      <c r="F76" s="340"/>
      <c r="G76" s="456">
        <f t="shared" si="45"/>
        <v>0.23198178441925735</v>
      </c>
      <c r="H76" s="340">
        <v>1166844</v>
      </c>
      <c r="I76" s="897"/>
      <c r="J76" s="455"/>
      <c r="K76" s="456">
        <f t="shared" si="46"/>
        <v>-2.6164594410221075E-3</v>
      </c>
      <c r="L76" s="340">
        <v>1163791</v>
      </c>
      <c r="M76" s="899"/>
      <c r="O76" s="456">
        <f t="shared" si="47"/>
        <v>0</v>
      </c>
      <c r="P76" s="340">
        <f t="shared" si="48"/>
        <v>1163791</v>
      </c>
      <c r="Q76" s="899"/>
      <c r="R76" s="592"/>
      <c r="S76" s="456">
        <f t="shared" si="49"/>
        <v>0</v>
      </c>
      <c r="T76" s="340">
        <f t="shared" si="50"/>
        <v>1163791</v>
      </c>
      <c r="U76" s="899"/>
      <c r="V76" s="952"/>
      <c r="W76" s="2241">
        <f t="shared" si="51"/>
        <v>2.7299575267380482E-2</v>
      </c>
      <c r="X76" s="340">
        <f t="shared" si="53"/>
        <v>1195562</v>
      </c>
      <c r="Y76" s="953" t="str">
        <f>TEXT('MYP Assumptions'!I78,"0.00%")&amp;", CPI"</f>
        <v>2.73%, CPI</v>
      </c>
      <c r="AA76" s="456">
        <f t="shared" si="52"/>
        <v>2.7300131653565436E-2</v>
      </c>
      <c r="AB76" s="340">
        <f t="shared" si="54"/>
        <v>1228201</v>
      </c>
      <c r="AC76" s="953" t="str">
        <f>TEXT('MYP Assumptions'!J78,"0.00%")&amp;", CPI"</f>
        <v>2.73%, CPI</v>
      </c>
    </row>
    <row r="77" spans="1:29" s="457" customFormat="1" x14ac:dyDescent="0.25">
      <c r="A77" s="897"/>
      <c r="B77" s="2385">
        <v>5601</v>
      </c>
      <c r="C77" s="2215" t="s">
        <v>321</v>
      </c>
      <c r="D77" s="340">
        <v>2583.6799999999998</v>
      </c>
      <c r="E77" s="2386"/>
      <c r="F77" s="340"/>
      <c r="G77" s="456">
        <f t="shared" si="45"/>
        <v>2.8704483527371814</v>
      </c>
      <c r="H77" s="340">
        <v>10000</v>
      </c>
      <c r="I77" s="897"/>
      <c r="J77" s="455"/>
      <c r="K77" s="456">
        <f t="shared" si="46"/>
        <v>0</v>
      </c>
      <c r="L77" s="340">
        <v>10000</v>
      </c>
      <c r="M77" s="899"/>
      <c r="O77" s="456">
        <f t="shared" si="47"/>
        <v>0</v>
      </c>
      <c r="P77" s="340">
        <f t="shared" si="48"/>
        <v>10000</v>
      </c>
      <c r="Q77" s="899"/>
      <c r="R77" s="592"/>
      <c r="S77" s="456">
        <f t="shared" si="49"/>
        <v>0</v>
      </c>
      <c r="T77" s="340">
        <f t="shared" si="50"/>
        <v>10000</v>
      </c>
      <c r="U77" s="899"/>
      <c r="V77" s="952"/>
      <c r="W77" s="2241">
        <f t="shared" si="51"/>
        <v>2.7300000000000001E-2</v>
      </c>
      <c r="X77" s="340">
        <f t="shared" si="53"/>
        <v>10273</v>
      </c>
      <c r="Y77" s="953" t="str">
        <f>TEXT('MYP Assumptions'!I78,"0.00%")&amp;", CPI"</f>
        <v>2.73%, CPI</v>
      </c>
      <c r="AA77" s="456">
        <f t="shared" si="52"/>
        <v>2.7255913559816995E-2</v>
      </c>
      <c r="AB77" s="340">
        <f t="shared" si="54"/>
        <v>10553</v>
      </c>
      <c r="AC77" s="953" t="str">
        <f>TEXT('MYP Assumptions'!J78,"0.00%")&amp;", CPI"</f>
        <v>2.73%, CPI</v>
      </c>
    </row>
    <row r="78" spans="1:29" s="457" customFormat="1" x14ac:dyDescent="0.25">
      <c r="A78" s="897"/>
      <c r="B78" s="2385">
        <v>5604</v>
      </c>
      <c r="C78" s="2215" t="s">
        <v>320</v>
      </c>
      <c r="D78" s="340">
        <v>152</v>
      </c>
      <c r="E78" s="2386"/>
      <c r="F78" s="340"/>
      <c r="G78" s="456">
        <f>IF(D78=0,"0.00%",(H78-D78)/D78)</f>
        <v>114.13157894736842</v>
      </c>
      <c r="H78" s="340">
        <v>17500</v>
      </c>
      <c r="I78" s="897"/>
      <c r="J78" s="455"/>
      <c r="K78" s="456">
        <f t="shared" si="46"/>
        <v>0</v>
      </c>
      <c r="L78" s="340">
        <v>17500</v>
      </c>
      <c r="M78" s="899"/>
      <c r="O78" s="456">
        <f t="shared" si="47"/>
        <v>0</v>
      </c>
      <c r="P78" s="340">
        <f t="shared" si="48"/>
        <v>17500</v>
      </c>
      <c r="Q78" s="899"/>
      <c r="R78" s="592"/>
      <c r="S78" s="456">
        <f t="shared" si="49"/>
        <v>0</v>
      </c>
      <c r="T78" s="340">
        <f t="shared" si="50"/>
        <v>17500</v>
      </c>
      <c r="U78" s="899"/>
      <c r="V78" s="952"/>
      <c r="W78" s="2241">
        <f t="shared" si="51"/>
        <v>2.7314285714285715E-2</v>
      </c>
      <c r="X78" s="340">
        <f t="shared" si="53"/>
        <v>17978</v>
      </c>
      <c r="Y78" s="953" t="str">
        <f>TEXT('MYP Assumptions'!I78,"0.00%")&amp;", CPI"</f>
        <v>2.73%, CPI</v>
      </c>
      <c r="AA78" s="456">
        <f t="shared" si="52"/>
        <v>2.7311158082100346E-2</v>
      </c>
      <c r="AB78" s="340">
        <f t="shared" si="54"/>
        <v>18469</v>
      </c>
      <c r="AC78" s="953" t="str">
        <f>TEXT('MYP Assumptions'!J78,"0.00%")&amp;", CPI"</f>
        <v>2.73%, CPI</v>
      </c>
    </row>
    <row r="79" spans="1:29" s="457" customFormat="1" x14ac:dyDescent="0.25">
      <c r="A79" s="897"/>
      <c r="B79" s="2385">
        <v>5606</v>
      </c>
      <c r="C79" s="2215" t="s">
        <v>322</v>
      </c>
      <c r="D79" s="340">
        <v>2060.63</v>
      </c>
      <c r="E79" s="2386"/>
      <c r="F79" s="340"/>
      <c r="G79" s="456">
        <f t="shared" ref="G79:G89" si="56">IF(D79=0,"0.00%",(H79-D79)/D79)</f>
        <v>4.3575848162940449</v>
      </c>
      <c r="H79" s="340">
        <v>11040</v>
      </c>
      <c r="I79" s="897"/>
      <c r="J79" s="455"/>
      <c r="K79" s="456">
        <f t="shared" si="46"/>
        <v>-3.6231884057971015E-3</v>
      </c>
      <c r="L79" s="340">
        <v>11000</v>
      </c>
      <c r="M79" s="899"/>
      <c r="O79" s="456">
        <f t="shared" si="47"/>
        <v>0</v>
      </c>
      <c r="P79" s="340">
        <f t="shared" si="48"/>
        <v>11000</v>
      </c>
      <c r="Q79" s="899"/>
      <c r="R79" s="592"/>
      <c r="S79" s="456">
        <f t="shared" si="49"/>
        <v>0</v>
      </c>
      <c r="T79" s="340">
        <f t="shared" si="50"/>
        <v>11000</v>
      </c>
      <c r="U79" s="899"/>
      <c r="V79" s="952"/>
      <c r="W79" s="2241">
        <f t="shared" si="51"/>
        <v>2.7272727272727271E-2</v>
      </c>
      <c r="X79" s="340">
        <f t="shared" si="53"/>
        <v>11300</v>
      </c>
      <c r="Y79" s="953" t="str">
        <f>TEXT('MYP Assumptions'!I78,"0.00%")&amp;", CPI"</f>
        <v>2.73%, CPI</v>
      </c>
      <c r="AA79" s="456">
        <f t="shared" si="52"/>
        <v>2.7256637168141595E-2</v>
      </c>
      <c r="AB79" s="340">
        <f t="shared" si="54"/>
        <v>11608</v>
      </c>
      <c r="AC79" s="953" t="str">
        <f>TEXT('MYP Assumptions'!J78,"0.00%")&amp;", CPI"</f>
        <v>2.73%, CPI</v>
      </c>
    </row>
    <row r="80" spans="1:29" s="457" customFormat="1" x14ac:dyDescent="0.25">
      <c r="A80" s="897"/>
      <c r="B80" s="2385">
        <v>5608</v>
      </c>
      <c r="C80" s="2215" t="s">
        <v>323</v>
      </c>
      <c r="D80" s="340">
        <v>1894.63</v>
      </c>
      <c r="E80" s="2386"/>
      <c r="F80" s="340"/>
      <c r="G80" s="456">
        <f t="shared" si="56"/>
        <v>5.5020610884447088</v>
      </c>
      <c r="H80" s="340">
        <v>12319</v>
      </c>
      <c r="I80" s="897"/>
      <c r="J80" s="455"/>
      <c r="K80" s="456">
        <f t="shared" si="46"/>
        <v>-2.5894959006412858E-2</v>
      </c>
      <c r="L80" s="340">
        <v>12000</v>
      </c>
      <c r="M80" s="899"/>
      <c r="O80" s="456">
        <f t="shared" si="47"/>
        <v>0</v>
      </c>
      <c r="P80" s="340">
        <f t="shared" si="48"/>
        <v>12000</v>
      </c>
      <c r="Q80" s="899"/>
      <c r="R80" s="592"/>
      <c r="S80" s="456">
        <f t="shared" si="49"/>
        <v>0</v>
      </c>
      <c r="T80" s="340">
        <f t="shared" si="50"/>
        <v>12000</v>
      </c>
      <c r="U80" s="899"/>
      <c r="V80" s="952"/>
      <c r="W80" s="2241">
        <f t="shared" si="51"/>
        <v>2.7333333333333334E-2</v>
      </c>
      <c r="X80" s="340">
        <f t="shared" si="53"/>
        <v>12328</v>
      </c>
      <c r="Y80" s="953" t="str">
        <f>TEXT('MYP Assumptions'!I78,"0.00%")&amp;", CPI"</f>
        <v>2.73%, CPI</v>
      </c>
      <c r="AA80" s="456">
        <f t="shared" si="52"/>
        <v>2.7336145360155745E-2</v>
      </c>
      <c r="AB80" s="340">
        <f t="shared" si="54"/>
        <v>12665</v>
      </c>
      <c r="AC80" s="953" t="str">
        <f>TEXT('MYP Assumptions'!J78,"0.00%")&amp;", CPI"</f>
        <v>2.73%, CPI</v>
      </c>
    </row>
    <row r="81" spans="1:29" s="457" customFormat="1" x14ac:dyDescent="0.25">
      <c r="A81" s="897"/>
      <c r="B81" s="2385">
        <v>5800</v>
      </c>
      <c r="C81" s="2215" t="s">
        <v>324</v>
      </c>
      <c r="D81" s="340">
        <v>22726.14</v>
      </c>
      <c r="E81" s="2386"/>
      <c r="F81" s="340"/>
      <c r="G81" s="456">
        <f t="shared" si="56"/>
        <v>0.11879976098008728</v>
      </c>
      <c r="H81" s="340">
        <v>25426</v>
      </c>
      <c r="I81" s="897"/>
      <c r="J81" s="455"/>
      <c r="K81" s="456">
        <f t="shared" si="46"/>
        <v>0.19955950601746245</v>
      </c>
      <c r="L81" s="340">
        <v>30500</v>
      </c>
      <c r="M81" s="899"/>
      <c r="O81" s="456">
        <f t="shared" si="47"/>
        <v>0</v>
      </c>
      <c r="P81" s="340">
        <f t="shared" si="48"/>
        <v>30500</v>
      </c>
      <c r="Q81" s="899"/>
      <c r="R81" s="592"/>
      <c r="S81" s="456">
        <f t="shared" si="49"/>
        <v>0</v>
      </c>
      <c r="T81" s="340">
        <f t="shared" si="50"/>
        <v>30500</v>
      </c>
      <c r="U81" s="899"/>
      <c r="V81" s="952"/>
      <c r="W81" s="2241">
        <f t="shared" si="51"/>
        <v>2.7311475409836066E-2</v>
      </c>
      <c r="X81" s="340">
        <f t="shared" si="53"/>
        <v>31333</v>
      </c>
      <c r="Y81" s="953" t="str">
        <f>TEXT('MYP Assumptions'!I78,"0.00%")&amp;", CPI"</f>
        <v>2.73%, CPI</v>
      </c>
      <c r="AA81" s="456">
        <f t="shared" si="52"/>
        <v>2.7287524335365271E-2</v>
      </c>
      <c r="AB81" s="340">
        <f t="shared" si="54"/>
        <v>32188</v>
      </c>
      <c r="AC81" s="953" t="str">
        <f>TEXT('MYP Assumptions'!J78,"0.00%")&amp;", CPI"</f>
        <v>2.73%, CPI</v>
      </c>
    </row>
    <row r="82" spans="1:29" s="457" customFormat="1" x14ac:dyDescent="0.25">
      <c r="A82" s="897"/>
      <c r="B82" s="2385">
        <v>5803</v>
      </c>
      <c r="C82" s="2215" t="s">
        <v>325</v>
      </c>
      <c r="D82" s="340">
        <v>0</v>
      </c>
      <c r="E82" s="2386"/>
      <c r="F82" s="340"/>
      <c r="G82" s="456" t="str">
        <f t="shared" si="56"/>
        <v>0.00%</v>
      </c>
      <c r="H82" s="340">
        <v>13000</v>
      </c>
      <c r="I82" s="897"/>
      <c r="J82" s="455"/>
      <c r="K82" s="456">
        <f t="shared" si="46"/>
        <v>0</v>
      </c>
      <c r="L82" s="340">
        <v>13000</v>
      </c>
      <c r="M82" s="899"/>
      <c r="O82" s="456">
        <f t="shared" si="47"/>
        <v>0</v>
      </c>
      <c r="P82" s="340">
        <f t="shared" si="48"/>
        <v>13000</v>
      </c>
      <c r="Q82" s="899"/>
      <c r="R82" s="592"/>
      <c r="S82" s="456">
        <f t="shared" si="49"/>
        <v>0</v>
      </c>
      <c r="T82" s="340">
        <f t="shared" si="50"/>
        <v>13000</v>
      </c>
      <c r="U82" s="899"/>
      <c r="V82" s="952"/>
      <c r="W82" s="2241">
        <f t="shared" si="51"/>
        <v>2.7307692307692307E-2</v>
      </c>
      <c r="X82" s="340">
        <f t="shared" si="53"/>
        <v>13355</v>
      </c>
      <c r="Y82" s="953" t="str">
        <f>TEXT('MYP Assumptions'!I78,"0.00%")&amp;", CPI"</f>
        <v>2.73%, CPI</v>
      </c>
      <c r="AA82" s="456">
        <f t="shared" si="52"/>
        <v>2.7330587794833397E-2</v>
      </c>
      <c r="AB82" s="340">
        <f t="shared" si="54"/>
        <v>13720</v>
      </c>
      <c r="AC82" s="953" t="str">
        <f>TEXT('MYP Assumptions'!J78,"0.00%")&amp;", CPI"</f>
        <v>2.73%, CPI</v>
      </c>
    </row>
    <row r="83" spans="1:29" s="457" customFormat="1" x14ac:dyDescent="0.25">
      <c r="A83" s="897"/>
      <c r="B83" s="2385">
        <v>5809</v>
      </c>
      <c r="C83" s="2215" t="s">
        <v>123</v>
      </c>
      <c r="D83" s="340">
        <v>595</v>
      </c>
      <c r="E83" s="2386"/>
      <c r="F83" s="340"/>
      <c r="G83" s="456">
        <f t="shared" si="56"/>
        <v>2.8268907563025212</v>
      </c>
      <c r="H83" s="340">
        <v>2277</v>
      </c>
      <c r="I83" s="897"/>
      <c r="J83" s="455"/>
      <c r="K83" s="456">
        <f t="shared" si="46"/>
        <v>0.1857707509881423</v>
      </c>
      <c r="L83" s="340">
        <v>2700</v>
      </c>
      <c r="M83" s="899"/>
      <c r="O83" s="456">
        <f t="shared" si="47"/>
        <v>0</v>
      </c>
      <c r="P83" s="340">
        <f t="shared" si="48"/>
        <v>2700</v>
      </c>
      <c r="Q83" s="899"/>
      <c r="R83" s="592"/>
      <c r="S83" s="456">
        <f t="shared" si="49"/>
        <v>0</v>
      </c>
      <c r="T83" s="340">
        <f t="shared" si="50"/>
        <v>2700</v>
      </c>
      <c r="U83" s="899"/>
      <c r="V83" s="952"/>
      <c r="W83" s="2241">
        <f t="shared" si="51"/>
        <v>2.7407407407407408E-2</v>
      </c>
      <c r="X83" s="340">
        <f t="shared" si="53"/>
        <v>2774</v>
      </c>
      <c r="Y83" s="953" t="str">
        <f>TEXT('MYP Assumptions'!I78,"0.00%")&amp;", CPI"</f>
        <v>2.73%, CPI</v>
      </c>
      <c r="AA83" s="456">
        <f t="shared" si="52"/>
        <v>2.7397260273972601E-2</v>
      </c>
      <c r="AB83" s="340">
        <f t="shared" si="54"/>
        <v>2850</v>
      </c>
      <c r="AC83" s="953" t="str">
        <f>TEXT('MYP Assumptions'!J78,"0.00%")&amp;", CPI"</f>
        <v>2.73%, CPI</v>
      </c>
    </row>
    <row r="84" spans="1:29" s="457" customFormat="1" x14ac:dyDescent="0.25">
      <c r="A84" s="897"/>
      <c r="B84" s="2385">
        <v>5813</v>
      </c>
      <c r="C84" s="2215" t="s">
        <v>6</v>
      </c>
      <c r="D84" s="340">
        <v>20315.990000000002</v>
      </c>
      <c r="E84" s="2386"/>
      <c r="F84" s="340"/>
      <c r="G84" s="456">
        <f t="shared" ref="G84:G88" si="57">IF(D84=0,"0.00%",(H84-D84)/D84)</f>
        <v>10.384628561049695</v>
      </c>
      <c r="H84" s="340">
        <v>231290</v>
      </c>
      <c r="I84" s="897"/>
      <c r="J84" s="455"/>
      <c r="K84" s="456">
        <f t="shared" ref="K84:K88" si="58">IF(H84=0,"0.00%",(L84-H84)/H84)</f>
        <v>-0.37394612823727785</v>
      </c>
      <c r="L84" s="340">
        <v>144800</v>
      </c>
      <c r="M84" s="899"/>
      <c r="O84" s="456">
        <f t="shared" ref="O84:O88" si="59">IF(L84=0,"0.00%",(P84-L84)/L84)</f>
        <v>0</v>
      </c>
      <c r="P84" s="340">
        <f t="shared" si="48"/>
        <v>144800</v>
      </c>
      <c r="Q84" s="899"/>
      <c r="R84" s="592"/>
      <c r="S84" s="456">
        <f t="shared" si="49"/>
        <v>0</v>
      </c>
      <c r="T84" s="340">
        <f t="shared" si="50"/>
        <v>144800</v>
      </c>
      <c r="U84" s="899"/>
      <c r="V84" s="952"/>
      <c r="W84" s="2241"/>
      <c r="X84" s="340"/>
      <c r="Y84" s="953"/>
      <c r="AA84" s="456"/>
      <c r="AB84" s="340"/>
      <c r="AC84" s="953"/>
    </row>
    <row r="85" spans="1:29" s="457" customFormat="1" x14ac:dyDescent="0.25">
      <c r="A85" s="897"/>
      <c r="B85" s="2385">
        <v>5814</v>
      </c>
      <c r="C85" s="2215" t="s">
        <v>4</v>
      </c>
      <c r="D85" s="340">
        <v>48443.73</v>
      </c>
      <c r="E85" s="2386"/>
      <c r="F85" s="340"/>
      <c r="G85" s="456">
        <f t="shared" si="57"/>
        <v>0.45160168302482068</v>
      </c>
      <c r="H85" s="340">
        <v>70321</v>
      </c>
      <c r="I85" s="897"/>
      <c r="J85" s="455"/>
      <c r="K85" s="456">
        <f t="shared" si="58"/>
        <v>-0.1112185549124728</v>
      </c>
      <c r="L85" s="340">
        <v>62500</v>
      </c>
      <c r="M85" s="899"/>
      <c r="O85" s="456">
        <f t="shared" si="59"/>
        <v>0</v>
      </c>
      <c r="P85" s="340">
        <f t="shared" si="48"/>
        <v>62500</v>
      </c>
      <c r="Q85" s="899"/>
      <c r="R85" s="592"/>
      <c r="S85" s="456">
        <f t="shared" si="49"/>
        <v>0</v>
      </c>
      <c r="T85" s="340">
        <f t="shared" si="50"/>
        <v>62500</v>
      </c>
      <c r="U85" s="899"/>
      <c r="V85" s="952"/>
      <c r="W85" s="2241"/>
      <c r="X85" s="340"/>
      <c r="Y85" s="953"/>
      <c r="AA85" s="456"/>
      <c r="AB85" s="340"/>
      <c r="AC85" s="953"/>
    </row>
    <row r="86" spans="1:29" s="457" customFormat="1" x14ac:dyDescent="0.25">
      <c r="A86" s="897"/>
      <c r="B86" s="2385">
        <v>5902</v>
      </c>
      <c r="C86" s="2215" t="s">
        <v>326</v>
      </c>
      <c r="D86" s="340">
        <v>3303.26</v>
      </c>
      <c r="E86" s="2386"/>
      <c r="F86" s="340"/>
      <c r="G86" s="456">
        <f t="shared" si="57"/>
        <v>-0.1523525244758209</v>
      </c>
      <c r="H86" s="340">
        <v>2800</v>
      </c>
      <c r="I86" s="897"/>
      <c r="J86" s="455"/>
      <c r="K86" s="456">
        <f t="shared" si="58"/>
        <v>-0.10714285714285714</v>
      </c>
      <c r="L86" s="340">
        <v>2500</v>
      </c>
      <c r="M86" s="899"/>
      <c r="O86" s="456">
        <f t="shared" si="59"/>
        <v>0</v>
      </c>
      <c r="P86" s="340">
        <f t="shared" si="48"/>
        <v>2500</v>
      </c>
      <c r="Q86" s="899"/>
      <c r="R86" s="592"/>
      <c r="S86" s="456">
        <f t="shared" si="49"/>
        <v>0</v>
      </c>
      <c r="T86" s="340">
        <f t="shared" si="50"/>
        <v>2500</v>
      </c>
      <c r="U86" s="899"/>
      <c r="V86" s="952"/>
      <c r="W86" s="2241"/>
      <c r="X86" s="340"/>
      <c r="Y86" s="953"/>
      <c r="AA86" s="456"/>
      <c r="AB86" s="340"/>
      <c r="AC86" s="953"/>
    </row>
    <row r="87" spans="1:29" s="457" customFormat="1" x14ac:dyDescent="0.25">
      <c r="A87" s="897"/>
      <c r="B87" s="2385">
        <v>5908</v>
      </c>
      <c r="C87" s="2215" t="s">
        <v>327</v>
      </c>
      <c r="D87" s="340">
        <v>20.89</v>
      </c>
      <c r="E87" s="2386"/>
      <c r="F87" s="340"/>
      <c r="G87" s="456">
        <f t="shared" si="57"/>
        <v>1.3934897079942556</v>
      </c>
      <c r="H87" s="340">
        <v>50</v>
      </c>
      <c r="I87" s="897"/>
      <c r="J87" s="455"/>
      <c r="K87" s="456">
        <f t="shared" si="58"/>
        <v>0</v>
      </c>
      <c r="L87" s="340">
        <v>50</v>
      </c>
      <c r="M87" s="899"/>
      <c r="O87" s="456">
        <f t="shared" si="59"/>
        <v>0</v>
      </c>
      <c r="P87" s="340">
        <f>ROUND(L87*(1-$P$58),0)</f>
        <v>50</v>
      </c>
      <c r="Q87" s="899"/>
      <c r="R87" s="592"/>
      <c r="S87" s="456">
        <f t="shared" si="49"/>
        <v>0</v>
      </c>
      <c r="T87" s="340">
        <f>ROUND(P87*(1-$P$58),0)</f>
        <v>50</v>
      </c>
      <c r="U87" s="899"/>
      <c r="V87" s="952"/>
      <c r="W87" s="2241"/>
      <c r="X87" s="340"/>
      <c r="Y87" s="953"/>
      <c r="AA87" s="456"/>
      <c r="AB87" s="340"/>
      <c r="AC87" s="953"/>
    </row>
    <row r="88" spans="1:29" s="457" customFormat="1" x14ac:dyDescent="0.25">
      <c r="A88" s="897"/>
      <c r="B88" s="2385"/>
      <c r="C88" s="2215"/>
      <c r="D88" s="340">
        <f>'18-19 Budget RS 3010-ALL'!AF80</f>
        <v>0</v>
      </c>
      <c r="E88" s="2386"/>
      <c r="F88" s="340"/>
      <c r="G88" s="456" t="str">
        <f t="shared" si="57"/>
        <v>0.00%</v>
      </c>
      <c r="H88" s="340">
        <v>0</v>
      </c>
      <c r="I88" s="899"/>
      <c r="J88" s="455"/>
      <c r="K88" s="456" t="str">
        <f t="shared" si="58"/>
        <v>0.00%</v>
      </c>
      <c r="L88" s="340">
        <f t="shared" si="55"/>
        <v>0</v>
      </c>
      <c r="M88" s="899"/>
      <c r="O88" s="456" t="str">
        <f t="shared" si="59"/>
        <v>0.00%</v>
      </c>
      <c r="P88" s="340">
        <f t="shared" si="48"/>
        <v>0</v>
      </c>
      <c r="Q88" s="899"/>
      <c r="R88" s="592"/>
      <c r="S88" s="456" t="str">
        <f t="shared" si="49"/>
        <v>0.00%</v>
      </c>
      <c r="T88" s="340">
        <f t="shared" ref="T88" si="60">ROUND(P88*(1-$P$58),0)</f>
        <v>0</v>
      </c>
      <c r="U88" s="899"/>
      <c r="V88" s="952"/>
      <c r="W88" s="2241" t="str">
        <f t="shared" si="51"/>
        <v>0.00%</v>
      </c>
      <c r="X88" s="340">
        <f t="shared" si="53"/>
        <v>0</v>
      </c>
      <c r="Y88" s="953" t="str">
        <f>TEXT('MYP Assumptions'!I78,"0.00%")&amp;", CPI"</f>
        <v>2.73%, CPI</v>
      </c>
      <c r="AA88" s="456" t="str">
        <f t="shared" si="52"/>
        <v>0.00%</v>
      </c>
      <c r="AB88" s="340">
        <f t="shared" si="54"/>
        <v>0</v>
      </c>
      <c r="AC88" s="953" t="str">
        <f>TEXT('MYP Assumptions'!J78,"0.00%")&amp;", CPI"</f>
        <v>2.73%, CPI</v>
      </c>
    </row>
    <row r="89" spans="1:29" s="457" customFormat="1" x14ac:dyDescent="0.25">
      <c r="A89" s="898"/>
      <c r="B89" s="2345"/>
      <c r="C89" s="2215"/>
      <c r="D89" s="458">
        <f>SUM(D72:D88)</f>
        <v>1077931.5900000001</v>
      </c>
      <c r="E89" s="2386"/>
      <c r="F89" s="340"/>
      <c r="G89" s="456">
        <f t="shared" si="56"/>
        <v>0.4783563398489879</v>
      </c>
      <c r="H89" s="458">
        <f>SUM(H72:H88)</f>
        <v>1593567</v>
      </c>
      <c r="I89" s="2316">
        <f>+H89-D89</f>
        <v>515635.40999999992</v>
      </c>
      <c r="J89" s="459"/>
      <c r="K89" s="456">
        <f>IF(H89=0,"0.00%",(L89-H89)/H89)</f>
        <v>-5.8187700925031706E-2</v>
      </c>
      <c r="L89" s="458">
        <f>SUM(L72:L88)</f>
        <v>1500841</v>
      </c>
      <c r="M89" s="2316">
        <f>+L89-H89</f>
        <v>-92726</v>
      </c>
      <c r="O89" s="456">
        <f t="shared" si="47"/>
        <v>0</v>
      </c>
      <c r="P89" s="458">
        <f>SUM(P72:P88)</f>
        <v>1500841</v>
      </c>
      <c r="Q89" s="2316">
        <f>+P89-L89</f>
        <v>0</v>
      </c>
      <c r="R89" s="592"/>
      <c r="S89" s="2238">
        <f t="shared" ref="S89" si="61">IF(P89=0,"0.00%",(T89-P89)/P89)</f>
        <v>0</v>
      </c>
      <c r="T89" s="458">
        <f>SUM(T72:T88)</f>
        <v>1500841</v>
      </c>
      <c r="U89" s="2344"/>
      <c r="V89" s="952"/>
      <c r="W89" s="2241">
        <f t="shared" si="51"/>
        <v>-0.11633877272809046</v>
      </c>
      <c r="X89" s="458">
        <f>SUM(X72:X88)</f>
        <v>1326235</v>
      </c>
      <c r="Y89" s="2344"/>
      <c r="AA89" s="456">
        <f t="shared" si="52"/>
        <v>2.7299837509943563E-2</v>
      </c>
      <c r="AB89" s="458">
        <f>SUM(AB72:AB88)</f>
        <v>1362441</v>
      </c>
      <c r="AC89" s="2344"/>
    </row>
    <row r="90" spans="1:29" s="457" customFormat="1" x14ac:dyDescent="0.25">
      <c r="A90" s="897"/>
      <c r="B90" s="2337"/>
      <c r="C90" s="2215"/>
      <c r="D90" s="340"/>
      <c r="E90" s="2386"/>
      <c r="F90" s="340"/>
      <c r="G90" s="456"/>
      <c r="H90" s="340"/>
      <c r="I90" s="897"/>
      <c r="J90" s="455"/>
      <c r="K90" s="1668"/>
      <c r="L90" s="340"/>
      <c r="M90" s="2453"/>
      <c r="O90" s="1668"/>
      <c r="P90" s="340"/>
      <c r="Q90" s="901"/>
      <c r="R90" s="592"/>
      <c r="S90" s="2341"/>
      <c r="T90" s="340"/>
      <c r="U90" s="2344"/>
      <c r="V90" s="952"/>
      <c r="W90" s="2343"/>
      <c r="X90" s="340"/>
      <c r="Y90" s="2344"/>
      <c r="AA90" s="1668"/>
      <c r="AB90" s="340"/>
      <c r="AC90" s="2344"/>
    </row>
    <row r="91" spans="1:29" s="457" customFormat="1" x14ac:dyDescent="0.25">
      <c r="A91" s="897"/>
      <c r="B91" s="2337" t="s">
        <v>328</v>
      </c>
      <c r="C91" s="2215"/>
      <c r="D91" s="340"/>
      <c r="E91" s="2386"/>
      <c r="F91" s="340"/>
      <c r="G91" s="456"/>
      <c r="H91" s="340"/>
      <c r="I91" s="897"/>
      <c r="J91" s="455"/>
      <c r="K91" s="1668"/>
      <c r="L91" s="340"/>
      <c r="M91" s="901"/>
      <c r="O91" s="1668"/>
      <c r="P91" s="340"/>
      <c r="Q91" s="901"/>
      <c r="R91" s="592"/>
      <c r="S91" s="2341"/>
      <c r="T91" s="340"/>
      <c r="U91" s="2344"/>
      <c r="V91" s="952"/>
      <c r="W91" s="2343"/>
      <c r="X91" s="340"/>
      <c r="Y91" s="2344"/>
      <c r="AA91" s="1668"/>
      <c r="AB91" s="340"/>
      <c r="AC91" s="2344"/>
    </row>
    <row r="92" spans="1:29" s="457" customFormat="1" x14ac:dyDescent="0.25">
      <c r="A92" s="897"/>
      <c r="B92" s="2385">
        <v>6400</v>
      </c>
      <c r="C92" s="2215" t="s">
        <v>329</v>
      </c>
      <c r="D92" s="340">
        <v>128790.95</v>
      </c>
      <c r="E92" s="2386"/>
      <c r="F92" s="340"/>
      <c r="G92" s="456"/>
      <c r="H92" s="340">
        <v>90780</v>
      </c>
      <c r="I92" s="897"/>
      <c r="J92" s="455"/>
      <c r="K92" s="456"/>
      <c r="L92" s="340">
        <v>225000</v>
      </c>
      <c r="M92" s="901"/>
      <c r="O92" s="456"/>
      <c r="P92" s="340">
        <v>0</v>
      </c>
      <c r="Q92" s="901"/>
      <c r="R92" s="592"/>
      <c r="S92" s="2238"/>
      <c r="T92" s="340">
        <v>0</v>
      </c>
      <c r="U92" s="2344"/>
      <c r="V92" s="952"/>
      <c r="W92" s="2241"/>
      <c r="X92" s="340">
        <v>0</v>
      </c>
      <c r="Y92" s="2344"/>
      <c r="AA92" s="456"/>
      <c r="AB92" s="340">
        <v>0</v>
      </c>
      <c r="AC92" s="2344"/>
    </row>
    <row r="93" spans="1:29" s="457" customFormat="1" x14ac:dyDescent="0.25">
      <c r="A93" s="897"/>
      <c r="B93" s="2385">
        <v>6500</v>
      </c>
      <c r="C93" s="2215" t="s">
        <v>330</v>
      </c>
      <c r="D93" s="340">
        <v>14023.9</v>
      </c>
      <c r="E93" s="2386"/>
      <c r="F93" s="340"/>
      <c r="G93" s="456"/>
      <c r="H93" s="340">
        <v>0</v>
      </c>
      <c r="I93" s="897"/>
      <c r="J93" s="455"/>
      <c r="K93" s="456"/>
      <c r="L93" s="340">
        <v>0</v>
      </c>
      <c r="M93" s="901"/>
      <c r="O93" s="456"/>
      <c r="P93" s="340">
        <v>0</v>
      </c>
      <c r="Q93" s="901"/>
      <c r="R93" s="592"/>
      <c r="S93" s="2238"/>
      <c r="T93" s="340">
        <v>0</v>
      </c>
      <c r="U93" s="2344"/>
      <c r="V93" s="952"/>
      <c r="W93" s="2241"/>
      <c r="X93" s="340">
        <v>0</v>
      </c>
      <c r="Y93" s="2344"/>
      <c r="AA93" s="456"/>
      <c r="AB93" s="340">
        <v>0</v>
      </c>
      <c r="AC93" s="2344"/>
    </row>
    <row r="94" spans="1:29" s="457" customFormat="1" x14ac:dyDescent="0.25">
      <c r="A94" s="897"/>
      <c r="B94" s="2337"/>
      <c r="C94" s="2215"/>
      <c r="D94" s="340">
        <v>0</v>
      </c>
      <c r="E94" s="2386"/>
      <c r="F94" s="340"/>
      <c r="G94" s="456"/>
      <c r="H94" s="340">
        <v>0</v>
      </c>
      <c r="I94" s="897"/>
      <c r="J94" s="455"/>
      <c r="K94" s="456"/>
      <c r="L94" s="340">
        <v>0</v>
      </c>
      <c r="M94" s="901"/>
      <c r="O94" s="456"/>
      <c r="P94" s="340">
        <v>0</v>
      </c>
      <c r="Q94" s="901"/>
      <c r="R94" s="592"/>
      <c r="S94" s="2238"/>
      <c r="T94" s="340">
        <v>0</v>
      </c>
      <c r="U94" s="2344"/>
      <c r="V94" s="952"/>
      <c r="W94" s="2241"/>
      <c r="X94" s="340">
        <v>0</v>
      </c>
      <c r="Y94" s="2344"/>
      <c r="AA94" s="456"/>
      <c r="AB94" s="340">
        <v>0</v>
      </c>
      <c r="AC94" s="2344"/>
    </row>
    <row r="95" spans="1:29" s="457" customFormat="1" x14ac:dyDescent="0.25">
      <c r="A95" s="897"/>
      <c r="B95" s="2337"/>
      <c r="C95" s="2215"/>
      <c r="D95" s="2442">
        <f>SUM(D92:D94)</f>
        <v>142814.85</v>
      </c>
      <c r="E95" s="2386"/>
      <c r="F95" s="340"/>
      <c r="G95" s="456"/>
      <c r="H95" s="2442">
        <f>SUM(H92:H94)</f>
        <v>90780</v>
      </c>
      <c r="I95" s="2316">
        <f>+H95-D95</f>
        <v>-52034.850000000006</v>
      </c>
      <c r="J95" s="455"/>
      <c r="K95" s="456"/>
      <c r="L95" s="2442">
        <f>SUM(L92:L94)</f>
        <v>225000</v>
      </c>
      <c r="M95" s="2316">
        <f>+L95-H95</f>
        <v>134220</v>
      </c>
      <c r="O95" s="456"/>
      <c r="P95" s="2442">
        <f>SUM(P92:P94)</f>
        <v>0</v>
      </c>
      <c r="Q95" s="2316">
        <f>+P95-L95</f>
        <v>-225000</v>
      </c>
      <c r="R95" s="592"/>
      <c r="S95" s="2238"/>
      <c r="T95" s="2368">
        <f>SUM(T92:T94)</f>
        <v>0</v>
      </c>
      <c r="U95" s="2344"/>
      <c r="V95" s="952"/>
      <c r="W95" s="2241"/>
      <c r="X95" s="2368">
        <f>SUM(X92:X94)</f>
        <v>0</v>
      </c>
      <c r="Y95" s="2344"/>
      <c r="AA95" s="456"/>
      <c r="AB95" s="2368">
        <f>SUM(AB92:AB94)</f>
        <v>0</v>
      </c>
      <c r="AC95" s="2344"/>
    </row>
    <row r="96" spans="1:29" s="457" customFormat="1" x14ac:dyDescent="0.25">
      <c r="A96" s="897"/>
      <c r="B96" s="2345"/>
      <c r="C96" s="2215"/>
      <c r="D96" s="340"/>
      <c r="E96" s="2386"/>
      <c r="F96" s="340"/>
      <c r="G96" s="2338"/>
      <c r="H96" s="340"/>
      <c r="I96" s="897"/>
      <c r="J96" s="455"/>
      <c r="K96" s="2338"/>
      <c r="L96" s="340"/>
      <c r="M96" s="901"/>
      <c r="O96" s="2338"/>
      <c r="P96" s="340"/>
      <c r="Q96" s="901"/>
      <c r="R96" s="592"/>
      <c r="S96" s="2355"/>
      <c r="T96" s="340"/>
      <c r="U96" s="2344"/>
      <c r="V96" s="952"/>
      <c r="W96" s="2357"/>
      <c r="X96" s="340"/>
      <c r="Y96" s="2344"/>
      <c r="AA96" s="2338"/>
      <c r="AB96" s="340"/>
      <c r="AC96" s="2344"/>
    </row>
    <row r="97" spans="1:29" s="457" customFormat="1" x14ac:dyDescent="0.25">
      <c r="A97" s="897"/>
      <c r="B97" s="2345"/>
      <c r="C97" s="2215"/>
      <c r="D97" s="340"/>
      <c r="E97" s="2386"/>
      <c r="F97" s="340"/>
      <c r="G97" s="2338"/>
      <c r="H97" s="340"/>
      <c r="I97" s="897"/>
      <c r="J97" s="455"/>
      <c r="K97" s="2338"/>
      <c r="L97" s="340"/>
      <c r="M97" s="901"/>
      <c r="O97" s="2338"/>
      <c r="P97" s="340"/>
      <c r="Q97" s="901"/>
      <c r="R97" s="592"/>
      <c r="S97" s="2355"/>
      <c r="T97" s="340"/>
      <c r="U97" s="2344"/>
      <c r="V97" s="952"/>
      <c r="W97" s="2357"/>
      <c r="X97" s="340"/>
      <c r="Y97" s="2344"/>
      <c r="AA97" s="2338"/>
      <c r="AB97" s="340"/>
      <c r="AC97" s="2344"/>
    </row>
    <row r="98" spans="1:29" s="457" customFormat="1" x14ac:dyDescent="0.25">
      <c r="A98" s="898"/>
      <c r="B98" s="2337" t="s">
        <v>0</v>
      </c>
      <c r="C98" s="2215"/>
      <c r="D98" s="458">
        <f>SUM(D89,D69,D55,D13+D95)</f>
        <v>2310674.5799999996</v>
      </c>
      <c r="E98" s="2386"/>
      <c r="F98" s="340"/>
      <c r="G98" s="456">
        <f>IF(D98=0,"0.00%",(H98-D98)/D98)</f>
        <v>0.29332880790163041</v>
      </c>
      <c r="H98" s="458">
        <f>SUM(H89,H69,H55,H13+H95)</f>
        <v>2988462</v>
      </c>
      <c r="I98" s="2316">
        <f>+H98-D98</f>
        <v>677787.42000000039</v>
      </c>
      <c r="J98" s="459"/>
      <c r="K98" s="456">
        <f>IF(H98=0,"0.00%",(L98-H98)/H98)</f>
        <v>6.6174841774799209E-2</v>
      </c>
      <c r="L98" s="458">
        <f>SUM(L89,L69,L55,L13+L95)</f>
        <v>3186223</v>
      </c>
      <c r="M98" s="2316">
        <f>+L98-H98</f>
        <v>197761</v>
      </c>
      <c r="O98" s="456">
        <f>IF(L98=0,"0.00%",(P98-L98)/L98)</f>
        <v>-5.9647111956696065E-2</v>
      </c>
      <c r="P98" s="458">
        <f>SUM(P89,P69,P55,P13+P95)</f>
        <v>2996174</v>
      </c>
      <c r="Q98" s="2316">
        <f>+P98-L98</f>
        <v>-190049</v>
      </c>
      <c r="R98" s="592"/>
      <c r="S98" s="2238">
        <f>IF(P98=0,"0.00%",(T98-P98)/P98)</f>
        <v>1.1959919550733703E-2</v>
      </c>
      <c r="T98" s="458">
        <f>SUM(T89,T69,T55,T13+T95)</f>
        <v>3032008</v>
      </c>
      <c r="U98" s="2344"/>
      <c r="V98" s="952"/>
      <c r="W98" s="2241">
        <f>IF(T98=0,"0.00%",(X98-T98)/T98)</f>
        <v>-5.2482381312978069E-2</v>
      </c>
      <c r="X98" s="458">
        <f>SUM(X89,X69,X55,X13+X95)</f>
        <v>2872881</v>
      </c>
      <c r="Y98" s="2344"/>
      <c r="AA98" s="456" t="e">
        <f>IF(X98=0,"0.00%",(AB98-X98)/X98)</f>
        <v>#VALUE!</v>
      </c>
      <c r="AB98" s="458" t="e">
        <f>SUM(AB89,AB69,AB55,AB13+AB95)</f>
        <v>#VALUE!</v>
      </c>
      <c r="AC98" s="2344"/>
    </row>
    <row r="99" spans="1:29" s="457" customFormat="1" x14ac:dyDescent="0.25">
      <c r="A99" s="898"/>
      <c r="B99" s="2337"/>
      <c r="C99" s="2215"/>
      <c r="D99" s="459"/>
      <c r="E99" s="2386"/>
      <c r="F99" s="340"/>
      <c r="G99" s="456"/>
      <c r="H99" s="459"/>
      <c r="I99" s="898"/>
      <c r="J99" s="459"/>
      <c r="K99" s="456"/>
      <c r="L99" s="459"/>
      <c r="M99" s="2454"/>
      <c r="O99" s="456"/>
      <c r="P99" s="459"/>
      <c r="Q99" s="901"/>
      <c r="R99" s="592"/>
      <c r="S99" s="2238"/>
      <c r="T99" s="459"/>
      <c r="U99" s="2344"/>
      <c r="V99" s="952"/>
      <c r="W99" s="2241"/>
      <c r="X99" s="459"/>
      <c r="Y99" s="2344"/>
      <c r="AA99" s="456"/>
      <c r="AB99" s="459"/>
      <c r="AC99" s="2344"/>
    </row>
    <row r="100" spans="1:29" s="457" customFormat="1" x14ac:dyDescent="0.25">
      <c r="A100" s="897"/>
      <c r="B100" s="2337" t="s">
        <v>138</v>
      </c>
      <c r="C100" s="2215"/>
      <c r="D100" s="833">
        <f>D11-D98</f>
        <v>90186.420000000391</v>
      </c>
      <c r="E100" s="1656"/>
      <c r="G100" s="456">
        <f>IF(D100=0,"0.00%",(H100-D100)/D100)</f>
        <v>-5.2097690539218471</v>
      </c>
      <c r="H100" s="833">
        <f>H11-H98</f>
        <v>-379664</v>
      </c>
      <c r="I100" s="897"/>
      <c r="J100" s="455"/>
      <c r="K100" s="456">
        <f>IF(H100=0,"0.00%",(L100-H100)/H100)</f>
        <v>0.33533334738084203</v>
      </c>
      <c r="L100" s="833">
        <f>L11-L98</f>
        <v>-506978</v>
      </c>
      <c r="M100" s="901"/>
      <c r="O100" s="456">
        <f>IF(L100=0,"0.00%",(P100-L100)/L100)</f>
        <v>-0.99903976109416914</v>
      </c>
      <c r="P100" s="833">
        <f>P11-P98</f>
        <v>-486.82000000029802</v>
      </c>
      <c r="Q100" s="901"/>
      <c r="R100" s="592"/>
      <c r="S100" s="2238">
        <f>IF(P100=0,"0.00%",(T100-P100)/P100)</f>
        <v>-34.278069923153907</v>
      </c>
      <c r="T100" s="833">
        <f>T11-T98</f>
        <v>16200.429999999702</v>
      </c>
      <c r="U100" s="2344"/>
      <c r="V100" s="952"/>
      <c r="W100" s="2241">
        <f>IF(T100=0,"0.00%",(X100-T100)/T100)</f>
        <v>-1</v>
      </c>
      <c r="X100" s="833">
        <f>X11-X98</f>
        <v>0</v>
      </c>
      <c r="Y100" s="2344"/>
      <c r="AA100" s="456" t="str">
        <f>IF(X100=0,"0.00%",(AB100-X100)/X100)</f>
        <v>0.00%</v>
      </c>
      <c r="AB100" s="833" t="e">
        <f>AB11-AB98</f>
        <v>#VALUE!</v>
      </c>
      <c r="AC100" s="2344"/>
    </row>
    <row r="101" spans="1:29" s="457" customFormat="1" x14ac:dyDescent="0.25">
      <c r="A101" s="1656"/>
      <c r="B101" s="2337"/>
      <c r="C101" s="2345"/>
      <c r="D101" s="833"/>
      <c r="E101" s="1656"/>
      <c r="G101" s="2338"/>
      <c r="H101" s="833"/>
      <c r="I101" s="897"/>
      <c r="J101" s="455"/>
      <c r="K101" s="2338"/>
      <c r="L101" s="833"/>
      <c r="M101" s="901"/>
      <c r="O101" s="2338"/>
      <c r="P101" s="833"/>
      <c r="Q101" s="901"/>
      <c r="R101" s="592"/>
      <c r="S101" s="2355"/>
      <c r="T101" s="2356"/>
      <c r="U101" s="2344"/>
      <c r="V101" s="952"/>
      <c r="W101" s="2357"/>
      <c r="X101" s="2356"/>
      <c r="Y101" s="2344"/>
      <c r="AA101" s="2338"/>
      <c r="AB101" s="2356"/>
      <c r="AC101" s="2344"/>
    </row>
    <row r="102" spans="1:29" s="457" customFormat="1" x14ac:dyDescent="0.25">
      <c r="A102" s="1656"/>
      <c r="B102" s="2337" t="s">
        <v>136</v>
      </c>
      <c r="C102" s="2394"/>
      <c r="D102" s="833">
        <f>D7+D100</f>
        <v>887128.48000000045</v>
      </c>
      <c r="E102" s="1656"/>
      <c r="G102" s="456">
        <f>IF(D102=0,"0.00%",(H102-D102)/D102)</f>
        <v>-0.42796957662772794</v>
      </c>
      <c r="H102" s="833">
        <f>H7+H100</f>
        <v>507464.48000000045</v>
      </c>
      <c r="I102" s="2316">
        <f>+H102-D102</f>
        <v>-379664</v>
      </c>
      <c r="J102" s="455"/>
      <c r="K102" s="456">
        <f>IF(H102=0,"0.00%",(L102-H102)/H102)</f>
        <v>-0.99904135162326935</v>
      </c>
      <c r="L102" s="833">
        <f>L7+L100</f>
        <v>486.48000000044703</v>
      </c>
      <c r="M102" s="2316">
        <f>+L102-H102</f>
        <v>-506978</v>
      </c>
      <c r="O102" s="456">
        <f>IF(L102=0,"0.00%",(P102-L102)/L102)</f>
        <v>-1.0006988982072247</v>
      </c>
      <c r="P102" s="833">
        <f>P7+P100</f>
        <v>-0.33999999985098839</v>
      </c>
      <c r="Q102" s="2316">
        <f>+P102-L102</f>
        <v>-486.82000000029802</v>
      </c>
      <c r="R102" s="592"/>
      <c r="S102" s="2238">
        <f>IF(P102=0,"0.00%",(T102-P102)/P102)</f>
        <v>-47648.323550293695</v>
      </c>
      <c r="T102" s="2367">
        <f>T7+T100</f>
        <v>16200.089999999851</v>
      </c>
      <c r="U102" s="2344"/>
      <c r="V102" s="952"/>
      <c r="W102" s="2241">
        <f>IF(T102=0,"0.00%",(X102-T102)/T102)</f>
        <v>0</v>
      </c>
      <c r="X102" s="2367">
        <f>X7+X100</f>
        <v>16200.089999999851</v>
      </c>
      <c r="Y102" s="2344"/>
      <c r="AA102" s="456" t="e">
        <f>IF(X102=0,"0.00%",(AB102-X102)/X102)</f>
        <v>#VALUE!</v>
      </c>
      <c r="AB102" s="2367" t="e">
        <f>AB7+AB100</f>
        <v>#VALUE!</v>
      </c>
      <c r="AC102" s="2344"/>
    </row>
    <row r="103" spans="1:29" s="457" customFormat="1" x14ac:dyDescent="0.25">
      <c r="A103" s="1656"/>
      <c r="B103" s="2345"/>
      <c r="C103" s="2225"/>
      <c r="D103" s="340"/>
      <c r="E103" s="1656"/>
      <c r="G103" s="2355"/>
      <c r="H103" s="340"/>
      <c r="I103" s="2316"/>
      <c r="J103" s="459"/>
      <c r="K103" s="2355"/>
      <c r="L103" s="340"/>
      <c r="M103" s="901"/>
      <c r="O103" s="2355"/>
      <c r="P103" s="340"/>
      <c r="Q103" s="901"/>
      <c r="R103" s="592"/>
      <c r="S103" s="2355"/>
      <c r="U103" s="2344"/>
      <c r="V103" s="952"/>
      <c r="W103" s="2357"/>
      <c r="Y103" s="2344"/>
      <c r="AA103" s="2355"/>
      <c r="AC103" s="2344"/>
    </row>
    <row r="104" spans="1:29" s="457" customFormat="1" x14ac:dyDescent="0.25">
      <c r="A104" s="1656"/>
      <c r="B104" s="2345"/>
      <c r="C104" s="2230"/>
      <c r="D104" s="340"/>
      <c r="E104" s="1656"/>
      <c r="G104" s="2355"/>
      <c r="H104" s="340"/>
      <c r="I104" s="897"/>
      <c r="J104" s="455"/>
      <c r="K104" s="2355"/>
      <c r="L104" s="340"/>
      <c r="M104" s="901"/>
      <c r="O104" s="2355"/>
      <c r="P104" s="340"/>
      <c r="Q104" s="901"/>
      <c r="R104" s="592"/>
      <c r="S104" s="2355"/>
      <c r="U104" s="2344"/>
      <c r="V104" s="952"/>
      <c r="W104" s="2357"/>
      <c r="Y104" s="2344"/>
      <c r="AA104" s="2355"/>
      <c r="AC104" s="2344"/>
    </row>
    <row r="105" spans="1:29" s="457" customFormat="1" x14ac:dyDescent="0.25">
      <c r="A105" s="1656"/>
      <c r="B105" s="2345"/>
      <c r="C105" s="2230"/>
      <c r="D105" s="340"/>
      <c r="E105" s="1656"/>
      <c r="G105" s="2355"/>
      <c r="H105" s="340"/>
      <c r="I105" s="897"/>
      <c r="J105" s="455"/>
      <c r="K105" s="2355"/>
      <c r="L105" s="340"/>
      <c r="M105" s="901"/>
      <c r="O105" s="2355"/>
      <c r="P105" s="340"/>
      <c r="Q105" s="901"/>
      <c r="R105" s="592"/>
      <c r="S105" s="2355"/>
      <c r="U105" s="2344"/>
      <c r="V105" s="952"/>
      <c r="W105" s="2357"/>
      <c r="Y105" s="2344"/>
      <c r="AA105" s="2355"/>
      <c r="AC105" s="2344"/>
    </row>
    <row r="106" spans="1:29" s="457" customFormat="1" x14ac:dyDescent="0.25">
      <c r="A106" s="1656"/>
      <c r="B106" s="2345"/>
      <c r="C106" s="2230"/>
      <c r="D106" s="340"/>
      <c r="E106" s="1656"/>
      <c r="G106" s="2355"/>
      <c r="H106" s="340"/>
      <c r="I106" s="897"/>
      <c r="J106" s="455"/>
      <c r="K106" s="2355"/>
      <c r="L106" s="340"/>
      <c r="M106" s="901"/>
      <c r="O106" s="2355"/>
      <c r="P106" s="340"/>
      <c r="Q106" s="901"/>
      <c r="R106" s="592"/>
      <c r="S106" s="2355"/>
      <c r="U106" s="2344"/>
      <c r="V106" s="952"/>
      <c r="W106" s="2357"/>
      <c r="Y106" s="2344"/>
      <c r="AA106" s="2355"/>
      <c r="AC106" s="2344"/>
    </row>
    <row r="107" spans="1:29" s="457" customFormat="1" x14ac:dyDescent="0.25">
      <c r="A107" s="1656"/>
      <c r="B107" s="2345"/>
      <c r="C107" s="2230"/>
      <c r="D107" s="340"/>
      <c r="E107" s="1656"/>
      <c r="G107" s="2355"/>
      <c r="H107" s="340"/>
      <c r="I107" s="897"/>
      <c r="J107" s="455"/>
      <c r="K107" s="2355"/>
      <c r="L107" s="340"/>
      <c r="M107" s="901"/>
      <c r="O107" s="2355"/>
      <c r="P107" s="340"/>
      <c r="Q107" s="901"/>
      <c r="R107" s="592"/>
      <c r="S107" s="2355"/>
      <c r="U107" s="2344"/>
      <c r="V107" s="952"/>
      <c r="W107" s="2357"/>
      <c r="Y107" s="2344"/>
      <c r="AA107" s="2355"/>
      <c r="AC107" s="2344"/>
    </row>
    <row r="108" spans="1:29" s="2402" customFormat="1" ht="11.25" x14ac:dyDescent="0.2">
      <c r="A108" s="2363"/>
      <c r="B108" s="2395"/>
      <c r="C108" s="2396" t="s">
        <v>263</v>
      </c>
      <c r="D108" s="2397">
        <f>+D89+D69+D53+D41+D30+D95</f>
        <v>2310674.58</v>
      </c>
      <c r="E108" s="2363"/>
      <c r="G108" s="2399" t="s">
        <v>263</v>
      </c>
      <c r="H108" s="2397">
        <f>+H89+H69+H53+H41+H30+H95</f>
        <v>2988462</v>
      </c>
      <c r="I108" s="2400"/>
      <c r="J108" s="607"/>
      <c r="K108" s="2399" t="s">
        <v>263</v>
      </c>
      <c r="L108" s="2397">
        <f>+L89+L69+L53+L41+L30+L95</f>
        <v>3186223</v>
      </c>
      <c r="M108" s="2404"/>
      <c r="O108" s="2399" t="s">
        <v>263</v>
      </c>
      <c r="P108" s="2397">
        <f>+P89+P69+P53+P41+P30+P95</f>
        <v>2996174</v>
      </c>
      <c r="Q108" s="2404"/>
      <c r="R108" s="608"/>
      <c r="S108" s="2405" t="s">
        <v>263</v>
      </c>
      <c r="T108" s="2397">
        <f>+T89+T69+T53+T41+T30+T95</f>
        <v>3032008</v>
      </c>
      <c r="U108" s="2409"/>
      <c r="V108" s="2407"/>
      <c r="W108" s="2408" t="s">
        <v>263</v>
      </c>
      <c r="X108" s="2397">
        <f>+X89+X69+X53+X41+X30+X95</f>
        <v>2872881</v>
      </c>
      <c r="Y108" s="2409"/>
      <c r="AA108" s="2399" t="s">
        <v>263</v>
      </c>
      <c r="AB108" s="2397" t="e">
        <f>+AB89+AB69+AB53+AB41+AB30+AB95</f>
        <v>#VALUE!</v>
      </c>
      <c r="AC108" s="2409"/>
    </row>
    <row r="109" spans="1:29" s="2402" customFormat="1" ht="11.25" x14ac:dyDescent="0.2">
      <c r="A109" s="2413"/>
      <c r="B109" s="2395"/>
      <c r="C109" s="2411" t="s">
        <v>222</v>
      </c>
      <c r="D109" s="2412">
        <f>+D13</f>
        <v>0</v>
      </c>
      <c r="E109" s="2419"/>
      <c r="F109" s="2410"/>
      <c r="G109" s="2415" t="s">
        <v>222</v>
      </c>
      <c r="H109" s="2412">
        <f>+H13</f>
        <v>0</v>
      </c>
      <c r="I109" s="2398"/>
      <c r="J109" s="608"/>
      <c r="K109" s="2415" t="s">
        <v>222</v>
      </c>
      <c r="L109" s="2412">
        <f>+L13</f>
        <v>0</v>
      </c>
      <c r="M109" s="2404"/>
      <c r="O109" s="2415" t="s">
        <v>222</v>
      </c>
      <c r="P109" s="2412">
        <f>+P13</f>
        <v>0</v>
      </c>
      <c r="Q109" s="2363"/>
      <c r="R109" s="608"/>
      <c r="S109" s="2416" t="s">
        <v>222</v>
      </c>
      <c r="T109" s="2412">
        <f>+T13</f>
        <v>0</v>
      </c>
      <c r="V109" s="2407"/>
      <c r="W109" s="2417" t="s">
        <v>222</v>
      </c>
      <c r="X109" s="2412">
        <f>+X13</f>
        <v>0</v>
      </c>
      <c r="AA109" s="2415" t="s">
        <v>222</v>
      </c>
      <c r="AB109" s="2412" t="e">
        <f>+AB13</f>
        <v>#VALUE!</v>
      </c>
    </row>
    <row r="110" spans="1:29" s="2402" customFormat="1" ht="11.25" x14ac:dyDescent="0.2">
      <c r="A110" s="2413"/>
      <c r="B110" s="2395"/>
      <c r="C110" s="2411"/>
      <c r="D110" s="2418">
        <f>+D108+D109</f>
        <v>2310674.58</v>
      </c>
      <c r="E110" s="2419"/>
      <c r="F110" s="2410"/>
      <c r="G110" s="2415"/>
      <c r="H110" s="2418">
        <f>+H108+H109</f>
        <v>2988462</v>
      </c>
      <c r="I110" s="2398"/>
      <c r="J110" s="608"/>
      <c r="K110" s="2415"/>
      <c r="L110" s="2418">
        <f>+L108+L109</f>
        <v>3186223</v>
      </c>
      <c r="M110" s="2363"/>
      <c r="O110" s="2415"/>
      <c r="P110" s="2418">
        <f>+P108+P109</f>
        <v>2996174</v>
      </c>
      <c r="Q110" s="2363"/>
      <c r="R110" s="608"/>
      <c r="S110" s="2416"/>
      <c r="T110" s="2418">
        <f>+T108+T109</f>
        <v>3032008</v>
      </c>
      <c r="V110" s="2407"/>
      <c r="W110" s="2417"/>
      <c r="X110" s="2418">
        <f>+X108+X109</f>
        <v>2872881</v>
      </c>
      <c r="AA110" s="2415"/>
      <c r="AB110" s="2418" t="e">
        <f>+AB108+AB109</f>
        <v>#VALUE!</v>
      </c>
    </row>
    <row r="111" spans="1:29" s="457" customFormat="1" ht="15" customHeight="1" x14ac:dyDescent="0.25">
      <c r="A111" s="897"/>
      <c r="B111" s="2422"/>
      <c r="C111" s="2422"/>
      <c r="D111" s="459">
        <f>+D98-D110</f>
        <v>0</v>
      </c>
      <c r="E111" s="2386"/>
      <c r="F111" s="340"/>
      <c r="G111" s="2447"/>
      <c r="H111" s="459">
        <f>+H98-H110</f>
        <v>0</v>
      </c>
      <c r="I111" s="2339"/>
      <c r="J111" s="592"/>
      <c r="K111" s="2447"/>
      <c r="L111" s="459">
        <f>+L98-L110</f>
        <v>0</v>
      </c>
      <c r="M111" s="1656"/>
      <c r="O111" s="2447"/>
      <c r="P111" s="459">
        <f>+P98-P110</f>
        <v>0</v>
      </c>
      <c r="Q111" s="1656"/>
      <c r="R111" s="592"/>
      <c r="S111" s="2447"/>
      <c r="T111" s="459">
        <f>+T98-T110</f>
        <v>0</v>
      </c>
      <c r="V111" s="952"/>
      <c r="W111" s="2448"/>
      <c r="X111" s="459">
        <f>+X98-X110</f>
        <v>0</v>
      </c>
      <c r="AA111" s="2447"/>
      <c r="AB111" s="459" t="e">
        <f>+AB98-AB110</f>
        <v>#VALUE!</v>
      </c>
    </row>
    <row r="112" spans="1:29" s="457" customFormat="1" x14ac:dyDescent="0.25">
      <c r="A112" s="897"/>
      <c r="B112" s="2422"/>
      <c r="C112" s="2422"/>
      <c r="D112" s="455"/>
      <c r="E112" s="2386"/>
      <c r="F112" s="340"/>
      <c r="G112" s="2338"/>
      <c r="H112" s="2424"/>
      <c r="I112" s="2339"/>
      <c r="J112" s="592"/>
      <c r="K112" s="1668"/>
      <c r="L112" s="2370"/>
      <c r="M112" s="1656"/>
      <c r="O112" s="1668"/>
      <c r="P112" s="340"/>
      <c r="Q112" s="1656"/>
      <c r="R112" s="592"/>
      <c r="S112" s="2341"/>
      <c r="V112" s="952"/>
      <c r="W112" s="2343"/>
      <c r="AA112" s="1668"/>
    </row>
    <row r="113" spans="1:27" s="457" customFormat="1" x14ac:dyDescent="0.25">
      <c r="A113" s="897"/>
      <c r="B113" s="2394"/>
      <c r="C113" s="2230"/>
      <c r="D113" s="342"/>
      <c r="E113" s="2386"/>
      <c r="F113" s="340"/>
      <c r="G113" s="2338"/>
      <c r="H113" s="2424"/>
      <c r="I113" s="2339"/>
      <c r="J113" s="592"/>
      <c r="K113" s="1668"/>
      <c r="L113" s="2370"/>
      <c r="M113" s="1656"/>
      <c r="O113" s="1668"/>
      <c r="P113" s="340"/>
      <c r="Q113" s="1656"/>
      <c r="R113" s="592"/>
      <c r="S113" s="2341"/>
      <c r="V113" s="952"/>
      <c r="W113" s="2343"/>
      <c r="AA113" s="1668"/>
    </row>
    <row r="114" spans="1:27" s="457" customFormat="1" x14ac:dyDescent="0.25">
      <c r="A114" s="1656"/>
      <c r="B114" s="2394"/>
      <c r="C114" s="2230"/>
      <c r="D114" s="455"/>
      <c r="E114" s="1656"/>
      <c r="G114" s="2338"/>
      <c r="H114" s="2424"/>
      <c r="I114" s="2339"/>
      <c r="J114" s="592"/>
      <c r="K114" s="1668"/>
      <c r="L114" s="2370"/>
      <c r="M114" s="1656"/>
      <c r="O114" s="1668"/>
      <c r="P114" s="340"/>
      <c r="Q114" s="1656"/>
      <c r="R114" s="592"/>
      <c r="S114" s="2341"/>
      <c r="V114" s="952"/>
      <c r="W114" s="2343"/>
      <c r="AA114" s="1668"/>
    </row>
    <row r="115" spans="1:27" s="457" customFormat="1" x14ac:dyDescent="0.25">
      <c r="A115" s="1656"/>
      <c r="B115" s="2394"/>
      <c r="C115" s="2230"/>
      <c r="D115" s="455"/>
      <c r="E115" s="1656"/>
      <c r="G115" s="2338"/>
      <c r="H115" s="2424"/>
      <c r="I115" s="2339"/>
      <c r="J115" s="592"/>
      <c r="K115" s="1668"/>
      <c r="L115" s="2370"/>
      <c r="M115" s="1656"/>
      <c r="O115" s="1668"/>
      <c r="P115" s="340"/>
      <c r="Q115" s="1656"/>
      <c r="R115" s="592"/>
      <c r="S115" s="2341"/>
      <c r="V115" s="952"/>
      <c r="W115" s="2343"/>
      <c r="AA115" s="1668"/>
    </row>
    <row r="116" spans="1:27" s="457" customFormat="1" ht="15" customHeight="1" x14ac:dyDescent="0.25">
      <c r="A116" s="1656"/>
      <c r="B116" s="2394"/>
      <c r="C116" s="2230"/>
      <c r="D116" s="455"/>
      <c r="E116" s="1656"/>
      <c r="G116" s="2338"/>
      <c r="H116" s="2424"/>
      <c r="I116" s="2339"/>
      <c r="J116" s="592"/>
      <c r="K116" s="1668"/>
      <c r="L116" s="2370"/>
      <c r="M116" s="1656"/>
      <c r="O116" s="1668"/>
      <c r="P116" s="340"/>
      <c r="Q116" s="1656"/>
      <c r="R116" s="592"/>
      <c r="S116" s="2341"/>
      <c r="V116" s="952"/>
      <c r="W116" s="2343"/>
      <c r="AA116" s="1668"/>
    </row>
    <row r="117" spans="1:27" s="457" customFormat="1" x14ac:dyDescent="0.25">
      <c r="A117" s="1656"/>
      <c r="B117" s="2394"/>
      <c r="C117" s="2230"/>
      <c r="D117" s="455"/>
      <c r="E117" s="1656"/>
      <c r="G117" s="2338"/>
      <c r="H117" s="2424"/>
      <c r="I117" s="2339"/>
      <c r="J117" s="592"/>
      <c r="K117" s="1668"/>
      <c r="L117" s="2370"/>
      <c r="M117" s="1656"/>
      <c r="O117" s="1668"/>
      <c r="P117" s="340"/>
      <c r="Q117" s="1656"/>
      <c r="R117" s="592"/>
      <c r="S117" s="2341"/>
      <c r="V117" s="952"/>
      <c r="W117" s="2343"/>
      <c r="AA117" s="1668"/>
    </row>
    <row r="118" spans="1:27" s="457" customFormat="1" x14ac:dyDescent="0.25">
      <c r="A118" s="1656"/>
      <c r="B118" s="2394"/>
      <c r="C118" s="2230"/>
      <c r="D118" s="455"/>
      <c r="E118" s="1656"/>
      <c r="G118" s="2338"/>
      <c r="H118" s="2424"/>
      <c r="I118" s="2339"/>
      <c r="J118" s="592"/>
      <c r="K118" s="1668"/>
      <c r="L118" s="2370"/>
      <c r="M118" s="1656"/>
      <c r="O118" s="1668"/>
      <c r="P118" s="340"/>
      <c r="Q118" s="1656"/>
      <c r="R118" s="592"/>
      <c r="S118" s="2341"/>
      <c r="V118" s="952"/>
      <c r="W118" s="2343"/>
      <c r="AA118" s="1668"/>
    </row>
    <row r="119" spans="1:27" s="457" customFormat="1" ht="15" customHeight="1" x14ac:dyDescent="0.25">
      <c r="A119" s="1656"/>
      <c r="B119" s="2570"/>
      <c r="C119" s="2570"/>
      <c r="D119" s="455"/>
      <c r="E119" s="1656"/>
      <c r="G119" s="2338"/>
      <c r="H119" s="2424"/>
      <c r="I119" s="2339"/>
      <c r="J119" s="592"/>
      <c r="K119" s="1668"/>
      <c r="L119" s="2370"/>
      <c r="M119" s="1656"/>
      <c r="O119" s="1668"/>
      <c r="P119" s="340"/>
      <c r="Q119" s="1656"/>
      <c r="R119" s="592"/>
      <c r="S119" s="2341"/>
      <c r="V119" s="952"/>
      <c r="W119" s="2343"/>
      <c r="AA119" s="1668"/>
    </row>
    <row r="120" spans="1:27" s="457" customFormat="1" x14ac:dyDescent="0.25">
      <c r="A120" s="1656"/>
      <c r="B120" s="2570"/>
      <c r="C120" s="2570"/>
      <c r="D120" s="455"/>
      <c r="E120" s="1656"/>
      <c r="G120" s="2338"/>
      <c r="H120" s="2424"/>
      <c r="I120" s="2339"/>
      <c r="J120" s="592"/>
      <c r="K120" s="1668"/>
      <c r="L120" s="2370"/>
      <c r="M120" s="1656"/>
      <c r="O120" s="1668"/>
      <c r="P120" s="340"/>
      <c r="Q120" s="1656"/>
      <c r="R120" s="592"/>
      <c r="S120" s="2341"/>
      <c r="V120" s="952"/>
      <c r="W120" s="2343"/>
      <c r="AA120" s="1668"/>
    </row>
    <row r="121" spans="1:27" s="457" customFormat="1" x14ac:dyDescent="0.25">
      <c r="A121" s="1656"/>
      <c r="B121" s="2394"/>
      <c r="C121" s="2230"/>
      <c r="D121" s="460"/>
      <c r="E121" s="1656"/>
      <c r="G121" s="2338"/>
      <c r="H121" s="2424"/>
      <c r="I121" s="2339"/>
      <c r="J121" s="592"/>
      <c r="K121" s="1668"/>
      <c r="L121" s="2370"/>
      <c r="M121" s="1656"/>
      <c r="O121" s="1668"/>
      <c r="P121" s="340"/>
      <c r="Q121" s="1656"/>
      <c r="R121" s="592"/>
      <c r="S121" s="2341"/>
      <c r="V121" s="952"/>
      <c r="W121" s="2343"/>
      <c r="AA121" s="1668"/>
    </row>
    <row r="122" spans="1:27" s="457" customFormat="1" x14ac:dyDescent="0.25">
      <c r="A122" s="1656"/>
      <c r="B122" s="2394"/>
      <c r="C122" s="2230"/>
      <c r="D122" s="455"/>
      <c r="E122" s="1656"/>
      <c r="G122" s="2338"/>
      <c r="H122" s="2424"/>
      <c r="I122" s="2339"/>
      <c r="J122" s="592"/>
      <c r="K122" s="1668"/>
      <c r="L122" s="2370"/>
      <c r="M122" s="1656"/>
      <c r="O122" s="1668"/>
      <c r="P122" s="340"/>
      <c r="Q122" s="1656"/>
      <c r="R122" s="592"/>
      <c r="S122" s="2341"/>
      <c r="V122" s="952"/>
      <c r="W122" s="2343"/>
      <c r="AA122" s="1668"/>
    </row>
    <row r="123" spans="1:27" s="457" customFormat="1" x14ac:dyDescent="0.25">
      <c r="A123" s="1656"/>
      <c r="B123" s="2394"/>
      <c r="C123" s="2230"/>
      <c r="D123" s="455"/>
      <c r="E123" s="1656"/>
      <c r="G123" s="2338"/>
      <c r="H123" s="2424"/>
      <c r="I123" s="2339"/>
      <c r="J123" s="592"/>
      <c r="K123" s="1668"/>
      <c r="L123" s="2370"/>
      <c r="M123" s="1656"/>
      <c r="O123" s="1668"/>
      <c r="P123" s="340"/>
      <c r="Q123" s="1656"/>
      <c r="R123" s="592"/>
      <c r="S123" s="2341"/>
      <c r="V123" s="952"/>
      <c r="W123" s="2343"/>
      <c r="AA123" s="1668"/>
    </row>
    <row r="124" spans="1:27" s="457" customFormat="1" ht="28.5" customHeight="1" x14ac:dyDescent="0.25">
      <c r="A124" s="1656"/>
      <c r="B124" s="2394"/>
      <c r="C124" s="2230"/>
      <c r="D124" s="342"/>
      <c r="E124" s="1656"/>
      <c r="G124" s="2338"/>
      <c r="H124" s="2424"/>
      <c r="I124" s="2339"/>
      <c r="J124" s="592"/>
      <c r="K124" s="1668"/>
      <c r="L124" s="2370"/>
      <c r="M124" s="1656"/>
      <c r="O124" s="1668"/>
      <c r="P124" s="340"/>
      <c r="Q124" s="1656"/>
      <c r="R124" s="592"/>
      <c r="S124" s="2341"/>
      <c r="V124" s="952"/>
      <c r="W124" s="2343"/>
      <c r="AA124" s="1668"/>
    </row>
    <row r="125" spans="1:27" s="457" customFormat="1" x14ac:dyDescent="0.25">
      <c r="A125" s="1656"/>
      <c r="B125" s="2394"/>
      <c r="C125" s="2230"/>
      <c r="D125" s="455"/>
      <c r="E125" s="1656"/>
      <c r="G125" s="2338"/>
      <c r="H125" s="2424"/>
      <c r="I125" s="2339"/>
      <c r="J125" s="592"/>
      <c r="K125" s="1668"/>
      <c r="L125" s="2370"/>
      <c r="M125" s="1656"/>
      <c r="O125" s="1668"/>
      <c r="P125" s="340"/>
      <c r="Q125" s="1656"/>
      <c r="R125" s="592"/>
      <c r="S125" s="2341"/>
      <c r="V125" s="952"/>
      <c r="W125" s="2343"/>
      <c r="AA125" s="1668"/>
    </row>
    <row r="126" spans="1:27" s="457" customFormat="1" x14ac:dyDescent="0.25">
      <c r="A126" s="1656"/>
      <c r="B126" s="2394"/>
      <c r="C126" s="2230"/>
      <c r="D126" s="455"/>
      <c r="E126" s="1656"/>
      <c r="G126" s="2338"/>
      <c r="H126" s="2424"/>
      <c r="I126" s="2339"/>
      <c r="J126" s="592"/>
      <c r="K126" s="1668"/>
      <c r="L126" s="2370"/>
      <c r="M126" s="1656"/>
      <c r="O126" s="1668"/>
      <c r="P126" s="340"/>
      <c r="Q126" s="1656"/>
      <c r="R126" s="592"/>
      <c r="S126" s="2341"/>
      <c r="V126" s="952"/>
      <c r="W126" s="2343"/>
      <c r="AA126" s="1668"/>
    </row>
    <row r="127" spans="1:27" s="457" customFormat="1" x14ac:dyDescent="0.25">
      <c r="A127" s="1656"/>
      <c r="B127" s="2394"/>
      <c r="C127" s="2230"/>
      <c r="D127" s="455"/>
      <c r="E127" s="1656"/>
      <c r="G127" s="2338"/>
      <c r="H127" s="2424"/>
      <c r="I127" s="2339"/>
      <c r="J127" s="592"/>
      <c r="K127" s="1668"/>
      <c r="L127" s="2370"/>
      <c r="M127" s="1656"/>
      <c r="O127" s="1668"/>
      <c r="P127" s="340"/>
      <c r="Q127" s="1656"/>
      <c r="R127" s="592"/>
      <c r="S127" s="2341"/>
      <c r="V127" s="952"/>
      <c r="W127" s="2343"/>
      <c r="AA127" s="1668"/>
    </row>
    <row r="128" spans="1:27" s="457" customFormat="1" x14ac:dyDescent="0.25">
      <c r="A128" s="1656"/>
      <c r="B128" s="2394"/>
      <c r="C128" s="2230"/>
      <c r="D128" s="455"/>
      <c r="E128" s="1656"/>
      <c r="G128" s="2338"/>
      <c r="H128" s="2424"/>
      <c r="I128" s="2339"/>
      <c r="J128" s="592"/>
      <c r="K128" s="1668"/>
      <c r="L128" s="2370"/>
      <c r="M128" s="1656"/>
      <c r="O128" s="1668"/>
      <c r="P128" s="340"/>
      <c r="Q128" s="1656"/>
      <c r="R128" s="592"/>
      <c r="S128" s="2341"/>
      <c r="V128" s="952"/>
      <c r="W128" s="2343"/>
      <c r="AA128" s="1668"/>
    </row>
    <row r="129" spans="1:27" s="457" customFormat="1" x14ac:dyDescent="0.25">
      <c r="A129" s="1656"/>
      <c r="B129" s="2394"/>
      <c r="C129" s="2230"/>
      <c r="D129" s="455"/>
      <c r="E129" s="1656"/>
      <c r="G129" s="2338"/>
      <c r="H129" s="2424"/>
      <c r="I129" s="2339"/>
      <c r="J129" s="592"/>
      <c r="K129" s="1668"/>
      <c r="L129" s="2370"/>
      <c r="M129" s="1656"/>
      <c r="O129" s="1668"/>
      <c r="P129" s="340"/>
      <c r="Q129" s="1656"/>
      <c r="R129" s="592"/>
      <c r="S129" s="2341"/>
      <c r="V129" s="952"/>
      <c r="W129" s="2343"/>
      <c r="AA129" s="1668"/>
    </row>
    <row r="130" spans="1:27" s="457" customFormat="1" x14ac:dyDescent="0.25">
      <c r="A130" s="1656"/>
      <c r="B130" s="2394"/>
      <c r="C130" s="2230"/>
      <c r="D130" s="455"/>
      <c r="E130" s="1656"/>
      <c r="G130" s="2338"/>
      <c r="H130" s="2424"/>
      <c r="I130" s="2339"/>
      <c r="J130" s="592"/>
      <c r="K130" s="1668"/>
      <c r="L130" s="2370"/>
      <c r="M130" s="1656"/>
      <c r="O130" s="1668"/>
      <c r="P130" s="340"/>
      <c r="Q130" s="1656"/>
      <c r="R130" s="592"/>
      <c r="S130" s="2341"/>
      <c r="V130" s="952"/>
      <c r="W130" s="2343"/>
      <c r="AA130" s="1668"/>
    </row>
    <row r="131" spans="1:27" s="457" customFormat="1" x14ac:dyDescent="0.25">
      <c r="A131" s="1656"/>
      <c r="B131" s="2394"/>
      <c r="C131" s="2230"/>
      <c r="D131" s="455"/>
      <c r="E131" s="1656"/>
      <c r="G131" s="2338"/>
      <c r="H131" s="2424"/>
      <c r="I131" s="2339"/>
      <c r="J131" s="592"/>
      <c r="K131" s="1668"/>
      <c r="L131" s="2370"/>
      <c r="M131" s="1656"/>
      <c r="O131" s="1668"/>
      <c r="P131" s="340"/>
      <c r="Q131" s="1656"/>
      <c r="R131" s="592"/>
      <c r="S131" s="2341"/>
      <c r="V131" s="952"/>
      <c r="W131" s="2343"/>
      <c r="AA131" s="1668"/>
    </row>
    <row r="132" spans="1:27" x14ac:dyDescent="0.25">
      <c r="B132" s="2173"/>
      <c r="C132" s="2179"/>
      <c r="D132" s="36"/>
    </row>
    <row r="133" spans="1:27" x14ac:dyDescent="0.25">
      <c r="B133" s="2173"/>
      <c r="C133" s="2179"/>
      <c r="D133" s="36"/>
    </row>
    <row r="134" spans="1:27" x14ac:dyDescent="0.25">
      <c r="B134" s="2173"/>
      <c r="C134" s="2179"/>
      <c r="D134" s="36"/>
    </row>
    <row r="135" spans="1:27" x14ac:dyDescent="0.25">
      <c r="B135" s="2173"/>
      <c r="C135" s="2179"/>
      <c r="D135" s="36"/>
    </row>
    <row r="136" spans="1:27" x14ac:dyDescent="0.25">
      <c r="B136" s="2173"/>
      <c r="C136" s="2179"/>
      <c r="D136" s="36"/>
    </row>
    <row r="137" spans="1:27" x14ac:dyDescent="0.25">
      <c r="B137" s="2173"/>
      <c r="C137" s="2179"/>
      <c r="D137" s="36"/>
    </row>
    <row r="138" spans="1:27" x14ac:dyDescent="0.25">
      <c r="B138" s="2173"/>
      <c r="C138" s="2179"/>
      <c r="D138" s="36"/>
    </row>
    <row r="139" spans="1:27" x14ac:dyDescent="0.25">
      <c r="B139" s="2173"/>
      <c r="C139" s="2179"/>
      <c r="D139" s="36"/>
    </row>
  </sheetData>
  <sheetProtection password="E247" sheet="1" objects="1" scenarios="1"/>
  <mergeCells count="1">
    <mergeCell ref="B119:C120"/>
  </mergeCells>
  <pageMargins left="0.25" right="0.25" top="0.5" bottom="0.5" header="0.25" footer="0.25"/>
  <pageSetup paperSize="5" scale="65" orientation="portrait" r:id="rId1"/>
  <headerFooter>
    <oddHeader>&amp;L&amp;F</oddHeader>
    <oddFooter>&amp;R&amp;A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pageSetUpPr fitToPage="1"/>
  </sheetPr>
  <dimension ref="A1:AC131"/>
  <sheetViews>
    <sheetView zoomScaleNormal="100" workbookViewId="0">
      <pane xSplit="3" ySplit="6" topLeftCell="H7" activePane="bottomRight" state="frozen"/>
      <selection activeCell="H7" sqref="H7"/>
      <selection pane="topRight" activeCell="H7" sqref="H7"/>
      <selection pane="bottomLeft" activeCell="H7" sqref="H7"/>
      <selection pane="bottomRight" activeCell="H7" sqref="H7"/>
    </sheetView>
  </sheetViews>
  <sheetFormatPr defaultRowHeight="15" x14ac:dyDescent="0.25"/>
  <cols>
    <col min="1" max="1" width="1.7109375" style="143" customWidth="1"/>
    <col min="2" max="2" width="8.5703125" style="2172" customWidth="1"/>
    <col min="3" max="3" width="18.28515625" style="2176" customWidth="1"/>
    <col min="4" max="4" width="16" style="2" hidden="1" customWidth="1"/>
    <col min="5" max="5" width="17.7109375" style="844" hidden="1" customWidth="1"/>
    <col min="6" max="6" width="6" style="39" hidden="1" customWidth="1"/>
    <col min="7" max="7" width="9.42578125" style="52" hidden="1" customWidth="1"/>
    <col min="8" max="8" width="13.85546875" style="121" bestFit="1" customWidth="1"/>
    <col min="9" max="9" width="26" style="853" hidden="1" customWidth="1"/>
    <col min="10" max="10" width="5.7109375" style="59" hidden="1" customWidth="1"/>
    <col min="11" max="11" width="9.85546875" style="333" hidden="1" customWidth="1"/>
    <col min="12" max="12" width="14" style="122" bestFit="1" customWidth="1"/>
    <col min="13" max="13" width="26" style="844" hidden="1" customWidth="1"/>
    <col min="14" max="14" width="5.7109375" style="39" hidden="1" customWidth="1"/>
    <col min="15" max="15" width="9.42578125" style="333" hidden="1" customWidth="1"/>
    <col min="16" max="16" width="14" style="2" bestFit="1" customWidth="1"/>
    <col min="17" max="17" width="24.85546875" style="844" hidden="1" customWidth="1"/>
    <col min="18" max="18" width="5.28515625" style="51" hidden="1" customWidth="1"/>
    <col min="19" max="19" width="9.42578125" style="338" hidden="1" customWidth="1"/>
    <col min="20" max="20" width="14" style="39" customWidth="1"/>
    <col min="21" max="21" width="24.85546875" style="39" hidden="1" customWidth="1"/>
    <col min="22" max="22" width="5.7109375" style="109" customWidth="1"/>
    <col min="23" max="23" width="9.42578125" style="2244" hidden="1" customWidth="1"/>
    <col min="24" max="24" width="14" style="39" hidden="1" customWidth="1"/>
    <col min="25" max="25" width="24.85546875" style="39" hidden="1" customWidth="1"/>
    <col min="26" max="26" width="5.7109375" style="39" hidden="1" customWidth="1"/>
    <col min="27" max="27" width="9.42578125" style="333" hidden="1" customWidth="1"/>
    <col min="28" max="28" width="14" style="39" hidden="1" customWidth="1"/>
    <col min="29" max="29" width="24.85546875" style="39" hidden="1" customWidth="1"/>
    <col min="30" max="16384" width="9.140625" style="39"/>
  </cols>
  <sheetData>
    <row r="1" spans="1:29" x14ac:dyDescent="0.25">
      <c r="B1" s="2172" t="s">
        <v>61</v>
      </c>
      <c r="C1" s="2178" t="s">
        <v>332</v>
      </c>
      <c r="D1" s="933"/>
      <c r="E1" s="842"/>
      <c r="F1" s="98"/>
      <c r="G1" s="325"/>
      <c r="H1" s="934"/>
      <c r="I1" s="842"/>
      <c r="K1" s="338"/>
      <c r="L1" s="121"/>
      <c r="M1" s="842"/>
      <c r="N1" s="51"/>
      <c r="O1" s="338"/>
      <c r="P1" s="121"/>
      <c r="Q1" s="842"/>
      <c r="T1" s="86">
        <v>0</v>
      </c>
      <c r="U1" s="98"/>
      <c r="X1" s="86">
        <v>0</v>
      </c>
      <c r="Y1" s="98"/>
      <c r="AB1" s="86">
        <v>0</v>
      </c>
      <c r="AC1" s="98"/>
    </row>
    <row r="2" spans="1:29" ht="17.25" x14ac:dyDescent="0.4">
      <c r="B2" s="2173" t="s">
        <v>59</v>
      </c>
      <c r="C2" s="2177">
        <v>9076</v>
      </c>
      <c r="D2" s="934"/>
      <c r="E2" s="842"/>
      <c r="F2" s="98"/>
      <c r="G2" s="1663"/>
      <c r="H2" s="934"/>
      <c r="I2" s="842"/>
      <c r="K2" s="338"/>
      <c r="L2" s="87"/>
      <c r="M2" s="842"/>
      <c r="N2" s="51"/>
      <c r="O2" s="338"/>
      <c r="P2" s="87"/>
      <c r="Q2" s="842"/>
      <c r="T2" s="87">
        <v>0</v>
      </c>
      <c r="U2" s="98"/>
      <c r="X2" s="87">
        <v>0</v>
      </c>
      <c r="Y2" s="98"/>
      <c r="AB2" s="87">
        <v>0</v>
      </c>
      <c r="AC2" s="98"/>
    </row>
    <row r="3" spans="1:29" x14ac:dyDescent="0.25">
      <c r="D3" s="935"/>
      <c r="E3" s="852"/>
      <c r="F3" s="936"/>
      <c r="G3" s="1664"/>
      <c r="H3" s="935"/>
      <c r="I3" s="852"/>
      <c r="K3" s="338"/>
      <c r="L3" s="121"/>
      <c r="M3" s="853"/>
      <c r="N3" s="51"/>
      <c r="O3" s="338"/>
      <c r="P3" s="121"/>
      <c r="Q3" s="853"/>
      <c r="T3" s="86">
        <f>SUM(T1:T2)</f>
        <v>0</v>
      </c>
      <c r="U3" s="51"/>
      <c r="X3" s="86">
        <f>SUM(X1:X2)</f>
        <v>0</v>
      </c>
      <c r="Y3" s="51"/>
      <c r="AB3" s="86">
        <f>SUM(AB1:AB2)</f>
        <v>0</v>
      </c>
      <c r="AC3" s="51"/>
    </row>
    <row r="4" spans="1:29" x14ac:dyDescent="0.25">
      <c r="L4" s="121"/>
      <c r="M4" s="853"/>
      <c r="P4" s="121"/>
      <c r="Q4" s="853"/>
      <c r="T4" s="86"/>
      <c r="U4" s="51"/>
      <c r="X4" s="86"/>
      <c r="Y4" s="51"/>
      <c r="AB4" s="86"/>
      <c r="AC4" s="51"/>
    </row>
    <row r="5" spans="1:29" ht="15.75" x14ac:dyDescent="0.25">
      <c r="B5" s="2174" t="s">
        <v>56</v>
      </c>
      <c r="P5" s="122"/>
      <c r="T5" s="73"/>
      <c r="X5" s="73"/>
      <c r="AB5" s="73"/>
    </row>
    <row r="6" spans="1:29" s="89" customFormat="1" ht="15.75" x14ac:dyDescent="0.25">
      <c r="A6" s="144"/>
      <c r="B6" s="2175"/>
      <c r="C6" s="2175"/>
      <c r="D6" s="243" t="s">
        <v>55</v>
      </c>
      <c r="E6" s="845"/>
      <c r="G6" s="327"/>
      <c r="H6" s="282" t="str">
        <f>LEFT(D6,4)+1&amp;"-"&amp;RIGHT(D6,4)+1</f>
        <v>2017-2018</v>
      </c>
      <c r="I6" s="854"/>
      <c r="J6" s="93"/>
      <c r="K6" s="334"/>
      <c r="L6" s="123" t="str">
        <f>LEFT(H6,4)+1&amp;"-"&amp;RIGHT(H6,4)+1</f>
        <v>2018-2019</v>
      </c>
      <c r="M6" s="888"/>
      <c r="N6" s="96"/>
      <c r="O6" s="337"/>
      <c r="P6" s="123" t="str">
        <f>LEFT(L6,4)+1&amp;"-"&amp;RIGHT(L6,4)+1</f>
        <v>2019-2020</v>
      </c>
      <c r="Q6" s="888"/>
      <c r="R6" s="2237"/>
      <c r="S6" s="2242"/>
      <c r="T6" s="95" t="str">
        <f>LEFT(P6,4)+1&amp;"-"&amp;RIGHT(P6,4)+1</f>
        <v>2020-2021</v>
      </c>
      <c r="U6" s="95"/>
      <c r="V6" s="110"/>
      <c r="W6" s="2245"/>
      <c r="X6" s="95" t="str">
        <f>LEFT(T6,4)+1&amp;"-"&amp;RIGHT(T6,4)+1</f>
        <v>2021-2022</v>
      </c>
      <c r="Y6" s="95"/>
      <c r="Z6" s="96"/>
      <c r="AA6" s="337"/>
      <c r="AB6" s="95" t="str">
        <f>LEFT(X6,4)+1&amp;"-"&amp;RIGHT(X6,4)+1</f>
        <v>2022-2023</v>
      </c>
      <c r="AC6" s="95"/>
    </row>
    <row r="7" spans="1:29" s="457" customFormat="1" x14ac:dyDescent="0.25">
      <c r="A7" s="1656"/>
      <c r="B7" s="2337" t="s">
        <v>54</v>
      </c>
      <c r="C7" s="2215"/>
      <c r="D7" s="340">
        <v>0</v>
      </c>
      <c r="E7" s="1656"/>
      <c r="G7" s="2338"/>
      <c r="H7" s="340">
        <f>D89</f>
        <v>0</v>
      </c>
      <c r="I7" s="1656"/>
      <c r="J7" s="599"/>
      <c r="K7" s="1668"/>
      <c r="L7" s="340">
        <f>H89</f>
        <v>0</v>
      </c>
      <c r="M7" s="1656"/>
      <c r="O7" s="1668"/>
      <c r="P7" s="340">
        <f>L89</f>
        <v>0</v>
      </c>
      <c r="Q7" s="1656"/>
      <c r="R7" s="592"/>
      <c r="S7" s="2341"/>
      <c r="T7" s="340">
        <f>P89</f>
        <v>0</v>
      </c>
      <c r="V7" s="952"/>
      <c r="W7" s="2343"/>
      <c r="X7" s="340">
        <f>T89</f>
        <v>0</v>
      </c>
      <c r="AA7" s="1668"/>
      <c r="AB7" s="340">
        <f>X89</f>
        <v>-8321</v>
      </c>
    </row>
    <row r="8" spans="1:29" s="457" customFormat="1" x14ac:dyDescent="0.25">
      <c r="A8" s="1656"/>
      <c r="B8" s="2345"/>
      <c r="C8" s="2215"/>
      <c r="D8" s="340"/>
      <c r="E8" s="1656"/>
      <c r="G8" s="2338"/>
      <c r="H8" s="340"/>
      <c r="I8" s="1656"/>
      <c r="J8" s="592"/>
      <c r="K8" s="1668"/>
      <c r="L8" s="340"/>
      <c r="M8" s="1656"/>
      <c r="O8" s="1668"/>
      <c r="P8" s="340"/>
      <c r="Q8" s="1656"/>
      <c r="R8" s="592"/>
      <c r="S8" s="2341"/>
      <c r="V8" s="952"/>
      <c r="W8" s="2343"/>
      <c r="AA8" s="1668"/>
    </row>
    <row r="9" spans="1:29" s="457" customFormat="1" x14ac:dyDescent="0.25">
      <c r="A9" s="1656"/>
      <c r="B9" s="2345" t="s">
        <v>52</v>
      </c>
      <c r="C9" s="2215" t="s">
        <v>333</v>
      </c>
      <c r="D9" s="340">
        <v>4485.3999999999996</v>
      </c>
      <c r="E9" s="1656"/>
      <c r="G9" s="456">
        <f>IF(D9=0,"0.00%",(H9-D9)/D9)</f>
        <v>0.80585900922994624</v>
      </c>
      <c r="H9" s="833">
        <v>8100</v>
      </c>
      <c r="I9" s="1656" t="s">
        <v>173</v>
      </c>
      <c r="J9" s="342"/>
      <c r="K9" s="456">
        <f>IF(H9=0,"0.00%",(L9-H9)/H9)</f>
        <v>0</v>
      </c>
      <c r="L9" s="833">
        <f>+H9</f>
        <v>8100</v>
      </c>
      <c r="M9" s="1656" t="s">
        <v>173</v>
      </c>
      <c r="O9" s="456">
        <f>IF(L9=0,"0.00%",(P9-L9)/L9)</f>
        <v>0</v>
      </c>
      <c r="P9" s="833">
        <f>+L9</f>
        <v>8100</v>
      </c>
      <c r="Q9" s="1656" t="s">
        <v>173</v>
      </c>
      <c r="R9" s="592"/>
      <c r="S9" s="2238">
        <f>IF(P9=0,"0.00%",(T9-P9)/P9)</f>
        <v>0</v>
      </c>
      <c r="T9" s="833">
        <f>+P9</f>
        <v>8100</v>
      </c>
      <c r="U9" s="457" t="s">
        <v>173</v>
      </c>
      <c r="V9" s="952"/>
      <c r="W9" s="2241">
        <f>IF(T9=0,"0.00%",(X9-T9)/T9)</f>
        <v>-1</v>
      </c>
      <c r="X9" s="833">
        <f>X3</f>
        <v>0</v>
      </c>
      <c r="AA9" s="456" t="str">
        <f>IF(X9=0,"0.00%",(AB9-X9)/X9)</f>
        <v>0.00%</v>
      </c>
      <c r="AB9" s="833">
        <f>AB3</f>
        <v>0</v>
      </c>
    </row>
    <row r="10" spans="1:29" s="457" customFormat="1" x14ac:dyDescent="0.25">
      <c r="A10" s="1656"/>
      <c r="B10" s="2345"/>
      <c r="C10" s="2215" t="s">
        <v>51</v>
      </c>
      <c r="D10" s="340">
        <v>0</v>
      </c>
      <c r="E10" s="1656"/>
      <c r="G10" s="456" t="str">
        <f t="shared" ref="G10:G15" si="0">IF(D10=0,"0.00%",(H10-D10)/D10)</f>
        <v>0.00%</v>
      </c>
      <c r="H10" s="833">
        <v>0</v>
      </c>
      <c r="I10" s="1656"/>
      <c r="J10" s="342"/>
      <c r="K10" s="456" t="str">
        <f>IF(H10=0,"0.00%",(L10-H10)/H10)</f>
        <v>0.00%</v>
      </c>
      <c r="L10" s="833">
        <f>-H2</f>
        <v>0</v>
      </c>
      <c r="M10" s="1656"/>
      <c r="O10" s="456" t="str">
        <f>IF(L10=0,"0.00%",(P10-L10)/L10)</f>
        <v>0.00%</v>
      </c>
      <c r="P10" s="833">
        <f>-L2</f>
        <v>0</v>
      </c>
      <c r="Q10" s="1656"/>
      <c r="R10" s="592"/>
      <c r="S10" s="2238" t="str">
        <f>IF(P10=0,"0.00%",(T10-P10)/P10)</f>
        <v>0.00%</v>
      </c>
      <c r="T10" s="833">
        <f>-P2</f>
        <v>0</v>
      </c>
      <c r="V10" s="952"/>
      <c r="W10" s="2241" t="str">
        <f>IF(T10=0,"0.00%",(X10-T10)/T10)</f>
        <v>0.00%</v>
      </c>
      <c r="X10" s="833">
        <f>-T2</f>
        <v>0</v>
      </c>
      <c r="AA10" s="456" t="str">
        <f>IF(X10=0,"0.00%",(AB10-X10)/X10)</f>
        <v>0.00%</v>
      </c>
      <c r="AB10" s="833">
        <f>-X2</f>
        <v>0</v>
      </c>
    </row>
    <row r="11" spans="1:29" s="457" customFormat="1" x14ac:dyDescent="0.25">
      <c r="A11" s="1656"/>
      <c r="B11" s="2337" t="s">
        <v>137</v>
      </c>
      <c r="C11" s="2215"/>
      <c r="D11" s="458">
        <f>SUM(D9:D10)</f>
        <v>4485.3999999999996</v>
      </c>
      <c r="E11" s="1656"/>
      <c r="G11" s="456">
        <f t="shared" si="0"/>
        <v>0.80585900922994624</v>
      </c>
      <c r="H11" s="458">
        <f>SUM(H9:H10)</f>
        <v>8100</v>
      </c>
      <c r="I11" s="1656"/>
      <c r="J11" s="601"/>
      <c r="K11" s="456">
        <f>IF(H11=0,"0.00%",(L11-H11)/H11)</f>
        <v>0</v>
      </c>
      <c r="L11" s="458">
        <f>SUM(L9:L10)</f>
        <v>8100</v>
      </c>
      <c r="M11" s="1656"/>
      <c r="O11" s="456">
        <f>IF(L11=0,"0.00%",(P11-L11)/L11)</f>
        <v>0</v>
      </c>
      <c r="P11" s="458">
        <f>SUM(P9:P10)</f>
        <v>8100</v>
      </c>
      <c r="Q11" s="1656"/>
      <c r="R11" s="592"/>
      <c r="S11" s="2238">
        <f>IF(P11=0,"0.00%",(T11-P11)/P11)</f>
        <v>0</v>
      </c>
      <c r="T11" s="2353">
        <f>SUM(T9:T10)</f>
        <v>8100</v>
      </c>
      <c r="V11" s="952"/>
      <c r="W11" s="2241">
        <f>IF(T11=0,"0.00%",(X11-T11)/T11)</f>
        <v>-1</v>
      </c>
      <c r="X11" s="2353">
        <f>SUM(X9:X10)</f>
        <v>0</v>
      </c>
      <c r="AA11" s="456" t="str">
        <f>IF(X11=0,"0.00%",(AB11-X11)/X11)</f>
        <v>0.00%</v>
      </c>
      <c r="AB11" s="2353">
        <f>SUM(AB9:AB10)</f>
        <v>0</v>
      </c>
    </row>
    <row r="12" spans="1:29" s="457" customFormat="1" x14ac:dyDescent="0.25">
      <c r="A12" s="1656"/>
      <c r="B12" s="2345"/>
      <c r="C12" s="2215"/>
      <c r="D12" s="340"/>
      <c r="E12" s="1656"/>
      <c r="G12" s="2338"/>
      <c r="H12" s="833"/>
      <c r="I12" s="1656"/>
      <c r="J12" s="602"/>
      <c r="K12" s="2338"/>
      <c r="L12" s="833"/>
      <c r="M12" s="1656"/>
      <c r="O12" s="2338"/>
      <c r="P12" s="833"/>
      <c r="Q12" s="1656"/>
      <c r="R12" s="592"/>
      <c r="S12" s="2355"/>
      <c r="T12" s="2356"/>
      <c r="V12" s="952"/>
      <c r="W12" s="2357"/>
      <c r="X12" s="2356"/>
      <c r="AA12" s="2338"/>
      <c r="AB12" s="2356"/>
    </row>
    <row r="13" spans="1:29" s="457" customFormat="1" x14ac:dyDescent="0.25">
      <c r="A13" s="1656"/>
      <c r="B13" s="2449"/>
      <c r="C13" s="2358" t="s">
        <v>64</v>
      </c>
      <c r="D13" s="2359">
        <f>ROUND(D11-(D11/(1+B13)),0)</f>
        <v>0</v>
      </c>
      <c r="E13" s="1656"/>
      <c r="G13" s="456" t="str">
        <f t="shared" si="0"/>
        <v>0.00%</v>
      </c>
      <c r="H13" s="2359">
        <f>ROUND(H11-(H11/(1+B13)),0)</f>
        <v>0</v>
      </c>
      <c r="I13" s="1656"/>
      <c r="J13" s="603"/>
      <c r="K13" s="456" t="str">
        <f>IF(H13=0,"0.00%",(L13-H13)/H13)</f>
        <v>0.00%</v>
      </c>
      <c r="L13" s="2359">
        <f>ROUND(L11-(L11/(1+B13)),0)</f>
        <v>0</v>
      </c>
      <c r="M13" s="1656"/>
      <c r="O13" s="456" t="str">
        <f>IF(L13=0,"0.00%",(P13-L13)/L13)</f>
        <v>0.00%</v>
      </c>
      <c r="P13" s="2359">
        <f>ROUND(P11-(P11/(1+B13)),0)</f>
        <v>0</v>
      </c>
      <c r="Q13" s="1656"/>
      <c r="R13" s="592"/>
      <c r="S13" s="2238" t="str">
        <f>IF(P13=0,"0.00%",(T13-P13)/P13)</f>
        <v>0.00%</v>
      </c>
      <c r="T13" s="2362">
        <f>ROUND(T11-(T11/(1+B13)),0)</f>
        <v>0</v>
      </c>
      <c r="V13" s="952"/>
      <c r="W13" s="2241" t="str">
        <f>IF(T13=0,"0.00%",(X13-T13)/T13)</f>
        <v>0.00%</v>
      </c>
      <c r="X13" s="2362">
        <f>ROUND(X11-(X11/(1+B13)),0)</f>
        <v>0</v>
      </c>
      <c r="AA13" s="456" t="str">
        <f>IF(X13=0,"0.00%",(AB13-X13)/X13)</f>
        <v>0.00%</v>
      </c>
      <c r="AB13" s="2362">
        <f>ROUND(AB11-(AB11/(1+G13)),0)</f>
        <v>0</v>
      </c>
    </row>
    <row r="14" spans="1:29" s="457" customFormat="1" x14ac:dyDescent="0.25">
      <c r="A14" s="1656"/>
      <c r="B14" s="2345"/>
      <c r="C14" s="2215"/>
      <c r="D14" s="340"/>
      <c r="E14" s="1656"/>
      <c r="G14" s="2338"/>
      <c r="H14" s="833"/>
      <c r="I14" s="1656"/>
      <c r="J14" s="602"/>
      <c r="K14" s="2338"/>
      <c r="L14" s="833"/>
      <c r="M14" s="1656"/>
      <c r="O14" s="2338"/>
      <c r="P14" s="833"/>
      <c r="Q14" s="1656"/>
      <c r="R14" s="592"/>
      <c r="S14" s="2355"/>
      <c r="T14" s="2356"/>
      <c r="V14" s="952"/>
      <c r="W14" s="2357"/>
      <c r="X14" s="2356"/>
      <c r="AA14" s="2338"/>
      <c r="AB14" s="2356"/>
    </row>
    <row r="15" spans="1:29" s="457" customFormat="1" x14ac:dyDescent="0.25">
      <c r="A15" s="1656"/>
      <c r="B15" s="2337" t="s">
        <v>50</v>
      </c>
      <c r="C15" s="2215"/>
      <c r="D15" s="1866">
        <f>D11-D13</f>
        <v>4485.3999999999996</v>
      </c>
      <c r="E15" s="1656"/>
      <c r="G15" s="456">
        <f t="shared" si="0"/>
        <v>0.80585900922994624</v>
      </c>
      <c r="H15" s="2359">
        <f>H11-H13</f>
        <v>8100</v>
      </c>
      <c r="I15" s="1656"/>
      <c r="J15" s="601"/>
      <c r="K15" s="456">
        <f>IF(H15=0,"0.00%",(L15-H15)/H15)</f>
        <v>0</v>
      </c>
      <c r="L15" s="2359">
        <f>L11-L13</f>
        <v>8100</v>
      </c>
      <c r="M15" s="1656"/>
      <c r="O15" s="456">
        <f>IF(L15=0,"0.00%",(P15-L15)/L15)</f>
        <v>0</v>
      </c>
      <c r="P15" s="2359">
        <f>P11-P13</f>
        <v>8100</v>
      </c>
      <c r="Q15" s="1656"/>
      <c r="R15" s="592"/>
      <c r="S15" s="2238">
        <f>IF(P15=0,"0.00%",(T15-P15)/P15)</f>
        <v>0</v>
      </c>
      <c r="T15" s="2366">
        <f>T11-T13</f>
        <v>8100</v>
      </c>
      <c r="V15" s="952"/>
      <c r="W15" s="2241">
        <f>IF(T15=0,"0.00%",(X15-T15)/T15)</f>
        <v>-1</v>
      </c>
      <c r="X15" s="2366">
        <f>X11-X13</f>
        <v>0</v>
      </c>
      <c r="AA15" s="456" t="str">
        <f>IF(X15=0,"0.00%",(AB15-X15)/X15)</f>
        <v>0.00%</v>
      </c>
      <c r="AB15" s="2366">
        <f>AB11-AB13</f>
        <v>0</v>
      </c>
    </row>
    <row r="16" spans="1:29" s="457" customFormat="1" x14ac:dyDescent="0.25">
      <c r="A16" s="1656"/>
      <c r="B16" s="2345"/>
      <c r="C16" s="2215"/>
      <c r="D16" s="340"/>
      <c r="E16" s="1656"/>
      <c r="G16" s="2338"/>
      <c r="H16" s="833"/>
      <c r="I16" s="1656"/>
      <c r="J16" s="601"/>
      <c r="K16" s="1668"/>
      <c r="L16" s="833"/>
      <c r="M16" s="1656"/>
      <c r="O16" s="1668"/>
      <c r="P16" s="833"/>
      <c r="Q16" s="1656"/>
      <c r="R16" s="592"/>
      <c r="S16" s="2341"/>
      <c r="T16" s="2367"/>
      <c r="V16" s="952"/>
      <c r="W16" s="2343"/>
      <c r="X16" s="2367"/>
      <c r="AA16" s="1668"/>
      <c r="AB16" s="2367"/>
    </row>
    <row r="17" spans="1:29" s="457" customFormat="1" x14ac:dyDescent="0.25">
      <c r="A17" s="1656"/>
      <c r="B17" s="2345"/>
      <c r="C17" s="2345"/>
      <c r="D17" s="340"/>
      <c r="E17" s="1656"/>
      <c r="G17" s="2338"/>
      <c r="H17" s="833"/>
      <c r="I17" s="1656"/>
      <c r="J17" s="602"/>
      <c r="K17" s="1668"/>
      <c r="L17" s="833"/>
      <c r="M17" s="1656"/>
      <c r="O17" s="1668"/>
      <c r="P17" s="833"/>
      <c r="Q17" s="1656"/>
      <c r="R17" s="592"/>
      <c r="S17" s="2341"/>
      <c r="T17" s="2356"/>
      <c r="V17" s="952"/>
      <c r="W17" s="2343"/>
      <c r="X17" s="2356"/>
      <c r="AA17" s="1668"/>
      <c r="AB17" s="2356"/>
    </row>
    <row r="18" spans="1:29" s="457" customFormat="1" x14ac:dyDescent="0.25">
      <c r="A18" s="1867"/>
      <c r="B18" s="2345"/>
      <c r="C18" s="2215"/>
      <c r="D18" s="459" t="s">
        <v>807</v>
      </c>
      <c r="E18" s="1867"/>
      <c r="F18" s="2433"/>
      <c r="G18" s="2338"/>
      <c r="H18" s="459" t="s">
        <v>176</v>
      </c>
      <c r="I18" s="1867"/>
      <c r="J18" s="604"/>
      <c r="K18" s="1668"/>
      <c r="L18" s="2370"/>
      <c r="M18" s="1867"/>
      <c r="O18" s="1668"/>
      <c r="P18" s="340"/>
      <c r="Q18" s="1867"/>
      <c r="R18" s="592"/>
      <c r="S18" s="2341"/>
      <c r="U18" s="2433"/>
      <c r="V18" s="952"/>
      <c r="W18" s="2343"/>
      <c r="Y18" s="2433"/>
      <c r="AA18" s="1668"/>
      <c r="AC18" s="2433"/>
    </row>
    <row r="19" spans="1:29" s="457" customFormat="1" ht="17.25" x14ac:dyDescent="0.4">
      <c r="A19" s="2434"/>
      <c r="B19" s="2345"/>
      <c r="C19" s="2215"/>
      <c r="D19" s="2435" t="s">
        <v>808</v>
      </c>
      <c r="E19" s="2434"/>
      <c r="F19" s="2436"/>
      <c r="G19" s="2338"/>
      <c r="H19" s="2435" t="s">
        <v>48</v>
      </c>
      <c r="I19" s="2371">
        <v>0.02</v>
      </c>
      <c r="J19" s="459"/>
      <c r="K19" s="1668"/>
      <c r="L19" s="2372" t="s">
        <v>48</v>
      </c>
      <c r="M19" s="2371">
        <v>0.02</v>
      </c>
      <c r="O19" s="1668"/>
      <c r="P19" s="2372" t="s">
        <v>48</v>
      </c>
      <c r="Q19" s="2371">
        <v>0.02</v>
      </c>
      <c r="R19" s="592"/>
      <c r="S19" s="2341"/>
      <c r="T19" s="2372" t="s">
        <v>48</v>
      </c>
      <c r="U19" s="2374">
        <v>0.02</v>
      </c>
      <c r="V19" s="952"/>
      <c r="W19" s="2343"/>
      <c r="X19" s="2372" t="s">
        <v>48</v>
      </c>
      <c r="Y19" s="2374">
        <v>0.02</v>
      </c>
      <c r="AA19" s="1668"/>
      <c r="AB19" s="2372" t="s">
        <v>48</v>
      </c>
      <c r="AC19" s="2374">
        <v>0.02</v>
      </c>
    </row>
    <row r="20" spans="1:29" s="2378" customFormat="1" x14ac:dyDescent="0.25">
      <c r="A20" s="900"/>
      <c r="B20" s="2337" t="s">
        <v>46</v>
      </c>
      <c r="C20" s="2358"/>
      <c r="D20" s="1866"/>
      <c r="E20" s="2375"/>
      <c r="F20" s="1866"/>
      <c r="G20" s="2376"/>
      <c r="H20" s="1866"/>
      <c r="I20" s="868"/>
      <c r="J20" s="460"/>
      <c r="K20" s="606"/>
      <c r="L20" s="1866"/>
      <c r="M20" s="2379"/>
      <c r="O20" s="606"/>
      <c r="P20" s="1866"/>
      <c r="Q20" s="2379"/>
      <c r="R20" s="461"/>
      <c r="S20" s="1669"/>
      <c r="T20" s="1866"/>
      <c r="U20" s="2383"/>
      <c r="V20" s="2381"/>
      <c r="W20" s="2382"/>
      <c r="X20" s="1866"/>
      <c r="Y20" s="2383"/>
      <c r="AA20" s="606"/>
      <c r="AB20" s="1866"/>
      <c r="AC20" s="2383"/>
    </row>
    <row r="21" spans="1:29" s="457" customFormat="1" x14ac:dyDescent="0.25">
      <c r="A21" s="2439"/>
      <c r="B21" s="2441">
        <v>1181</v>
      </c>
      <c r="C21" s="2215" t="s">
        <v>1060</v>
      </c>
      <c r="D21" s="340">
        <v>0</v>
      </c>
      <c r="E21" s="2386"/>
      <c r="F21" s="340"/>
      <c r="G21" s="456" t="str">
        <f t="shared" ref="G21:G30" si="1">IF(D21=0,"0.00%",(H21-D21)/D21)</f>
        <v>0.00%</v>
      </c>
      <c r="H21" s="340">
        <v>140</v>
      </c>
      <c r="I21" s="899" t="str">
        <f t="shared" ref="I21:I28" si="2">TEXT($I$19,"0.0%")&amp;" = Est. S &amp; C"</f>
        <v>2.0% = Est. S &amp; C</v>
      </c>
      <c r="J21" s="455"/>
      <c r="K21" s="456">
        <f t="shared" ref="K21:K27" si="3">IF(H21=0,"0.00%",(L21-H21)/H21)</f>
        <v>-1</v>
      </c>
      <c r="L21" s="340">
        <v>0</v>
      </c>
      <c r="M21" s="897" t="str">
        <f>TEXT(M19,"0.0%")&amp;" = Est. S &amp; C"</f>
        <v>2.0% = Est. S &amp; C</v>
      </c>
      <c r="O21" s="456" t="str">
        <f t="shared" ref="O21:O27" si="4">IF(L21=0,"0.00%",(P21-L21)/L21)</f>
        <v>0.00%</v>
      </c>
      <c r="P21" s="340">
        <f>ROUND(L21*(1+Q19),0)</f>
        <v>0</v>
      </c>
      <c r="Q21" s="897" t="str">
        <f>TEXT(Q19,"0.0%")&amp;" = Est. S &amp; C"</f>
        <v>2.0% = Est. S &amp; C</v>
      </c>
      <c r="R21" s="592"/>
      <c r="S21" s="2238" t="str">
        <f t="shared" ref="S21:S27" si="5">IF(P21=0,"0.00%",(T21-P21)/P21)</f>
        <v>0.00%</v>
      </c>
      <c r="T21" s="340">
        <f>ROUND(P21*(1+U19),0)</f>
        <v>0</v>
      </c>
      <c r="U21" s="455" t="str">
        <f>TEXT(U19,"0.0%")&amp;" = Est. S &amp; C"</f>
        <v>2.0% = Est. S &amp; C</v>
      </c>
      <c r="V21" s="952"/>
      <c r="W21" s="2241" t="str">
        <f t="shared" ref="W21:W27" si="6">IF(T21=0,"0.00%",(X21-T21)/T21)</f>
        <v>0.00%</v>
      </c>
      <c r="X21" s="340">
        <f>ROUND(T21*(1+Y19),0)</f>
        <v>0</v>
      </c>
      <c r="Y21" s="455" t="str">
        <f>TEXT(Y19,"0.0%")&amp;" = Est. S &amp; C"</f>
        <v>2.0% = Est. S &amp; C</v>
      </c>
      <c r="AA21" s="456" t="str">
        <f t="shared" ref="AA21:AA27" si="7">IF(X21=0,"0.00%",(AB21-X21)/X21)</f>
        <v>0.00%</v>
      </c>
      <c r="AB21" s="340">
        <f>ROUND(X21*(1+AC19),0)</f>
        <v>0</v>
      </c>
      <c r="AC21" s="455" t="str">
        <f>TEXT(AC19,"0.0%")&amp;" = Est. S &amp; C"</f>
        <v>2.0% = Est. S &amp; C</v>
      </c>
    </row>
    <row r="22" spans="1:29" s="457" customFormat="1" x14ac:dyDescent="0.25">
      <c r="A22" s="897"/>
      <c r="B22" s="2385"/>
      <c r="C22" s="2215"/>
      <c r="D22" s="340">
        <v>0</v>
      </c>
      <c r="E22" s="2386"/>
      <c r="F22" s="340"/>
      <c r="G22" s="456" t="str">
        <f t="shared" si="1"/>
        <v>0.00%</v>
      </c>
      <c r="H22" s="340">
        <f t="shared" ref="H22:H27" si="8">ROUND(D22*(1+$I$19),0)</f>
        <v>0</v>
      </c>
      <c r="I22" s="897" t="str">
        <f t="shared" si="2"/>
        <v>2.0% = Est. S &amp; C</v>
      </c>
      <c r="J22" s="455"/>
      <c r="K22" s="456" t="str">
        <f t="shared" si="3"/>
        <v>0.00%</v>
      </c>
      <c r="L22" s="340">
        <f>ROUND(H22*(1+M19),0)</f>
        <v>0</v>
      </c>
      <c r="M22" s="897" t="str">
        <f>TEXT(M19,"0.0%")&amp;" = Est. S &amp; C"</f>
        <v>2.0% = Est. S &amp; C</v>
      </c>
      <c r="O22" s="456" t="str">
        <f t="shared" si="4"/>
        <v>0.00%</v>
      </c>
      <c r="P22" s="340">
        <f>ROUND(L22*(1+Q19),0)</f>
        <v>0</v>
      </c>
      <c r="Q22" s="897" t="str">
        <f>TEXT(Q19,"0.0%")&amp;" = Est. S &amp; C"</f>
        <v>2.0% = Est. S &amp; C</v>
      </c>
      <c r="R22" s="592"/>
      <c r="S22" s="2238" t="str">
        <f t="shared" si="5"/>
        <v>0.00%</v>
      </c>
      <c r="T22" s="340">
        <f>ROUND(P22*(1+U19),0)</f>
        <v>0</v>
      </c>
      <c r="U22" s="455" t="str">
        <f>TEXT(U19,"0.0%")&amp;" = Est. S &amp; C"</f>
        <v>2.0% = Est. S &amp; C</v>
      </c>
      <c r="V22" s="952"/>
      <c r="W22" s="2241" t="str">
        <f t="shared" si="6"/>
        <v>0.00%</v>
      </c>
      <c r="X22" s="340">
        <f>ROUND(T22*(1+Y19),0)</f>
        <v>0</v>
      </c>
      <c r="Y22" s="455" t="str">
        <f>TEXT(Y19,"0.0%")&amp;" = Est. S &amp; C"</f>
        <v>2.0% = Est. S &amp; C</v>
      </c>
      <c r="AA22" s="456" t="str">
        <f t="shared" si="7"/>
        <v>0.00%</v>
      </c>
      <c r="AB22" s="340">
        <f>ROUND(X22*(1+AC19),0)</f>
        <v>0</v>
      </c>
      <c r="AC22" s="455" t="str">
        <f>TEXT(AC19,"0.0%")&amp;" = Est. S &amp; C"</f>
        <v>2.0% = Est. S &amp; C</v>
      </c>
    </row>
    <row r="23" spans="1:29" s="457" customFormat="1" hidden="1" x14ac:dyDescent="0.25">
      <c r="A23" s="897"/>
      <c r="B23" s="2385"/>
      <c r="C23" s="2215"/>
      <c r="D23" s="340">
        <v>0</v>
      </c>
      <c r="E23" s="2386"/>
      <c r="F23" s="340"/>
      <c r="G23" s="456" t="str">
        <f t="shared" si="1"/>
        <v>0.00%</v>
      </c>
      <c r="H23" s="340">
        <f t="shared" si="8"/>
        <v>0</v>
      </c>
      <c r="I23" s="897" t="str">
        <f t="shared" si="2"/>
        <v>2.0% = Est. S &amp; C</v>
      </c>
      <c r="J23" s="455"/>
      <c r="K23" s="456" t="str">
        <f t="shared" si="3"/>
        <v>0.00%</v>
      </c>
      <c r="L23" s="340">
        <f>ROUND(H23*(1+M19),0)</f>
        <v>0</v>
      </c>
      <c r="M23" s="897" t="str">
        <f>TEXT(M19,"0.0%")&amp;" = Est. S &amp; C"</f>
        <v>2.0% = Est. S &amp; C</v>
      </c>
      <c r="O23" s="456" t="str">
        <f t="shared" si="4"/>
        <v>0.00%</v>
      </c>
      <c r="P23" s="340">
        <f>ROUND(L23*(1+Q19),0)</f>
        <v>0</v>
      </c>
      <c r="Q23" s="897" t="str">
        <f>TEXT(Q19,"0.0%")&amp;" = Est. S &amp; C"</f>
        <v>2.0% = Est. S &amp; C</v>
      </c>
      <c r="R23" s="592"/>
      <c r="S23" s="2238" t="str">
        <f t="shared" si="5"/>
        <v>0.00%</v>
      </c>
      <c r="T23" s="340">
        <f>ROUND(P23*(1+U19),0)</f>
        <v>0</v>
      </c>
      <c r="U23" s="455" t="str">
        <f>TEXT(U19,"0.0%")&amp;" = Est. S &amp; C"</f>
        <v>2.0% = Est. S &amp; C</v>
      </c>
      <c r="V23" s="952"/>
      <c r="W23" s="2241" t="str">
        <f t="shared" si="6"/>
        <v>0.00%</v>
      </c>
      <c r="X23" s="340">
        <f>ROUND(T23*(1+Y19),0)</f>
        <v>0</v>
      </c>
      <c r="Y23" s="455" t="str">
        <f>TEXT(Y19,"0.0%")&amp;" = Est. S &amp; C"</f>
        <v>2.0% = Est. S &amp; C</v>
      </c>
      <c r="AA23" s="456" t="str">
        <f t="shared" si="7"/>
        <v>0.00%</v>
      </c>
      <c r="AB23" s="340">
        <f>ROUND(X23*(1+AC19),0)</f>
        <v>0</v>
      </c>
      <c r="AC23" s="455" t="str">
        <f>TEXT(AC19,"0.0%")&amp;" = Est. S &amp; C"</f>
        <v>2.0% = Est. S &amp; C</v>
      </c>
    </row>
    <row r="24" spans="1:29" s="457" customFormat="1" hidden="1" x14ac:dyDescent="0.25">
      <c r="A24" s="897"/>
      <c r="B24" s="2385"/>
      <c r="C24" s="2215"/>
      <c r="D24" s="340">
        <v>0</v>
      </c>
      <c r="E24" s="2386"/>
      <c r="F24" s="340"/>
      <c r="G24" s="456" t="str">
        <f t="shared" si="1"/>
        <v>0.00%</v>
      </c>
      <c r="H24" s="340">
        <f t="shared" si="8"/>
        <v>0</v>
      </c>
      <c r="I24" s="897" t="str">
        <f t="shared" si="2"/>
        <v>2.0% = Est. S &amp; C</v>
      </c>
      <c r="J24" s="455"/>
      <c r="K24" s="456" t="str">
        <f t="shared" si="3"/>
        <v>0.00%</v>
      </c>
      <c r="L24" s="340">
        <f>ROUND(H24*(1+M19),0)</f>
        <v>0</v>
      </c>
      <c r="M24" s="897" t="str">
        <f>TEXT(M19,"0.0%")&amp;" = Est. S &amp; C"</f>
        <v>2.0% = Est. S &amp; C</v>
      </c>
      <c r="O24" s="456" t="str">
        <f t="shared" si="4"/>
        <v>0.00%</v>
      </c>
      <c r="P24" s="340">
        <f>ROUND(L24*(1+Q19),0)</f>
        <v>0</v>
      </c>
      <c r="Q24" s="897" t="str">
        <f>TEXT(Q19,"0.0%")&amp;" = Est. S &amp; C"</f>
        <v>2.0% = Est. S &amp; C</v>
      </c>
      <c r="R24" s="592"/>
      <c r="S24" s="2238" t="str">
        <f t="shared" si="5"/>
        <v>0.00%</v>
      </c>
      <c r="T24" s="340">
        <f>ROUND(P24*(1+U19),0)</f>
        <v>0</v>
      </c>
      <c r="U24" s="455" t="str">
        <f>TEXT(U19,"0.0%")&amp;" = Est. S &amp; C"</f>
        <v>2.0% = Est. S &amp; C</v>
      </c>
      <c r="V24" s="952"/>
      <c r="W24" s="2241" t="str">
        <f t="shared" si="6"/>
        <v>0.00%</v>
      </c>
      <c r="X24" s="340">
        <f>ROUND(T24*(1+Y19),0)</f>
        <v>0</v>
      </c>
      <c r="Y24" s="455" t="str">
        <f>TEXT(Y19,"0.0%")&amp;" = Est. S &amp; C"</f>
        <v>2.0% = Est. S &amp; C</v>
      </c>
      <c r="AA24" s="456" t="str">
        <f t="shared" si="7"/>
        <v>0.00%</v>
      </c>
      <c r="AB24" s="340">
        <f>ROUND(X24*(1+AC19),0)</f>
        <v>0</v>
      </c>
      <c r="AC24" s="455" t="str">
        <f>TEXT(AC19,"0.0%")&amp;" = Est. S &amp; C"</f>
        <v>2.0% = Est. S &amp; C</v>
      </c>
    </row>
    <row r="25" spans="1:29" s="457" customFormat="1" hidden="1" x14ac:dyDescent="0.25">
      <c r="A25" s="897"/>
      <c r="B25" s="2385"/>
      <c r="C25" s="2215"/>
      <c r="D25" s="340">
        <v>0</v>
      </c>
      <c r="E25" s="2386"/>
      <c r="F25" s="340"/>
      <c r="G25" s="456" t="str">
        <f t="shared" si="1"/>
        <v>0.00%</v>
      </c>
      <c r="H25" s="340">
        <f t="shared" si="8"/>
        <v>0</v>
      </c>
      <c r="I25" s="897" t="str">
        <f t="shared" si="2"/>
        <v>2.0% = Est. S &amp; C</v>
      </c>
      <c r="J25" s="455"/>
      <c r="K25" s="456" t="str">
        <f t="shared" si="3"/>
        <v>0.00%</v>
      </c>
      <c r="L25" s="340">
        <f>ROUND(H25*(1+M19),0)</f>
        <v>0</v>
      </c>
      <c r="M25" s="897" t="str">
        <f>TEXT(M19,"0.0%")&amp;" = Est. S &amp; C"</f>
        <v>2.0% = Est. S &amp; C</v>
      </c>
      <c r="O25" s="456" t="str">
        <f t="shared" si="4"/>
        <v>0.00%</v>
      </c>
      <c r="P25" s="340">
        <f>ROUND(L25*(1+Q19),0)</f>
        <v>0</v>
      </c>
      <c r="Q25" s="897" t="str">
        <f>TEXT(Q19,"0.0%")&amp;" = Est. S &amp; C"</f>
        <v>2.0% = Est. S &amp; C</v>
      </c>
      <c r="R25" s="592"/>
      <c r="S25" s="2238" t="str">
        <f t="shared" si="5"/>
        <v>0.00%</v>
      </c>
      <c r="T25" s="340">
        <f>ROUND(P25*(1+U19),0)</f>
        <v>0</v>
      </c>
      <c r="U25" s="455" t="str">
        <f>TEXT(U19,"0.0%")&amp;" = Est. S &amp; C"</f>
        <v>2.0% = Est. S &amp; C</v>
      </c>
      <c r="V25" s="952"/>
      <c r="W25" s="2241" t="str">
        <f t="shared" si="6"/>
        <v>0.00%</v>
      </c>
      <c r="X25" s="340">
        <f>ROUND(T25*(1+Y19),0)</f>
        <v>0</v>
      </c>
      <c r="Y25" s="455" t="str">
        <f>TEXT(Y19,"0.0%")&amp;" = Est. S &amp; C"</f>
        <v>2.0% = Est. S &amp; C</v>
      </c>
      <c r="AA25" s="456" t="str">
        <f t="shared" si="7"/>
        <v>0.00%</v>
      </c>
      <c r="AB25" s="340">
        <f>ROUND(X25*(1+AC19),0)</f>
        <v>0</v>
      </c>
      <c r="AC25" s="455" t="str">
        <f>TEXT(AC19,"0.0%")&amp;" = Est. S &amp; C"</f>
        <v>2.0% = Est. S &amp; C</v>
      </c>
    </row>
    <row r="26" spans="1:29" s="457" customFormat="1" hidden="1" x14ac:dyDescent="0.25">
      <c r="A26" s="897"/>
      <c r="B26" s="2385"/>
      <c r="C26" s="2215"/>
      <c r="D26" s="340">
        <v>0</v>
      </c>
      <c r="E26" s="2386"/>
      <c r="F26" s="340"/>
      <c r="G26" s="456" t="str">
        <f t="shared" si="1"/>
        <v>0.00%</v>
      </c>
      <c r="H26" s="340">
        <f t="shared" si="8"/>
        <v>0</v>
      </c>
      <c r="I26" s="897" t="str">
        <f t="shared" si="2"/>
        <v>2.0% = Est. S &amp; C</v>
      </c>
      <c r="J26" s="455"/>
      <c r="K26" s="456" t="str">
        <f t="shared" si="3"/>
        <v>0.00%</v>
      </c>
      <c r="L26" s="340">
        <f>ROUND(H26*(1+M19),0)</f>
        <v>0</v>
      </c>
      <c r="M26" s="2341" t="str">
        <f>TEXT(M19,"0.0%")&amp;" = Est. S &amp; C"</f>
        <v>2.0% = Est. S &amp; C</v>
      </c>
      <c r="O26" s="456" t="str">
        <f t="shared" si="4"/>
        <v>0.00%</v>
      </c>
      <c r="P26" s="340">
        <f>ROUND(L26*(1+Q19),0)</f>
        <v>0</v>
      </c>
      <c r="Q26" s="897" t="str">
        <f>TEXT(Q19,"0.0%")&amp;" = Est. S &amp; C"</f>
        <v>2.0% = Est. S &amp; C</v>
      </c>
      <c r="R26" s="592"/>
      <c r="S26" s="2238" t="str">
        <f t="shared" si="5"/>
        <v>0.00%</v>
      </c>
      <c r="T26" s="340">
        <f>ROUND(P26*(1+U19),0)</f>
        <v>0</v>
      </c>
      <c r="U26" s="455" t="str">
        <f>TEXT(U19,"0.0%")&amp;" = Est. S &amp; C"</f>
        <v>2.0% = Est. S &amp; C</v>
      </c>
      <c r="V26" s="952"/>
      <c r="W26" s="2241" t="str">
        <f t="shared" si="6"/>
        <v>0.00%</v>
      </c>
      <c r="X26" s="340">
        <f>ROUND(T26*(1+Y19),0)</f>
        <v>0</v>
      </c>
      <c r="Y26" s="455" t="str">
        <f>TEXT(Y19,"0.0%")&amp;" = Est. S &amp; C"</f>
        <v>2.0% = Est. S &amp; C</v>
      </c>
      <c r="AA26" s="456" t="str">
        <f t="shared" si="7"/>
        <v>0.00%</v>
      </c>
      <c r="AB26" s="340">
        <f>ROUND(X26*(1+AC19),0)</f>
        <v>0</v>
      </c>
      <c r="AC26" s="455" t="str">
        <f>TEXT(AC19,"0.0%")&amp;" = Est. S &amp; C"</f>
        <v>2.0% = Est. S &amp; C</v>
      </c>
    </row>
    <row r="27" spans="1:29" s="457" customFormat="1" hidden="1" x14ac:dyDescent="0.25">
      <c r="A27" s="897"/>
      <c r="B27" s="2385"/>
      <c r="C27" s="2215"/>
      <c r="D27" s="340">
        <v>0</v>
      </c>
      <c r="E27" s="2386"/>
      <c r="F27" s="340"/>
      <c r="G27" s="456" t="str">
        <f t="shared" si="1"/>
        <v>0.00%</v>
      </c>
      <c r="H27" s="340">
        <f t="shared" si="8"/>
        <v>0</v>
      </c>
      <c r="I27" s="897" t="str">
        <f t="shared" si="2"/>
        <v>2.0% = Est. S &amp; C</v>
      </c>
      <c r="J27" s="455"/>
      <c r="K27" s="456" t="str">
        <f t="shared" si="3"/>
        <v>0.00%</v>
      </c>
      <c r="L27" s="340">
        <f>ROUND(H27*(1+M19),0)</f>
        <v>0</v>
      </c>
      <c r="M27" s="897" t="str">
        <f>TEXT(M19,"0.0%")&amp;" = Est. S &amp; C"</f>
        <v>2.0% = Est. S &amp; C</v>
      </c>
      <c r="O27" s="456" t="str">
        <f t="shared" si="4"/>
        <v>0.00%</v>
      </c>
      <c r="P27" s="340">
        <f>ROUND(L27*(1+Q19),0)</f>
        <v>0</v>
      </c>
      <c r="Q27" s="897" t="str">
        <f>TEXT(Q19,"0.0%")&amp;" = Est. S &amp; C"</f>
        <v>2.0% = Est. S &amp; C</v>
      </c>
      <c r="R27" s="592"/>
      <c r="S27" s="2238" t="str">
        <f t="shared" si="5"/>
        <v>0.00%</v>
      </c>
      <c r="T27" s="340">
        <f>ROUND(P27*(1+U19),0)</f>
        <v>0</v>
      </c>
      <c r="U27" s="455" t="str">
        <f>TEXT(U19,"0.0%")&amp;" = Est. S &amp; C"</f>
        <v>2.0% = Est. S &amp; C</v>
      </c>
      <c r="V27" s="952"/>
      <c r="W27" s="2241" t="str">
        <f t="shared" si="6"/>
        <v>0.00%</v>
      </c>
      <c r="X27" s="340">
        <f>ROUND(T27*(1+Y19),0)</f>
        <v>0</v>
      </c>
      <c r="Y27" s="455" t="str">
        <f>TEXT(Y19,"0.0%")&amp;" = Est. S &amp; C"</f>
        <v>2.0% = Est. S &amp; C</v>
      </c>
      <c r="AA27" s="456" t="str">
        <f t="shared" si="7"/>
        <v>0.00%</v>
      </c>
      <c r="AB27" s="340">
        <f>ROUND(X27*(1+AC19),0)</f>
        <v>0</v>
      </c>
      <c r="AC27" s="455" t="str">
        <f>TEXT(AC19,"0.0%")&amp;" = Est. S &amp; C"</f>
        <v>2.0% = Est. S &amp; C</v>
      </c>
    </row>
    <row r="28" spans="1:29" s="457" customFormat="1" hidden="1" x14ac:dyDescent="0.25">
      <c r="A28" s="897"/>
      <c r="B28" s="2385"/>
      <c r="C28" s="2215"/>
      <c r="D28" s="340">
        <v>0</v>
      </c>
      <c r="E28" s="2386"/>
      <c r="F28" s="340"/>
      <c r="G28" s="456" t="str">
        <f>IF(D28=0,"0.00%",(H28-D28)/D28)</f>
        <v>0.00%</v>
      </c>
      <c r="H28" s="340">
        <f>ROUND(D28*(1+$I$19),0)</f>
        <v>0</v>
      </c>
      <c r="I28" s="897" t="str">
        <f t="shared" si="2"/>
        <v>2.0% = Est. S &amp; C</v>
      </c>
      <c r="J28" s="455"/>
      <c r="K28" s="456" t="str">
        <f>IF(H28=0,"0.00%",(L28-H28)/H28)</f>
        <v>0.00%</v>
      </c>
      <c r="L28" s="340">
        <f>ROUND(H28*(1+M20),0)</f>
        <v>0</v>
      </c>
      <c r="M28" s="897" t="str">
        <f>TEXT(M20,"0.0%")&amp;" = Est. S &amp; C"</f>
        <v>0.0% = Est. S &amp; C</v>
      </c>
      <c r="O28" s="456" t="str">
        <f>IF(L28=0,"0.00%",(P28-L28)/L28)</f>
        <v>0.00%</v>
      </c>
      <c r="P28" s="340">
        <f>ROUND(L28*(1+Q20),0)</f>
        <v>0</v>
      </c>
      <c r="Q28" s="897" t="str">
        <f>TEXT(Q20,"0.0%")&amp;" = Est. S &amp; C"</f>
        <v>0.0% = Est. S &amp; C</v>
      </c>
      <c r="R28" s="592"/>
      <c r="S28" s="2238" t="str">
        <f>IF(P28=0,"0.00%",(T28-P28)/P28)</f>
        <v>0.00%</v>
      </c>
      <c r="T28" s="340">
        <f>ROUND(P28*(1+U20),0)</f>
        <v>0</v>
      </c>
      <c r="U28" s="455" t="str">
        <f>TEXT(U20,"0.0%")&amp;" = Est. S &amp; C"</f>
        <v>0.0% = Est. S &amp; C</v>
      </c>
      <c r="V28" s="952"/>
      <c r="W28" s="2241" t="str">
        <f>IF(T28=0,"0.00%",(X28-T28)/T28)</f>
        <v>0.00%</v>
      </c>
      <c r="X28" s="340">
        <f>ROUND(T28*(1+Y20),0)</f>
        <v>0</v>
      </c>
      <c r="Y28" s="455" t="str">
        <f>TEXT(Y20,"0.0%")&amp;" = Est. S &amp; C"</f>
        <v>0.0% = Est. S &amp; C</v>
      </c>
      <c r="AA28" s="456" t="str">
        <f>IF(X28=0,"0.00%",(AB28-X28)/X28)</f>
        <v>0.00%</v>
      </c>
      <c r="AB28" s="340">
        <f>ROUND(X28*(1+AC20),0)</f>
        <v>0</v>
      </c>
      <c r="AC28" s="455" t="str">
        <f>TEXT(AC20,"0.0%")&amp;" = Est. S &amp; C"</f>
        <v>0.0% = Est. S &amp; C</v>
      </c>
    </row>
    <row r="29" spans="1:29" s="457" customFormat="1" ht="6" customHeight="1" x14ac:dyDescent="0.25">
      <c r="A29" s="897"/>
      <c r="B29" s="2385"/>
      <c r="C29" s="2215"/>
      <c r="D29" s="340"/>
      <c r="E29" s="2386"/>
      <c r="F29" s="340"/>
      <c r="G29" s="456"/>
      <c r="H29" s="340"/>
      <c r="I29" s="897"/>
      <c r="J29" s="455"/>
      <c r="K29" s="1668"/>
      <c r="L29" s="340"/>
      <c r="M29" s="901"/>
      <c r="O29" s="1668"/>
      <c r="P29" s="340"/>
      <c r="Q29" s="901"/>
      <c r="R29" s="592"/>
      <c r="S29" s="2341"/>
      <c r="T29" s="340"/>
      <c r="U29" s="2344"/>
      <c r="V29" s="952"/>
      <c r="W29" s="2343"/>
      <c r="X29" s="340"/>
      <c r="Y29" s="2344"/>
      <c r="AA29" s="1668"/>
      <c r="AB29" s="340"/>
      <c r="AC29" s="2344"/>
    </row>
    <row r="30" spans="1:29" s="457" customFormat="1" x14ac:dyDescent="0.25">
      <c r="A30" s="898"/>
      <c r="B30" s="2385"/>
      <c r="C30" s="2215"/>
      <c r="D30" s="458">
        <f>SUM(D21:D29)</f>
        <v>0</v>
      </c>
      <c r="E30" s="2386"/>
      <c r="F30" s="340"/>
      <c r="G30" s="456" t="str">
        <f t="shared" si="1"/>
        <v>0.00%</v>
      </c>
      <c r="H30" s="458">
        <f>SUM(H21:H29)</f>
        <v>140</v>
      </c>
      <c r="I30" s="898"/>
      <c r="J30" s="459"/>
      <c r="K30" s="456">
        <f>IF(H30=0,"0.00%",(L30-H30)/H30)</f>
        <v>-1</v>
      </c>
      <c r="L30" s="458">
        <f>SUM(L21:L29)</f>
        <v>0</v>
      </c>
      <c r="M30" s="901"/>
      <c r="O30" s="456" t="str">
        <f>IF(L30=0,"0.00%",(P30-L30)/L30)</f>
        <v>0.00%</v>
      </c>
      <c r="P30" s="458">
        <f>SUM(P21:P29)</f>
        <v>0</v>
      </c>
      <c r="Q30" s="901"/>
      <c r="R30" s="592"/>
      <c r="S30" s="2238" t="str">
        <f>IF(P30=0,"0.00%",(T30-P30)/P30)</f>
        <v>0.00%</v>
      </c>
      <c r="T30" s="458">
        <f>SUM(T21:T29)</f>
        <v>0</v>
      </c>
      <c r="U30" s="2344"/>
      <c r="V30" s="952"/>
      <c r="W30" s="2241" t="str">
        <f>IF(T30=0,"0.00%",(X30-T30)/T30)</f>
        <v>0.00%</v>
      </c>
      <c r="X30" s="458">
        <f>SUM(X21:X29)</f>
        <v>0</v>
      </c>
      <c r="Y30" s="2344"/>
      <c r="AA30" s="456" t="str">
        <f>IF(X30=0,"0.00%",(AB30-X30)/X30)</f>
        <v>0.00%</v>
      </c>
      <c r="AB30" s="458">
        <f>SUM(AB21:AB29)</f>
        <v>0</v>
      </c>
      <c r="AC30" s="2344"/>
    </row>
    <row r="31" spans="1:29" s="457" customFormat="1" x14ac:dyDescent="0.25">
      <c r="A31" s="897"/>
      <c r="B31" s="2345"/>
      <c r="C31" s="2215"/>
      <c r="D31" s="340"/>
      <c r="E31" s="2386"/>
      <c r="F31" s="340"/>
      <c r="G31" s="2338"/>
      <c r="H31" s="340"/>
      <c r="I31" s="899"/>
      <c r="J31" s="455"/>
      <c r="K31" s="1668"/>
      <c r="L31" s="340"/>
      <c r="M31" s="2388"/>
      <c r="O31" s="1668"/>
      <c r="P31" s="340"/>
      <c r="Q31" s="2388"/>
      <c r="R31" s="592"/>
      <c r="S31" s="2341"/>
      <c r="T31" s="340"/>
      <c r="U31" s="2344"/>
      <c r="V31" s="952"/>
      <c r="W31" s="2343"/>
      <c r="X31" s="340"/>
      <c r="Y31" s="2344"/>
      <c r="AA31" s="1668"/>
      <c r="AB31" s="340"/>
      <c r="AC31" s="2344"/>
    </row>
    <row r="32" spans="1:29" s="461" customFormat="1" x14ac:dyDescent="0.25">
      <c r="A32" s="900"/>
      <c r="B32" s="2440" t="s">
        <v>35</v>
      </c>
      <c r="C32" s="2225"/>
      <c r="D32" s="460"/>
      <c r="E32" s="868"/>
      <c r="F32" s="460"/>
      <c r="G32" s="2389"/>
      <c r="H32" s="460"/>
      <c r="I32" s="868"/>
      <c r="J32" s="460"/>
      <c r="K32" s="1669"/>
      <c r="L32" s="460"/>
      <c r="M32" s="902"/>
      <c r="O32" s="1669"/>
      <c r="P32" s="460"/>
      <c r="Q32" s="902"/>
      <c r="S32" s="1669"/>
      <c r="T32" s="460"/>
      <c r="U32" s="2392"/>
      <c r="V32" s="2381"/>
      <c r="W32" s="2382"/>
      <c r="X32" s="460"/>
      <c r="Y32" s="2392"/>
      <c r="AA32" s="1669"/>
      <c r="AB32" s="460"/>
      <c r="AC32" s="2392"/>
    </row>
    <row r="33" spans="1:29" s="457" customFormat="1" x14ac:dyDescent="0.25">
      <c r="A33" s="897"/>
      <c r="B33" s="2385"/>
      <c r="C33" s="2215"/>
      <c r="D33" s="340">
        <v>0</v>
      </c>
      <c r="E33" s="2386"/>
      <c r="F33" s="340"/>
      <c r="G33" s="456" t="str">
        <f t="shared" ref="G33:G39" si="9">IF(D33=0,"0.00%",(H33-D33)/D33)</f>
        <v>0.00%</v>
      </c>
      <c r="H33" s="340">
        <f t="shared" ref="H33:H39" si="10">ROUND(D33*(1+$I$19),0)</f>
        <v>0</v>
      </c>
      <c r="I33" s="897" t="str">
        <f t="shared" ref="I33:I39" si="11">TEXT($I$19,"0.0%")&amp;" = Est. S &amp; C"</f>
        <v>2.0% = Est. S &amp; C</v>
      </c>
      <c r="J33" s="455"/>
      <c r="K33" s="456" t="str">
        <f t="shared" ref="K33:K39" si="12">IF(H33=0,"0.00%",(L33-H33)/H33)</f>
        <v>0.00%</v>
      </c>
      <c r="L33" s="340">
        <f>ROUND(H33*(1+M19),0)</f>
        <v>0</v>
      </c>
      <c r="M33" s="897" t="str">
        <f>TEXT(M19,"0.0%")&amp;" = Est. S &amp; C"</f>
        <v>2.0% = Est. S &amp; C</v>
      </c>
      <c r="O33" s="456" t="str">
        <f t="shared" ref="O33:O39" si="13">IF(L33=0,"0.00%",(P33-L33)/L33)</f>
        <v>0.00%</v>
      </c>
      <c r="P33" s="340">
        <f>ROUND(L33*(1+Q19),0)</f>
        <v>0</v>
      </c>
      <c r="Q33" s="897" t="str">
        <f>TEXT(Q19,"0.0%")&amp;" = Est. S &amp; C"</f>
        <v>2.0% = Est. S &amp; C</v>
      </c>
      <c r="R33" s="592"/>
      <c r="S33" s="2238" t="str">
        <f t="shared" ref="S33:S39" si="14">IF(P33=0,"0.00%",(T33-P33)/P33)</f>
        <v>0.00%</v>
      </c>
      <c r="T33" s="340">
        <f>ROUND(P33*(1+U19),0)</f>
        <v>0</v>
      </c>
      <c r="U33" s="455" t="str">
        <f>TEXT(U19,"0.0%")&amp;" = Est. S &amp; C"</f>
        <v>2.0% = Est. S &amp; C</v>
      </c>
      <c r="V33" s="952"/>
      <c r="W33" s="2241" t="str">
        <f t="shared" ref="W33:W39" si="15">IF(T33=0,"0.00%",(X33-T33)/T33)</f>
        <v>0.00%</v>
      </c>
      <c r="X33" s="340">
        <f>ROUND(T33*(1+Y19),0)</f>
        <v>0</v>
      </c>
      <c r="Y33" s="455" t="str">
        <f>TEXT(Y19,"0.0%")&amp;" = Est. S &amp; C"</f>
        <v>2.0% = Est. S &amp; C</v>
      </c>
      <c r="AA33" s="456" t="str">
        <f t="shared" ref="AA33:AA39" si="16">IF(X33=0,"0.00%",(AB33-X33)/X33)</f>
        <v>0.00%</v>
      </c>
      <c r="AB33" s="340">
        <f>ROUND(X33*(1+AC19),0)</f>
        <v>0</v>
      </c>
      <c r="AC33" s="455" t="str">
        <f>TEXT(AC19,"0.0%")&amp;" = Est. S &amp; C"</f>
        <v>2.0% = Est. S &amp; C</v>
      </c>
    </row>
    <row r="34" spans="1:29" s="457" customFormat="1" hidden="1" x14ac:dyDescent="0.25">
      <c r="A34" s="897"/>
      <c r="B34" s="2385"/>
      <c r="C34" s="2215"/>
      <c r="D34" s="340">
        <v>0</v>
      </c>
      <c r="E34" s="2386"/>
      <c r="F34" s="340"/>
      <c r="G34" s="456" t="str">
        <f t="shared" si="9"/>
        <v>0.00%</v>
      </c>
      <c r="H34" s="340">
        <f t="shared" si="10"/>
        <v>0</v>
      </c>
      <c r="I34" s="897" t="str">
        <f t="shared" si="11"/>
        <v>2.0% = Est. S &amp; C</v>
      </c>
      <c r="J34" s="455"/>
      <c r="K34" s="456" t="str">
        <f t="shared" si="12"/>
        <v>0.00%</v>
      </c>
      <c r="L34" s="340">
        <f>ROUND(H34*(1+M19),0)</f>
        <v>0</v>
      </c>
      <c r="M34" s="897" t="str">
        <f>TEXT(M19,"0.0%")&amp;" = Est. S &amp; C"</f>
        <v>2.0% = Est. S &amp; C</v>
      </c>
      <c r="O34" s="456" t="str">
        <f t="shared" si="13"/>
        <v>0.00%</v>
      </c>
      <c r="P34" s="340">
        <f>ROUND(L34*(1+Q19),0)</f>
        <v>0</v>
      </c>
      <c r="Q34" s="897" t="str">
        <f>TEXT(Q19,"0.0%")&amp;" = Est. S &amp; C"</f>
        <v>2.0% = Est. S &amp; C</v>
      </c>
      <c r="R34" s="592"/>
      <c r="S34" s="2238" t="str">
        <f t="shared" si="14"/>
        <v>0.00%</v>
      </c>
      <c r="T34" s="340">
        <f>ROUND(P34*(1+U19),0)</f>
        <v>0</v>
      </c>
      <c r="U34" s="455" t="str">
        <f>TEXT(U19,"0.0%")&amp;" = Est. S &amp; C"</f>
        <v>2.0% = Est. S &amp; C</v>
      </c>
      <c r="V34" s="952"/>
      <c r="W34" s="2241" t="str">
        <f t="shared" si="15"/>
        <v>0.00%</v>
      </c>
      <c r="X34" s="340">
        <f>ROUND(T34*(1+Y19),0)</f>
        <v>0</v>
      </c>
      <c r="Y34" s="455" t="str">
        <f>TEXT(Y19,"0.0%")&amp;" = Est. S &amp; C"</f>
        <v>2.0% = Est. S &amp; C</v>
      </c>
      <c r="AA34" s="456" t="str">
        <f t="shared" si="16"/>
        <v>0.00%</v>
      </c>
      <c r="AB34" s="340">
        <f>ROUND(X34*(1+AC19),0)</f>
        <v>0</v>
      </c>
      <c r="AC34" s="455" t="str">
        <f>TEXT(AC19,"0.0%")&amp;" = Est. S &amp; C"</f>
        <v>2.0% = Est. S &amp; C</v>
      </c>
    </row>
    <row r="35" spans="1:29" s="457" customFormat="1" hidden="1" x14ac:dyDescent="0.25">
      <c r="A35" s="897"/>
      <c r="B35" s="2385"/>
      <c r="C35" s="2215"/>
      <c r="D35" s="340">
        <v>0</v>
      </c>
      <c r="E35" s="2386"/>
      <c r="F35" s="340"/>
      <c r="G35" s="456" t="str">
        <f t="shared" si="9"/>
        <v>0.00%</v>
      </c>
      <c r="H35" s="340">
        <f t="shared" si="10"/>
        <v>0</v>
      </c>
      <c r="I35" s="897" t="str">
        <f t="shared" si="11"/>
        <v>2.0% = Est. S &amp; C</v>
      </c>
      <c r="J35" s="455"/>
      <c r="K35" s="456" t="str">
        <f t="shared" si="12"/>
        <v>0.00%</v>
      </c>
      <c r="L35" s="340">
        <f>ROUND(H35*(1+M19),0)</f>
        <v>0</v>
      </c>
      <c r="M35" s="897" t="str">
        <f>TEXT(M19,"0.0%")&amp;" = Est. S &amp; C"</f>
        <v>2.0% = Est. S &amp; C</v>
      </c>
      <c r="O35" s="456" t="str">
        <f t="shared" si="13"/>
        <v>0.00%</v>
      </c>
      <c r="P35" s="340">
        <f>ROUND(L35*(1+Q19),0)</f>
        <v>0</v>
      </c>
      <c r="Q35" s="897" t="str">
        <f>TEXT(Q19,"0.0%")&amp;" = Est. S &amp; C"</f>
        <v>2.0% = Est. S &amp; C</v>
      </c>
      <c r="R35" s="592"/>
      <c r="S35" s="2238" t="str">
        <f t="shared" si="14"/>
        <v>0.00%</v>
      </c>
      <c r="T35" s="340">
        <f>ROUND(P35*(1+U19),0)</f>
        <v>0</v>
      </c>
      <c r="U35" s="455" t="str">
        <f>TEXT(U19,"0.0%")&amp;" = Est. S &amp; C"</f>
        <v>2.0% = Est. S &amp; C</v>
      </c>
      <c r="V35" s="952"/>
      <c r="W35" s="2241" t="str">
        <f t="shared" si="15"/>
        <v>0.00%</v>
      </c>
      <c r="X35" s="340">
        <f>ROUND(T35*(1+Y19),0)</f>
        <v>0</v>
      </c>
      <c r="Y35" s="455" t="str">
        <f>TEXT(Y19,"0.0%")&amp;" = Est. S &amp; C"</f>
        <v>2.0% = Est. S &amp; C</v>
      </c>
      <c r="AA35" s="456" t="str">
        <f t="shared" si="16"/>
        <v>0.00%</v>
      </c>
      <c r="AB35" s="340">
        <f>ROUND(X35*(1+AC19),0)</f>
        <v>0</v>
      </c>
      <c r="AC35" s="455" t="str">
        <f>TEXT(AC19,"0.0%")&amp;" = Est. S &amp; C"</f>
        <v>2.0% = Est. S &amp; C</v>
      </c>
    </row>
    <row r="36" spans="1:29" s="457" customFormat="1" hidden="1" x14ac:dyDescent="0.25">
      <c r="A36" s="897"/>
      <c r="B36" s="2385"/>
      <c r="C36" s="2215"/>
      <c r="D36" s="340">
        <v>0</v>
      </c>
      <c r="E36" s="2386"/>
      <c r="F36" s="340"/>
      <c r="G36" s="456" t="str">
        <f t="shared" si="9"/>
        <v>0.00%</v>
      </c>
      <c r="H36" s="340">
        <f t="shared" si="10"/>
        <v>0</v>
      </c>
      <c r="I36" s="897" t="str">
        <f t="shared" si="11"/>
        <v>2.0% = Est. S &amp; C</v>
      </c>
      <c r="J36" s="455"/>
      <c r="K36" s="456" t="str">
        <f t="shared" si="12"/>
        <v>0.00%</v>
      </c>
      <c r="L36" s="340">
        <f>ROUND(H36*(1+M19),0)</f>
        <v>0</v>
      </c>
      <c r="M36" s="897" t="str">
        <f>TEXT(M19,"0.0%")&amp;" = Est. S &amp; C"</f>
        <v>2.0% = Est. S &amp; C</v>
      </c>
      <c r="O36" s="456" t="str">
        <f t="shared" si="13"/>
        <v>0.00%</v>
      </c>
      <c r="P36" s="340">
        <f>ROUND(L36*(1+Q19),0)</f>
        <v>0</v>
      </c>
      <c r="Q36" s="897" t="str">
        <f>TEXT(Q19,"0.0%")&amp;" = Est. S &amp; C"</f>
        <v>2.0% = Est. S &amp; C</v>
      </c>
      <c r="R36" s="592"/>
      <c r="S36" s="2238" t="str">
        <f t="shared" si="14"/>
        <v>0.00%</v>
      </c>
      <c r="T36" s="340">
        <f>ROUND(P36*(1+U19),0)</f>
        <v>0</v>
      </c>
      <c r="U36" s="455" t="str">
        <f>TEXT(U19,"0.0%")&amp;" = Est. S &amp; C"</f>
        <v>2.0% = Est. S &amp; C</v>
      </c>
      <c r="V36" s="952"/>
      <c r="W36" s="2241" t="str">
        <f t="shared" si="15"/>
        <v>0.00%</v>
      </c>
      <c r="X36" s="340">
        <f>ROUND(T36*(1+Y19),0)</f>
        <v>0</v>
      </c>
      <c r="Y36" s="455" t="str">
        <f>TEXT(Y19,"0.0%")&amp;" = Est. S &amp; C"</f>
        <v>2.0% = Est. S &amp; C</v>
      </c>
      <c r="AA36" s="456" t="str">
        <f t="shared" si="16"/>
        <v>0.00%</v>
      </c>
      <c r="AB36" s="340">
        <f>ROUND(X36*(1+AC19),0)</f>
        <v>0</v>
      </c>
      <c r="AC36" s="455" t="str">
        <f>TEXT(AC19,"0.0%")&amp;" = Est. S &amp; C"</f>
        <v>2.0% = Est. S &amp; C</v>
      </c>
    </row>
    <row r="37" spans="1:29" s="457" customFormat="1" hidden="1" x14ac:dyDescent="0.25">
      <c r="A37" s="897"/>
      <c r="B37" s="2385"/>
      <c r="C37" s="2215"/>
      <c r="D37" s="340">
        <v>0</v>
      </c>
      <c r="E37" s="2386"/>
      <c r="F37" s="340"/>
      <c r="G37" s="456" t="str">
        <f t="shared" si="9"/>
        <v>0.00%</v>
      </c>
      <c r="H37" s="340">
        <f t="shared" si="10"/>
        <v>0</v>
      </c>
      <c r="I37" s="897" t="str">
        <f t="shared" si="11"/>
        <v>2.0% = Est. S &amp; C</v>
      </c>
      <c r="J37" s="455"/>
      <c r="K37" s="456" t="str">
        <f t="shared" si="12"/>
        <v>0.00%</v>
      </c>
      <c r="L37" s="340">
        <f>ROUND(H37*(1+M19),0)</f>
        <v>0</v>
      </c>
      <c r="M37" s="897" t="str">
        <f>TEXT(M19,"0.0%")&amp;" = Est. S &amp; C"</f>
        <v>2.0% = Est. S &amp; C</v>
      </c>
      <c r="O37" s="456" t="str">
        <f t="shared" si="13"/>
        <v>0.00%</v>
      </c>
      <c r="P37" s="340">
        <f>ROUND(L37*(1+Q19),0)</f>
        <v>0</v>
      </c>
      <c r="Q37" s="897" t="str">
        <f>TEXT(Q19,"0.0%")&amp;" = Est. S &amp; C"</f>
        <v>2.0% = Est. S &amp; C</v>
      </c>
      <c r="R37" s="592"/>
      <c r="S37" s="2238" t="str">
        <f t="shared" si="14"/>
        <v>0.00%</v>
      </c>
      <c r="T37" s="340">
        <f>ROUND(P37*(1+U19),0)</f>
        <v>0</v>
      </c>
      <c r="U37" s="455" t="str">
        <f>TEXT(U19,"0.0%")&amp;" = Est. S &amp; C"</f>
        <v>2.0% = Est. S &amp; C</v>
      </c>
      <c r="V37" s="952"/>
      <c r="W37" s="2241" t="str">
        <f t="shared" si="15"/>
        <v>0.00%</v>
      </c>
      <c r="X37" s="340">
        <f>ROUND(T37*(1+Y19),0)</f>
        <v>0</v>
      </c>
      <c r="Y37" s="455" t="str">
        <f>TEXT(Y19,"0.0%")&amp;" = Est. S &amp; C"</f>
        <v>2.0% = Est. S &amp; C</v>
      </c>
      <c r="AA37" s="456" t="str">
        <f t="shared" si="16"/>
        <v>0.00%</v>
      </c>
      <c r="AB37" s="340">
        <f>ROUND(X37*(1+AC19),0)</f>
        <v>0</v>
      </c>
      <c r="AC37" s="455" t="str">
        <f>TEXT(AC19,"0.0%")&amp;" = Est. S &amp; C"</f>
        <v>2.0% = Est. S &amp; C</v>
      </c>
    </row>
    <row r="38" spans="1:29" s="457" customFormat="1" hidden="1" x14ac:dyDescent="0.25">
      <c r="A38" s="897"/>
      <c r="B38" s="2385"/>
      <c r="C38" s="2215"/>
      <c r="D38" s="340">
        <v>0</v>
      </c>
      <c r="E38" s="2386"/>
      <c r="F38" s="340"/>
      <c r="G38" s="456" t="str">
        <f t="shared" si="9"/>
        <v>0.00%</v>
      </c>
      <c r="H38" s="340">
        <f t="shared" si="10"/>
        <v>0</v>
      </c>
      <c r="I38" s="897" t="str">
        <f t="shared" si="11"/>
        <v>2.0% = Est. S &amp; C</v>
      </c>
      <c r="J38" s="455"/>
      <c r="K38" s="456" t="str">
        <f t="shared" si="12"/>
        <v>0.00%</v>
      </c>
      <c r="L38" s="340">
        <f>ROUND(H38*(1+M19),0)</f>
        <v>0</v>
      </c>
      <c r="M38" s="897" t="str">
        <f>TEXT(M19,"0.0%")&amp;" = Est. S &amp; C"</f>
        <v>2.0% = Est. S &amp; C</v>
      </c>
      <c r="O38" s="456" t="str">
        <f t="shared" si="13"/>
        <v>0.00%</v>
      </c>
      <c r="P38" s="340">
        <f>ROUND(L38*(1+Q19),0)</f>
        <v>0</v>
      </c>
      <c r="Q38" s="897" t="str">
        <f>TEXT(Q19,"0.0%")&amp;" = Est. S &amp; C"</f>
        <v>2.0% = Est. S &amp; C</v>
      </c>
      <c r="R38" s="592"/>
      <c r="S38" s="2238" t="str">
        <f t="shared" si="14"/>
        <v>0.00%</v>
      </c>
      <c r="T38" s="340">
        <f>ROUND(P38*(1+U19),0)</f>
        <v>0</v>
      </c>
      <c r="U38" s="455" t="str">
        <f>TEXT(U19,"0.0%")&amp;" = Est. S &amp; C"</f>
        <v>2.0% = Est. S &amp; C</v>
      </c>
      <c r="V38" s="952"/>
      <c r="W38" s="2241" t="str">
        <f t="shared" si="15"/>
        <v>0.00%</v>
      </c>
      <c r="X38" s="340">
        <f>ROUND(T38*(1+Y19),0)</f>
        <v>0</v>
      </c>
      <c r="Y38" s="455" t="str">
        <f>TEXT(Y19,"0.0%")&amp;" = Est. S &amp; C"</f>
        <v>2.0% = Est. S &amp; C</v>
      </c>
      <c r="AA38" s="456" t="str">
        <f t="shared" si="16"/>
        <v>0.00%</v>
      </c>
      <c r="AB38" s="340">
        <f>ROUND(X38*(1+AC19),0)</f>
        <v>0</v>
      </c>
      <c r="AC38" s="455" t="str">
        <f>TEXT(AC19,"0.0%")&amp;" = Est. S &amp; C"</f>
        <v>2.0% = Est. S &amp; C</v>
      </c>
    </row>
    <row r="39" spans="1:29" s="457" customFormat="1" hidden="1" x14ac:dyDescent="0.25">
      <c r="A39" s="897"/>
      <c r="B39" s="2385"/>
      <c r="C39" s="2215"/>
      <c r="D39" s="340">
        <v>0</v>
      </c>
      <c r="E39" s="2386"/>
      <c r="F39" s="340"/>
      <c r="G39" s="456" t="str">
        <f t="shared" si="9"/>
        <v>0.00%</v>
      </c>
      <c r="H39" s="340">
        <f t="shared" si="10"/>
        <v>0</v>
      </c>
      <c r="I39" s="897" t="str">
        <f t="shared" si="11"/>
        <v>2.0% = Est. S &amp; C</v>
      </c>
      <c r="J39" s="455"/>
      <c r="K39" s="456" t="str">
        <f t="shared" si="12"/>
        <v>0.00%</v>
      </c>
      <c r="L39" s="340">
        <f>ROUND(H39*(1+M19),0)</f>
        <v>0</v>
      </c>
      <c r="M39" s="897" t="str">
        <f>TEXT(M19,"0.0%")&amp;" = Est. S &amp; C"</f>
        <v>2.0% = Est. S &amp; C</v>
      </c>
      <c r="O39" s="456" t="str">
        <f t="shared" si="13"/>
        <v>0.00%</v>
      </c>
      <c r="P39" s="340">
        <f>ROUND(L39*(1+Q19),0)</f>
        <v>0</v>
      </c>
      <c r="Q39" s="897" t="str">
        <f>TEXT(Q19,"0.0%")&amp;" = Est. S &amp; C"</f>
        <v>2.0% = Est. S &amp; C</v>
      </c>
      <c r="R39" s="592"/>
      <c r="S39" s="2238" t="str">
        <f t="shared" si="14"/>
        <v>0.00%</v>
      </c>
      <c r="T39" s="340">
        <f>ROUND(P39*(1+U19),0)</f>
        <v>0</v>
      </c>
      <c r="U39" s="455" t="str">
        <f>TEXT(U19,"0.0%")&amp;" = Est. S &amp; C"</f>
        <v>2.0% = Est. S &amp; C</v>
      </c>
      <c r="V39" s="952"/>
      <c r="W39" s="2241" t="str">
        <f t="shared" si="15"/>
        <v>0.00%</v>
      </c>
      <c r="X39" s="340">
        <f>ROUND(T39*(1+Y19),0)</f>
        <v>0</v>
      </c>
      <c r="Y39" s="455" t="str">
        <f>TEXT(Y19,"0.0%")&amp;" = Est. S &amp; C"</f>
        <v>2.0% = Est. S &amp; C</v>
      </c>
      <c r="AA39" s="456" t="str">
        <f t="shared" si="16"/>
        <v>0.00%</v>
      </c>
      <c r="AB39" s="340">
        <f>ROUND(X39*(1+AC19),0)</f>
        <v>0</v>
      </c>
      <c r="AC39" s="455" t="str">
        <f>TEXT(AC19,"0.0%")&amp;" = Est. S &amp; C"</f>
        <v>2.0% = Est. S &amp; C</v>
      </c>
    </row>
    <row r="40" spans="1:29" s="457" customFormat="1" ht="6" customHeight="1" x14ac:dyDescent="0.25">
      <c r="A40" s="897"/>
      <c r="B40" s="2385"/>
      <c r="C40" s="2215"/>
      <c r="D40" s="340"/>
      <c r="E40" s="2386"/>
      <c r="F40" s="340"/>
      <c r="G40" s="2338"/>
      <c r="H40" s="340"/>
      <c r="I40" s="897"/>
      <c r="J40" s="455"/>
      <c r="K40" s="1668"/>
      <c r="L40" s="340"/>
      <c r="M40" s="901"/>
      <c r="O40" s="1668"/>
      <c r="P40" s="340"/>
      <c r="Q40" s="901"/>
      <c r="R40" s="592"/>
      <c r="S40" s="2341"/>
      <c r="T40" s="340"/>
      <c r="U40" s="2344"/>
      <c r="V40" s="952"/>
      <c r="W40" s="2343"/>
      <c r="X40" s="340"/>
      <c r="Y40" s="2344"/>
      <c r="AA40" s="1668"/>
      <c r="AB40" s="340"/>
      <c r="AC40" s="2344"/>
    </row>
    <row r="41" spans="1:29" s="457" customFormat="1" x14ac:dyDescent="0.25">
      <c r="A41" s="898"/>
      <c r="B41" s="2385"/>
      <c r="C41" s="2215"/>
      <c r="D41" s="458">
        <f>SUM(D33:D40)</f>
        <v>0</v>
      </c>
      <c r="E41" s="2386"/>
      <c r="F41" s="340"/>
      <c r="G41" s="456" t="str">
        <f>IF(D41=0,"0.00%",(H41-D41)/D41)</f>
        <v>0.00%</v>
      </c>
      <c r="H41" s="458">
        <f>SUM(H33:H40)</f>
        <v>0</v>
      </c>
      <c r="I41" s="898"/>
      <c r="J41" s="459"/>
      <c r="K41" s="456" t="str">
        <f>IF(H41=0,"0.00%",(L41-H41)/H41)</f>
        <v>0.00%</v>
      </c>
      <c r="L41" s="458">
        <f>SUM(L33:L40)</f>
        <v>0</v>
      </c>
      <c r="M41" s="901"/>
      <c r="O41" s="456" t="str">
        <f>IF(L41=0,"0.00%",(P41-L41)/L41)</f>
        <v>0.00%</v>
      </c>
      <c r="P41" s="458">
        <f>SUM(P33:P40)</f>
        <v>0</v>
      </c>
      <c r="Q41" s="901"/>
      <c r="R41" s="592"/>
      <c r="S41" s="2238" t="str">
        <f>IF(P41=0,"0.00%",(T41-P41)/P41)</f>
        <v>0.00%</v>
      </c>
      <c r="T41" s="458">
        <f>SUM(T33:T40)</f>
        <v>0</v>
      </c>
      <c r="U41" s="2344"/>
      <c r="V41" s="952"/>
      <c r="W41" s="2241" t="str">
        <f>IF(T41=0,"0.00%",(X41-T41)/T41)</f>
        <v>0.00%</v>
      </c>
      <c r="X41" s="458">
        <f>SUM(X33:X40)</f>
        <v>0</v>
      </c>
      <c r="Y41" s="2344"/>
      <c r="AA41" s="456" t="str">
        <f>IF(X41=0,"0.00%",(AB41-X41)/X41)</f>
        <v>0.00%</v>
      </c>
      <c r="AB41" s="458">
        <f>SUM(AB33:AB40)</f>
        <v>0</v>
      </c>
      <c r="AC41" s="2344"/>
    </row>
    <row r="42" spans="1:29" s="457" customFormat="1" x14ac:dyDescent="0.25">
      <c r="A42" s="897"/>
      <c r="B42" s="2345" t="s">
        <v>28</v>
      </c>
      <c r="C42" s="2215"/>
      <c r="D42" s="340"/>
      <c r="E42" s="2386"/>
      <c r="F42" s="340"/>
      <c r="G42" s="2338"/>
      <c r="H42" s="340"/>
      <c r="I42" s="897"/>
      <c r="J42" s="455"/>
      <c r="K42" s="1668"/>
      <c r="L42" s="340"/>
      <c r="M42" s="901"/>
      <c r="O42" s="1668"/>
      <c r="P42" s="340"/>
      <c r="Q42" s="901"/>
      <c r="R42" s="592"/>
      <c r="S42" s="2341"/>
      <c r="T42" s="340"/>
      <c r="U42" s="2344"/>
      <c r="V42" s="952"/>
      <c r="W42" s="2343"/>
      <c r="X42" s="340"/>
      <c r="Y42" s="2344"/>
      <c r="AA42" s="1668"/>
      <c r="AB42" s="340"/>
      <c r="AC42" s="2344"/>
    </row>
    <row r="43" spans="1:29" s="457" customFormat="1" x14ac:dyDescent="0.25">
      <c r="A43" s="868"/>
      <c r="B43" s="2337" t="s">
        <v>27</v>
      </c>
      <c r="C43" s="2215"/>
      <c r="D43" s="340"/>
      <c r="E43" s="2386"/>
      <c r="F43" s="340"/>
      <c r="G43" s="2338"/>
      <c r="H43" s="340"/>
      <c r="I43" s="897"/>
      <c r="J43" s="455"/>
      <c r="K43" s="1668"/>
      <c r="L43" s="340"/>
      <c r="M43" s="901"/>
      <c r="O43" s="1668"/>
      <c r="P43" s="340"/>
      <c r="Q43" s="901"/>
      <c r="R43" s="592"/>
      <c r="S43" s="2341"/>
      <c r="T43" s="340"/>
      <c r="U43" s="2344"/>
      <c r="V43" s="952"/>
      <c r="W43" s="2343"/>
      <c r="X43" s="340"/>
      <c r="Y43" s="2344"/>
      <c r="AA43" s="1668"/>
      <c r="AB43" s="340"/>
      <c r="AC43" s="2344"/>
    </row>
    <row r="44" spans="1:29" s="457" customFormat="1" x14ac:dyDescent="0.25">
      <c r="A44" s="897"/>
      <c r="B44" s="2385" t="s">
        <v>83</v>
      </c>
      <c r="C44" s="2215" t="s">
        <v>76</v>
      </c>
      <c r="D44" s="340">
        <v>0</v>
      </c>
      <c r="E44" s="899" t="str">
        <f>TEXT('MYP Assumptions'!$D$57,"0.00%")&amp;", STRS rate"</f>
        <v>12.58%, STRS rate</v>
      </c>
      <c r="F44" s="340"/>
      <c r="G44" s="456" t="str">
        <f t="shared" ref="G44:G53" si="17">IF(D44=0,"0.00%",(H44-D44)/D44)</f>
        <v>0.00%</v>
      </c>
      <c r="H44" s="340">
        <v>0</v>
      </c>
      <c r="I44" s="899" t="str">
        <f>TEXT('MYP Assumptions'!E57,"0.00%")&amp;", projected STRS rate"</f>
        <v>14.43%, projected STRS rate</v>
      </c>
      <c r="J44" s="455"/>
      <c r="K44" s="456" t="str">
        <f t="shared" ref="K44:K53" si="18">IF(H44=0,"0.00%",(L44-H44)/H44)</f>
        <v>0.00%</v>
      </c>
      <c r="L44" s="340">
        <v>0</v>
      </c>
      <c r="M44" s="899" t="str">
        <f>TEXT('MYP Assumptions'!F57,"0.00%")&amp;", projected STRS rate"</f>
        <v>16.28%, projected STRS rate</v>
      </c>
      <c r="O44" s="456" t="str">
        <f t="shared" ref="O44:O53" si="19">IF(L44=0,"0.00%",(P44-L44)/L44)</f>
        <v>0.00%</v>
      </c>
      <c r="P44" s="340">
        <v>0</v>
      </c>
      <c r="Q44" s="899" t="str">
        <f>TEXT('MYP Assumptions'!G57,"0.00%")&amp;", projected STRS rate"</f>
        <v>18.13%, projected STRS rate</v>
      </c>
      <c r="R44" s="592"/>
      <c r="S44" s="2238" t="str">
        <f t="shared" ref="S44:S53" si="20">IF(P44=0,"0.00%",(T44-P44)/P44)</f>
        <v>0.00%</v>
      </c>
      <c r="T44" s="340">
        <f>ROUND(T30*LEFT(U44,6),0)</f>
        <v>0</v>
      </c>
      <c r="U44" s="953" t="str">
        <f>TEXT('MYP Assumptions'!H57,"0.00%")&amp;", projected STRS rate"</f>
        <v>19.10%, projected STRS rate</v>
      </c>
      <c r="V44" s="952"/>
      <c r="W44" s="2241" t="str">
        <f t="shared" ref="W44:W53" si="21">IF(T44=0,"0.00%",(X44-T44)/T44)</f>
        <v>0.00%</v>
      </c>
      <c r="X44" s="340">
        <f>ROUND(X30*LEFT(Y44,6),0)</f>
        <v>0</v>
      </c>
      <c r="Y44" s="953" t="str">
        <f>TEXT('MYP Assumptions'!I57,"0.00%")&amp;", projected STRS rate"</f>
        <v>19.10%, projected STRS rate</v>
      </c>
      <c r="AA44" s="456" t="str">
        <f t="shared" ref="AA44:AA53" si="22">IF(X44=0,"0.00%",(AB44-X44)/X44)</f>
        <v>0.00%</v>
      </c>
      <c r="AB44" s="340" t="e">
        <f>ROUND(AB30*LEFT(AC44,6),0)</f>
        <v>#VALUE!</v>
      </c>
      <c r="AC44" s="953" t="str">
        <f>TEXT('MYP Assumptions'!J57,"0.00%")&amp;", projected STRS rate"</f>
        <v>0.00%, projected STRS rate</v>
      </c>
    </row>
    <row r="45" spans="1:29" s="457" customFormat="1" x14ac:dyDescent="0.25">
      <c r="A45" s="897"/>
      <c r="B45" s="2385" t="s">
        <v>84</v>
      </c>
      <c r="C45" s="2215" t="s">
        <v>77</v>
      </c>
      <c r="D45" s="340">
        <v>0</v>
      </c>
      <c r="E45" s="899" t="str">
        <f>TEXT('MYP Assumptions'!$D$58,"0.00%")&amp;", PERS rate"</f>
        <v>13.89%, PERS rate</v>
      </c>
      <c r="F45" s="340"/>
      <c r="G45" s="456" t="str">
        <f t="shared" si="17"/>
        <v>0.00%</v>
      </c>
      <c r="H45" s="340">
        <f>ROUND(H41*LEFT(I45,6),0)</f>
        <v>0</v>
      </c>
      <c r="I45" s="899" t="str">
        <f>TEXT('MYP Assumptions'!E58,"0.00%")&amp;", projected PERS rate"</f>
        <v>15.53%, projected PERS rate</v>
      </c>
      <c r="J45" s="455"/>
      <c r="K45" s="456" t="str">
        <f t="shared" si="18"/>
        <v>0.00%</v>
      </c>
      <c r="L45" s="340">
        <f>ROUND(L41*LEFT(M45,6),0)</f>
        <v>0</v>
      </c>
      <c r="M45" s="899" t="str">
        <f>TEXT('MYP Assumptions'!F58,"0.00%")&amp;", projected PERS rate"</f>
        <v>18.06%, projected PERS rate</v>
      </c>
      <c r="O45" s="456" t="str">
        <f t="shared" si="19"/>
        <v>0.00%</v>
      </c>
      <c r="P45" s="340">
        <f>ROUND(P41*LEFT(Q45,6),0)</f>
        <v>0</v>
      </c>
      <c r="Q45" s="899" t="str">
        <f>TEXT('MYP Assumptions'!G58,"0.00%")&amp;", projected PERS rate"</f>
        <v>20.80%, projected PERS rate</v>
      </c>
      <c r="R45" s="592"/>
      <c r="S45" s="2238" t="str">
        <f t="shared" si="20"/>
        <v>0.00%</v>
      </c>
      <c r="T45" s="340">
        <f>ROUND(T41*LEFT(U45,6),0)</f>
        <v>0</v>
      </c>
      <c r="U45" s="953" t="str">
        <f>TEXT('MYP Assumptions'!H58,"0.00%")&amp;", projected PERS rate"</f>
        <v>23.50%, projected PERS rate</v>
      </c>
      <c r="V45" s="952"/>
      <c r="W45" s="2241" t="str">
        <f t="shared" si="21"/>
        <v>0.00%</v>
      </c>
      <c r="X45" s="340">
        <f>ROUND(X41*LEFT(Y45,6),0)</f>
        <v>0</v>
      </c>
      <c r="Y45" s="953" t="str">
        <f>TEXT('MYP Assumptions'!I58,"0.00%")&amp;", projected PERS rate"</f>
        <v>24.60%, projected PERS rate</v>
      </c>
      <c r="AA45" s="456" t="str">
        <f t="shared" si="22"/>
        <v>0.00%</v>
      </c>
      <c r="AB45" s="340" t="e">
        <f>ROUND(AB41*LEFT(AC45,6),0)</f>
        <v>#VALUE!</v>
      </c>
      <c r="AC45" s="953" t="str">
        <f>TEXT('MYP Assumptions'!J58,"0.00%")&amp;", projected PERS rate"</f>
        <v>0.00%, projected PERS rate</v>
      </c>
    </row>
    <row r="46" spans="1:29" s="457" customFormat="1" x14ac:dyDescent="0.25">
      <c r="A46" s="897"/>
      <c r="B46" s="2385" t="s">
        <v>85</v>
      </c>
      <c r="C46" s="2215" t="s">
        <v>78</v>
      </c>
      <c r="D46" s="340">
        <v>0</v>
      </c>
      <c r="E46" s="899" t="str">
        <f>TEXT('MYP Assumptions'!$D$60,"0.00%")&amp;", SS rate"</f>
        <v>6.20%, SS rate</v>
      </c>
      <c r="F46" s="340"/>
      <c r="G46" s="456" t="str">
        <f t="shared" si="17"/>
        <v>0.00%</v>
      </c>
      <c r="H46" s="340">
        <f>ROUND(H41*LEFT(I46,5),0)</f>
        <v>0</v>
      </c>
      <c r="I46" s="899" t="str">
        <f>TEXT('MYP Assumptions'!E60,"0.00%")&amp;", no rate change"</f>
        <v>6.20%, no rate change</v>
      </c>
      <c r="J46" s="455"/>
      <c r="K46" s="456" t="str">
        <f t="shared" si="18"/>
        <v>0.00%</v>
      </c>
      <c r="L46" s="340">
        <f>ROUND(L41*LEFT(M46,5),0)</f>
        <v>0</v>
      </c>
      <c r="M46" s="899" t="str">
        <f>TEXT('MYP Assumptions'!F60,"0.00%")&amp;", no rate change"</f>
        <v>6.20%, no rate change</v>
      </c>
      <c r="O46" s="456" t="str">
        <f t="shared" si="19"/>
        <v>0.00%</v>
      </c>
      <c r="P46" s="340">
        <f>ROUND(P41*LEFT(Q46,5),0)</f>
        <v>0</v>
      </c>
      <c r="Q46" s="899" t="str">
        <f>TEXT('MYP Assumptions'!G60,"0.00%")&amp;", no rate change"</f>
        <v>6.20%, no rate change</v>
      </c>
      <c r="R46" s="592"/>
      <c r="S46" s="2238" t="str">
        <f t="shared" si="20"/>
        <v>0.00%</v>
      </c>
      <c r="T46" s="340">
        <f>ROUND(T41*LEFT(U46,5),0)</f>
        <v>0</v>
      </c>
      <c r="U46" s="953" t="str">
        <f>TEXT('MYP Assumptions'!H60,"0.00%")&amp;", no rate change"</f>
        <v>6.20%, no rate change</v>
      </c>
      <c r="V46" s="952"/>
      <c r="W46" s="2241" t="str">
        <f t="shared" si="21"/>
        <v>0.00%</v>
      </c>
      <c r="X46" s="340">
        <f>ROUND(X41*LEFT(Y46,5),0)</f>
        <v>0</v>
      </c>
      <c r="Y46" s="953" t="str">
        <f>TEXT('MYP Assumptions'!I60,"0.00%")&amp;", no rate change"</f>
        <v>6.20%, no rate change</v>
      </c>
      <c r="AA46" s="456" t="str">
        <f t="shared" si="22"/>
        <v>0.00%</v>
      </c>
      <c r="AB46" s="340">
        <f>ROUND(AB41*LEFT(AC46,5),0)</f>
        <v>0</v>
      </c>
      <c r="AC46" s="953" t="str">
        <f>TEXT('MYP Assumptions'!J60,"0.00%")&amp;", no rate change"</f>
        <v>0.00%, no rate change</v>
      </c>
    </row>
    <row r="47" spans="1:29" s="457" customFormat="1" x14ac:dyDescent="0.25">
      <c r="A47" s="897"/>
      <c r="B47" s="2385" t="s">
        <v>86</v>
      </c>
      <c r="C47" s="2215" t="s">
        <v>79</v>
      </c>
      <c r="D47" s="340">
        <v>0</v>
      </c>
      <c r="E47" s="899" t="str">
        <f>TEXT('MYP Assumptions'!$D$61,"0.00%")&amp;", Medicare rate"</f>
        <v>1.45%, Medicare rate</v>
      </c>
      <c r="F47" s="340"/>
      <c r="G47" s="456" t="str">
        <f t="shared" si="17"/>
        <v>0.00%</v>
      </c>
      <c r="H47" s="340">
        <v>2</v>
      </c>
      <c r="I47" s="899" t="str">
        <f>TEXT('MYP Assumptions'!E61,"0.00%")&amp;", no rate change"</f>
        <v>1.45%, no rate change</v>
      </c>
      <c r="J47" s="455"/>
      <c r="K47" s="456">
        <f t="shared" si="18"/>
        <v>-1</v>
      </c>
      <c r="L47" s="340">
        <f>ROUND((L41+L30)*LEFT(M47,5),0)</f>
        <v>0</v>
      </c>
      <c r="M47" s="899" t="str">
        <f>TEXT('MYP Assumptions'!F61,"0.00%")&amp;", no rate change"</f>
        <v>1.45%, no rate change</v>
      </c>
      <c r="O47" s="456" t="str">
        <f t="shared" si="19"/>
        <v>0.00%</v>
      </c>
      <c r="P47" s="340">
        <f>ROUND((P41+P30)*LEFT(Q47,5),0)</f>
        <v>0</v>
      </c>
      <c r="Q47" s="899" t="str">
        <f>TEXT('MYP Assumptions'!G61,"0.00%")&amp;", no rate change"</f>
        <v>1.45%, no rate change</v>
      </c>
      <c r="R47" s="592"/>
      <c r="S47" s="2238" t="str">
        <f t="shared" si="20"/>
        <v>0.00%</v>
      </c>
      <c r="T47" s="340">
        <f>ROUND((T41+T30)*LEFT(U47,5),0)</f>
        <v>0</v>
      </c>
      <c r="U47" s="953" t="str">
        <f>TEXT('MYP Assumptions'!H61,"0.00%")&amp;", no rate change"</f>
        <v>1.45%, no rate change</v>
      </c>
      <c r="V47" s="952"/>
      <c r="W47" s="2241" t="str">
        <f t="shared" si="21"/>
        <v>0.00%</v>
      </c>
      <c r="X47" s="340">
        <f>ROUND((X41+X30)*LEFT(Y47,5),0)</f>
        <v>0</v>
      </c>
      <c r="Y47" s="953" t="str">
        <f>TEXT('MYP Assumptions'!I61,"0.00%")&amp;", no rate change"</f>
        <v>1.45%, no rate change</v>
      </c>
      <c r="AA47" s="456" t="str">
        <f t="shared" si="22"/>
        <v>0.00%</v>
      </c>
      <c r="AB47" s="340">
        <f>ROUND((AB41+AB30)*LEFT(AC47,5),0)</f>
        <v>0</v>
      </c>
      <c r="AC47" s="953" t="str">
        <f>TEXT('MYP Assumptions'!J61,"0.00%")&amp;", no rate change"</f>
        <v>0.00%, no rate change</v>
      </c>
    </row>
    <row r="48" spans="1:29" s="457" customFormat="1" x14ac:dyDescent="0.25">
      <c r="A48" s="897"/>
      <c r="B48" s="2385" t="s">
        <v>87</v>
      </c>
      <c r="C48" s="2215" t="s">
        <v>80</v>
      </c>
      <c r="D48" s="340">
        <v>0</v>
      </c>
      <c r="E48" s="899"/>
      <c r="F48" s="340"/>
      <c r="G48" s="456" t="str">
        <f t="shared" si="17"/>
        <v>0.00%</v>
      </c>
      <c r="H48" s="340">
        <f>ROUND((D48)*(LEFT(I48,5)+1),0)</f>
        <v>0</v>
      </c>
      <c r="I48" s="899" t="str">
        <f>TEXT('MYP Assumptions'!$I$68,"0.00%")&amp;", projected increase"</f>
        <v>5.00%, projected increase</v>
      </c>
      <c r="J48" s="455"/>
      <c r="K48" s="456" t="str">
        <f t="shared" si="18"/>
        <v>0.00%</v>
      </c>
      <c r="L48" s="340">
        <f>ROUND((H48)*(LEFT(M48,5)+1),0)</f>
        <v>0</v>
      </c>
      <c r="M48" s="899" t="str">
        <f>TEXT('MYP Assumptions'!$I$68,"0.00%")&amp;", projected increase"</f>
        <v>5.00%, projected increase</v>
      </c>
      <c r="O48" s="456" t="str">
        <f t="shared" si="19"/>
        <v>0.00%</v>
      </c>
      <c r="P48" s="340">
        <f>ROUND((L48)*(LEFT(Q48,5)+1),0)</f>
        <v>0</v>
      </c>
      <c r="Q48" s="899" t="str">
        <f>TEXT('MYP Assumptions'!$I$68,"0.00%")&amp;", projected increase"</f>
        <v>5.00%, projected increase</v>
      </c>
      <c r="R48" s="592"/>
      <c r="S48" s="2238" t="str">
        <f t="shared" si="20"/>
        <v>0.00%</v>
      </c>
      <c r="T48" s="340">
        <f>ROUND((P48)*(LEFT(U48,5)+1),0)</f>
        <v>0</v>
      </c>
      <c r="U48" s="953" t="str">
        <f>TEXT('MYP Assumptions'!$I$68,"0.00%")&amp;", projected increase"</f>
        <v>5.00%, projected increase</v>
      </c>
      <c r="V48" s="952"/>
      <c r="W48" s="2241" t="str">
        <f t="shared" si="21"/>
        <v>0.00%</v>
      </c>
      <c r="X48" s="340">
        <f>ROUND((T48)*(LEFT(Y48,5)+1),0)</f>
        <v>0</v>
      </c>
      <c r="Y48" s="953" t="str">
        <f>TEXT('MYP Assumptions'!$I$68,"0.00%")&amp;", projected increase"</f>
        <v>5.00%, projected increase</v>
      </c>
      <c r="AA48" s="456" t="str">
        <f t="shared" si="22"/>
        <v>0.00%</v>
      </c>
      <c r="AB48" s="340">
        <f>ROUND((X48)*(LEFT(AC48,5)+1),0)</f>
        <v>0</v>
      </c>
      <c r="AC48" s="953" t="str">
        <f>TEXT('MYP Assumptions'!$I$68,"0.00%")&amp;", projected increase"</f>
        <v>5.00%, projected increase</v>
      </c>
    </row>
    <row r="49" spans="1:29" s="457" customFormat="1" x14ac:dyDescent="0.25">
      <c r="A49" s="897"/>
      <c r="B49" s="2385" t="s">
        <v>88</v>
      </c>
      <c r="C49" s="2215" t="s">
        <v>81</v>
      </c>
      <c r="D49" s="340">
        <v>0</v>
      </c>
      <c r="E49" s="899" t="str">
        <f>TEXT('MYP Assumptions'!$D$62,"0.00%")&amp;", SUI rate"</f>
        <v>0.05%, SUI rate</v>
      </c>
      <c r="F49" s="340"/>
      <c r="G49" s="456" t="str">
        <f t="shared" si="17"/>
        <v>0.00%</v>
      </c>
      <c r="H49" s="340">
        <f>ROUND((H41+H30)*LEFT(I49,5),0)</f>
        <v>0</v>
      </c>
      <c r="I49" s="899" t="str">
        <f>TEXT('MYP Assumptions'!E62,"0.00%")&amp;", no rate change"</f>
        <v>0.05%, no rate change</v>
      </c>
      <c r="J49" s="455"/>
      <c r="K49" s="456" t="str">
        <f t="shared" si="18"/>
        <v>0.00%</v>
      </c>
      <c r="L49" s="340">
        <f>ROUND((L41+L30)*LEFT(M49,5),0)</f>
        <v>0</v>
      </c>
      <c r="M49" s="899" t="str">
        <f>TEXT('MYP Assumptions'!F62,"0.00%")&amp;", no rate change"</f>
        <v>0.05%, no rate change</v>
      </c>
      <c r="O49" s="456" t="str">
        <f t="shared" si="19"/>
        <v>0.00%</v>
      </c>
      <c r="P49" s="340">
        <f>ROUND((P41+P30)*LEFT(Q49,5),0)</f>
        <v>0</v>
      </c>
      <c r="Q49" s="899" t="str">
        <f>TEXT('MYP Assumptions'!G62,"0.00%")&amp;", no rate change"</f>
        <v>0.05%, no rate change</v>
      </c>
      <c r="R49" s="592"/>
      <c r="S49" s="2238" t="str">
        <f t="shared" si="20"/>
        <v>0.00%</v>
      </c>
      <c r="T49" s="340">
        <f>ROUND((T41+T30)*LEFT(U49,5),0)</f>
        <v>0</v>
      </c>
      <c r="U49" s="953" t="str">
        <f>TEXT('MYP Assumptions'!H62,"0.00%")&amp;", no rate change"</f>
        <v>0.05%, no rate change</v>
      </c>
      <c r="V49" s="952"/>
      <c r="W49" s="2241" t="str">
        <f t="shared" si="21"/>
        <v>0.00%</v>
      </c>
      <c r="X49" s="340">
        <f>ROUND((X41+X30)*LEFT(Y49,5),0)</f>
        <v>0</v>
      </c>
      <c r="Y49" s="953" t="str">
        <f>TEXT('MYP Assumptions'!I62,"0.00%")&amp;", no rate change"</f>
        <v>0.05%, no rate change</v>
      </c>
      <c r="AA49" s="456" t="str">
        <f t="shared" si="22"/>
        <v>0.00%</v>
      </c>
      <c r="AB49" s="340">
        <f>ROUND((AB41+AB30)*LEFT(AC49,5),0)</f>
        <v>0</v>
      </c>
      <c r="AC49" s="953" t="str">
        <f>TEXT('MYP Assumptions'!J62,"0.00%")&amp;", no rate change"</f>
        <v>0.00%, no rate change</v>
      </c>
    </row>
    <row r="50" spans="1:29" s="457" customFormat="1" x14ac:dyDescent="0.25">
      <c r="A50" s="897"/>
      <c r="B50" s="2385" t="s">
        <v>89</v>
      </c>
      <c r="C50" s="2215" t="s">
        <v>82</v>
      </c>
      <c r="D50" s="340">
        <v>0</v>
      </c>
      <c r="E50" s="899" t="str">
        <f>TEXT('MYP Assumptions'!$D$63,"0.00%")&amp;", W/C rate"</f>
        <v>1.10%, W/C rate</v>
      </c>
      <c r="F50" s="340"/>
      <c r="G50" s="456" t="str">
        <f t="shared" si="17"/>
        <v>0.00%</v>
      </c>
      <c r="H50" s="340">
        <v>2</v>
      </c>
      <c r="I50" s="899" t="str">
        <f>TEXT('MYP Assumptions'!E63,"0.00%")&amp;", no rate change"</f>
        <v>0.80%, no rate change</v>
      </c>
      <c r="J50" s="455"/>
      <c r="K50" s="456">
        <f t="shared" si="18"/>
        <v>-1</v>
      </c>
      <c r="L50" s="340">
        <f>ROUND((L41+L30)*LEFT(M50,5),0)</f>
        <v>0</v>
      </c>
      <c r="M50" s="899" t="str">
        <f>TEXT('MYP Assumptions'!F63,"0.00%")&amp;", no rate change"</f>
        <v>0.80%, no rate change</v>
      </c>
      <c r="O50" s="456" t="str">
        <f t="shared" si="19"/>
        <v>0.00%</v>
      </c>
      <c r="P50" s="340">
        <f>ROUND((P41+P30)*LEFT(Q50,5),0)</f>
        <v>0</v>
      </c>
      <c r="Q50" s="899" t="str">
        <f>TEXT('MYP Assumptions'!G63,"0.00%")&amp;", no rate change"</f>
        <v>0.80%, no rate change</v>
      </c>
      <c r="R50" s="592"/>
      <c r="S50" s="2238" t="str">
        <f t="shared" si="20"/>
        <v>0.00%</v>
      </c>
      <c r="T50" s="340">
        <f>ROUND((T41+T30)*LEFT(U50,5),0)</f>
        <v>0</v>
      </c>
      <c r="U50" s="953" t="str">
        <f>TEXT('MYP Assumptions'!H63,"0.00%")&amp;", no rate change"</f>
        <v>0.80%, no rate change</v>
      </c>
      <c r="V50" s="952"/>
      <c r="W50" s="2241" t="str">
        <f t="shared" si="21"/>
        <v>0.00%</v>
      </c>
      <c r="X50" s="340">
        <f>ROUND((X41+X30)*LEFT(Y50,5),0)</f>
        <v>0</v>
      </c>
      <c r="Y50" s="953" t="str">
        <f>TEXT('MYP Assumptions'!I63,"0.00%")&amp;", no rate change"</f>
        <v>0.80%, no rate change</v>
      </c>
      <c r="AA50" s="456" t="str">
        <f t="shared" si="22"/>
        <v>0.00%</v>
      </c>
      <c r="AB50" s="340">
        <f>ROUND((AB41+AB30)*LEFT(AC50,5),0)</f>
        <v>0</v>
      </c>
      <c r="AC50" s="953" t="str">
        <f>TEXT('MYP Assumptions'!J63,"0.00%")&amp;", no rate change"</f>
        <v>0.00%, no rate change</v>
      </c>
    </row>
    <row r="51" spans="1:29" s="457" customFormat="1" x14ac:dyDescent="0.25">
      <c r="A51" s="897"/>
      <c r="B51" s="2385" t="s">
        <v>90</v>
      </c>
      <c r="C51" s="2215" t="s">
        <v>92</v>
      </c>
      <c r="D51" s="340">
        <v>0</v>
      </c>
      <c r="E51" s="2386"/>
      <c r="F51" s="340"/>
      <c r="G51" s="456" t="str">
        <f t="shared" si="17"/>
        <v>0.00%</v>
      </c>
      <c r="H51" s="340">
        <f>D51</f>
        <v>0</v>
      </c>
      <c r="I51" s="899" t="s">
        <v>165</v>
      </c>
      <c r="J51" s="455"/>
      <c r="K51" s="456" t="str">
        <f t="shared" si="18"/>
        <v>0.00%</v>
      </c>
      <c r="L51" s="340">
        <f>H51</f>
        <v>0</v>
      </c>
      <c r="M51" s="899" t="s">
        <v>165</v>
      </c>
      <c r="O51" s="456" t="str">
        <f t="shared" si="19"/>
        <v>0.00%</v>
      </c>
      <c r="P51" s="340">
        <f>L51</f>
        <v>0</v>
      </c>
      <c r="Q51" s="899" t="s">
        <v>165</v>
      </c>
      <c r="R51" s="592"/>
      <c r="S51" s="2238" t="str">
        <f t="shared" si="20"/>
        <v>0.00%</v>
      </c>
      <c r="T51" s="340">
        <f>P51</f>
        <v>0</v>
      </c>
      <c r="U51" s="953" t="s">
        <v>165</v>
      </c>
      <c r="V51" s="952"/>
      <c r="W51" s="2241" t="str">
        <f t="shared" si="21"/>
        <v>0.00%</v>
      </c>
      <c r="X51" s="340">
        <f>T51</f>
        <v>0</v>
      </c>
      <c r="Y51" s="953" t="s">
        <v>165</v>
      </c>
      <c r="AA51" s="456" t="str">
        <f t="shared" si="22"/>
        <v>0.00%</v>
      </c>
      <c r="AB51" s="340">
        <f>X51</f>
        <v>0</v>
      </c>
      <c r="AC51" s="953" t="s">
        <v>165</v>
      </c>
    </row>
    <row r="52" spans="1:29" s="457" customFormat="1" x14ac:dyDescent="0.25">
      <c r="A52" s="897"/>
      <c r="B52" s="2385" t="s">
        <v>91</v>
      </c>
      <c r="C52" s="2215" t="s">
        <v>93</v>
      </c>
      <c r="D52" s="340">
        <v>0</v>
      </c>
      <c r="E52" s="2386"/>
      <c r="F52" s="340"/>
      <c r="G52" s="456" t="str">
        <f t="shared" si="17"/>
        <v>0.00%</v>
      </c>
      <c r="H52" s="340">
        <f>D52</f>
        <v>0</v>
      </c>
      <c r="I52" s="899" t="s">
        <v>165</v>
      </c>
      <c r="J52" s="455"/>
      <c r="K52" s="456" t="str">
        <f t="shared" si="18"/>
        <v>0.00%</v>
      </c>
      <c r="L52" s="340">
        <f>H52</f>
        <v>0</v>
      </c>
      <c r="M52" s="899" t="s">
        <v>165</v>
      </c>
      <c r="O52" s="456" t="str">
        <f t="shared" si="19"/>
        <v>0.00%</v>
      </c>
      <c r="P52" s="340">
        <f>L52</f>
        <v>0</v>
      </c>
      <c r="Q52" s="899" t="s">
        <v>165</v>
      </c>
      <c r="R52" s="592"/>
      <c r="S52" s="2238" t="str">
        <f t="shared" si="20"/>
        <v>0.00%</v>
      </c>
      <c r="T52" s="340">
        <f>P52</f>
        <v>0</v>
      </c>
      <c r="U52" s="953" t="s">
        <v>165</v>
      </c>
      <c r="V52" s="952"/>
      <c r="W52" s="2241" t="str">
        <f t="shared" si="21"/>
        <v>0.00%</v>
      </c>
      <c r="X52" s="340">
        <f>T52</f>
        <v>0</v>
      </c>
      <c r="Y52" s="953" t="s">
        <v>165</v>
      </c>
      <c r="AA52" s="456" t="str">
        <f t="shared" si="22"/>
        <v>0.00%</v>
      </c>
      <c r="AB52" s="340">
        <f>X52</f>
        <v>0</v>
      </c>
      <c r="AC52" s="953" t="s">
        <v>165</v>
      </c>
    </row>
    <row r="53" spans="1:29" s="457" customFormat="1" x14ac:dyDescent="0.25">
      <c r="A53" s="898"/>
      <c r="B53" s="2385"/>
      <c r="C53" s="2215"/>
      <c r="D53" s="458">
        <f>SUM(D44:D52)</f>
        <v>0</v>
      </c>
      <c r="E53" s="2386"/>
      <c r="F53" s="340"/>
      <c r="G53" s="456" t="str">
        <f t="shared" si="17"/>
        <v>0.00%</v>
      </c>
      <c r="H53" s="458">
        <f>SUM(H44:H52)</f>
        <v>4</v>
      </c>
      <c r="I53" s="898"/>
      <c r="J53" s="459"/>
      <c r="K53" s="456">
        <f t="shared" si="18"/>
        <v>-1</v>
      </c>
      <c r="L53" s="458">
        <f>SUM(L44:L52)</f>
        <v>0</v>
      </c>
      <c r="M53" s="901"/>
      <c r="O53" s="456" t="str">
        <f t="shared" si="19"/>
        <v>0.00%</v>
      </c>
      <c r="P53" s="458">
        <f>SUM(P44:P52)</f>
        <v>0</v>
      </c>
      <c r="Q53" s="901"/>
      <c r="R53" s="592"/>
      <c r="S53" s="2238" t="str">
        <f t="shared" si="20"/>
        <v>0.00%</v>
      </c>
      <c r="T53" s="458">
        <f>SUM(T44:T52)</f>
        <v>0</v>
      </c>
      <c r="U53" s="2344"/>
      <c r="V53" s="952"/>
      <c r="W53" s="2241" t="str">
        <f t="shared" si="21"/>
        <v>0.00%</v>
      </c>
      <c r="X53" s="458">
        <f>SUM(X44:X52)</f>
        <v>0</v>
      </c>
      <c r="Y53" s="2344"/>
      <c r="AA53" s="456" t="str">
        <f t="shared" si="22"/>
        <v>0.00%</v>
      </c>
      <c r="AB53" s="458" t="e">
        <f>SUM(AB44:AB52)</f>
        <v>#VALUE!</v>
      </c>
      <c r="AC53" s="2344"/>
    </row>
    <row r="54" spans="1:29" s="457" customFormat="1" x14ac:dyDescent="0.25">
      <c r="A54" s="868"/>
      <c r="B54" s="2385"/>
      <c r="C54" s="2215"/>
      <c r="D54" s="340"/>
      <c r="E54" s="2386"/>
      <c r="F54" s="340"/>
      <c r="G54" s="2338"/>
      <c r="H54" s="340"/>
      <c r="I54" s="897"/>
      <c r="J54" s="455"/>
      <c r="K54" s="1668"/>
      <c r="L54" s="340"/>
      <c r="M54" s="901"/>
      <c r="O54" s="1668"/>
      <c r="P54" s="340"/>
      <c r="Q54" s="901"/>
      <c r="R54" s="592"/>
      <c r="S54" s="2341"/>
      <c r="T54" s="340"/>
      <c r="U54" s="2344"/>
      <c r="V54" s="952"/>
      <c r="W54" s="2343"/>
      <c r="X54" s="340"/>
      <c r="Y54" s="2344"/>
      <c r="AA54" s="1668"/>
      <c r="AB54" s="340"/>
      <c r="AC54" s="2344"/>
    </row>
    <row r="55" spans="1:29" s="457" customFormat="1" x14ac:dyDescent="0.25">
      <c r="A55" s="898"/>
      <c r="B55" s="2337" t="s">
        <v>26</v>
      </c>
      <c r="C55" s="2215"/>
      <c r="D55" s="458">
        <f>SUM(D53,D41,D30)</f>
        <v>0</v>
      </c>
      <c r="E55" s="2386"/>
      <c r="F55" s="340"/>
      <c r="G55" s="456" t="str">
        <f>IF(D55=0,"0.00%",(H55-D55)/D55)</f>
        <v>0.00%</v>
      </c>
      <c r="H55" s="458">
        <f>SUM(H53,H41,H30)</f>
        <v>144</v>
      </c>
      <c r="I55" s="898"/>
      <c r="J55" s="459"/>
      <c r="K55" s="456">
        <f>IF(H55=0,"0.00%",(L55-H55)/H55)</f>
        <v>-1</v>
      </c>
      <c r="L55" s="458">
        <f>SUM(L53,L41,L30)</f>
        <v>0</v>
      </c>
      <c r="M55" s="901"/>
      <c r="O55" s="456" t="str">
        <f>IF(L55=0,"0.00%",(P55-L55)/L55)</f>
        <v>0.00%</v>
      </c>
      <c r="P55" s="458">
        <f>SUM(P53,P41,P30)</f>
        <v>0</v>
      </c>
      <c r="Q55" s="901"/>
      <c r="R55" s="592"/>
      <c r="S55" s="2238" t="str">
        <f>IF(P55=0,"0.00%",(T55-P55)/P55)</f>
        <v>0.00%</v>
      </c>
      <c r="T55" s="458">
        <f>SUM(T53,T41,T30)</f>
        <v>0</v>
      </c>
      <c r="U55" s="2344"/>
      <c r="V55" s="952"/>
      <c r="W55" s="2241" t="str">
        <f>IF(T55=0,"0.00%",(X55-T55)/T55)</f>
        <v>0.00%</v>
      </c>
      <c r="X55" s="458">
        <f>SUM(X53,X41,X30)</f>
        <v>0</v>
      </c>
      <c r="Y55" s="2344"/>
      <c r="AA55" s="456" t="str">
        <f>IF(X55=0,"0.00%",(AB55-X55)/X55)</f>
        <v>0.00%</v>
      </c>
      <c r="AB55" s="458" t="e">
        <f>SUM(AB53,AB41,AB30)</f>
        <v>#VALUE!</v>
      </c>
      <c r="AC55" s="2344"/>
    </row>
    <row r="56" spans="1:29" s="457" customFormat="1" x14ac:dyDescent="0.25">
      <c r="A56" s="2339"/>
      <c r="B56" s="2345"/>
      <c r="C56" s="2215"/>
      <c r="D56" s="340"/>
      <c r="E56" s="2386"/>
      <c r="F56" s="340"/>
      <c r="G56" s="2338"/>
      <c r="H56" s="340"/>
      <c r="I56" s="897"/>
      <c r="J56" s="455"/>
      <c r="K56" s="1668"/>
      <c r="L56" s="340"/>
      <c r="M56" s="901"/>
      <c r="O56" s="1668"/>
      <c r="P56" s="340"/>
      <c r="Q56" s="901"/>
      <c r="R56" s="592"/>
      <c r="S56" s="2341"/>
      <c r="T56" s="340"/>
      <c r="U56" s="2344"/>
      <c r="V56" s="952"/>
      <c r="W56" s="2343"/>
      <c r="X56" s="340"/>
      <c r="Y56" s="2344"/>
      <c r="AA56" s="1668"/>
      <c r="AB56" s="340"/>
      <c r="AC56" s="2344"/>
    </row>
    <row r="57" spans="1:29" s="457" customFormat="1" x14ac:dyDescent="0.25">
      <c r="A57" s="897"/>
      <c r="B57" s="2345"/>
      <c r="C57" s="2215"/>
      <c r="D57" s="340"/>
      <c r="E57" s="2386"/>
      <c r="F57" s="340"/>
      <c r="G57" s="2338"/>
      <c r="H57" s="340"/>
      <c r="I57" s="897"/>
      <c r="J57" s="455"/>
      <c r="K57" s="1668"/>
      <c r="L57" s="340"/>
      <c r="M57" s="901"/>
      <c r="O57" s="1668"/>
      <c r="P57" s="340"/>
      <c r="Q57" s="901"/>
      <c r="R57" s="592"/>
      <c r="S57" s="2341"/>
      <c r="T57" s="340"/>
      <c r="U57" s="2344"/>
      <c r="V57" s="952"/>
      <c r="W57" s="2343"/>
      <c r="X57" s="340"/>
      <c r="Y57" s="2344"/>
      <c r="AA57" s="1668"/>
      <c r="AB57" s="340"/>
      <c r="AC57" s="2344"/>
    </row>
    <row r="58" spans="1:29" s="457" customFormat="1" x14ac:dyDescent="0.25">
      <c r="A58" s="2339"/>
      <c r="B58" s="2440" t="s">
        <v>25</v>
      </c>
      <c r="C58" s="2225"/>
      <c r="D58" s="340"/>
      <c r="E58" s="2386"/>
      <c r="F58" s="340"/>
      <c r="G58" s="2338"/>
      <c r="H58" s="340"/>
      <c r="I58" s="897"/>
      <c r="J58" s="455"/>
      <c r="K58" s="1668"/>
      <c r="L58" s="340"/>
      <c r="M58" s="901"/>
      <c r="O58" s="1668"/>
      <c r="P58" s="340"/>
      <c r="Q58" s="901"/>
      <c r="R58" s="592"/>
      <c r="S58" s="2341"/>
      <c r="T58" s="340"/>
      <c r="U58" s="2344"/>
      <c r="V58" s="952"/>
      <c r="W58" s="2343"/>
      <c r="X58" s="340"/>
      <c r="Y58" s="2344"/>
      <c r="AA58" s="1668"/>
      <c r="AB58" s="340"/>
      <c r="AC58" s="2344"/>
    </row>
    <row r="59" spans="1:29" s="457" customFormat="1" x14ac:dyDescent="0.25">
      <c r="A59" s="897"/>
      <c r="B59" s="2385">
        <v>4310</v>
      </c>
      <c r="C59" s="2215" t="s">
        <v>274</v>
      </c>
      <c r="D59" s="340">
        <v>2805.4</v>
      </c>
      <c r="E59" s="2386"/>
      <c r="F59" s="340"/>
      <c r="G59" s="456">
        <f t="shared" ref="G59:G66" si="23">IF(D59=0,"0.00%",(H59-D59)/D59)</f>
        <v>0.69530191773009187</v>
      </c>
      <c r="H59" s="833">
        <v>4756</v>
      </c>
      <c r="I59" s="1656" t="s">
        <v>173</v>
      </c>
      <c r="J59" s="342"/>
      <c r="K59" s="456">
        <f>IF(H59=0,"0.00%",(L59-H59)/H59)</f>
        <v>0.38772077375946173</v>
      </c>
      <c r="L59" s="833">
        <v>6600</v>
      </c>
      <c r="M59" s="1656" t="s">
        <v>173</v>
      </c>
      <c r="O59" s="456">
        <f>IF(L59=0,"0.00%",(P59-L59)/L59)</f>
        <v>0</v>
      </c>
      <c r="P59" s="833">
        <f>+L59</f>
        <v>6600</v>
      </c>
      <c r="Q59" s="1656" t="s">
        <v>173</v>
      </c>
      <c r="R59" s="592"/>
      <c r="S59" s="2238">
        <f>IF(P59=0,"0.00%",(T59-P59)/P59)</f>
        <v>0</v>
      </c>
      <c r="T59" s="833">
        <f>+P59</f>
        <v>6600</v>
      </c>
      <c r="U59" s="457" t="s">
        <v>173</v>
      </c>
      <c r="V59" s="952"/>
      <c r="W59" s="2241">
        <f t="shared" ref="W59:W66" si="24">IF(T59=0,"0.00%",(X59-T59)/T59)</f>
        <v>2.7272727272727271E-2</v>
      </c>
      <c r="X59" s="340">
        <f>ROUND(T59*(LEFT(Y59,5)+1),0)</f>
        <v>6780</v>
      </c>
      <c r="Y59" s="953" t="str">
        <f>TEXT('MYP Assumptions'!I78,"0.00%")&amp;", CPI"</f>
        <v>2.73%, CPI</v>
      </c>
      <c r="AA59" s="456">
        <f t="shared" ref="AA59:AA66" si="25">IF(X59=0,"0.00%",(AB59-X59)/X59)</f>
        <v>2.7286135693215339E-2</v>
      </c>
      <c r="AB59" s="340">
        <f>ROUND(X59*(LEFT(AC59,5)+1),0)</f>
        <v>6965</v>
      </c>
      <c r="AC59" s="953" t="str">
        <f>TEXT('MYP Assumptions'!J78,"0.00%")&amp;", CPI"</f>
        <v>2.73%, CPI</v>
      </c>
    </row>
    <row r="60" spans="1:29" s="457" customFormat="1" x14ac:dyDescent="0.25">
      <c r="A60" s="897"/>
      <c r="B60" s="2385"/>
      <c r="C60" s="2215"/>
      <c r="D60" s="340">
        <v>0</v>
      </c>
      <c r="E60" s="2386"/>
      <c r="F60" s="340"/>
      <c r="G60" s="456" t="str">
        <f t="shared" si="23"/>
        <v>0.00%</v>
      </c>
      <c r="H60" s="340">
        <f t="shared" ref="H60:H65" si="26">ROUND(D60*(LEFT(I60,5)+1),0)</f>
        <v>0</v>
      </c>
      <c r="I60" s="899" t="str">
        <f>TEXT('MYP Assumptions'!E78,"0.00%")&amp;", CPI"</f>
        <v>3.37%, CPI</v>
      </c>
      <c r="J60" s="455"/>
      <c r="K60" s="456" t="str">
        <f t="shared" ref="K60:K66" si="27">IF(H60=0,"0.00%",(L60-H60)/H60)</f>
        <v>0.00%</v>
      </c>
      <c r="L60" s="340">
        <f t="shared" ref="L60:L65" si="28">ROUND(H60*(LEFT(M60,5)+1),0)</f>
        <v>0</v>
      </c>
      <c r="M60" s="899" t="str">
        <f>TEXT('MYP Assumptions'!F78,"0.00%")&amp;", CPI"</f>
        <v>3.58%, CPI</v>
      </c>
      <c r="O60" s="456" t="str">
        <f t="shared" ref="O60:O66" si="29">IF(L60=0,"0.00%",(P60-L60)/L60)</f>
        <v>0.00%</v>
      </c>
      <c r="P60" s="340">
        <f t="shared" ref="P60:P65" si="30">ROUND(L60*(LEFT(Q60,5)+1),0)</f>
        <v>0</v>
      </c>
      <c r="Q60" s="899" t="str">
        <f>TEXT('MYP Assumptions'!G78,"0.00%")&amp;", CPI"</f>
        <v>3.36%, CPI</v>
      </c>
      <c r="R60" s="592"/>
      <c r="S60" s="2238" t="str">
        <f t="shared" ref="S60:S66" si="31">IF(P60=0,"0.00%",(T60-P60)/P60)</f>
        <v>0.00%</v>
      </c>
      <c r="T60" s="340">
        <f t="shared" ref="T60:T65" si="32">ROUND(P60*(LEFT(U60,5)+1),0)</f>
        <v>0</v>
      </c>
      <c r="U60" s="953" t="str">
        <f>TEXT('MYP Assumptions'!H78,"0.00%")&amp;", CPI"</f>
        <v>3.23%, CPI</v>
      </c>
      <c r="V60" s="952"/>
      <c r="W60" s="2241" t="str">
        <f t="shared" si="24"/>
        <v>0.00%</v>
      </c>
      <c r="X60" s="340">
        <f t="shared" ref="X60:X65" si="33">ROUND(T60*(LEFT(Y60,5)+1),0)</f>
        <v>0</v>
      </c>
      <c r="Y60" s="953" t="str">
        <f>TEXT('MYP Assumptions'!I78,"0.00%")&amp;", CPI"</f>
        <v>2.73%, CPI</v>
      </c>
      <c r="AA60" s="456" t="str">
        <f t="shared" si="25"/>
        <v>0.00%</v>
      </c>
      <c r="AB60" s="340">
        <f t="shared" ref="AB60:AB65" si="34">ROUND(X60*(LEFT(AC60,5)+1),0)</f>
        <v>0</v>
      </c>
      <c r="AC60" s="953" t="str">
        <f>TEXT('MYP Assumptions'!J78,"0.00%")&amp;", CPI"</f>
        <v>2.73%, CPI</v>
      </c>
    </row>
    <row r="61" spans="1:29" s="457" customFormat="1" hidden="1" x14ac:dyDescent="0.25">
      <c r="A61" s="897"/>
      <c r="B61" s="2385"/>
      <c r="C61" s="2215"/>
      <c r="D61" s="340">
        <v>0</v>
      </c>
      <c r="E61" s="2386"/>
      <c r="F61" s="340"/>
      <c r="G61" s="456" t="str">
        <f t="shared" si="23"/>
        <v>0.00%</v>
      </c>
      <c r="H61" s="340">
        <f t="shared" si="26"/>
        <v>0</v>
      </c>
      <c r="I61" s="899" t="str">
        <f>TEXT('MYP Assumptions'!E78,"0.00%")&amp;", CPI"</f>
        <v>3.37%, CPI</v>
      </c>
      <c r="J61" s="455"/>
      <c r="K61" s="456" t="str">
        <f t="shared" si="27"/>
        <v>0.00%</v>
      </c>
      <c r="L61" s="340">
        <f t="shared" si="28"/>
        <v>0</v>
      </c>
      <c r="M61" s="899" t="str">
        <f>TEXT('MYP Assumptions'!F78,"0.00%")&amp;", CPI"</f>
        <v>3.58%, CPI</v>
      </c>
      <c r="O61" s="456" t="str">
        <f t="shared" si="29"/>
        <v>0.00%</v>
      </c>
      <c r="P61" s="340">
        <f t="shared" si="30"/>
        <v>0</v>
      </c>
      <c r="Q61" s="899" t="str">
        <f>TEXT('MYP Assumptions'!G78,"0.00%")&amp;", CPI"</f>
        <v>3.36%, CPI</v>
      </c>
      <c r="R61" s="592"/>
      <c r="S61" s="2238" t="str">
        <f t="shared" si="31"/>
        <v>0.00%</v>
      </c>
      <c r="T61" s="340">
        <f t="shared" si="32"/>
        <v>0</v>
      </c>
      <c r="U61" s="953" t="str">
        <f>TEXT('MYP Assumptions'!H78,"0.00%")&amp;", CPI"</f>
        <v>3.23%, CPI</v>
      </c>
      <c r="V61" s="952"/>
      <c r="W61" s="2241" t="str">
        <f t="shared" si="24"/>
        <v>0.00%</v>
      </c>
      <c r="X61" s="340">
        <f t="shared" si="33"/>
        <v>0</v>
      </c>
      <c r="Y61" s="953" t="str">
        <f>TEXT('MYP Assumptions'!I78,"0.00%")&amp;", CPI"</f>
        <v>2.73%, CPI</v>
      </c>
      <c r="AA61" s="456" t="str">
        <f t="shared" si="25"/>
        <v>0.00%</v>
      </c>
      <c r="AB61" s="340">
        <f t="shared" si="34"/>
        <v>0</v>
      </c>
      <c r="AC61" s="953" t="str">
        <f>TEXT('MYP Assumptions'!J78,"0.00%")&amp;", CPI"</f>
        <v>2.73%, CPI</v>
      </c>
    </row>
    <row r="62" spans="1:29" s="457" customFormat="1" hidden="1" x14ac:dyDescent="0.25">
      <c r="A62" s="897"/>
      <c r="B62" s="2385"/>
      <c r="C62" s="2215"/>
      <c r="D62" s="340">
        <v>0</v>
      </c>
      <c r="E62" s="2386"/>
      <c r="F62" s="340"/>
      <c r="G62" s="456" t="str">
        <f t="shared" si="23"/>
        <v>0.00%</v>
      </c>
      <c r="H62" s="340">
        <f t="shared" si="26"/>
        <v>0</v>
      </c>
      <c r="I62" s="899" t="str">
        <f>TEXT('MYP Assumptions'!E78,"0.00%")&amp;", CPI"</f>
        <v>3.37%, CPI</v>
      </c>
      <c r="J62" s="455"/>
      <c r="K62" s="456" t="str">
        <f t="shared" si="27"/>
        <v>0.00%</v>
      </c>
      <c r="L62" s="340">
        <f t="shared" si="28"/>
        <v>0</v>
      </c>
      <c r="M62" s="899" t="str">
        <f>TEXT('MYP Assumptions'!F78,"0.00%")&amp;", CPI"</f>
        <v>3.58%, CPI</v>
      </c>
      <c r="O62" s="456" t="str">
        <f t="shared" si="29"/>
        <v>0.00%</v>
      </c>
      <c r="P62" s="340">
        <f t="shared" si="30"/>
        <v>0</v>
      </c>
      <c r="Q62" s="899" t="str">
        <f>TEXT('MYP Assumptions'!G78,"0.00%")&amp;", CPI"</f>
        <v>3.36%, CPI</v>
      </c>
      <c r="R62" s="592"/>
      <c r="S62" s="2238" t="str">
        <f t="shared" si="31"/>
        <v>0.00%</v>
      </c>
      <c r="T62" s="340">
        <f t="shared" si="32"/>
        <v>0</v>
      </c>
      <c r="U62" s="953" t="str">
        <f>TEXT('MYP Assumptions'!H78,"0.00%")&amp;", CPI"</f>
        <v>3.23%, CPI</v>
      </c>
      <c r="V62" s="952"/>
      <c r="W62" s="2241" t="str">
        <f t="shared" si="24"/>
        <v>0.00%</v>
      </c>
      <c r="X62" s="340">
        <f t="shared" si="33"/>
        <v>0</v>
      </c>
      <c r="Y62" s="953" t="str">
        <f>TEXT('MYP Assumptions'!I78,"0.00%")&amp;", CPI"</f>
        <v>2.73%, CPI</v>
      </c>
      <c r="AA62" s="456" t="str">
        <f t="shared" si="25"/>
        <v>0.00%</v>
      </c>
      <c r="AB62" s="340">
        <f t="shared" si="34"/>
        <v>0</v>
      </c>
      <c r="AC62" s="953" t="str">
        <f>TEXT('MYP Assumptions'!J78,"0.00%")&amp;", CPI"</f>
        <v>2.73%, CPI</v>
      </c>
    </row>
    <row r="63" spans="1:29" s="457" customFormat="1" hidden="1" x14ac:dyDescent="0.25">
      <c r="A63" s="897"/>
      <c r="B63" s="2385"/>
      <c r="C63" s="2215"/>
      <c r="D63" s="340">
        <v>0</v>
      </c>
      <c r="E63" s="2386"/>
      <c r="F63" s="340"/>
      <c r="G63" s="456" t="str">
        <f t="shared" si="23"/>
        <v>0.00%</v>
      </c>
      <c r="H63" s="340">
        <f t="shared" si="26"/>
        <v>0</v>
      </c>
      <c r="I63" s="899" t="str">
        <f>TEXT('MYP Assumptions'!E78,"0.00%")&amp;", CPI"</f>
        <v>3.37%, CPI</v>
      </c>
      <c r="J63" s="455"/>
      <c r="K63" s="456" t="str">
        <f t="shared" si="27"/>
        <v>0.00%</v>
      </c>
      <c r="L63" s="340">
        <f t="shared" si="28"/>
        <v>0</v>
      </c>
      <c r="M63" s="899" t="str">
        <f>TEXT('MYP Assumptions'!F78,"0.00%")&amp;", CPI"</f>
        <v>3.58%, CPI</v>
      </c>
      <c r="O63" s="456" t="str">
        <f t="shared" si="29"/>
        <v>0.00%</v>
      </c>
      <c r="P63" s="340">
        <f t="shared" si="30"/>
        <v>0</v>
      </c>
      <c r="Q63" s="899" t="str">
        <f>TEXT('MYP Assumptions'!G78,"0.00%")&amp;", CPI"</f>
        <v>3.36%, CPI</v>
      </c>
      <c r="R63" s="592"/>
      <c r="S63" s="2238" t="str">
        <f t="shared" si="31"/>
        <v>0.00%</v>
      </c>
      <c r="T63" s="340">
        <f t="shared" si="32"/>
        <v>0</v>
      </c>
      <c r="U63" s="953" t="str">
        <f>TEXT('MYP Assumptions'!H78,"0.00%")&amp;", CPI"</f>
        <v>3.23%, CPI</v>
      </c>
      <c r="V63" s="952"/>
      <c r="W63" s="2241" t="str">
        <f t="shared" si="24"/>
        <v>0.00%</v>
      </c>
      <c r="X63" s="340">
        <f t="shared" si="33"/>
        <v>0</v>
      </c>
      <c r="Y63" s="953" t="str">
        <f>TEXT('MYP Assumptions'!I78,"0.00%")&amp;", CPI"</f>
        <v>2.73%, CPI</v>
      </c>
      <c r="AA63" s="456" t="str">
        <f t="shared" si="25"/>
        <v>0.00%</v>
      </c>
      <c r="AB63" s="340">
        <f t="shared" si="34"/>
        <v>0</v>
      </c>
      <c r="AC63" s="953" t="str">
        <f>TEXT('MYP Assumptions'!J78,"0.00%")&amp;", CPI"</f>
        <v>2.73%, CPI</v>
      </c>
    </row>
    <row r="64" spans="1:29" s="457" customFormat="1" hidden="1" x14ac:dyDescent="0.25">
      <c r="A64" s="897"/>
      <c r="B64" s="2385"/>
      <c r="C64" s="2215"/>
      <c r="D64" s="340">
        <v>0</v>
      </c>
      <c r="E64" s="2386"/>
      <c r="F64" s="340"/>
      <c r="G64" s="456" t="str">
        <f t="shared" si="23"/>
        <v>0.00%</v>
      </c>
      <c r="H64" s="340">
        <f t="shared" si="26"/>
        <v>0</v>
      </c>
      <c r="I64" s="899" t="str">
        <f>TEXT('MYP Assumptions'!E78,"0.00%")&amp;", CPI"</f>
        <v>3.37%, CPI</v>
      </c>
      <c r="J64" s="455"/>
      <c r="K64" s="456" t="str">
        <f t="shared" si="27"/>
        <v>0.00%</v>
      </c>
      <c r="L64" s="340">
        <f t="shared" si="28"/>
        <v>0</v>
      </c>
      <c r="M64" s="899" t="str">
        <f>TEXT('MYP Assumptions'!F78,"0.00%")&amp;", CPI"</f>
        <v>3.58%, CPI</v>
      </c>
      <c r="O64" s="456" t="str">
        <f t="shared" si="29"/>
        <v>0.00%</v>
      </c>
      <c r="P64" s="340">
        <f t="shared" si="30"/>
        <v>0</v>
      </c>
      <c r="Q64" s="899" t="str">
        <f>TEXT('MYP Assumptions'!G78,"0.00%")&amp;", CPI"</f>
        <v>3.36%, CPI</v>
      </c>
      <c r="R64" s="592"/>
      <c r="S64" s="2238" t="str">
        <f t="shared" si="31"/>
        <v>0.00%</v>
      </c>
      <c r="T64" s="340">
        <f t="shared" si="32"/>
        <v>0</v>
      </c>
      <c r="U64" s="953" t="str">
        <f>TEXT('MYP Assumptions'!H78,"0.00%")&amp;", CPI"</f>
        <v>3.23%, CPI</v>
      </c>
      <c r="V64" s="952"/>
      <c r="W64" s="2241" t="str">
        <f t="shared" si="24"/>
        <v>0.00%</v>
      </c>
      <c r="X64" s="340">
        <f t="shared" si="33"/>
        <v>0</v>
      </c>
      <c r="Y64" s="953" t="str">
        <f>TEXT('MYP Assumptions'!I78,"0.00%")&amp;", CPI"</f>
        <v>2.73%, CPI</v>
      </c>
      <c r="AA64" s="456" t="str">
        <f t="shared" si="25"/>
        <v>0.00%</v>
      </c>
      <c r="AB64" s="340">
        <f t="shared" si="34"/>
        <v>0</v>
      </c>
      <c r="AC64" s="953" t="str">
        <f>TEXT('MYP Assumptions'!J78,"0.00%")&amp;", CPI"</f>
        <v>2.73%, CPI</v>
      </c>
    </row>
    <row r="65" spans="1:29" s="457" customFormat="1" hidden="1" x14ac:dyDescent="0.25">
      <c r="A65" s="897"/>
      <c r="B65" s="2385"/>
      <c r="C65" s="2349"/>
      <c r="D65" s="340">
        <v>0</v>
      </c>
      <c r="E65" s="2386"/>
      <c r="F65" s="340"/>
      <c r="G65" s="456" t="str">
        <f t="shared" si="23"/>
        <v>0.00%</v>
      </c>
      <c r="H65" s="340">
        <f t="shared" si="26"/>
        <v>0</v>
      </c>
      <c r="I65" s="899" t="str">
        <f>TEXT('MYP Assumptions'!E78,"0.00%")&amp;", CPI"</f>
        <v>3.37%, CPI</v>
      </c>
      <c r="J65" s="455"/>
      <c r="K65" s="456" t="str">
        <f t="shared" si="27"/>
        <v>0.00%</v>
      </c>
      <c r="L65" s="340">
        <f t="shared" si="28"/>
        <v>0</v>
      </c>
      <c r="M65" s="899" t="str">
        <f>TEXT('MYP Assumptions'!F78,"0.00%")&amp;", CPI"</f>
        <v>3.58%, CPI</v>
      </c>
      <c r="O65" s="456" t="str">
        <f t="shared" si="29"/>
        <v>0.00%</v>
      </c>
      <c r="P65" s="340">
        <f t="shared" si="30"/>
        <v>0</v>
      </c>
      <c r="Q65" s="899" t="str">
        <f>TEXT('MYP Assumptions'!G78,"0.00%")&amp;", CPI"</f>
        <v>3.36%, CPI</v>
      </c>
      <c r="R65" s="592"/>
      <c r="S65" s="2238" t="str">
        <f t="shared" si="31"/>
        <v>0.00%</v>
      </c>
      <c r="T65" s="340">
        <f t="shared" si="32"/>
        <v>0</v>
      </c>
      <c r="U65" s="953" t="str">
        <f>TEXT('MYP Assumptions'!H78,"0.00%")&amp;", CPI"</f>
        <v>3.23%, CPI</v>
      </c>
      <c r="V65" s="952"/>
      <c r="W65" s="2241" t="str">
        <f t="shared" si="24"/>
        <v>0.00%</v>
      </c>
      <c r="X65" s="340">
        <f t="shared" si="33"/>
        <v>0</v>
      </c>
      <c r="Y65" s="953" t="str">
        <f>TEXT('MYP Assumptions'!I78,"0.00%")&amp;", CPI"</f>
        <v>2.73%, CPI</v>
      </c>
      <c r="AA65" s="456" t="str">
        <f t="shared" si="25"/>
        <v>0.00%</v>
      </c>
      <c r="AB65" s="340">
        <f t="shared" si="34"/>
        <v>0</v>
      </c>
      <c r="AC65" s="953" t="str">
        <f>TEXT('MYP Assumptions'!J78,"0.00%")&amp;", CPI"</f>
        <v>2.73%, CPI</v>
      </c>
    </row>
    <row r="66" spans="1:29" s="457" customFormat="1" x14ac:dyDescent="0.25">
      <c r="A66" s="898"/>
      <c r="B66" s="2215"/>
      <c r="C66" s="2215"/>
      <c r="D66" s="458">
        <f>SUM(D59:D65)</f>
        <v>2805.4</v>
      </c>
      <c r="E66" s="2386"/>
      <c r="F66" s="340"/>
      <c r="G66" s="456">
        <f t="shared" si="23"/>
        <v>0.69530191773009187</v>
      </c>
      <c r="H66" s="458">
        <f>SUM(H59:H65)</f>
        <v>4756</v>
      </c>
      <c r="I66" s="898"/>
      <c r="J66" s="459"/>
      <c r="K66" s="456">
        <f t="shared" si="27"/>
        <v>0.38772077375946173</v>
      </c>
      <c r="L66" s="458">
        <f>SUM(L59:L65)</f>
        <v>6600</v>
      </c>
      <c r="M66" s="901"/>
      <c r="O66" s="456">
        <f t="shared" si="29"/>
        <v>0</v>
      </c>
      <c r="P66" s="458">
        <f>SUM(P59:P65)</f>
        <v>6600</v>
      </c>
      <c r="Q66" s="901"/>
      <c r="R66" s="592"/>
      <c r="S66" s="2238">
        <f t="shared" si="31"/>
        <v>0</v>
      </c>
      <c r="T66" s="458">
        <f>SUM(T59:T65)</f>
        <v>6600</v>
      </c>
      <c r="U66" s="2344"/>
      <c r="V66" s="952"/>
      <c r="W66" s="2241">
        <f t="shared" si="24"/>
        <v>2.7272727272727271E-2</v>
      </c>
      <c r="X66" s="458">
        <f>SUM(X59:X65)</f>
        <v>6780</v>
      </c>
      <c r="Y66" s="2344"/>
      <c r="AA66" s="456">
        <f t="shared" si="25"/>
        <v>2.7286135693215339E-2</v>
      </c>
      <c r="AB66" s="458">
        <f>SUM(AB59:AB65)</f>
        <v>6965</v>
      </c>
      <c r="AC66" s="2344"/>
    </row>
    <row r="67" spans="1:29" s="457" customFormat="1" x14ac:dyDescent="0.25">
      <c r="A67" s="897"/>
      <c r="B67" s="2345"/>
      <c r="C67" s="2215"/>
      <c r="D67" s="340"/>
      <c r="E67" s="2386"/>
      <c r="F67" s="340"/>
      <c r="G67" s="2338"/>
      <c r="H67" s="340"/>
      <c r="I67" s="897"/>
      <c r="J67" s="455"/>
      <c r="K67" s="1668"/>
      <c r="L67" s="340"/>
      <c r="M67" s="901"/>
      <c r="O67" s="1668"/>
      <c r="P67" s="340"/>
      <c r="Q67" s="901"/>
      <c r="R67" s="592"/>
      <c r="S67" s="2341"/>
      <c r="T67" s="340"/>
      <c r="U67" s="2344"/>
      <c r="V67" s="952"/>
      <c r="W67" s="2343"/>
      <c r="X67" s="340"/>
      <c r="Y67" s="2344"/>
      <c r="AA67" s="1668"/>
      <c r="AB67" s="340"/>
      <c r="AC67" s="2344"/>
    </row>
    <row r="68" spans="1:29" s="461" customFormat="1" x14ac:dyDescent="0.25">
      <c r="A68" s="900"/>
      <c r="B68" s="2337" t="s">
        <v>16</v>
      </c>
      <c r="C68" s="2225"/>
      <c r="D68" s="460"/>
      <c r="E68" s="868"/>
      <c r="F68" s="460"/>
      <c r="G68" s="2389"/>
      <c r="H68" s="460"/>
      <c r="I68" s="900"/>
      <c r="K68" s="1669"/>
      <c r="L68" s="460"/>
      <c r="M68" s="902"/>
      <c r="O68" s="1669"/>
      <c r="P68" s="460"/>
      <c r="Q68" s="902"/>
      <c r="S68" s="1669"/>
      <c r="U68" s="2392"/>
      <c r="V68" s="2381"/>
      <c r="W68" s="2382"/>
      <c r="Y68" s="2392"/>
      <c r="AA68" s="1669"/>
      <c r="AC68" s="2392"/>
    </row>
    <row r="69" spans="1:29" s="457" customFormat="1" x14ac:dyDescent="0.25">
      <c r="A69" s="897"/>
      <c r="B69" s="2385">
        <v>5813</v>
      </c>
      <c r="C69" s="2215" t="s">
        <v>6</v>
      </c>
      <c r="D69" s="340">
        <v>1680</v>
      </c>
      <c r="E69" s="2386"/>
      <c r="F69" s="340"/>
      <c r="G69" s="456">
        <f t="shared" ref="G69:G74" si="35">IF(D69=0,"0.00%",(H69-D69)/D69)</f>
        <v>0.90476190476190477</v>
      </c>
      <c r="H69" s="833">
        <v>3200</v>
      </c>
      <c r="I69" s="1656" t="s">
        <v>173</v>
      </c>
      <c r="J69" s="342"/>
      <c r="K69" s="456">
        <f>IF(H69=0,"0.00%",(L69-H69)/H69)</f>
        <v>-0.53125</v>
      </c>
      <c r="L69" s="833">
        <v>1500</v>
      </c>
      <c r="M69" s="1656" t="s">
        <v>173</v>
      </c>
      <c r="O69" s="456">
        <f>IF(L69=0,"0.00%",(P69-L69)/L69)</f>
        <v>0</v>
      </c>
      <c r="P69" s="833">
        <f>+L69</f>
        <v>1500</v>
      </c>
      <c r="Q69" s="1656" t="s">
        <v>173</v>
      </c>
      <c r="R69" s="592"/>
      <c r="S69" s="2238">
        <f>IF(P69=0,"0.00%",(T69-P69)/P69)</f>
        <v>0</v>
      </c>
      <c r="T69" s="833">
        <f>+P69</f>
        <v>1500</v>
      </c>
      <c r="U69" s="457" t="s">
        <v>173</v>
      </c>
      <c r="V69" s="952"/>
      <c r="W69" s="2241">
        <f t="shared" ref="W69:W82" si="36">IF(T69=0,"0.00%",(X69-T69)/T69)</f>
        <v>2.7333333333333334E-2</v>
      </c>
      <c r="X69" s="340">
        <f>ROUND(T69*(LEFT(Y69,5)+1),0)</f>
        <v>1541</v>
      </c>
      <c r="Y69" s="953" t="str">
        <f>TEXT('MYP Assumptions'!I78,"0.00%")&amp;", CPI"</f>
        <v>2.73%, CPI</v>
      </c>
      <c r="AA69" s="456">
        <f t="shared" ref="AA69:AA82" si="37">IF(X69=0,"0.00%",(AB69-X69)/X69)</f>
        <v>2.7255029201817001E-2</v>
      </c>
      <c r="AB69" s="340">
        <f>ROUND(X69*(LEFT(AC69,5)+1),0)</f>
        <v>1583</v>
      </c>
      <c r="AC69" s="953" t="str">
        <f>TEXT('MYP Assumptions'!J78,"0.00%")&amp;", CPI"</f>
        <v>2.73%, CPI</v>
      </c>
    </row>
    <row r="70" spans="1:29" s="457" customFormat="1" x14ac:dyDescent="0.25">
      <c r="A70" s="897"/>
      <c r="B70" s="2385"/>
      <c r="C70" s="2215"/>
      <c r="D70" s="340">
        <v>0</v>
      </c>
      <c r="E70" s="2386"/>
      <c r="F70" s="340"/>
      <c r="G70" s="456" t="str">
        <f t="shared" si="35"/>
        <v>0.00%</v>
      </c>
      <c r="H70" s="340">
        <f>ROUND(D70*(LEFT(I70,5)+1),0)</f>
        <v>0</v>
      </c>
      <c r="I70" s="899" t="str">
        <f>TEXT('MYP Assumptions'!E78,"0.00%")&amp;", CPI"</f>
        <v>3.37%, CPI</v>
      </c>
      <c r="J70" s="455"/>
      <c r="K70" s="456" t="str">
        <f t="shared" ref="K70:K82" si="38">IF(H70=0,"0.00%",(L70-H70)/H70)</f>
        <v>0.00%</v>
      </c>
      <c r="L70" s="340">
        <f t="shared" ref="L70:L81" si="39">ROUND(H70*(LEFT(M70,5)+1),0)</f>
        <v>0</v>
      </c>
      <c r="M70" s="899" t="str">
        <f>TEXT('MYP Assumptions'!F78,"0.00%")&amp;", CPI"</f>
        <v>3.58%, CPI</v>
      </c>
      <c r="O70" s="456" t="str">
        <f t="shared" ref="O70:O82" si="40">IF(L70=0,"0.00%",(P70-L70)/L70)</f>
        <v>0.00%</v>
      </c>
      <c r="P70" s="340">
        <f t="shared" ref="P70:P81" si="41">ROUND(L70*(LEFT(Q70,5)+1),0)</f>
        <v>0</v>
      </c>
      <c r="Q70" s="899" t="str">
        <f>TEXT('MYP Assumptions'!G78,"0.00%")&amp;", CPI"</f>
        <v>3.36%, CPI</v>
      </c>
      <c r="R70" s="592"/>
      <c r="S70" s="2238" t="str">
        <f t="shared" ref="S70:S82" si="42">IF(P70=0,"0.00%",(T70-P70)/P70)</f>
        <v>0.00%</v>
      </c>
      <c r="T70" s="340">
        <f t="shared" ref="T70:T81" si="43">ROUND(P70*(LEFT(U70,5)+1),0)</f>
        <v>0</v>
      </c>
      <c r="U70" s="953" t="str">
        <f>TEXT('MYP Assumptions'!H78,"0.00%")&amp;", CPI"</f>
        <v>3.23%, CPI</v>
      </c>
      <c r="V70" s="952"/>
      <c r="W70" s="2241" t="str">
        <f t="shared" si="36"/>
        <v>0.00%</v>
      </c>
      <c r="X70" s="340">
        <f t="shared" ref="X70:X81" si="44">ROUND(T70*(LEFT(Y70,5)+1),0)</f>
        <v>0</v>
      </c>
      <c r="Y70" s="953" t="str">
        <f>TEXT('MYP Assumptions'!I78,"0.00%")&amp;", CPI"</f>
        <v>2.73%, CPI</v>
      </c>
      <c r="AA70" s="456" t="str">
        <f t="shared" si="37"/>
        <v>0.00%</v>
      </c>
      <c r="AB70" s="340">
        <f t="shared" ref="AB70:AB81" si="45">ROUND(X70*(LEFT(AC70,5)+1),0)</f>
        <v>0</v>
      </c>
      <c r="AC70" s="953" t="str">
        <f>TEXT('MYP Assumptions'!J78,"0.00%")&amp;", CPI"</f>
        <v>2.73%, CPI</v>
      </c>
    </row>
    <row r="71" spans="1:29" s="457" customFormat="1" hidden="1" x14ac:dyDescent="0.25">
      <c r="A71" s="897"/>
      <c r="B71" s="2385"/>
      <c r="C71" s="2215"/>
      <c r="D71" s="340">
        <v>0</v>
      </c>
      <c r="E71" s="2386"/>
      <c r="F71" s="340"/>
      <c r="G71" s="456" t="str">
        <f t="shared" si="35"/>
        <v>0.00%</v>
      </c>
      <c r="H71" s="340">
        <f t="shared" ref="H71:H76" si="46">ROUND(D71*(LEFT(I71,5)+1),0)</f>
        <v>0</v>
      </c>
      <c r="I71" s="899" t="str">
        <f>TEXT('MYP Assumptions'!E78,"0.00%")&amp;", CPI"</f>
        <v>3.37%, CPI</v>
      </c>
      <c r="J71" s="455"/>
      <c r="K71" s="456" t="str">
        <f t="shared" si="38"/>
        <v>0.00%</v>
      </c>
      <c r="L71" s="340">
        <f t="shared" si="39"/>
        <v>0</v>
      </c>
      <c r="M71" s="899" t="str">
        <f>TEXT('MYP Assumptions'!F78,"0.00%")&amp;", CPI"</f>
        <v>3.58%, CPI</v>
      </c>
      <c r="O71" s="456" t="str">
        <f t="shared" si="40"/>
        <v>0.00%</v>
      </c>
      <c r="P71" s="340">
        <f t="shared" si="41"/>
        <v>0</v>
      </c>
      <c r="Q71" s="899" t="str">
        <f>TEXT('MYP Assumptions'!G78,"0.00%")&amp;", CPI"</f>
        <v>3.36%, CPI</v>
      </c>
      <c r="R71" s="592"/>
      <c r="S71" s="2238" t="str">
        <f t="shared" si="42"/>
        <v>0.00%</v>
      </c>
      <c r="T71" s="340">
        <f t="shared" si="43"/>
        <v>0</v>
      </c>
      <c r="U71" s="953" t="str">
        <f>TEXT('MYP Assumptions'!H78,"0.00%")&amp;", CPI"</f>
        <v>3.23%, CPI</v>
      </c>
      <c r="V71" s="952"/>
      <c r="W71" s="2241" t="str">
        <f t="shared" si="36"/>
        <v>0.00%</v>
      </c>
      <c r="X71" s="340">
        <f t="shared" si="44"/>
        <v>0</v>
      </c>
      <c r="Y71" s="953" t="str">
        <f>TEXT('MYP Assumptions'!I78,"0.00%")&amp;", CPI"</f>
        <v>2.73%, CPI</v>
      </c>
      <c r="AA71" s="456" t="str">
        <f t="shared" si="37"/>
        <v>0.00%</v>
      </c>
      <c r="AB71" s="340">
        <f t="shared" si="45"/>
        <v>0</v>
      </c>
      <c r="AC71" s="953" t="str">
        <f>TEXT('MYP Assumptions'!J78,"0.00%")&amp;", CPI"</f>
        <v>2.73%, CPI</v>
      </c>
    </row>
    <row r="72" spans="1:29" s="457" customFormat="1" hidden="1" x14ac:dyDescent="0.25">
      <c r="A72" s="897"/>
      <c r="B72" s="2385"/>
      <c r="C72" s="2215"/>
      <c r="D72" s="340">
        <v>0</v>
      </c>
      <c r="E72" s="2386"/>
      <c r="F72" s="340"/>
      <c r="G72" s="456" t="str">
        <f t="shared" si="35"/>
        <v>0.00%</v>
      </c>
      <c r="H72" s="340">
        <f t="shared" si="46"/>
        <v>0</v>
      </c>
      <c r="I72" s="899" t="str">
        <f>TEXT('MYP Assumptions'!E78,"0.00%")&amp;", CPI"</f>
        <v>3.37%, CPI</v>
      </c>
      <c r="J72" s="455"/>
      <c r="K72" s="456" t="str">
        <f t="shared" si="38"/>
        <v>0.00%</v>
      </c>
      <c r="L72" s="340">
        <f t="shared" si="39"/>
        <v>0</v>
      </c>
      <c r="M72" s="899" t="str">
        <f>TEXT('MYP Assumptions'!F78,"0.00%")&amp;", CPI"</f>
        <v>3.58%, CPI</v>
      </c>
      <c r="O72" s="456" t="str">
        <f t="shared" si="40"/>
        <v>0.00%</v>
      </c>
      <c r="P72" s="340">
        <f t="shared" si="41"/>
        <v>0</v>
      </c>
      <c r="Q72" s="899" t="str">
        <f>TEXT('MYP Assumptions'!G78,"0.00%")&amp;", CPI"</f>
        <v>3.36%, CPI</v>
      </c>
      <c r="R72" s="592"/>
      <c r="S72" s="2238" t="str">
        <f t="shared" si="42"/>
        <v>0.00%</v>
      </c>
      <c r="T72" s="340">
        <f t="shared" si="43"/>
        <v>0</v>
      </c>
      <c r="U72" s="953" t="str">
        <f>TEXT('MYP Assumptions'!H78,"0.00%")&amp;", CPI"</f>
        <v>3.23%, CPI</v>
      </c>
      <c r="V72" s="952"/>
      <c r="W72" s="2241" t="str">
        <f t="shared" si="36"/>
        <v>0.00%</v>
      </c>
      <c r="X72" s="340">
        <f t="shared" si="44"/>
        <v>0</v>
      </c>
      <c r="Y72" s="953" t="str">
        <f>TEXT('MYP Assumptions'!I78,"0.00%")&amp;", CPI"</f>
        <v>2.73%, CPI</v>
      </c>
      <c r="AA72" s="456" t="str">
        <f t="shared" si="37"/>
        <v>0.00%</v>
      </c>
      <c r="AB72" s="340">
        <f t="shared" si="45"/>
        <v>0</v>
      </c>
      <c r="AC72" s="953" t="str">
        <f>TEXT('MYP Assumptions'!J78,"0.00%")&amp;", CPI"</f>
        <v>2.73%, CPI</v>
      </c>
    </row>
    <row r="73" spans="1:29" s="457" customFormat="1" hidden="1" x14ac:dyDescent="0.25">
      <c r="A73" s="897"/>
      <c r="B73" s="2385"/>
      <c r="C73" s="2215"/>
      <c r="D73" s="340">
        <v>0</v>
      </c>
      <c r="E73" s="2386"/>
      <c r="F73" s="340"/>
      <c r="G73" s="456" t="str">
        <f t="shared" si="35"/>
        <v>0.00%</v>
      </c>
      <c r="H73" s="340">
        <f t="shared" si="46"/>
        <v>0</v>
      </c>
      <c r="I73" s="899" t="str">
        <f>TEXT('MYP Assumptions'!E78,"0.00%")&amp;", CPI"</f>
        <v>3.37%, CPI</v>
      </c>
      <c r="J73" s="455"/>
      <c r="K73" s="456" t="str">
        <f t="shared" si="38"/>
        <v>0.00%</v>
      </c>
      <c r="L73" s="340">
        <f t="shared" si="39"/>
        <v>0</v>
      </c>
      <c r="M73" s="899" t="str">
        <f>TEXT('MYP Assumptions'!F78,"0.00%")&amp;", CPI"</f>
        <v>3.58%, CPI</v>
      </c>
      <c r="O73" s="456" t="str">
        <f t="shared" si="40"/>
        <v>0.00%</v>
      </c>
      <c r="P73" s="340">
        <f t="shared" si="41"/>
        <v>0</v>
      </c>
      <c r="Q73" s="899" t="str">
        <f>TEXT('MYP Assumptions'!G78,"0.00%")&amp;", CPI"</f>
        <v>3.36%, CPI</v>
      </c>
      <c r="R73" s="592"/>
      <c r="S73" s="2238" t="str">
        <f t="shared" si="42"/>
        <v>0.00%</v>
      </c>
      <c r="T73" s="340">
        <f t="shared" si="43"/>
        <v>0</v>
      </c>
      <c r="U73" s="953" t="str">
        <f>TEXT('MYP Assumptions'!H78,"0.00%")&amp;", CPI"</f>
        <v>3.23%, CPI</v>
      </c>
      <c r="V73" s="952"/>
      <c r="W73" s="2241" t="str">
        <f t="shared" si="36"/>
        <v>0.00%</v>
      </c>
      <c r="X73" s="340">
        <f t="shared" si="44"/>
        <v>0</v>
      </c>
      <c r="Y73" s="953" t="str">
        <f>TEXT('MYP Assumptions'!I78,"0.00%")&amp;", CPI"</f>
        <v>2.73%, CPI</v>
      </c>
      <c r="AA73" s="456" t="str">
        <f t="shared" si="37"/>
        <v>0.00%</v>
      </c>
      <c r="AB73" s="340">
        <f t="shared" si="45"/>
        <v>0</v>
      </c>
      <c r="AC73" s="953" t="str">
        <f>TEXT('MYP Assumptions'!J78,"0.00%")&amp;", CPI"</f>
        <v>2.73%, CPI</v>
      </c>
    </row>
    <row r="74" spans="1:29" s="457" customFormat="1" hidden="1" x14ac:dyDescent="0.25">
      <c r="A74" s="897"/>
      <c r="B74" s="2385"/>
      <c r="C74" s="2215"/>
      <c r="D74" s="340">
        <v>0</v>
      </c>
      <c r="E74" s="2386"/>
      <c r="F74" s="340"/>
      <c r="G74" s="456" t="str">
        <f t="shared" si="35"/>
        <v>0.00%</v>
      </c>
      <c r="H74" s="340">
        <f t="shared" si="46"/>
        <v>0</v>
      </c>
      <c r="I74" s="899" t="str">
        <f>TEXT('MYP Assumptions'!E78,"0.00%")&amp;", CPI"</f>
        <v>3.37%, CPI</v>
      </c>
      <c r="J74" s="455"/>
      <c r="K74" s="456" t="str">
        <f t="shared" si="38"/>
        <v>0.00%</v>
      </c>
      <c r="L74" s="340">
        <f t="shared" si="39"/>
        <v>0</v>
      </c>
      <c r="M74" s="899" t="str">
        <f>TEXT('MYP Assumptions'!F78,"0.00%")&amp;", CPI"</f>
        <v>3.58%, CPI</v>
      </c>
      <c r="O74" s="456" t="str">
        <f t="shared" si="40"/>
        <v>0.00%</v>
      </c>
      <c r="P74" s="340">
        <f t="shared" si="41"/>
        <v>0</v>
      </c>
      <c r="Q74" s="899" t="str">
        <f>TEXT('MYP Assumptions'!G78,"0.00%")&amp;", CPI"</f>
        <v>3.36%, CPI</v>
      </c>
      <c r="R74" s="592"/>
      <c r="S74" s="2238" t="str">
        <f t="shared" si="42"/>
        <v>0.00%</v>
      </c>
      <c r="T74" s="340">
        <f t="shared" si="43"/>
        <v>0</v>
      </c>
      <c r="U74" s="953" t="str">
        <f>TEXT('MYP Assumptions'!H78,"0.00%")&amp;", CPI"</f>
        <v>3.23%, CPI</v>
      </c>
      <c r="V74" s="952"/>
      <c r="W74" s="2241" t="str">
        <f t="shared" si="36"/>
        <v>0.00%</v>
      </c>
      <c r="X74" s="340">
        <f t="shared" si="44"/>
        <v>0</v>
      </c>
      <c r="Y74" s="953" t="str">
        <f>TEXT('MYP Assumptions'!I78,"0.00%")&amp;", CPI"</f>
        <v>2.73%, CPI</v>
      </c>
      <c r="AA74" s="456" t="str">
        <f t="shared" si="37"/>
        <v>0.00%</v>
      </c>
      <c r="AB74" s="340">
        <f t="shared" si="45"/>
        <v>0</v>
      </c>
      <c r="AC74" s="953" t="str">
        <f>TEXT('MYP Assumptions'!J78,"0.00%")&amp;", CPI"</f>
        <v>2.73%, CPI</v>
      </c>
    </row>
    <row r="75" spans="1:29" s="457" customFormat="1" hidden="1" x14ac:dyDescent="0.25">
      <c r="A75" s="897"/>
      <c r="B75" s="2385"/>
      <c r="C75" s="2215"/>
      <c r="D75" s="340">
        <v>0</v>
      </c>
      <c r="E75" s="2386"/>
      <c r="F75" s="340"/>
      <c r="G75" s="456" t="str">
        <f>IF(D75=0,"0.00%",(H75-D75)/D75)</f>
        <v>0.00%</v>
      </c>
      <c r="H75" s="340">
        <f t="shared" si="46"/>
        <v>0</v>
      </c>
      <c r="I75" s="899" t="str">
        <f>TEXT('MYP Assumptions'!E78,"0.00%")&amp;", CPI"</f>
        <v>3.37%, CPI</v>
      </c>
      <c r="J75" s="455"/>
      <c r="K75" s="456" t="str">
        <f t="shared" si="38"/>
        <v>0.00%</v>
      </c>
      <c r="L75" s="340">
        <f t="shared" si="39"/>
        <v>0</v>
      </c>
      <c r="M75" s="899" t="str">
        <f>TEXT('MYP Assumptions'!F78,"0.00%")&amp;", CPI"</f>
        <v>3.58%, CPI</v>
      </c>
      <c r="O75" s="456" t="str">
        <f t="shared" si="40"/>
        <v>0.00%</v>
      </c>
      <c r="P75" s="340">
        <f t="shared" si="41"/>
        <v>0</v>
      </c>
      <c r="Q75" s="899" t="str">
        <f>TEXT('MYP Assumptions'!G78,"0.00%")&amp;", CPI"</f>
        <v>3.36%, CPI</v>
      </c>
      <c r="R75" s="592"/>
      <c r="S75" s="2238" t="str">
        <f t="shared" si="42"/>
        <v>0.00%</v>
      </c>
      <c r="T75" s="340">
        <f t="shared" si="43"/>
        <v>0</v>
      </c>
      <c r="U75" s="953" t="str">
        <f>TEXT('MYP Assumptions'!H78,"0.00%")&amp;", CPI"</f>
        <v>3.23%, CPI</v>
      </c>
      <c r="V75" s="952"/>
      <c r="W75" s="2241" t="str">
        <f t="shared" si="36"/>
        <v>0.00%</v>
      </c>
      <c r="X75" s="340">
        <f t="shared" si="44"/>
        <v>0</v>
      </c>
      <c r="Y75" s="953" t="str">
        <f>TEXT('MYP Assumptions'!I78,"0.00%")&amp;", CPI"</f>
        <v>2.73%, CPI</v>
      </c>
      <c r="AA75" s="456" t="str">
        <f t="shared" si="37"/>
        <v>0.00%</v>
      </c>
      <c r="AB75" s="340">
        <f t="shared" si="45"/>
        <v>0</v>
      </c>
      <c r="AC75" s="953" t="str">
        <f>TEXT('MYP Assumptions'!J78,"0.00%")&amp;", CPI"</f>
        <v>2.73%, CPI</v>
      </c>
    </row>
    <row r="76" spans="1:29" s="457" customFormat="1" hidden="1" x14ac:dyDescent="0.25">
      <c r="A76" s="897"/>
      <c r="B76" s="2385"/>
      <c r="C76" s="2215"/>
      <c r="D76" s="340">
        <v>0</v>
      </c>
      <c r="E76" s="2386"/>
      <c r="F76" s="340"/>
      <c r="G76" s="456" t="str">
        <f t="shared" ref="G76:G82" si="47">IF(D76=0,"0.00%",(H76-D76)/D76)</f>
        <v>0.00%</v>
      </c>
      <c r="H76" s="340">
        <f t="shared" si="46"/>
        <v>0</v>
      </c>
      <c r="I76" s="899" t="str">
        <f>TEXT('MYP Assumptions'!E78,"0.00%")&amp;", CPI"</f>
        <v>3.37%, CPI</v>
      </c>
      <c r="J76" s="455"/>
      <c r="K76" s="456" t="str">
        <f t="shared" si="38"/>
        <v>0.00%</v>
      </c>
      <c r="L76" s="340">
        <f t="shared" si="39"/>
        <v>0</v>
      </c>
      <c r="M76" s="899" t="str">
        <f>TEXT('MYP Assumptions'!F78,"0.00%")&amp;", CPI"</f>
        <v>3.58%, CPI</v>
      </c>
      <c r="O76" s="456" t="str">
        <f t="shared" si="40"/>
        <v>0.00%</v>
      </c>
      <c r="P76" s="340">
        <f t="shared" si="41"/>
        <v>0</v>
      </c>
      <c r="Q76" s="899" t="str">
        <f>TEXT('MYP Assumptions'!G78,"0.00%")&amp;", CPI"</f>
        <v>3.36%, CPI</v>
      </c>
      <c r="R76" s="592"/>
      <c r="S76" s="2238" t="str">
        <f t="shared" si="42"/>
        <v>0.00%</v>
      </c>
      <c r="T76" s="340">
        <f t="shared" si="43"/>
        <v>0</v>
      </c>
      <c r="U76" s="953" t="str">
        <f>TEXT('MYP Assumptions'!H78,"0.00%")&amp;", CPI"</f>
        <v>3.23%, CPI</v>
      </c>
      <c r="V76" s="952"/>
      <c r="W76" s="2241" t="str">
        <f t="shared" si="36"/>
        <v>0.00%</v>
      </c>
      <c r="X76" s="340">
        <f t="shared" si="44"/>
        <v>0</v>
      </c>
      <c r="Y76" s="953" t="str">
        <f>TEXT('MYP Assumptions'!I78,"0.00%")&amp;", CPI"</f>
        <v>2.73%, CPI</v>
      </c>
      <c r="AA76" s="456" t="str">
        <f t="shared" si="37"/>
        <v>0.00%</v>
      </c>
      <c r="AB76" s="340">
        <f t="shared" si="45"/>
        <v>0</v>
      </c>
      <c r="AC76" s="953" t="str">
        <f>TEXT('MYP Assumptions'!J78,"0.00%")&amp;", CPI"</f>
        <v>2.73%, CPI</v>
      </c>
    </row>
    <row r="77" spans="1:29" s="457" customFormat="1" hidden="1" x14ac:dyDescent="0.25">
      <c r="A77" s="897"/>
      <c r="B77" s="2385"/>
      <c r="C77" s="2215"/>
      <c r="D77" s="340">
        <v>0</v>
      </c>
      <c r="E77" s="2386"/>
      <c r="F77" s="340"/>
      <c r="G77" s="456" t="str">
        <f t="shared" si="47"/>
        <v>0.00%</v>
      </c>
      <c r="H77" s="340">
        <f>ROUND(D77*(LEFT(I77,5)+1),0)</f>
        <v>0</v>
      </c>
      <c r="I77" s="899" t="str">
        <f>TEXT('MYP Assumptions'!E78,"0.00%")&amp;", CPI"</f>
        <v>3.37%, CPI</v>
      </c>
      <c r="J77" s="455"/>
      <c r="K77" s="456" t="str">
        <f t="shared" si="38"/>
        <v>0.00%</v>
      </c>
      <c r="L77" s="340">
        <f t="shared" si="39"/>
        <v>0</v>
      </c>
      <c r="M77" s="899" t="str">
        <f>TEXT('MYP Assumptions'!F78,"0.00%")&amp;", CPI"</f>
        <v>3.58%, CPI</v>
      </c>
      <c r="O77" s="456" t="str">
        <f t="shared" si="40"/>
        <v>0.00%</v>
      </c>
      <c r="P77" s="340">
        <f t="shared" si="41"/>
        <v>0</v>
      </c>
      <c r="Q77" s="899" t="str">
        <f>TEXT('MYP Assumptions'!G78,"0.00%")&amp;", CPI"</f>
        <v>3.36%, CPI</v>
      </c>
      <c r="R77" s="592"/>
      <c r="S77" s="2238" t="str">
        <f t="shared" si="42"/>
        <v>0.00%</v>
      </c>
      <c r="T77" s="340">
        <f t="shared" si="43"/>
        <v>0</v>
      </c>
      <c r="U77" s="953" t="str">
        <f>TEXT('MYP Assumptions'!H78,"0.00%")&amp;", CPI"</f>
        <v>3.23%, CPI</v>
      </c>
      <c r="V77" s="952"/>
      <c r="W77" s="2241" t="str">
        <f t="shared" si="36"/>
        <v>0.00%</v>
      </c>
      <c r="X77" s="340">
        <f t="shared" si="44"/>
        <v>0</v>
      </c>
      <c r="Y77" s="953" t="str">
        <f>TEXT('MYP Assumptions'!I78,"0.00%")&amp;", CPI"</f>
        <v>2.73%, CPI</v>
      </c>
      <c r="AA77" s="456" t="str">
        <f t="shared" si="37"/>
        <v>0.00%</v>
      </c>
      <c r="AB77" s="340">
        <f t="shared" si="45"/>
        <v>0</v>
      </c>
      <c r="AC77" s="953" t="str">
        <f>TEXT('MYP Assumptions'!J78,"0.00%")&amp;", CPI"</f>
        <v>2.73%, CPI</v>
      </c>
    </row>
    <row r="78" spans="1:29" s="457" customFormat="1" hidden="1" x14ac:dyDescent="0.25">
      <c r="A78" s="897"/>
      <c r="B78" s="2385"/>
      <c r="C78" s="2215"/>
      <c r="D78" s="340">
        <v>0</v>
      </c>
      <c r="E78" s="2386"/>
      <c r="F78" s="340"/>
      <c r="G78" s="456" t="str">
        <f t="shared" si="47"/>
        <v>0.00%</v>
      </c>
      <c r="H78" s="340">
        <f>ROUND(D78*(LEFT(I78,5)+1),0)</f>
        <v>0</v>
      </c>
      <c r="I78" s="899" t="str">
        <f>TEXT('MYP Assumptions'!E78,"0.00%")&amp;", CPI"</f>
        <v>3.37%, CPI</v>
      </c>
      <c r="J78" s="455"/>
      <c r="K78" s="456" t="str">
        <f t="shared" si="38"/>
        <v>0.00%</v>
      </c>
      <c r="L78" s="340">
        <f t="shared" si="39"/>
        <v>0</v>
      </c>
      <c r="M78" s="899" t="str">
        <f>TEXT('MYP Assumptions'!F78,"0.00%")&amp;", CPI"</f>
        <v>3.58%, CPI</v>
      </c>
      <c r="O78" s="456" t="str">
        <f t="shared" si="40"/>
        <v>0.00%</v>
      </c>
      <c r="P78" s="340">
        <f t="shared" si="41"/>
        <v>0</v>
      </c>
      <c r="Q78" s="899" t="str">
        <f>TEXT('MYP Assumptions'!G78,"0.00%")&amp;", CPI"</f>
        <v>3.36%, CPI</v>
      </c>
      <c r="R78" s="592"/>
      <c r="S78" s="2238" t="str">
        <f t="shared" si="42"/>
        <v>0.00%</v>
      </c>
      <c r="T78" s="340">
        <f t="shared" si="43"/>
        <v>0</v>
      </c>
      <c r="U78" s="953" t="str">
        <f>TEXT('MYP Assumptions'!H78,"0.00%")&amp;", CPI"</f>
        <v>3.23%, CPI</v>
      </c>
      <c r="V78" s="952"/>
      <c r="W78" s="2241" t="str">
        <f t="shared" si="36"/>
        <v>0.00%</v>
      </c>
      <c r="X78" s="340">
        <f t="shared" si="44"/>
        <v>0</v>
      </c>
      <c r="Y78" s="953" t="str">
        <f>TEXT('MYP Assumptions'!I78,"0.00%")&amp;", CPI"</f>
        <v>2.73%, CPI</v>
      </c>
      <c r="AA78" s="456" t="str">
        <f t="shared" si="37"/>
        <v>0.00%</v>
      </c>
      <c r="AB78" s="340">
        <f t="shared" si="45"/>
        <v>0</v>
      </c>
      <c r="AC78" s="953" t="str">
        <f>TEXT('MYP Assumptions'!J78,"0.00%")&amp;", CPI"</f>
        <v>2.73%, CPI</v>
      </c>
    </row>
    <row r="79" spans="1:29" s="457" customFormat="1" hidden="1" x14ac:dyDescent="0.25">
      <c r="A79" s="897"/>
      <c r="B79" s="2385"/>
      <c r="C79" s="2215"/>
      <c r="D79" s="340">
        <v>0</v>
      </c>
      <c r="E79" s="2386"/>
      <c r="F79" s="340"/>
      <c r="G79" s="456" t="str">
        <f t="shared" si="47"/>
        <v>0.00%</v>
      </c>
      <c r="H79" s="340">
        <f>ROUND(D79*(LEFT(I79,5)+1),0)</f>
        <v>0</v>
      </c>
      <c r="I79" s="899" t="str">
        <f>TEXT('MYP Assumptions'!E78,"0.00%")&amp;", CPI"</f>
        <v>3.37%, CPI</v>
      </c>
      <c r="J79" s="455"/>
      <c r="K79" s="456" t="str">
        <f t="shared" si="38"/>
        <v>0.00%</v>
      </c>
      <c r="L79" s="340">
        <f t="shared" si="39"/>
        <v>0</v>
      </c>
      <c r="M79" s="899" t="str">
        <f>TEXT('MYP Assumptions'!F78,"0.00%")&amp;", CPI"</f>
        <v>3.58%, CPI</v>
      </c>
      <c r="O79" s="456" t="str">
        <f t="shared" si="40"/>
        <v>0.00%</v>
      </c>
      <c r="P79" s="340">
        <f t="shared" si="41"/>
        <v>0</v>
      </c>
      <c r="Q79" s="899" t="str">
        <f>TEXT('MYP Assumptions'!G78,"0.00%")&amp;", CPI"</f>
        <v>3.36%, CPI</v>
      </c>
      <c r="R79" s="592"/>
      <c r="S79" s="2238" t="str">
        <f t="shared" si="42"/>
        <v>0.00%</v>
      </c>
      <c r="T79" s="340">
        <f t="shared" si="43"/>
        <v>0</v>
      </c>
      <c r="U79" s="953" t="str">
        <f>TEXT('MYP Assumptions'!H78,"0.00%")&amp;", CPI"</f>
        <v>3.23%, CPI</v>
      </c>
      <c r="V79" s="952"/>
      <c r="W79" s="2241" t="str">
        <f t="shared" si="36"/>
        <v>0.00%</v>
      </c>
      <c r="X79" s="340">
        <f t="shared" si="44"/>
        <v>0</v>
      </c>
      <c r="Y79" s="953" t="str">
        <f>TEXT('MYP Assumptions'!I78,"0.00%")&amp;", CPI"</f>
        <v>2.73%, CPI</v>
      </c>
      <c r="AA79" s="456" t="str">
        <f t="shared" si="37"/>
        <v>0.00%</v>
      </c>
      <c r="AB79" s="340">
        <f t="shared" si="45"/>
        <v>0</v>
      </c>
      <c r="AC79" s="953" t="str">
        <f>TEXT('MYP Assumptions'!J78,"0.00%")&amp;", CPI"</f>
        <v>2.73%, CPI</v>
      </c>
    </row>
    <row r="80" spans="1:29" s="457" customFormat="1" hidden="1" x14ac:dyDescent="0.25">
      <c r="A80" s="897"/>
      <c r="B80" s="2385"/>
      <c r="C80" s="2215"/>
      <c r="D80" s="340">
        <v>0</v>
      </c>
      <c r="E80" s="2386"/>
      <c r="F80" s="340"/>
      <c r="G80" s="456" t="str">
        <f t="shared" si="47"/>
        <v>0.00%</v>
      </c>
      <c r="H80" s="340">
        <f>ROUND(D80*(LEFT(I80,5)+1),0)</f>
        <v>0</v>
      </c>
      <c r="I80" s="899" t="str">
        <f>TEXT('MYP Assumptions'!E78,"0.00%")&amp;", CPI"</f>
        <v>3.37%, CPI</v>
      </c>
      <c r="J80" s="455"/>
      <c r="K80" s="456" t="str">
        <f t="shared" si="38"/>
        <v>0.00%</v>
      </c>
      <c r="L80" s="340">
        <f t="shared" si="39"/>
        <v>0</v>
      </c>
      <c r="M80" s="899" t="str">
        <f>TEXT('MYP Assumptions'!F78,"0.00%")&amp;", CPI"</f>
        <v>3.58%, CPI</v>
      </c>
      <c r="O80" s="456" t="str">
        <f t="shared" si="40"/>
        <v>0.00%</v>
      </c>
      <c r="P80" s="340">
        <f t="shared" si="41"/>
        <v>0</v>
      </c>
      <c r="Q80" s="899" t="str">
        <f>TEXT('MYP Assumptions'!G78,"0.00%")&amp;", CPI"</f>
        <v>3.36%, CPI</v>
      </c>
      <c r="R80" s="592"/>
      <c r="S80" s="2238" t="str">
        <f t="shared" si="42"/>
        <v>0.00%</v>
      </c>
      <c r="T80" s="340">
        <f t="shared" si="43"/>
        <v>0</v>
      </c>
      <c r="U80" s="953" t="str">
        <f>TEXT('MYP Assumptions'!H78,"0.00%")&amp;", CPI"</f>
        <v>3.23%, CPI</v>
      </c>
      <c r="V80" s="952"/>
      <c r="W80" s="2241" t="str">
        <f t="shared" si="36"/>
        <v>0.00%</v>
      </c>
      <c r="X80" s="340">
        <f t="shared" si="44"/>
        <v>0</v>
      </c>
      <c r="Y80" s="953" t="str">
        <f>TEXT('MYP Assumptions'!I78,"0.00%")&amp;", CPI"</f>
        <v>2.73%, CPI</v>
      </c>
      <c r="AA80" s="456" t="str">
        <f t="shared" si="37"/>
        <v>0.00%</v>
      </c>
      <c r="AB80" s="340">
        <f t="shared" si="45"/>
        <v>0</v>
      </c>
      <c r="AC80" s="953" t="str">
        <f>TEXT('MYP Assumptions'!J78,"0.00%")&amp;", CPI"</f>
        <v>2.73%, CPI</v>
      </c>
    </row>
    <row r="81" spans="1:29" s="457" customFormat="1" hidden="1" x14ac:dyDescent="0.25">
      <c r="A81" s="897"/>
      <c r="B81" s="2385"/>
      <c r="C81" s="2215"/>
      <c r="D81" s="340">
        <f>'18-19 Budget RS 3010-ALL'!AF80</f>
        <v>0</v>
      </c>
      <c r="E81" s="2386"/>
      <c r="F81" s="340"/>
      <c r="G81" s="456" t="str">
        <f t="shared" si="47"/>
        <v>0.00%</v>
      </c>
      <c r="H81" s="340">
        <f>ROUND(D81*(LEFT(I81,5)+1),0)</f>
        <v>0</v>
      </c>
      <c r="I81" s="899" t="str">
        <f>TEXT('MYP Assumptions'!E78,"0.00%")&amp;", CPI"</f>
        <v>3.37%, CPI</v>
      </c>
      <c r="J81" s="455"/>
      <c r="K81" s="456" t="str">
        <f t="shared" si="38"/>
        <v>0.00%</v>
      </c>
      <c r="L81" s="340">
        <f t="shared" si="39"/>
        <v>0</v>
      </c>
      <c r="M81" s="899" t="str">
        <f>TEXT('MYP Assumptions'!F78,"0.00%")&amp;", CPI"</f>
        <v>3.58%, CPI</v>
      </c>
      <c r="O81" s="456" t="str">
        <f t="shared" si="40"/>
        <v>0.00%</v>
      </c>
      <c r="P81" s="340">
        <f t="shared" si="41"/>
        <v>0</v>
      </c>
      <c r="Q81" s="899" t="str">
        <f>TEXT('MYP Assumptions'!G78,"0.00%")&amp;", CPI"</f>
        <v>3.36%, CPI</v>
      </c>
      <c r="R81" s="592"/>
      <c r="S81" s="2238" t="str">
        <f t="shared" si="42"/>
        <v>0.00%</v>
      </c>
      <c r="T81" s="340">
        <f t="shared" si="43"/>
        <v>0</v>
      </c>
      <c r="U81" s="953" t="str">
        <f>TEXT('MYP Assumptions'!H78,"0.00%")&amp;", CPI"</f>
        <v>3.23%, CPI</v>
      </c>
      <c r="V81" s="952"/>
      <c r="W81" s="2241" t="str">
        <f t="shared" si="36"/>
        <v>0.00%</v>
      </c>
      <c r="X81" s="340">
        <f t="shared" si="44"/>
        <v>0</v>
      </c>
      <c r="Y81" s="953" t="str">
        <f>TEXT('MYP Assumptions'!I78,"0.00%")&amp;", CPI"</f>
        <v>2.73%, CPI</v>
      </c>
      <c r="AA81" s="456" t="str">
        <f t="shared" si="37"/>
        <v>0.00%</v>
      </c>
      <c r="AB81" s="340">
        <f t="shared" si="45"/>
        <v>0</v>
      </c>
      <c r="AC81" s="953" t="str">
        <f>TEXT('MYP Assumptions'!J78,"0.00%")&amp;", CPI"</f>
        <v>2.73%, CPI</v>
      </c>
    </row>
    <row r="82" spans="1:29" s="457" customFormat="1" x14ac:dyDescent="0.25">
      <c r="A82" s="898"/>
      <c r="B82" s="2345"/>
      <c r="C82" s="2215"/>
      <c r="D82" s="458">
        <f>SUM(D69:D81)</f>
        <v>1680</v>
      </c>
      <c r="E82" s="2386"/>
      <c r="F82" s="340"/>
      <c r="G82" s="456">
        <f t="shared" si="47"/>
        <v>0.90476190476190477</v>
      </c>
      <c r="H82" s="458">
        <f>SUM(H69:H81)</f>
        <v>3200</v>
      </c>
      <c r="I82" s="898"/>
      <c r="J82" s="459"/>
      <c r="K82" s="456">
        <f t="shared" si="38"/>
        <v>-0.53125</v>
      </c>
      <c r="L82" s="458">
        <f>SUM(L69:L81)</f>
        <v>1500</v>
      </c>
      <c r="M82" s="901"/>
      <c r="O82" s="456">
        <f t="shared" si="40"/>
        <v>0</v>
      </c>
      <c r="P82" s="458">
        <f>SUM(P69:P81)</f>
        <v>1500</v>
      </c>
      <c r="Q82" s="901"/>
      <c r="R82" s="592"/>
      <c r="S82" s="2238">
        <f t="shared" si="42"/>
        <v>0</v>
      </c>
      <c r="T82" s="458">
        <f>SUM(T69:T81)</f>
        <v>1500</v>
      </c>
      <c r="U82" s="2344"/>
      <c r="V82" s="952"/>
      <c r="W82" s="2241">
        <f t="shared" si="36"/>
        <v>2.7333333333333334E-2</v>
      </c>
      <c r="X82" s="458">
        <f>SUM(X69:X81)</f>
        <v>1541</v>
      </c>
      <c r="Y82" s="2344"/>
      <c r="AA82" s="456">
        <f t="shared" si="37"/>
        <v>2.7255029201817001E-2</v>
      </c>
      <c r="AB82" s="458">
        <f>SUM(AB69:AB81)</f>
        <v>1583</v>
      </c>
      <c r="AC82" s="2344"/>
    </row>
    <row r="83" spans="1:29" s="457" customFormat="1" x14ac:dyDescent="0.25">
      <c r="A83" s="897"/>
      <c r="B83" s="2337"/>
      <c r="C83" s="2215"/>
      <c r="D83" s="340"/>
      <c r="E83" s="2386"/>
      <c r="F83" s="340"/>
      <c r="G83" s="456"/>
      <c r="H83" s="340"/>
      <c r="I83" s="897"/>
      <c r="J83" s="455"/>
      <c r="K83" s="1668"/>
      <c r="L83" s="340"/>
      <c r="M83" s="901"/>
      <c r="O83" s="1668"/>
      <c r="P83" s="340"/>
      <c r="Q83" s="901"/>
      <c r="R83" s="592"/>
      <c r="S83" s="2341"/>
      <c r="T83" s="340"/>
      <c r="U83" s="2344"/>
      <c r="V83" s="952"/>
      <c r="W83" s="2343"/>
      <c r="X83" s="340"/>
      <c r="Y83" s="2344"/>
      <c r="AA83" s="1668"/>
      <c r="AB83" s="340"/>
      <c r="AC83" s="2344"/>
    </row>
    <row r="84" spans="1:29" s="457" customFormat="1" x14ac:dyDescent="0.25">
      <c r="A84" s="897"/>
      <c r="B84" s="2345"/>
      <c r="C84" s="2215"/>
      <c r="D84" s="340"/>
      <c r="E84" s="2386"/>
      <c r="F84" s="340"/>
      <c r="G84" s="2338"/>
      <c r="H84" s="340"/>
      <c r="I84" s="897"/>
      <c r="J84" s="455"/>
      <c r="K84" s="1668"/>
      <c r="L84" s="340"/>
      <c r="M84" s="901"/>
      <c r="O84" s="1668"/>
      <c r="P84" s="340"/>
      <c r="Q84" s="901"/>
      <c r="R84" s="592"/>
      <c r="S84" s="2341"/>
      <c r="T84" s="340"/>
      <c r="U84" s="2344"/>
      <c r="V84" s="952"/>
      <c r="W84" s="2343"/>
      <c r="X84" s="340"/>
      <c r="Y84" s="2344"/>
      <c r="AA84" s="1668"/>
      <c r="AB84" s="340"/>
      <c r="AC84" s="2344"/>
    </row>
    <row r="85" spans="1:29" s="457" customFormat="1" x14ac:dyDescent="0.25">
      <c r="A85" s="898"/>
      <c r="B85" s="2337" t="s">
        <v>0</v>
      </c>
      <c r="C85" s="2215"/>
      <c r="D85" s="458">
        <f>SUM(D82,D66,D55,D13)</f>
        <v>4485.3999999999996</v>
      </c>
      <c r="E85" s="2386"/>
      <c r="F85" s="340"/>
      <c r="G85" s="456">
        <f>IF(D85=0,"0.00%",(H85-D85)/D85)</f>
        <v>0.80585900922994624</v>
      </c>
      <c r="H85" s="458">
        <f>SUM(H82,H66,H55,H13)</f>
        <v>8100</v>
      </c>
      <c r="I85" s="898"/>
      <c r="J85" s="459"/>
      <c r="K85" s="456">
        <f>IF(H85=0,"0.00%",(L85-H85)/H85)</f>
        <v>0</v>
      </c>
      <c r="L85" s="458">
        <f>SUM(L82,L66,L55,L13)</f>
        <v>8100</v>
      </c>
      <c r="M85" s="901"/>
      <c r="O85" s="456">
        <f>IF(L85=0,"0.00%",(P85-L85)/L85)</f>
        <v>0</v>
      </c>
      <c r="P85" s="458">
        <f>SUM(P82,P66,P55,P13)</f>
        <v>8100</v>
      </c>
      <c r="Q85" s="901"/>
      <c r="R85" s="592"/>
      <c r="S85" s="2238">
        <f>IF(P85=0,"0.00%",(T85-P85)/P85)</f>
        <v>0</v>
      </c>
      <c r="T85" s="458">
        <f>SUM(T82,T66,T55,T13)</f>
        <v>8100</v>
      </c>
      <c r="U85" s="2344"/>
      <c r="V85" s="952"/>
      <c r="W85" s="2241">
        <f>IF(T85=0,"0.00%",(X85-T85)/T85)</f>
        <v>2.7283950617283951E-2</v>
      </c>
      <c r="X85" s="458">
        <f>SUM(X82,X66,X55,X13)</f>
        <v>8321</v>
      </c>
      <c r="Y85" s="2344"/>
      <c r="AA85" s="456" t="e">
        <f>IF(X85=0,"0.00%",(AB85-X85)/X85)</f>
        <v>#VALUE!</v>
      </c>
      <c r="AB85" s="458" t="e">
        <f>SUM(AB82,AB66,AB55,AB13)</f>
        <v>#VALUE!</v>
      </c>
      <c r="AC85" s="2344"/>
    </row>
    <row r="86" spans="1:29" s="457" customFormat="1" x14ac:dyDescent="0.25">
      <c r="A86" s="897"/>
      <c r="B86" s="2345"/>
      <c r="C86" s="2215"/>
      <c r="D86" s="340"/>
      <c r="E86" s="2386"/>
      <c r="F86" s="340"/>
      <c r="G86" s="2338"/>
      <c r="H86" s="340"/>
      <c r="I86" s="897"/>
      <c r="J86" s="455"/>
      <c r="K86" s="1668"/>
      <c r="L86" s="340"/>
      <c r="M86" s="901"/>
      <c r="O86" s="1668"/>
      <c r="P86" s="340"/>
      <c r="Q86" s="901"/>
      <c r="R86" s="592"/>
      <c r="S86" s="2341"/>
      <c r="T86" s="340"/>
      <c r="U86" s="2344"/>
      <c r="V86" s="952"/>
      <c r="W86" s="2343"/>
      <c r="X86" s="340"/>
      <c r="Y86" s="2344"/>
      <c r="AA86" s="1668"/>
      <c r="AB86" s="340"/>
      <c r="AC86" s="2344"/>
    </row>
    <row r="87" spans="1:29" s="457" customFormat="1" x14ac:dyDescent="0.25">
      <c r="A87" s="897"/>
      <c r="B87" s="2337" t="s">
        <v>138</v>
      </c>
      <c r="C87" s="2215"/>
      <c r="D87" s="833">
        <f>D11-D85</f>
        <v>0</v>
      </c>
      <c r="E87" s="1656"/>
      <c r="G87" s="456" t="str">
        <f>IF(D87=0,"0.00%",(H87-D87)/D87)</f>
        <v>0.00%</v>
      </c>
      <c r="H87" s="833">
        <f>H11-H85</f>
        <v>0</v>
      </c>
      <c r="I87" s="897"/>
      <c r="J87" s="455"/>
      <c r="K87" s="456" t="str">
        <f>IF(H87=0,"0.00%",(L87-H87)/H87)</f>
        <v>0.00%</v>
      </c>
      <c r="L87" s="833">
        <f>L11-L85</f>
        <v>0</v>
      </c>
      <c r="M87" s="901"/>
      <c r="O87" s="456" t="str">
        <f>IF(L87=0,"0.00%",(P87-L87)/L87)</f>
        <v>0.00%</v>
      </c>
      <c r="P87" s="833">
        <f>P11-P85</f>
        <v>0</v>
      </c>
      <c r="Q87" s="901"/>
      <c r="R87" s="592"/>
      <c r="S87" s="2238" t="str">
        <f>IF(P87=0,"0.00%",(T87-P87)/P87)</f>
        <v>0.00%</v>
      </c>
      <c r="T87" s="833">
        <f>T11-T85</f>
        <v>0</v>
      </c>
      <c r="U87" s="2344"/>
      <c r="V87" s="952"/>
      <c r="W87" s="2241" t="str">
        <f>IF(T87=0,"0.00%",(X87-T87)/T87)</f>
        <v>0.00%</v>
      </c>
      <c r="X87" s="833">
        <f>X11-X85</f>
        <v>-8321</v>
      </c>
      <c r="Y87" s="2344"/>
      <c r="AA87" s="456" t="e">
        <f>IF(X87=0,"0.00%",(AB87-X87)/X87)</f>
        <v>#VALUE!</v>
      </c>
      <c r="AB87" s="833" t="e">
        <f>AB11-AB85</f>
        <v>#VALUE!</v>
      </c>
      <c r="AC87" s="2344"/>
    </row>
    <row r="88" spans="1:29" s="457" customFormat="1" x14ac:dyDescent="0.25">
      <c r="A88" s="1656"/>
      <c r="B88" s="2337"/>
      <c r="C88" s="2345"/>
      <c r="D88" s="833"/>
      <c r="E88" s="1656"/>
      <c r="G88" s="2338"/>
      <c r="H88" s="833"/>
      <c r="I88" s="897"/>
      <c r="J88" s="455"/>
      <c r="K88" s="1668"/>
      <c r="L88" s="833"/>
      <c r="M88" s="901"/>
      <c r="O88" s="1668"/>
      <c r="P88" s="833"/>
      <c r="Q88" s="901"/>
      <c r="R88" s="592"/>
      <c r="S88" s="2341"/>
      <c r="T88" s="2356"/>
      <c r="U88" s="2344"/>
      <c r="V88" s="952"/>
      <c r="W88" s="2343"/>
      <c r="X88" s="2356"/>
      <c r="Y88" s="2344"/>
      <c r="AA88" s="1668"/>
      <c r="AB88" s="2356"/>
      <c r="AC88" s="2344"/>
    </row>
    <row r="89" spans="1:29" s="457" customFormat="1" x14ac:dyDescent="0.25">
      <c r="A89" s="1656"/>
      <c r="B89" s="2337" t="s">
        <v>136</v>
      </c>
      <c r="C89" s="2394"/>
      <c r="D89" s="833">
        <f>D7+D87</f>
        <v>0</v>
      </c>
      <c r="E89" s="1656"/>
      <c r="G89" s="456" t="str">
        <f>IF(D89=0,"0.00%",(H89-D89)/D89)</f>
        <v>0.00%</v>
      </c>
      <c r="H89" s="833">
        <f>H7+H87</f>
        <v>0</v>
      </c>
      <c r="I89" s="897"/>
      <c r="J89" s="455"/>
      <c r="K89" s="456" t="str">
        <f>IF(H89=0,"0.00%",(L89-H89)/H89)</f>
        <v>0.00%</v>
      </c>
      <c r="L89" s="833">
        <f>L7+L87</f>
        <v>0</v>
      </c>
      <c r="M89" s="901"/>
      <c r="O89" s="456" t="str">
        <f>IF(L89=0,"0.00%",(P89-L89)/L89)</f>
        <v>0.00%</v>
      </c>
      <c r="P89" s="833">
        <f>P7+P87</f>
        <v>0</v>
      </c>
      <c r="Q89" s="901"/>
      <c r="R89" s="592"/>
      <c r="S89" s="2238" t="str">
        <f>IF(P89=0,"0.00%",(T89-P89)/P89)</f>
        <v>0.00%</v>
      </c>
      <c r="T89" s="2367">
        <f>T7+T87</f>
        <v>0</v>
      </c>
      <c r="U89" s="2344"/>
      <c r="V89" s="952"/>
      <c r="W89" s="2241" t="str">
        <f>IF(T89=0,"0.00%",(X89-T89)/T89)</f>
        <v>0.00%</v>
      </c>
      <c r="X89" s="2367">
        <f>X7+X87</f>
        <v>-8321</v>
      </c>
      <c r="Y89" s="2344"/>
      <c r="AA89" s="456" t="e">
        <f>IF(X89=0,"0.00%",(AB89-X89)/X89)</f>
        <v>#VALUE!</v>
      </c>
      <c r="AB89" s="2367" t="e">
        <f>AB7+AB87</f>
        <v>#VALUE!</v>
      </c>
      <c r="AC89" s="2344"/>
    </row>
    <row r="90" spans="1:29" s="457" customFormat="1" x14ac:dyDescent="0.25">
      <c r="A90" s="1656"/>
      <c r="B90" s="2345"/>
      <c r="C90" s="2225"/>
      <c r="D90" s="340"/>
      <c r="E90" s="1656"/>
      <c r="G90" s="2355"/>
      <c r="H90" s="459"/>
      <c r="I90" s="898"/>
      <c r="J90" s="459"/>
      <c r="K90" s="1668"/>
      <c r="L90" s="459"/>
      <c r="M90" s="901"/>
      <c r="O90" s="1668"/>
      <c r="P90" s="459"/>
      <c r="Q90" s="901"/>
      <c r="R90" s="592"/>
      <c r="S90" s="2341"/>
      <c r="T90" s="459"/>
      <c r="U90" s="2344"/>
      <c r="V90" s="952"/>
      <c r="W90" s="2343"/>
      <c r="X90" s="459"/>
      <c r="Y90" s="2344"/>
      <c r="AA90" s="1668"/>
      <c r="AB90" s="459"/>
      <c r="AC90" s="2344"/>
    </row>
    <row r="91" spans="1:29" s="457" customFormat="1" x14ac:dyDescent="0.25">
      <c r="A91" s="1656"/>
      <c r="B91" s="2345"/>
      <c r="C91" s="2230"/>
      <c r="D91" s="340"/>
      <c r="E91" s="1656"/>
      <c r="G91" s="2355"/>
      <c r="H91" s="455"/>
      <c r="I91" s="897"/>
      <c r="J91" s="455"/>
      <c r="K91" s="1668"/>
      <c r="L91" s="340"/>
      <c r="M91" s="901"/>
      <c r="O91" s="1668"/>
      <c r="P91" s="340"/>
      <c r="Q91" s="901"/>
      <c r="R91" s="592"/>
      <c r="S91" s="2341"/>
      <c r="T91" s="340"/>
      <c r="U91" s="2344"/>
      <c r="V91" s="952"/>
      <c r="W91" s="2343"/>
      <c r="X91" s="340"/>
      <c r="Y91" s="2344"/>
      <c r="AA91" s="1668"/>
      <c r="AB91" s="340"/>
      <c r="AC91" s="2344"/>
    </row>
    <row r="92" spans="1:29" s="457" customFormat="1" x14ac:dyDescent="0.25">
      <c r="A92" s="1656"/>
      <c r="B92" s="2345"/>
      <c r="C92" s="2230"/>
      <c r="D92" s="340"/>
      <c r="E92" s="1656"/>
      <c r="G92" s="2355"/>
      <c r="H92" s="455"/>
      <c r="I92" s="897"/>
      <c r="J92" s="455"/>
      <c r="K92" s="1668"/>
      <c r="L92" s="340"/>
      <c r="M92" s="901"/>
      <c r="O92" s="1668"/>
      <c r="P92" s="340"/>
      <c r="Q92" s="901"/>
      <c r="R92" s="592"/>
      <c r="S92" s="2341"/>
      <c r="T92" s="340"/>
      <c r="U92" s="2344"/>
      <c r="V92" s="952"/>
      <c r="W92" s="2343"/>
      <c r="X92" s="340"/>
      <c r="Y92" s="2344"/>
      <c r="AA92" s="1668"/>
      <c r="AB92" s="340"/>
      <c r="AC92" s="2344"/>
    </row>
    <row r="93" spans="1:29" s="457" customFormat="1" x14ac:dyDescent="0.25">
      <c r="A93" s="1656"/>
      <c r="B93" s="2345"/>
      <c r="C93" s="2230"/>
      <c r="D93" s="340"/>
      <c r="E93" s="1656"/>
      <c r="G93" s="2355"/>
      <c r="H93" s="455"/>
      <c r="I93" s="897"/>
      <c r="J93" s="455"/>
      <c r="K93" s="1668"/>
      <c r="L93" s="340"/>
      <c r="M93" s="901"/>
      <c r="O93" s="1668"/>
      <c r="P93" s="340"/>
      <c r="Q93" s="901"/>
      <c r="R93" s="592"/>
      <c r="S93" s="2341"/>
      <c r="T93" s="340"/>
      <c r="U93" s="2344"/>
      <c r="V93" s="952"/>
      <c r="W93" s="2343"/>
      <c r="X93" s="340"/>
      <c r="Y93" s="2344"/>
      <c r="AA93" s="1668"/>
      <c r="AB93" s="340"/>
      <c r="AC93" s="2344"/>
    </row>
    <row r="94" spans="1:29" s="457" customFormat="1" x14ac:dyDescent="0.25">
      <c r="A94" s="1656"/>
      <c r="B94" s="2345"/>
      <c r="C94" s="2230"/>
      <c r="D94" s="340"/>
      <c r="E94" s="1656"/>
      <c r="G94" s="2355"/>
      <c r="H94" s="455"/>
      <c r="I94" s="897"/>
      <c r="J94" s="455"/>
      <c r="K94" s="1668"/>
      <c r="L94" s="340"/>
      <c r="M94" s="901"/>
      <c r="O94" s="1668"/>
      <c r="P94" s="340"/>
      <c r="Q94" s="901"/>
      <c r="R94" s="592"/>
      <c r="S94" s="2341"/>
      <c r="T94" s="340"/>
      <c r="U94" s="2344"/>
      <c r="V94" s="952"/>
      <c r="W94" s="2343"/>
      <c r="X94" s="340"/>
      <c r="Y94" s="2344"/>
      <c r="AA94" s="1668"/>
      <c r="AB94" s="340"/>
      <c r="AC94" s="2344"/>
    </row>
    <row r="95" spans="1:29" s="2402" customFormat="1" ht="11.25" x14ac:dyDescent="0.2">
      <c r="A95" s="2363"/>
      <c r="B95" s="2395"/>
      <c r="C95" s="2396" t="s">
        <v>221</v>
      </c>
      <c r="D95" s="2397">
        <f>+D82+D66+D53+D41+D30</f>
        <v>4485.3999999999996</v>
      </c>
      <c r="E95" s="2363"/>
      <c r="G95" s="2399" t="s">
        <v>221</v>
      </c>
      <c r="H95" s="2397">
        <f>+H82+H66+H53+H41+H30</f>
        <v>8100</v>
      </c>
      <c r="I95" s="2400"/>
      <c r="J95" s="607"/>
      <c r="K95" s="2399" t="s">
        <v>221</v>
      </c>
      <c r="L95" s="2397">
        <f>+L82+L66+L53+L41+L30</f>
        <v>8100</v>
      </c>
      <c r="M95" s="2404"/>
      <c r="O95" s="2399" t="s">
        <v>221</v>
      </c>
      <c r="P95" s="2397">
        <f>+P82+P66+P53+P41+P30</f>
        <v>8100</v>
      </c>
      <c r="Q95" s="2404"/>
      <c r="R95" s="608"/>
      <c r="S95" s="2405" t="s">
        <v>221</v>
      </c>
      <c r="T95" s="2397">
        <f>+T82+T66+T53+T41+T30</f>
        <v>8100</v>
      </c>
      <c r="U95" s="2409"/>
      <c r="V95" s="2407"/>
      <c r="W95" s="2408" t="s">
        <v>221</v>
      </c>
      <c r="X95" s="2397">
        <f>+X82+X66+X53+X41+X30</f>
        <v>8321</v>
      </c>
      <c r="Y95" s="2409"/>
      <c r="AA95" s="2399" t="s">
        <v>221</v>
      </c>
      <c r="AB95" s="2397" t="e">
        <f>+AB82+AB66+AB53+AB41+AB30</f>
        <v>#VALUE!</v>
      </c>
      <c r="AC95" s="2409"/>
    </row>
    <row r="96" spans="1:29" s="2402" customFormat="1" ht="11.25" x14ac:dyDescent="0.2">
      <c r="A96" s="2413"/>
      <c r="B96" s="2395"/>
      <c r="C96" s="2411" t="s">
        <v>222</v>
      </c>
      <c r="D96" s="2412">
        <f>+D13</f>
        <v>0</v>
      </c>
      <c r="E96" s="2419"/>
      <c r="F96" s="2410"/>
      <c r="G96" s="2415" t="s">
        <v>222</v>
      </c>
      <c r="H96" s="2412">
        <f>+H13</f>
        <v>0</v>
      </c>
      <c r="I96" s="2398"/>
      <c r="J96" s="608"/>
      <c r="K96" s="2415" t="s">
        <v>222</v>
      </c>
      <c r="L96" s="2412">
        <f>+L13</f>
        <v>0</v>
      </c>
      <c r="M96" s="2404"/>
      <c r="O96" s="2415" t="s">
        <v>222</v>
      </c>
      <c r="P96" s="2412">
        <f>+P13</f>
        <v>0</v>
      </c>
      <c r="Q96" s="2363"/>
      <c r="R96" s="608"/>
      <c r="S96" s="2416" t="s">
        <v>222</v>
      </c>
      <c r="T96" s="2412">
        <f>+T13</f>
        <v>0</v>
      </c>
      <c r="V96" s="2407"/>
      <c r="W96" s="2417" t="s">
        <v>222</v>
      </c>
      <c r="X96" s="2412">
        <f>+X13</f>
        <v>0</v>
      </c>
      <c r="AA96" s="2415" t="s">
        <v>222</v>
      </c>
      <c r="AB96" s="2412">
        <f>+AB13</f>
        <v>0</v>
      </c>
    </row>
    <row r="97" spans="1:28" s="2402" customFormat="1" ht="11.25" x14ac:dyDescent="0.2">
      <c r="A97" s="2413"/>
      <c r="B97" s="2395"/>
      <c r="C97" s="2411"/>
      <c r="D97" s="2418">
        <f>+D95+D96</f>
        <v>4485.3999999999996</v>
      </c>
      <c r="E97" s="2419"/>
      <c r="F97" s="2410"/>
      <c r="G97" s="2415"/>
      <c r="H97" s="2418">
        <f>+H95+H96</f>
        <v>8100</v>
      </c>
      <c r="I97" s="2398"/>
      <c r="J97" s="608"/>
      <c r="K97" s="2415"/>
      <c r="L97" s="2418">
        <f>+L95+L96</f>
        <v>8100</v>
      </c>
      <c r="M97" s="2363"/>
      <c r="O97" s="2415"/>
      <c r="P97" s="2418">
        <f>+P95+P96</f>
        <v>8100</v>
      </c>
      <c r="Q97" s="2363"/>
      <c r="R97" s="608"/>
      <c r="S97" s="2416"/>
      <c r="T97" s="2418">
        <f>+T95+T96</f>
        <v>8100</v>
      </c>
      <c r="V97" s="2407"/>
      <c r="W97" s="2417"/>
      <c r="X97" s="2418">
        <f>+X95+X96</f>
        <v>8321</v>
      </c>
      <c r="AA97" s="2415"/>
      <c r="AB97" s="2418" t="e">
        <f>+AB95+AB96</f>
        <v>#VALUE!</v>
      </c>
    </row>
    <row r="98" spans="1:28" s="457" customFormat="1" ht="15" customHeight="1" x14ac:dyDescent="0.25">
      <c r="A98" s="897"/>
      <c r="B98" s="2422"/>
      <c r="C98" s="2422"/>
      <c r="D98" s="459">
        <f>+D85-D97</f>
        <v>0</v>
      </c>
      <c r="E98" s="2386"/>
      <c r="F98" s="340"/>
      <c r="G98" s="2447"/>
      <c r="H98" s="459">
        <f>+H85-H97</f>
        <v>0</v>
      </c>
      <c r="I98" s="2339"/>
      <c r="J98" s="592"/>
      <c r="K98" s="2447"/>
      <c r="L98" s="459">
        <f>+L85-L97</f>
        <v>0</v>
      </c>
      <c r="M98" s="1656"/>
      <c r="O98" s="2447"/>
      <c r="P98" s="459">
        <f>+P85-P97</f>
        <v>0</v>
      </c>
      <c r="Q98" s="1656"/>
      <c r="R98" s="592"/>
      <c r="S98" s="2447"/>
      <c r="T98" s="459">
        <f>+T85-T97</f>
        <v>0</v>
      </c>
      <c r="V98" s="952"/>
      <c r="W98" s="2448"/>
      <c r="X98" s="459">
        <f>+X85-X97</f>
        <v>0</v>
      </c>
      <c r="AA98" s="2447"/>
      <c r="AB98" s="459" t="e">
        <f>+AB85-AB97</f>
        <v>#VALUE!</v>
      </c>
    </row>
    <row r="99" spans="1:28" s="457" customFormat="1" x14ac:dyDescent="0.25">
      <c r="A99" s="897"/>
      <c r="B99" s="2422"/>
      <c r="C99" s="2422"/>
      <c r="D99" s="455"/>
      <c r="E99" s="2386"/>
      <c r="F99" s="340"/>
      <c r="G99" s="2338"/>
      <c r="H99" s="2424"/>
      <c r="I99" s="2339"/>
      <c r="J99" s="592"/>
      <c r="K99" s="1668"/>
      <c r="L99" s="2370"/>
      <c r="M99" s="1656"/>
      <c r="O99" s="1668"/>
      <c r="P99" s="340"/>
      <c r="Q99" s="1656"/>
      <c r="R99" s="592"/>
      <c r="S99" s="2341"/>
      <c r="V99" s="952"/>
      <c r="W99" s="2343"/>
      <c r="AA99" s="1668"/>
    </row>
    <row r="100" spans="1:28" s="457" customFormat="1" x14ac:dyDescent="0.25">
      <c r="A100" s="897"/>
      <c r="B100" s="2394"/>
      <c r="C100" s="2230"/>
      <c r="D100" s="342"/>
      <c r="E100" s="2386"/>
      <c r="F100" s="340"/>
      <c r="G100" s="2338"/>
      <c r="H100" s="2424"/>
      <c r="I100" s="2339"/>
      <c r="J100" s="592"/>
      <c r="K100" s="1668"/>
      <c r="L100" s="2370"/>
      <c r="M100" s="1656"/>
      <c r="O100" s="1668"/>
      <c r="P100" s="340"/>
      <c r="Q100" s="1656"/>
      <c r="R100" s="592"/>
      <c r="S100" s="2341"/>
      <c r="V100" s="952"/>
      <c r="W100" s="2343"/>
      <c r="AA100" s="1668"/>
    </row>
    <row r="101" spans="1:28" s="457" customFormat="1" x14ac:dyDescent="0.25">
      <c r="A101" s="1656"/>
      <c r="B101" s="2394"/>
      <c r="C101" s="2230"/>
      <c r="D101" s="455"/>
      <c r="E101" s="1656"/>
      <c r="G101" s="2338"/>
      <c r="H101" s="2424"/>
      <c r="I101" s="2339"/>
      <c r="J101" s="592"/>
      <c r="K101" s="1668"/>
      <c r="L101" s="2370"/>
      <c r="M101" s="1656"/>
      <c r="O101" s="1668"/>
      <c r="P101" s="340"/>
      <c r="Q101" s="1656"/>
      <c r="R101" s="592"/>
      <c r="S101" s="2341"/>
      <c r="V101" s="952"/>
      <c r="W101" s="2343"/>
      <c r="AA101" s="1668"/>
    </row>
    <row r="102" spans="1:28" s="457" customFormat="1" x14ac:dyDescent="0.25">
      <c r="A102" s="1656"/>
      <c r="B102" s="2394"/>
      <c r="C102" s="2230"/>
      <c r="D102" s="455"/>
      <c r="E102" s="1656"/>
      <c r="G102" s="2338"/>
      <c r="H102" s="2424"/>
      <c r="I102" s="2339"/>
      <c r="J102" s="592"/>
      <c r="K102" s="1668"/>
      <c r="L102" s="2370"/>
      <c r="M102" s="1656"/>
      <c r="O102" s="1668"/>
      <c r="P102" s="340"/>
      <c r="Q102" s="1656"/>
      <c r="R102" s="592"/>
      <c r="S102" s="2341"/>
      <c r="V102" s="952"/>
      <c r="W102" s="2343"/>
      <c r="AA102" s="1668"/>
    </row>
    <row r="103" spans="1:28" s="457" customFormat="1" ht="15" customHeight="1" x14ac:dyDescent="0.25">
      <c r="A103" s="1656"/>
      <c r="B103" s="2394"/>
      <c r="C103" s="2230"/>
      <c r="D103" s="455"/>
      <c r="E103" s="1656"/>
      <c r="G103" s="2338"/>
      <c r="H103" s="2424"/>
      <c r="I103" s="2339"/>
      <c r="J103" s="592"/>
      <c r="K103" s="1668"/>
      <c r="L103" s="2370"/>
      <c r="M103" s="1656"/>
      <c r="O103" s="1668"/>
      <c r="P103" s="340"/>
      <c r="Q103" s="1656"/>
      <c r="R103" s="592"/>
      <c r="S103" s="2341"/>
      <c r="V103" s="952"/>
      <c r="W103" s="2343"/>
      <c r="AA103" s="1668"/>
    </row>
    <row r="104" spans="1:28" s="457" customFormat="1" x14ac:dyDescent="0.25">
      <c r="A104" s="1656"/>
      <c r="B104" s="2394"/>
      <c r="C104" s="2230"/>
      <c r="D104" s="455"/>
      <c r="E104" s="1656"/>
      <c r="G104" s="2338"/>
      <c r="H104" s="2424"/>
      <c r="I104" s="2339"/>
      <c r="J104" s="592"/>
      <c r="K104" s="1668"/>
      <c r="L104" s="2370"/>
      <c r="M104" s="1656"/>
      <c r="O104" s="1668"/>
      <c r="P104" s="340"/>
      <c r="Q104" s="1656"/>
      <c r="R104" s="592"/>
      <c r="S104" s="2341"/>
      <c r="V104" s="952"/>
      <c r="W104" s="2343"/>
      <c r="AA104" s="1668"/>
    </row>
    <row r="105" spans="1:28" s="457" customFormat="1" x14ac:dyDescent="0.25">
      <c r="A105" s="1656"/>
      <c r="B105" s="2394"/>
      <c r="C105" s="2230"/>
      <c r="D105" s="455"/>
      <c r="E105" s="1656"/>
      <c r="G105" s="2338"/>
      <c r="H105" s="2424"/>
      <c r="I105" s="2339"/>
      <c r="J105" s="592"/>
      <c r="K105" s="1668"/>
      <c r="L105" s="2370"/>
      <c r="M105" s="1656"/>
      <c r="O105" s="1668"/>
      <c r="P105" s="340"/>
      <c r="Q105" s="1656"/>
      <c r="R105" s="592"/>
      <c r="S105" s="2341"/>
      <c r="V105" s="952"/>
      <c r="W105" s="2343"/>
      <c r="AA105" s="1668"/>
    </row>
    <row r="106" spans="1:28" s="457" customFormat="1" ht="15" customHeight="1" x14ac:dyDescent="0.25">
      <c r="A106" s="1656"/>
      <c r="B106" s="2565"/>
      <c r="C106" s="2565"/>
      <c r="D106" s="455"/>
      <c r="E106" s="1656"/>
      <c r="G106" s="2338"/>
      <c r="H106" s="2424"/>
      <c r="I106" s="2339"/>
      <c r="J106" s="592"/>
      <c r="K106" s="1668"/>
      <c r="L106" s="2370"/>
      <c r="M106" s="1656"/>
      <c r="O106" s="1668"/>
      <c r="P106" s="340"/>
      <c r="Q106" s="1656"/>
      <c r="R106" s="592"/>
      <c r="S106" s="2341"/>
      <c r="V106" s="952"/>
      <c r="W106" s="2343"/>
      <c r="AA106" s="1668"/>
    </row>
    <row r="107" spans="1:28" s="457" customFormat="1" x14ac:dyDescent="0.25">
      <c r="A107" s="1656"/>
      <c r="B107" s="2565"/>
      <c r="C107" s="2565"/>
      <c r="D107" s="455"/>
      <c r="E107" s="1656"/>
      <c r="G107" s="2338"/>
      <c r="H107" s="2424"/>
      <c r="I107" s="2339"/>
      <c r="J107" s="592"/>
      <c r="K107" s="1668"/>
      <c r="L107" s="2370"/>
      <c r="M107" s="1656"/>
      <c r="O107" s="1668"/>
      <c r="P107" s="340"/>
      <c r="Q107" s="1656"/>
      <c r="R107" s="592"/>
      <c r="S107" s="2341"/>
      <c r="V107" s="952"/>
      <c r="W107" s="2343"/>
      <c r="AA107" s="1668"/>
    </row>
    <row r="108" spans="1:28" s="457" customFormat="1" x14ac:dyDescent="0.25">
      <c r="A108" s="1656"/>
      <c r="B108" s="2394"/>
      <c r="C108" s="2230"/>
      <c r="D108" s="460"/>
      <c r="E108" s="1656"/>
      <c r="G108" s="2338"/>
      <c r="H108" s="2424"/>
      <c r="I108" s="2339"/>
      <c r="J108" s="592"/>
      <c r="K108" s="1668"/>
      <c r="L108" s="2370"/>
      <c r="M108" s="1656"/>
      <c r="O108" s="1668"/>
      <c r="P108" s="340"/>
      <c r="Q108" s="1656"/>
      <c r="R108" s="592"/>
      <c r="S108" s="2341"/>
      <c r="V108" s="952"/>
      <c r="W108" s="2343"/>
      <c r="AA108" s="1668"/>
    </row>
    <row r="109" spans="1:28" s="457" customFormat="1" x14ac:dyDescent="0.25">
      <c r="A109" s="1656"/>
      <c r="B109" s="2394"/>
      <c r="C109" s="2230"/>
      <c r="D109" s="455"/>
      <c r="E109" s="1656"/>
      <c r="G109" s="2338"/>
      <c r="H109" s="2424"/>
      <c r="I109" s="2339"/>
      <c r="J109" s="592"/>
      <c r="K109" s="1668"/>
      <c r="L109" s="2370"/>
      <c r="M109" s="1656"/>
      <c r="O109" s="1668"/>
      <c r="P109" s="340"/>
      <c r="Q109" s="1656"/>
      <c r="R109" s="592"/>
      <c r="S109" s="2341"/>
      <c r="V109" s="952"/>
      <c r="W109" s="2343"/>
      <c r="AA109" s="1668"/>
    </row>
    <row r="110" spans="1:28" s="457" customFormat="1" x14ac:dyDescent="0.25">
      <c r="A110" s="1656"/>
      <c r="B110" s="2394"/>
      <c r="C110" s="2230"/>
      <c r="D110" s="455"/>
      <c r="E110" s="1656"/>
      <c r="G110" s="2338"/>
      <c r="H110" s="2424"/>
      <c r="I110" s="2339"/>
      <c r="J110" s="592"/>
      <c r="K110" s="1668"/>
      <c r="L110" s="2370"/>
      <c r="M110" s="1656"/>
      <c r="O110" s="1668"/>
      <c r="P110" s="340"/>
      <c r="Q110" s="1656"/>
      <c r="R110" s="592"/>
      <c r="S110" s="2341"/>
      <c r="V110" s="952"/>
      <c r="W110" s="2343"/>
      <c r="AA110" s="1668"/>
    </row>
    <row r="111" spans="1:28" s="457" customFormat="1" ht="28.5" customHeight="1" x14ac:dyDescent="0.25">
      <c r="A111" s="1656"/>
      <c r="B111" s="2394"/>
      <c r="C111" s="2230"/>
      <c r="D111" s="342"/>
      <c r="E111" s="1656"/>
      <c r="G111" s="2338"/>
      <c r="H111" s="2424"/>
      <c r="I111" s="2339"/>
      <c r="J111" s="592"/>
      <c r="K111" s="1668"/>
      <c r="L111" s="2370"/>
      <c r="M111" s="1656"/>
      <c r="O111" s="1668"/>
      <c r="P111" s="340"/>
      <c r="Q111" s="1656"/>
      <c r="R111" s="592"/>
      <c r="S111" s="2341"/>
      <c r="V111" s="952"/>
      <c r="W111" s="2343"/>
      <c r="AA111" s="1668"/>
    </row>
    <row r="112" spans="1:28" s="457" customFormat="1" x14ac:dyDescent="0.25">
      <c r="A112" s="1656"/>
      <c r="B112" s="2394"/>
      <c r="C112" s="2230"/>
      <c r="D112" s="455"/>
      <c r="E112" s="1656"/>
      <c r="G112" s="2338"/>
      <c r="H112" s="2424"/>
      <c r="I112" s="2339"/>
      <c r="J112" s="592"/>
      <c r="K112" s="1668"/>
      <c r="L112" s="2370"/>
      <c r="M112" s="1656"/>
      <c r="O112" s="1668"/>
      <c r="P112" s="340"/>
      <c r="Q112" s="1656"/>
      <c r="R112" s="592"/>
      <c r="S112" s="2341"/>
      <c r="V112" s="952"/>
      <c r="W112" s="2343"/>
      <c r="AA112" s="1668"/>
    </row>
    <row r="113" spans="1:27" s="457" customFormat="1" x14ac:dyDescent="0.25">
      <c r="A113" s="1656"/>
      <c r="B113" s="2394"/>
      <c r="C113" s="2230"/>
      <c r="D113" s="455"/>
      <c r="E113" s="1656"/>
      <c r="G113" s="2338"/>
      <c r="H113" s="2424"/>
      <c r="I113" s="2339"/>
      <c r="J113" s="592"/>
      <c r="K113" s="1668"/>
      <c r="L113" s="2370"/>
      <c r="M113" s="1656"/>
      <c r="O113" s="1668"/>
      <c r="P113" s="340"/>
      <c r="Q113" s="1656"/>
      <c r="R113" s="592"/>
      <c r="S113" s="2341"/>
      <c r="V113" s="952"/>
      <c r="W113" s="2343"/>
      <c r="AA113" s="1668"/>
    </row>
    <row r="114" spans="1:27" s="457" customFormat="1" x14ac:dyDescent="0.25">
      <c r="A114" s="1656"/>
      <c r="B114" s="2394"/>
      <c r="C114" s="2230"/>
      <c r="D114" s="455"/>
      <c r="E114" s="1656"/>
      <c r="G114" s="2338"/>
      <c r="H114" s="2424"/>
      <c r="I114" s="2339"/>
      <c r="J114" s="592"/>
      <c r="K114" s="1668"/>
      <c r="L114" s="2370"/>
      <c r="M114" s="1656"/>
      <c r="O114" s="1668"/>
      <c r="P114" s="340"/>
      <c r="Q114" s="1656"/>
      <c r="R114" s="592"/>
      <c r="S114" s="2341"/>
      <c r="V114" s="952"/>
      <c r="W114" s="2343"/>
      <c r="AA114" s="1668"/>
    </row>
    <row r="115" spans="1:27" s="457" customFormat="1" x14ac:dyDescent="0.25">
      <c r="A115" s="1656"/>
      <c r="B115" s="2394"/>
      <c r="C115" s="2230"/>
      <c r="D115" s="455"/>
      <c r="E115" s="1656"/>
      <c r="G115" s="2338"/>
      <c r="H115" s="2424"/>
      <c r="I115" s="2339"/>
      <c r="J115" s="592"/>
      <c r="K115" s="1668"/>
      <c r="L115" s="2370"/>
      <c r="M115" s="1656"/>
      <c r="O115" s="1668"/>
      <c r="P115" s="340"/>
      <c r="Q115" s="1656"/>
      <c r="R115" s="592"/>
      <c r="S115" s="2341"/>
      <c r="V115" s="952"/>
      <c r="W115" s="2343"/>
      <c r="AA115" s="1668"/>
    </row>
    <row r="116" spans="1:27" s="457" customFormat="1" x14ac:dyDescent="0.25">
      <c r="A116" s="1656"/>
      <c r="B116" s="2394"/>
      <c r="C116" s="2230"/>
      <c r="D116" s="455"/>
      <c r="E116" s="1656"/>
      <c r="G116" s="2338"/>
      <c r="H116" s="2424"/>
      <c r="I116" s="2339"/>
      <c r="J116" s="592"/>
      <c r="K116" s="1668"/>
      <c r="L116" s="2370"/>
      <c r="M116" s="1656"/>
      <c r="O116" s="1668"/>
      <c r="P116" s="340"/>
      <c r="Q116" s="1656"/>
      <c r="R116" s="592"/>
      <c r="S116" s="2341"/>
      <c r="V116" s="952"/>
      <c r="W116" s="2343"/>
      <c r="AA116" s="1668"/>
    </row>
    <row r="117" spans="1:27" s="457" customFormat="1" x14ac:dyDescent="0.25">
      <c r="A117" s="1656"/>
      <c r="B117" s="2394"/>
      <c r="C117" s="2230"/>
      <c r="D117" s="455"/>
      <c r="E117" s="1656"/>
      <c r="G117" s="2338"/>
      <c r="H117" s="2424"/>
      <c r="I117" s="2339"/>
      <c r="J117" s="592"/>
      <c r="K117" s="1668"/>
      <c r="L117" s="2370"/>
      <c r="M117" s="1656"/>
      <c r="O117" s="1668"/>
      <c r="P117" s="340"/>
      <c r="Q117" s="1656"/>
      <c r="R117" s="592"/>
      <c r="S117" s="2341"/>
      <c r="V117" s="952"/>
      <c r="W117" s="2343"/>
      <c r="AA117" s="1668"/>
    </row>
    <row r="118" spans="1:27" s="457" customFormat="1" x14ac:dyDescent="0.25">
      <c r="A118" s="1656"/>
      <c r="B118" s="2394"/>
      <c r="C118" s="2230"/>
      <c r="D118" s="455"/>
      <c r="E118" s="1656"/>
      <c r="G118" s="2338"/>
      <c r="H118" s="2424"/>
      <c r="I118" s="2339"/>
      <c r="J118" s="592"/>
      <c r="K118" s="1668"/>
      <c r="L118" s="2370"/>
      <c r="M118" s="1656"/>
      <c r="O118" s="1668"/>
      <c r="P118" s="340"/>
      <c r="Q118" s="1656"/>
      <c r="R118" s="592"/>
      <c r="S118" s="2341"/>
      <c r="V118" s="952"/>
      <c r="W118" s="2343"/>
      <c r="AA118" s="1668"/>
    </row>
    <row r="119" spans="1:27" s="457" customFormat="1" x14ac:dyDescent="0.25">
      <c r="A119" s="1656"/>
      <c r="B119" s="2394"/>
      <c r="C119" s="2230"/>
      <c r="D119" s="455"/>
      <c r="E119" s="1656"/>
      <c r="G119" s="2338"/>
      <c r="H119" s="2424"/>
      <c r="I119" s="2339"/>
      <c r="J119" s="592"/>
      <c r="K119" s="1668"/>
      <c r="L119" s="2370"/>
      <c r="M119" s="1656"/>
      <c r="O119" s="1668"/>
      <c r="P119" s="340"/>
      <c r="Q119" s="1656"/>
      <c r="R119" s="592"/>
      <c r="S119" s="2341"/>
      <c r="V119" s="952"/>
      <c r="W119" s="2343"/>
      <c r="AA119" s="1668"/>
    </row>
    <row r="120" spans="1:27" s="457" customFormat="1" x14ac:dyDescent="0.25">
      <c r="A120" s="1656"/>
      <c r="B120" s="2394"/>
      <c r="C120" s="2230"/>
      <c r="D120" s="455"/>
      <c r="E120" s="1656"/>
      <c r="G120" s="2338"/>
      <c r="H120" s="2424"/>
      <c r="I120" s="2339"/>
      <c r="J120" s="592"/>
      <c r="K120" s="1668"/>
      <c r="L120" s="2370"/>
      <c r="M120" s="1656"/>
      <c r="O120" s="1668"/>
      <c r="P120" s="340"/>
      <c r="Q120" s="1656"/>
      <c r="R120" s="592"/>
      <c r="S120" s="2341"/>
      <c r="V120" s="952"/>
      <c r="W120" s="2343"/>
      <c r="AA120" s="1668"/>
    </row>
    <row r="121" spans="1:27" s="457" customFormat="1" x14ac:dyDescent="0.25">
      <c r="A121" s="1656"/>
      <c r="B121" s="2394"/>
      <c r="C121" s="2230"/>
      <c r="D121" s="455"/>
      <c r="E121" s="1656"/>
      <c r="G121" s="2338"/>
      <c r="H121" s="2424"/>
      <c r="I121" s="2339"/>
      <c r="J121" s="592"/>
      <c r="K121" s="1668"/>
      <c r="L121" s="2370"/>
      <c r="M121" s="1656"/>
      <c r="O121" s="1668"/>
      <c r="P121" s="340"/>
      <c r="Q121" s="1656"/>
      <c r="R121" s="592"/>
      <c r="S121" s="2341"/>
      <c r="V121" s="952"/>
      <c r="W121" s="2343"/>
      <c r="AA121" s="1668"/>
    </row>
    <row r="122" spans="1:27" s="457" customFormat="1" x14ac:dyDescent="0.25">
      <c r="A122" s="1656"/>
      <c r="B122" s="2394"/>
      <c r="C122" s="2230"/>
      <c r="D122" s="455"/>
      <c r="E122" s="1656"/>
      <c r="G122" s="2338"/>
      <c r="H122" s="2424"/>
      <c r="I122" s="2339"/>
      <c r="J122" s="592"/>
      <c r="K122" s="1668"/>
      <c r="L122" s="2370"/>
      <c r="M122" s="1656"/>
      <c r="O122" s="1668"/>
      <c r="P122" s="340"/>
      <c r="Q122" s="1656"/>
      <c r="R122" s="592"/>
      <c r="S122" s="2341"/>
      <c r="V122" s="952"/>
      <c r="W122" s="2343"/>
      <c r="AA122" s="1668"/>
    </row>
    <row r="123" spans="1:27" s="457" customFormat="1" x14ac:dyDescent="0.25">
      <c r="A123" s="1656"/>
      <c r="B123" s="2394"/>
      <c r="C123" s="2230"/>
      <c r="D123" s="455"/>
      <c r="E123" s="1656"/>
      <c r="G123" s="2338"/>
      <c r="H123" s="2424"/>
      <c r="I123" s="2339"/>
      <c r="J123" s="592"/>
      <c r="K123" s="1668"/>
      <c r="L123" s="2370"/>
      <c r="M123" s="1656"/>
      <c r="O123" s="1668"/>
      <c r="P123" s="340"/>
      <c r="Q123" s="1656"/>
      <c r="R123" s="592"/>
      <c r="S123" s="2341"/>
      <c r="V123" s="952"/>
      <c r="W123" s="2343"/>
      <c r="AA123" s="1668"/>
    </row>
    <row r="124" spans="1:27" s="457" customFormat="1" x14ac:dyDescent="0.25">
      <c r="A124" s="1656"/>
      <c r="B124" s="2394"/>
      <c r="C124" s="2230"/>
      <c r="D124" s="455"/>
      <c r="E124" s="1656"/>
      <c r="G124" s="2338"/>
      <c r="H124" s="2424"/>
      <c r="I124" s="2339"/>
      <c r="J124" s="592"/>
      <c r="K124" s="1668"/>
      <c r="L124" s="2370"/>
      <c r="M124" s="1656"/>
      <c r="O124" s="1668"/>
      <c r="P124" s="340"/>
      <c r="Q124" s="1656"/>
      <c r="R124" s="592"/>
      <c r="S124" s="2341"/>
      <c r="V124" s="952"/>
      <c r="W124" s="2343"/>
      <c r="AA124" s="1668"/>
    </row>
    <row r="125" spans="1:27" s="457" customFormat="1" x14ac:dyDescent="0.25">
      <c r="A125" s="1656"/>
      <c r="B125" s="2394"/>
      <c r="C125" s="2230"/>
      <c r="D125" s="455"/>
      <c r="E125" s="1656"/>
      <c r="G125" s="2338"/>
      <c r="H125" s="2424"/>
      <c r="I125" s="2339"/>
      <c r="J125" s="592"/>
      <c r="K125" s="1668"/>
      <c r="L125" s="2370"/>
      <c r="M125" s="1656"/>
      <c r="O125" s="1668"/>
      <c r="P125" s="340"/>
      <c r="Q125" s="1656"/>
      <c r="R125" s="592"/>
      <c r="S125" s="2341"/>
      <c r="V125" s="952"/>
      <c r="W125" s="2343"/>
      <c r="AA125" s="1668"/>
    </row>
    <row r="126" spans="1:27" s="457" customFormat="1" x14ac:dyDescent="0.25">
      <c r="A126" s="1656"/>
      <c r="B126" s="2394"/>
      <c r="C126" s="2230"/>
      <c r="D126" s="455"/>
      <c r="E126" s="1656"/>
      <c r="G126" s="2338"/>
      <c r="H126" s="2424"/>
      <c r="I126" s="2339"/>
      <c r="J126" s="592"/>
      <c r="K126" s="1668"/>
      <c r="L126" s="2370"/>
      <c r="M126" s="1656"/>
      <c r="O126" s="1668"/>
      <c r="P126" s="340"/>
      <c r="Q126" s="1656"/>
      <c r="R126" s="592"/>
      <c r="S126" s="2341"/>
      <c r="V126" s="952"/>
      <c r="W126" s="2343"/>
      <c r="AA126" s="1668"/>
    </row>
    <row r="127" spans="1:27" s="457" customFormat="1" x14ac:dyDescent="0.25">
      <c r="A127" s="1656"/>
      <c r="B127" s="2345"/>
      <c r="C127" s="2215"/>
      <c r="D127" s="340"/>
      <c r="E127" s="1656"/>
      <c r="G127" s="2338"/>
      <c r="H127" s="2424"/>
      <c r="I127" s="2339"/>
      <c r="J127" s="592"/>
      <c r="K127" s="1668"/>
      <c r="L127" s="2370"/>
      <c r="M127" s="1656"/>
      <c r="O127" s="1668"/>
      <c r="P127" s="340"/>
      <c r="Q127" s="1656"/>
      <c r="R127" s="592"/>
      <c r="S127" s="2341"/>
      <c r="V127" s="952"/>
      <c r="W127" s="2343"/>
      <c r="AA127" s="1668"/>
    </row>
    <row r="128" spans="1:27" s="457" customFormat="1" x14ac:dyDescent="0.25">
      <c r="A128" s="1656"/>
      <c r="B128" s="2345"/>
      <c r="C128" s="2215"/>
      <c r="D128" s="340"/>
      <c r="E128" s="1656"/>
      <c r="G128" s="2338"/>
      <c r="H128" s="2424"/>
      <c r="I128" s="2339"/>
      <c r="J128" s="592"/>
      <c r="K128" s="1668"/>
      <c r="L128" s="2370"/>
      <c r="M128" s="1656"/>
      <c r="O128" s="1668"/>
      <c r="P128" s="340"/>
      <c r="Q128" s="1656"/>
      <c r="R128" s="592"/>
      <c r="S128" s="2341"/>
      <c r="V128" s="952"/>
      <c r="W128" s="2343"/>
      <c r="AA128" s="1668"/>
    </row>
    <row r="129" spans="1:27" s="457" customFormat="1" x14ac:dyDescent="0.25">
      <c r="A129" s="1656"/>
      <c r="B129" s="2345"/>
      <c r="C129" s="2215"/>
      <c r="D129" s="340"/>
      <c r="E129" s="1656"/>
      <c r="G129" s="2338"/>
      <c r="H129" s="2424"/>
      <c r="I129" s="2339"/>
      <c r="J129" s="592"/>
      <c r="K129" s="1668"/>
      <c r="L129" s="2370"/>
      <c r="M129" s="1656"/>
      <c r="O129" s="1668"/>
      <c r="P129" s="340"/>
      <c r="Q129" s="1656"/>
      <c r="R129" s="592"/>
      <c r="S129" s="2341"/>
      <c r="V129" s="952"/>
      <c r="W129" s="2343"/>
      <c r="AA129" s="1668"/>
    </row>
    <row r="130" spans="1:27" s="457" customFormat="1" x14ac:dyDescent="0.25">
      <c r="A130" s="1656"/>
      <c r="B130" s="2345"/>
      <c r="C130" s="2215"/>
      <c r="D130" s="340"/>
      <c r="E130" s="1656"/>
      <c r="G130" s="2338"/>
      <c r="H130" s="2424"/>
      <c r="I130" s="2339"/>
      <c r="J130" s="592"/>
      <c r="K130" s="1668"/>
      <c r="L130" s="2370"/>
      <c r="M130" s="1656"/>
      <c r="O130" s="1668"/>
      <c r="P130" s="340"/>
      <c r="Q130" s="1656"/>
      <c r="R130" s="592"/>
      <c r="S130" s="2341"/>
      <c r="V130" s="952"/>
      <c r="W130" s="2343"/>
      <c r="AA130" s="1668"/>
    </row>
    <row r="131" spans="1:27" s="457" customFormat="1" x14ac:dyDescent="0.25">
      <c r="A131" s="1656"/>
      <c r="B131" s="2345"/>
      <c r="C131" s="2215"/>
      <c r="D131" s="340"/>
      <c r="E131" s="1656"/>
      <c r="G131" s="2338"/>
      <c r="H131" s="2424"/>
      <c r="I131" s="2339"/>
      <c r="J131" s="592"/>
      <c r="K131" s="1668"/>
      <c r="L131" s="2370"/>
      <c r="M131" s="1656"/>
      <c r="O131" s="1668"/>
      <c r="P131" s="340"/>
      <c r="Q131" s="1656"/>
      <c r="R131" s="592"/>
      <c r="S131" s="2341"/>
      <c r="V131" s="952"/>
      <c r="W131" s="2343"/>
      <c r="AA131" s="1668"/>
    </row>
  </sheetData>
  <sheetProtection password="E247" sheet="1" objects="1" scenarios="1"/>
  <mergeCells count="1">
    <mergeCell ref="B106:C107"/>
  </mergeCells>
  <pageMargins left="0.25" right="0.25" top="0.5" bottom="0.5" header="0.25" footer="0.25"/>
  <pageSetup paperSize="5" scale="92" orientation="portrait" r:id="rId1"/>
  <headerFooter>
    <oddHeader>&amp;L&amp;F</oddHeader>
    <oddFooter>&amp;R&amp;A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pageSetUpPr fitToPage="1"/>
  </sheetPr>
  <dimension ref="A1:AC131"/>
  <sheetViews>
    <sheetView zoomScaleNormal="100" workbookViewId="0">
      <pane xSplit="3" ySplit="6" topLeftCell="H7" activePane="bottomRight" state="frozen"/>
      <selection activeCell="H7" sqref="H7"/>
      <selection pane="topRight" activeCell="H7" sqref="H7"/>
      <selection pane="bottomLeft" activeCell="H7" sqref="H7"/>
      <selection pane="bottomRight" activeCell="H7" sqref="H7"/>
    </sheetView>
  </sheetViews>
  <sheetFormatPr defaultRowHeight="15" x14ac:dyDescent="0.25"/>
  <cols>
    <col min="1" max="1" width="1.7109375" style="2213" customWidth="1"/>
    <col min="2" max="2" width="8.5703125" style="2172" customWidth="1"/>
    <col min="3" max="3" width="18.42578125" style="2176" customWidth="1"/>
    <col min="4" max="4" width="16" style="2" hidden="1" customWidth="1"/>
    <col min="5" max="5" width="17.7109375" style="844" hidden="1" customWidth="1"/>
    <col min="6" max="6" width="6" style="39" hidden="1" customWidth="1"/>
    <col min="7" max="7" width="9.42578125" style="52" hidden="1" customWidth="1"/>
    <col min="8" max="8" width="13.85546875" style="121" bestFit="1" customWidth="1"/>
    <col min="9" max="9" width="26" style="853" hidden="1" customWidth="1"/>
    <col min="10" max="10" width="5.7109375" style="59" hidden="1" customWidth="1"/>
    <col min="11" max="11" width="11.85546875" style="333" hidden="1" customWidth="1"/>
    <col min="12" max="12" width="14" style="122" bestFit="1" customWidth="1"/>
    <col min="13" max="13" width="26" style="844" hidden="1" customWidth="1"/>
    <col min="14" max="14" width="5.7109375" style="39" hidden="1" customWidth="1"/>
    <col min="15" max="15" width="9.42578125" style="333" hidden="1" customWidth="1"/>
    <col min="16" max="16" width="14" style="2" bestFit="1" customWidth="1"/>
    <col min="17" max="17" width="24.85546875" style="844" hidden="1" customWidth="1"/>
    <col min="18" max="18" width="5.28515625" style="51" hidden="1" customWidth="1"/>
    <col min="19" max="19" width="9.42578125" style="338" hidden="1" customWidth="1"/>
    <col min="20" max="20" width="14" style="39" customWidth="1"/>
    <col min="21" max="21" width="24.85546875" style="39" hidden="1" customWidth="1"/>
    <col min="22" max="22" width="5.7109375" style="109" customWidth="1"/>
    <col min="23" max="23" width="9.42578125" style="2244" hidden="1" customWidth="1"/>
    <col min="24" max="24" width="14" style="39" hidden="1" customWidth="1"/>
    <col min="25" max="25" width="24.85546875" style="39" hidden="1" customWidth="1"/>
    <col min="26" max="26" width="5.7109375" style="39" hidden="1" customWidth="1"/>
    <col min="27" max="27" width="9.42578125" style="333" hidden="1" customWidth="1"/>
    <col min="28" max="28" width="14" style="39" hidden="1" customWidth="1"/>
    <col min="29" max="29" width="24.85546875" style="39" hidden="1" customWidth="1"/>
    <col min="30" max="16384" width="9.140625" style="39"/>
  </cols>
  <sheetData>
    <row r="1" spans="1:29" x14ac:dyDescent="0.25">
      <c r="B1" s="2172" t="s">
        <v>61</v>
      </c>
      <c r="C1" s="2178" t="s">
        <v>836</v>
      </c>
      <c r="D1" s="933"/>
      <c r="E1" s="842"/>
      <c r="F1" s="98"/>
      <c r="G1" s="325"/>
      <c r="H1" s="934"/>
      <c r="I1" s="842"/>
      <c r="K1" s="338"/>
      <c r="L1" s="121"/>
      <c r="M1" s="842"/>
      <c r="N1" s="51"/>
      <c r="O1" s="338"/>
      <c r="P1" s="121"/>
      <c r="Q1" s="842"/>
      <c r="T1" s="86">
        <v>0</v>
      </c>
      <c r="U1" s="98"/>
      <c r="X1" s="86">
        <v>0</v>
      </c>
      <c r="Y1" s="98"/>
      <c r="AB1" s="86">
        <v>0</v>
      </c>
      <c r="AC1" s="98"/>
    </row>
    <row r="2" spans="1:29" ht="17.25" x14ac:dyDescent="0.4">
      <c r="B2" s="2173" t="s">
        <v>59</v>
      </c>
      <c r="C2" s="2177">
        <v>9221</v>
      </c>
      <c r="D2" s="934"/>
      <c r="E2" s="842"/>
      <c r="F2" s="98"/>
      <c r="G2" s="1663"/>
      <c r="H2" s="934"/>
      <c r="I2" s="842"/>
      <c r="K2" s="338"/>
      <c r="L2" s="87"/>
      <c r="M2" s="842"/>
      <c r="N2" s="51"/>
      <c r="O2" s="338"/>
      <c r="P2" s="87"/>
      <c r="Q2" s="842"/>
      <c r="T2" s="87">
        <v>0</v>
      </c>
      <c r="U2" s="98"/>
      <c r="X2" s="87">
        <v>0</v>
      </c>
      <c r="Y2" s="98"/>
      <c r="AB2" s="87">
        <v>0</v>
      </c>
      <c r="AC2" s="98"/>
    </row>
    <row r="3" spans="1:29" x14ac:dyDescent="0.25">
      <c r="D3" s="935"/>
      <c r="E3" s="852"/>
      <c r="F3" s="936"/>
      <c r="G3" s="1664"/>
      <c r="H3" s="935"/>
      <c r="I3" s="852"/>
      <c r="K3" s="338"/>
      <c r="L3" s="121"/>
      <c r="M3" s="853"/>
      <c r="N3" s="51"/>
      <c r="O3" s="338"/>
      <c r="P3" s="121"/>
      <c r="Q3" s="853"/>
      <c r="T3" s="86">
        <f>SUM(T1:T2)</f>
        <v>0</v>
      </c>
      <c r="U3" s="51"/>
      <c r="X3" s="86">
        <f>SUM(X1:X2)</f>
        <v>0</v>
      </c>
      <c r="Y3" s="51"/>
      <c r="AB3" s="86">
        <f>SUM(AB1:AB2)</f>
        <v>0</v>
      </c>
      <c r="AC3" s="51"/>
    </row>
    <row r="4" spans="1:29" x14ac:dyDescent="0.25">
      <c r="D4" s="36"/>
      <c r="E4" s="853"/>
      <c r="F4" s="51"/>
      <c r="G4" s="330"/>
      <c r="K4" s="338"/>
      <c r="L4" s="121"/>
      <c r="M4" s="853"/>
      <c r="N4" s="51"/>
      <c r="O4" s="338"/>
      <c r="P4" s="121"/>
      <c r="Q4" s="853"/>
      <c r="T4" s="86"/>
      <c r="U4" s="51"/>
      <c r="X4" s="86"/>
      <c r="Y4" s="51"/>
      <c r="AB4" s="86"/>
      <c r="AC4" s="51"/>
    </row>
    <row r="5" spans="1:29" ht="15.75" x14ac:dyDescent="0.25">
      <c r="B5" s="2174" t="s">
        <v>56</v>
      </c>
      <c r="P5" s="122"/>
      <c r="T5" s="73"/>
      <c r="X5" s="73"/>
      <c r="AB5" s="73"/>
    </row>
    <row r="6" spans="1:29" s="89" customFormat="1" ht="15.75" x14ac:dyDescent="0.25">
      <c r="A6" s="2214"/>
      <c r="B6" s="2175"/>
      <c r="C6" s="2175"/>
      <c r="D6" s="925" t="s">
        <v>55</v>
      </c>
      <c r="E6" s="845"/>
      <c r="G6" s="327"/>
      <c r="H6" s="282" t="str">
        <f>LEFT(D6,4)+1&amp;"-"&amp;RIGHT(D6,4)+1</f>
        <v>2017-2018</v>
      </c>
      <c r="I6" s="854"/>
      <c r="J6" s="93"/>
      <c r="K6" s="334"/>
      <c r="L6" s="123" t="str">
        <f>LEFT(H6,4)+1&amp;"-"&amp;RIGHT(H6,4)+1</f>
        <v>2018-2019</v>
      </c>
      <c r="M6" s="888"/>
      <c r="N6" s="96"/>
      <c r="O6" s="337"/>
      <c r="P6" s="123" t="str">
        <f>LEFT(L6,4)+1&amp;"-"&amp;RIGHT(L6,4)+1</f>
        <v>2019-2020</v>
      </c>
      <c r="Q6" s="888"/>
      <c r="R6" s="2237"/>
      <c r="S6" s="2242"/>
      <c r="T6" s="95" t="str">
        <f>LEFT(P6,4)+1&amp;"-"&amp;RIGHT(P6,4)+1</f>
        <v>2020-2021</v>
      </c>
      <c r="U6" s="95"/>
      <c r="V6" s="110"/>
      <c r="W6" s="2245"/>
      <c r="X6" s="95" t="str">
        <f>LEFT(T6,4)+1&amp;"-"&amp;RIGHT(T6,4)+1</f>
        <v>2021-2022</v>
      </c>
      <c r="Y6" s="95"/>
      <c r="Z6" s="96"/>
      <c r="AA6" s="337"/>
      <c r="AB6" s="95" t="str">
        <f>LEFT(X6,4)+1&amp;"-"&amp;RIGHT(X6,4)+1</f>
        <v>2022-2023</v>
      </c>
      <c r="AC6" s="95"/>
    </row>
    <row r="7" spans="1:29" s="457" customFormat="1" x14ac:dyDescent="0.25">
      <c r="A7" s="2215"/>
      <c r="B7" s="2337" t="s">
        <v>54</v>
      </c>
      <c r="C7" s="2215"/>
      <c r="D7" s="340">
        <v>0</v>
      </c>
      <c r="E7" s="1656"/>
      <c r="G7" s="2338"/>
      <c r="H7" s="340">
        <f>D89</f>
        <v>0</v>
      </c>
      <c r="I7" s="1656"/>
      <c r="J7" s="599"/>
      <c r="K7" s="1668"/>
      <c r="L7" s="340">
        <f>H89</f>
        <v>0</v>
      </c>
      <c r="M7" s="1656"/>
      <c r="O7" s="1668"/>
      <c r="P7" s="340">
        <f>L89</f>
        <v>0</v>
      </c>
      <c r="Q7" s="1656"/>
      <c r="R7" s="592"/>
      <c r="S7" s="2341"/>
      <c r="T7" s="340">
        <f>P89</f>
        <v>0</v>
      </c>
      <c r="V7" s="952"/>
      <c r="W7" s="2343"/>
      <c r="X7" s="340">
        <f>T89</f>
        <v>0</v>
      </c>
      <c r="AA7" s="1668"/>
      <c r="AB7" s="340">
        <f>X89</f>
        <v>0</v>
      </c>
    </row>
    <row r="8" spans="1:29" s="457" customFormat="1" x14ac:dyDescent="0.25">
      <c r="A8" s="2215"/>
      <c r="B8" s="2345"/>
      <c r="C8" s="2215"/>
      <c r="D8" s="340"/>
      <c r="E8" s="1656"/>
      <c r="G8" s="2338"/>
      <c r="H8" s="340"/>
      <c r="I8" s="1656"/>
      <c r="J8" s="592"/>
      <c r="K8" s="1668"/>
      <c r="L8" s="340"/>
      <c r="M8" s="1656"/>
      <c r="O8" s="1668"/>
      <c r="P8" s="340"/>
      <c r="Q8" s="1656"/>
      <c r="R8" s="592"/>
      <c r="S8" s="2341"/>
      <c r="V8" s="952"/>
      <c r="W8" s="2343"/>
      <c r="AA8" s="1668"/>
    </row>
    <row r="9" spans="1:29" s="457" customFormat="1" x14ac:dyDescent="0.25">
      <c r="A9" s="2215"/>
      <c r="B9" s="2345" t="s">
        <v>52</v>
      </c>
      <c r="C9" s="2215" t="s">
        <v>679</v>
      </c>
      <c r="D9" s="340">
        <v>0</v>
      </c>
      <c r="E9" s="1656"/>
      <c r="G9" s="456" t="str">
        <f>IF(D9=0,"0.00%",(H9-D9)/D9)</f>
        <v>0.00%</v>
      </c>
      <c r="H9" s="833">
        <v>7934</v>
      </c>
      <c r="I9" s="1656" t="s">
        <v>173</v>
      </c>
      <c r="J9" s="342"/>
      <c r="K9" s="456">
        <f>IF(H9=0,"0.00%",(L9-H9)/H9)</f>
        <v>-1</v>
      </c>
      <c r="L9" s="833">
        <v>0</v>
      </c>
      <c r="M9" s="1656" t="s">
        <v>173</v>
      </c>
      <c r="O9" s="456" t="str">
        <f>IF(L9=0,"0.00%",(P9-L9)/L9)</f>
        <v>0.00%</v>
      </c>
      <c r="P9" s="833">
        <f>+L9</f>
        <v>0</v>
      </c>
      <c r="Q9" s="1656" t="s">
        <v>173</v>
      </c>
      <c r="R9" s="592"/>
      <c r="S9" s="2238" t="str">
        <f>IF(P9=0,"0.00%",(T9-P9)/P9)</f>
        <v>0.00%</v>
      </c>
      <c r="T9" s="833">
        <f>+P9</f>
        <v>0</v>
      </c>
      <c r="U9" s="457" t="s">
        <v>173</v>
      </c>
      <c r="V9" s="952"/>
      <c r="W9" s="2241" t="str">
        <f>IF(T9=0,"0.00%",(X9-T9)/T9)</f>
        <v>0.00%</v>
      </c>
      <c r="X9" s="833">
        <f>X3</f>
        <v>0</v>
      </c>
      <c r="AA9" s="456" t="str">
        <f>IF(X9=0,"0.00%",(AB9-X9)/X9)</f>
        <v>0.00%</v>
      </c>
      <c r="AB9" s="833">
        <f>AB3</f>
        <v>0</v>
      </c>
    </row>
    <row r="10" spans="1:29" s="457" customFormat="1" x14ac:dyDescent="0.25">
      <c r="A10" s="2215"/>
      <c r="B10" s="2345"/>
      <c r="C10" s="2215"/>
      <c r="D10" s="340">
        <v>0</v>
      </c>
      <c r="E10" s="1656"/>
      <c r="G10" s="456" t="str">
        <f t="shared" ref="G10:G15" si="0">IF(D10=0,"0.00%",(H10-D10)/D10)</f>
        <v>0.00%</v>
      </c>
      <c r="H10" s="833">
        <v>0</v>
      </c>
      <c r="I10" s="1656"/>
      <c r="J10" s="342"/>
      <c r="K10" s="456" t="str">
        <f>IF(H10=0,"0.00%",(L10-H10)/H10)</f>
        <v>0.00%</v>
      </c>
      <c r="L10" s="833">
        <f>-H2</f>
        <v>0</v>
      </c>
      <c r="M10" s="1656"/>
      <c r="O10" s="456" t="str">
        <f>IF(L10=0,"0.00%",(P10-L10)/L10)</f>
        <v>0.00%</v>
      </c>
      <c r="P10" s="833">
        <f>-L2</f>
        <v>0</v>
      </c>
      <c r="Q10" s="1656"/>
      <c r="R10" s="592"/>
      <c r="S10" s="2238" t="str">
        <f>IF(P10=0,"0.00%",(T10-P10)/P10)</f>
        <v>0.00%</v>
      </c>
      <c r="T10" s="833">
        <f>-P2</f>
        <v>0</v>
      </c>
      <c r="V10" s="952"/>
      <c r="W10" s="2241" t="str">
        <f>IF(T10=0,"0.00%",(X10-T10)/T10)</f>
        <v>0.00%</v>
      </c>
      <c r="X10" s="833">
        <f>-T2</f>
        <v>0</v>
      </c>
      <c r="AA10" s="456" t="str">
        <f>IF(X10=0,"0.00%",(AB10-X10)/X10)</f>
        <v>0.00%</v>
      </c>
      <c r="AB10" s="833">
        <f>-X2</f>
        <v>0</v>
      </c>
    </row>
    <row r="11" spans="1:29" s="457" customFormat="1" x14ac:dyDescent="0.25">
      <c r="A11" s="2215"/>
      <c r="B11" s="2337" t="s">
        <v>137</v>
      </c>
      <c r="C11" s="2215"/>
      <c r="D11" s="458">
        <f>SUM(D9:D10)</f>
        <v>0</v>
      </c>
      <c r="E11" s="1656"/>
      <c r="G11" s="456" t="str">
        <f t="shared" si="0"/>
        <v>0.00%</v>
      </c>
      <c r="H11" s="458">
        <f>SUM(H9:H10)</f>
        <v>7934</v>
      </c>
      <c r="I11" s="1656"/>
      <c r="J11" s="601"/>
      <c r="K11" s="456">
        <f>IF(H11=0,"0.00%",(L11-H11)/H11)</f>
        <v>-1</v>
      </c>
      <c r="L11" s="458">
        <f>SUM(L9:L10)</f>
        <v>0</v>
      </c>
      <c r="M11" s="1656"/>
      <c r="O11" s="456" t="str">
        <f>IF(L11=0,"0.00%",(P11-L11)/L11)</f>
        <v>0.00%</v>
      </c>
      <c r="P11" s="458">
        <f>SUM(P9:P10)</f>
        <v>0</v>
      </c>
      <c r="Q11" s="1656"/>
      <c r="R11" s="592"/>
      <c r="S11" s="2238" t="str">
        <f>IF(P11=0,"0.00%",(T11-P11)/P11)</f>
        <v>0.00%</v>
      </c>
      <c r="T11" s="2353">
        <f>SUM(T9:T10)</f>
        <v>0</v>
      </c>
      <c r="V11" s="952"/>
      <c r="W11" s="2241" t="str">
        <f>IF(T11=0,"0.00%",(X11-T11)/T11)</f>
        <v>0.00%</v>
      </c>
      <c r="X11" s="2353">
        <f>SUM(X9:X10)</f>
        <v>0</v>
      </c>
      <c r="AA11" s="456" t="str">
        <f>IF(X11=0,"0.00%",(AB11-X11)/X11)</f>
        <v>0.00%</v>
      </c>
      <c r="AB11" s="2353">
        <f>SUM(AB9:AB10)</f>
        <v>0</v>
      </c>
    </row>
    <row r="12" spans="1:29" s="457" customFormat="1" x14ac:dyDescent="0.25">
      <c r="A12" s="2215"/>
      <c r="B12" s="2345"/>
      <c r="C12" s="2215"/>
      <c r="D12" s="340"/>
      <c r="E12" s="1656"/>
      <c r="G12" s="2338"/>
      <c r="H12" s="833"/>
      <c r="I12" s="1656"/>
      <c r="J12" s="602"/>
      <c r="K12" s="2338"/>
      <c r="L12" s="833"/>
      <c r="M12" s="1656"/>
      <c r="O12" s="2338"/>
      <c r="P12" s="833"/>
      <c r="Q12" s="1656"/>
      <c r="R12" s="592"/>
      <c r="S12" s="2355"/>
      <c r="T12" s="2356"/>
      <c r="V12" s="952"/>
      <c r="W12" s="2357"/>
      <c r="X12" s="2356"/>
      <c r="AA12" s="2338"/>
      <c r="AB12" s="2356"/>
    </row>
    <row r="13" spans="1:29" s="457" customFormat="1" x14ac:dyDescent="0.25">
      <c r="A13" s="2215"/>
      <c r="B13" s="2449"/>
      <c r="C13" s="2358" t="s">
        <v>64</v>
      </c>
      <c r="D13" s="2359">
        <f>ROUND(D11-(D11/(1+B13)),0)</f>
        <v>0</v>
      </c>
      <c r="E13" s="1656"/>
      <c r="G13" s="456" t="str">
        <f t="shared" si="0"/>
        <v>0.00%</v>
      </c>
      <c r="H13" s="2359">
        <f>ROUND(H11-(H11/(1+B13)),0)</f>
        <v>0</v>
      </c>
      <c r="I13" s="1656"/>
      <c r="J13" s="603"/>
      <c r="K13" s="456" t="str">
        <f>IF(H13=0,"0.00%",(L13-H13)/H13)</f>
        <v>0.00%</v>
      </c>
      <c r="L13" s="2359">
        <f>ROUND(L11-(L11/(1+B13)),0)</f>
        <v>0</v>
      </c>
      <c r="M13" s="1656"/>
      <c r="O13" s="456" t="str">
        <f>IF(L13=0,"0.00%",(P13-L13)/L13)</f>
        <v>0.00%</v>
      </c>
      <c r="P13" s="2359">
        <f>ROUND(P11-(P11/(1+B13)),0)</f>
        <v>0</v>
      </c>
      <c r="Q13" s="1656"/>
      <c r="R13" s="592"/>
      <c r="S13" s="2238" t="str">
        <f>IF(P13=0,"0.00%",(T13-P13)/P13)</f>
        <v>0.00%</v>
      </c>
      <c r="T13" s="2362">
        <f>ROUND(T11-(T11/(1+B13)),0)</f>
        <v>0</v>
      </c>
      <c r="V13" s="952"/>
      <c r="W13" s="2241" t="str">
        <f>IF(T13=0,"0.00%",(X13-T13)/T13)</f>
        <v>0.00%</v>
      </c>
      <c r="X13" s="2362">
        <f>ROUND(X11-(X11/(1+B13)),0)</f>
        <v>0</v>
      </c>
      <c r="AA13" s="456" t="str">
        <f>IF(X13=0,"0.00%",(AB13-X13)/X13)</f>
        <v>0.00%</v>
      </c>
      <c r="AB13" s="2362">
        <f>ROUND(AB11-(AB11/(1+G13)),0)</f>
        <v>0</v>
      </c>
    </row>
    <row r="14" spans="1:29" s="457" customFormat="1" x14ac:dyDescent="0.25">
      <c r="A14" s="2215"/>
      <c r="B14" s="2345"/>
      <c r="C14" s="2215"/>
      <c r="D14" s="340"/>
      <c r="E14" s="1656"/>
      <c r="G14" s="2338"/>
      <c r="H14" s="833"/>
      <c r="I14" s="1656"/>
      <c r="J14" s="602"/>
      <c r="K14" s="2338"/>
      <c r="L14" s="833"/>
      <c r="M14" s="1656"/>
      <c r="O14" s="2338"/>
      <c r="P14" s="833"/>
      <c r="Q14" s="1656"/>
      <c r="R14" s="592"/>
      <c r="S14" s="2355"/>
      <c r="T14" s="2356"/>
      <c r="V14" s="952"/>
      <c r="W14" s="2357"/>
      <c r="X14" s="2356"/>
      <c r="AA14" s="2338"/>
      <c r="AB14" s="2356"/>
    </row>
    <row r="15" spans="1:29" s="457" customFormat="1" x14ac:dyDescent="0.25">
      <c r="A15" s="2215"/>
      <c r="B15" s="2337" t="s">
        <v>50</v>
      </c>
      <c r="C15" s="2215"/>
      <c r="D15" s="1866">
        <f>D11-D13</f>
        <v>0</v>
      </c>
      <c r="E15" s="1656"/>
      <c r="G15" s="456" t="str">
        <f t="shared" si="0"/>
        <v>0.00%</v>
      </c>
      <c r="H15" s="2359">
        <f>H11-H13</f>
        <v>7934</v>
      </c>
      <c r="I15" s="1656"/>
      <c r="J15" s="601"/>
      <c r="K15" s="456">
        <f>IF(H15=0,"0.00%",(L15-H15)/H15)</f>
        <v>-1</v>
      </c>
      <c r="L15" s="2359">
        <f>L11-L13</f>
        <v>0</v>
      </c>
      <c r="M15" s="1656"/>
      <c r="O15" s="456" t="str">
        <f>IF(L15=0,"0.00%",(P15-L15)/L15)</f>
        <v>0.00%</v>
      </c>
      <c r="P15" s="2359">
        <f>P11-P13</f>
        <v>0</v>
      </c>
      <c r="Q15" s="1656"/>
      <c r="R15" s="592"/>
      <c r="S15" s="2238" t="str">
        <f>IF(P15=0,"0.00%",(T15-P15)/P15)</f>
        <v>0.00%</v>
      </c>
      <c r="T15" s="2366">
        <f>T11-T13</f>
        <v>0</v>
      </c>
      <c r="V15" s="952"/>
      <c r="W15" s="2241" t="str">
        <f>IF(T15=0,"0.00%",(X15-T15)/T15)</f>
        <v>0.00%</v>
      </c>
      <c r="X15" s="2366">
        <f>X11-X13</f>
        <v>0</v>
      </c>
      <c r="AA15" s="456" t="str">
        <f>IF(X15=0,"0.00%",(AB15-X15)/X15)</f>
        <v>0.00%</v>
      </c>
      <c r="AB15" s="2366">
        <f>AB11-AB13</f>
        <v>0</v>
      </c>
    </row>
    <row r="16" spans="1:29" s="457" customFormat="1" x14ac:dyDescent="0.25">
      <c r="A16" s="2215"/>
      <c r="B16" s="2345"/>
      <c r="C16" s="2215"/>
      <c r="D16" s="340"/>
      <c r="E16" s="1656"/>
      <c r="G16" s="2338"/>
      <c r="H16" s="833"/>
      <c r="I16" s="1656"/>
      <c r="J16" s="601"/>
      <c r="K16" s="1668"/>
      <c r="L16" s="833"/>
      <c r="M16" s="1656"/>
      <c r="O16" s="1668"/>
      <c r="P16" s="833"/>
      <c r="Q16" s="1656"/>
      <c r="R16" s="592"/>
      <c r="S16" s="2341"/>
      <c r="T16" s="2367"/>
      <c r="V16" s="952"/>
      <c r="W16" s="2343"/>
      <c r="X16" s="2367"/>
      <c r="AA16" s="1668"/>
      <c r="AB16" s="2367"/>
    </row>
    <row r="17" spans="1:29" s="457" customFormat="1" x14ac:dyDescent="0.25">
      <c r="A17" s="2215"/>
      <c r="B17" s="2345"/>
      <c r="C17" s="2345"/>
      <c r="D17" s="340"/>
      <c r="E17" s="1656"/>
      <c r="G17" s="2338"/>
      <c r="H17" s="833"/>
      <c r="I17" s="1656"/>
      <c r="J17" s="602"/>
      <c r="K17" s="1668"/>
      <c r="L17" s="833"/>
      <c r="M17" s="1656"/>
      <c r="O17" s="1668"/>
      <c r="P17" s="833"/>
      <c r="Q17" s="1656"/>
      <c r="R17" s="592"/>
      <c r="S17" s="2341"/>
      <c r="T17" s="2356"/>
      <c r="V17" s="952"/>
      <c r="W17" s="2343"/>
      <c r="X17" s="2356"/>
      <c r="AA17" s="1668"/>
      <c r="AB17" s="2356"/>
    </row>
    <row r="18" spans="1:29" s="457" customFormat="1" x14ac:dyDescent="0.25">
      <c r="A18" s="2223"/>
      <c r="B18" s="2345"/>
      <c r="C18" s="2215"/>
      <c r="D18" s="459" t="s">
        <v>807</v>
      </c>
      <c r="E18" s="1867"/>
      <c r="F18" s="2433"/>
      <c r="G18" s="2338"/>
      <c r="H18" s="459" t="s">
        <v>176</v>
      </c>
      <c r="I18" s="1867"/>
      <c r="J18" s="604"/>
      <c r="K18" s="1668"/>
      <c r="L18" s="2370"/>
      <c r="M18" s="1867"/>
      <c r="O18" s="1668"/>
      <c r="P18" s="340"/>
      <c r="Q18" s="1867"/>
      <c r="R18" s="592"/>
      <c r="S18" s="2341"/>
      <c r="U18" s="2433"/>
      <c r="V18" s="952"/>
      <c r="W18" s="2343"/>
      <c r="Y18" s="2433"/>
      <c r="AA18" s="1668"/>
      <c r="AC18" s="2433"/>
    </row>
    <row r="19" spans="1:29" s="457" customFormat="1" ht="17.25" x14ac:dyDescent="0.4">
      <c r="A19" s="2224"/>
      <c r="B19" s="2345"/>
      <c r="C19" s="2215"/>
      <c r="D19" s="2435" t="s">
        <v>808</v>
      </c>
      <c r="E19" s="2434"/>
      <c r="F19" s="2436"/>
      <c r="G19" s="2338"/>
      <c r="H19" s="2435" t="s">
        <v>48</v>
      </c>
      <c r="I19" s="2371">
        <v>0.02</v>
      </c>
      <c r="J19" s="459"/>
      <c r="K19" s="1668"/>
      <c r="L19" s="2372" t="s">
        <v>48</v>
      </c>
      <c r="M19" s="2371">
        <v>0.02</v>
      </c>
      <c r="O19" s="1668"/>
      <c r="P19" s="2372" t="s">
        <v>48</v>
      </c>
      <c r="Q19" s="2371">
        <v>0.02</v>
      </c>
      <c r="R19" s="592"/>
      <c r="S19" s="2341"/>
      <c r="T19" s="2372" t="s">
        <v>48</v>
      </c>
      <c r="U19" s="2374">
        <v>0.02</v>
      </c>
      <c r="V19" s="952"/>
      <c r="W19" s="2343"/>
      <c r="X19" s="2372" t="s">
        <v>48</v>
      </c>
      <c r="Y19" s="2374">
        <v>0.02</v>
      </c>
      <c r="AA19" s="1668"/>
      <c r="AB19" s="2372" t="s">
        <v>48</v>
      </c>
      <c r="AC19" s="2374">
        <v>0.02</v>
      </c>
    </row>
    <row r="20" spans="1:29" s="2378" customFormat="1" hidden="1" x14ac:dyDescent="0.25">
      <c r="A20" s="2225"/>
      <c r="B20" s="2337" t="s">
        <v>46</v>
      </c>
      <c r="C20" s="2358"/>
      <c r="D20" s="1866"/>
      <c r="E20" s="2375"/>
      <c r="F20" s="1866"/>
      <c r="G20" s="2376"/>
      <c r="H20" s="1866"/>
      <c r="I20" s="868"/>
      <c r="J20" s="460"/>
      <c r="K20" s="606"/>
      <c r="L20" s="1866"/>
      <c r="M20" s="2379"/>
      <c r="O20" s="606"/>
      <c r="P20" s="1866"/>
      <c r="Q20" s="2379"/>
      <c r="R20" s="461"/>
      <c r="S20" s="1669"/>
      <c r="T20" s="1866"/>
      <c r="U20" s="2383"/>
      <c r="V20" s="2381"/>
      <c r="W20" s="2382"/>
      <c r="X20" s="1866"/>
      <c r="Y20" s="2383"/>
      <c r="AA20" s="606"/>
      <c r="AB20" s="1866"/>
      <c r="AC20" s="2383"/>
    </row>
    <row r="21" spans="1:29" s="457" customFormat="1" hidden="1" x14ac:dyDescent="0.25">
      <c r="A21" s="2226"/>
      <c r="B21" s="2385"/>
      <c r="C21" s="2215"/>
      <c r="D21" s="340">
        <v>0</v>
      </c>
      <c r="E21" s="2386"/>
      <c r="F21" s="340"/>
      <c r="G21" s="456" t="str">
        <f t="shared" ref="G21:G30" si="1">IF(D21=0,"0.00%",(H21-D21)/D21)</f>
        <v>0.00%</v>
      </c>
      <c r="H21" s="340">
        <f t="shared" ref="H21:H27" si="2">ROUND(D21*(1+$I$19),0)</f>
        <v>0</v>
      </c>
      <c r="I21" s="899" t="str">
        <f t="shared" ref="I21:I28" si="3">TEXT($I$19,"0.0%")&amp;" = Est. S &amp; C"</f>
        <v>2.0% = Est. S &amp; C</v>
      </c>
      <c r="J21" s="455"/>
      <c r="K21" s="456" t="str">
        <f t="shared" ref="K21:K27" si="4">IF(H21=0,"0.00%",(L21-H21)/H21)</f>
        <v>0.00%</v>
      </c>
      <c r="L21" s="340">
        <f>ROUND(H21*(1+M19),0)</f>
        <v>0</v>
      </c>
      <c r="M21" s="897" t="str">
        <f>TEXT(M19,"0.0%")&amp;" = Est. S &amp; C"</f>
        <v>2.0% = Est. S &amp; C</v>
      </c>
      <c r="O21" s="456" t="str">
        <f t="shared" ref="O21:O27" si="5">IF(L21=0,"0.00%",(P21-L21)/L21)</f>
        <v>0.00%</v>
      </c>
      <c r="P21" s="340">
        <f>ROUND(L21*(1+Q19),0)</f>
        <v>0</v>
      </c>
      <c r="Q21" s="897" t="str">
        <f>TEXT(Q19,"0.0%")&amp;" = Est. S &amp; C"</f>
        <v>2.0% = Est. S &amp; C</v>
      </c>
      <c r="R21" s="592"/>
      <c r="S21" s="2238" t="str">
        <f t="shared" ref="S21:S27" si="6">IF(P21=0,"0.00%",(T21-P21)/P21)</f>
        <v>0.00%</v>
      </c>
      <c r="T21" s="340">
        <f>ROUND(P21*(1+U19),0)</f>
        <v>0</v>
      </c>
      <c r="U21" s="455" t="str">
        <f>TEXT(U19,"0.0%")&amp;" = Est. S &amp; C"</f>
        <v>2.0% = Est. S &amp; C</v>
      </c>
      <c r="V21" s="952"/>
      <c r="W21" s="2241" t="str">
        <f t="shared" ref="W21:W27" si="7">IF(T21=0,"0.00%",(X21-T21)/T21)</f>
        <v>0.00%</v>
      </c>
      <c r="X21" s="340">
        <f>ROUND(T21*(1+Y19),0)</f>
        <v>0</v>
      </c>
      <c r="Y21" s="455" t="str">
        <f>TEXT(Y19,"0.0%")&amp;" = Est. S &amp; C"</f>
        <v>2.0% = Est. S &amp; C</v>
      </c>
      <c r="AA21" s="456" t="str">
        <f t="shared" ref="AA21:AA27" si="8">IF(X21=0,"0.00%",(AB21-X21)/X21)</f>
        <v>0.00%</v>
      </c>
      <c r="AB21" s="340">
        <f>ROUND(X21*(1+AC19),0)</f>
        <v>0</v>
      </c>
      <c r="AC21" s="455" t="str">
        <f>TEXT(AC19,"0.0%")&amp;" = Est. S &amp; C"</f>
        <v>2.0% = Est. S &amp; C</v>
      </c>
    </row>
    <row r="22" spans="1:29" s="457" customFormat="1" hidden="1" x14ac:dyDescent="0.25">
      <c r="A22" s="2227"/>
      <c r="B22" s="2385"/>
      <c r="C22" s="2215"/>
      <c r="D22" s="340">
        <v>0</v>
      </c>
      <c r="E22" s="2386"/>
      <c r="F22" s="340"/>
      <c r="G22" s="456" t="str">
        <f t="shared" si="1"/>
        <v>0.00%</v>
      </c>
      <c r="H22" s="340">
        <f t="shared" si="2"/>
        <v>0</v>
      </c>
      <c r="I22" s="897" t="str">
        <f t="shared" si="3"/>
        <v>2.0% = Est. S &amp; C</v>
      </c>
      <c r="J22" s="455"/>
      <c r="K22" s="456" t="str">
        <f t="shared" si="4"/>
        <v>0.00%</v>
      </c>
      <c r="L22" s="340">
        <f>ROUND(H22*(1+M19),0)</f>
        <v>0</v>
      </c>
      <c r="M22" s="897" t="str">
        <f>TEXT(M19,"0.0%")&amp;" = Est. S &amp; C"</f>
        <v>2.0% = Est. S &amp; C</v>
      </c>
      <c r="O22" s="456" t="str">
        <f t="shared" si="5"/>
        <v>0.00%</v>
      </c>
      <c r="P22" s="340">
        <f>ROUND(L22*(1+Q19),0)</f>
        <v>0</v>
      </c>
      <c r="Q22" s="897" t="str">
        <f>TEXT(Q19,"0.0%")&amp;" = Est. S &amp; C"</f>
        <v>2.0% = Est. S &amp; C</v>
      </c>
      <c r="R22" s="592"/>
      <c r="S22" s="2238" t="str">
        <f t="shared" si="6"/>
        <v>0.00%</v>
      </c>
      <c r="T22" s="340">
        <f>ROUND(P22*(1+U19),0)</f>
        <v>0</v>
      </c>
      <c r="U22" s="455" t="str">
        <f>TEXT(U19,"0.0%")&amp;" = Est. S &amp; C"</f>
        <v>2.0% = Est. S &amp; C</v>
      </c>
      <c r="V22" s="952"/>
      <c r="W22" s="2241" t="str">
        <f t="shared" si="7"/>
        <v>0.00%</v>
      </c>
      <c r="X22" s="340">
        <f>ROUND(T22*(1+Y19),0)</f>
        <v>0</v>
      </c>
      <c r="Y22" s="455" t="str">
        <f>TEXT(Y19,"0.0%")&amp;" = Est. S &amp; C"</f>
        <v>2.0% = Est. S &amp; C</v>
      </c>
      <c r="AA22" s="456" t="str">
        <f t="shared" si="8"/>
        <v>0.00%</v>
      </c>
      <c r="AB22" s="340">
        <f>ROUND(X22*(1+AC19),0)</f>
        <v>0</v>
      </c>
      <c r="AC22" s="455" t="str">
        <f>TEXT(AC19,"0.0%")&amp;" = Est. S &amp; C"</f>
        <v>2.0% = Est. S &amp; C</v>
      </c>
    </row>
    <row r="23" spans="1:29" s="457" customFormat="1" hidden="1" x14ac:dyDescent="0.25">
      <c r="A23" s="2227"/>
      <c r="B23" s="2385"/>
      <c r="C23" s="2215"/>
      <c r="D23" s="340">
        <v>0</v>
      </c>
      <c r="E23" s="2386"/>
      <c r="F23" s="340"/>
      <c r="G23" s="456" t="str">
        <f t="shared" si="1"/>
        <v>0.00%</v>
      </c>
      <c r="H23" s="340">
        <f t="shared" si="2"/>
        <v>0</v>
      </c>
      <c r="I23" s="897" t="str">
        <f t="shared" si="3"/>
        <v>2.0% = Est. S &amp; C</v>
      </c>
      <c r="J23" s="455"/>
      <c r="K23" s="456" t="str">
        <f t="shared" si="4"/>
        <v>0.00%</v>
      </c>
      <c r="L23" s="340">
        <f>ROUND(H23*(1+M19),0)</f>
        <v>0</v>
      </c>
      <c r="M23" s="897" t="str">
        <f>TEXT(M19,"0.0%")&amp;" = Est. S &amp; C"</f>
        <v>2.0% = Est. S &amp; C</v>
      </c>
      <c r="O23" s="456" t="str">
        <f t="shared" si="5"/>
        <v>0.00%</v>
      </c>
      <c r="P23" s="340">
        <f>ROUND(L23*(1+Q19),0)</f>
        <v>0</v>
      </c>
      <c r="Q23" s="897" t="str">
        <f>TEXT(Q19,"0.0%")&amp;" = Est. S &amp; C"</f>
        <v>2.0% = Est. S &amp; C</v>
      </c>
      <c r="R23" s="592"/>
      <c r="S23" s="2238" t="str">
        <f t="shared" si="6"/>
        <v>0.00%</v>
      </c>
      <c r="T23" s="340">
        <f>ROUND(P23*(1+U19),0)</f>
        <v>0</v>
      </c>
      <c r="U23" s="455" t="str">
        <f>TEXT(U19,"0.0%")&amp;" = Est. S &amp; C"</f>
        <v>2.0% = Est. S &amp; C</v>
      </c>
      <c r="V23" s="952"/>
      <c r="W23" s="2241" t="str">
        <f t="shared" si="7"/>
        <v>0.00%</v>
      </c>
      <c r="X23" s="340">
        <f>ROUND(T23*(1+Y19),0)</f>
        <v>0</v>
      </c>
      <c r="Y23" s="455" t="str">
        <f>TEXT(Y19,"0.0%")&amp;" = Est. S &amp; C"</f>
        <v>2.0% = Est. S &amp; C</v>
      </c>
      <c r="AA23" s="456" t="str">
        <f t="shared" si="8"/>
        <v>0.00%</v>
      </c>
      <c r="AB23" s="340">
        <f>ROUND(X23*(1+AC19),0)</f>
        <v>0</v>
      </c>
      <c r="AC23" s="455" t="str">
        <f>TEXT(AC19,"0.0%")&amp;" = Est. S &amp; C"</f>
        <v>2.0% = Est. S &amp; C</v>
      </c>
    </row>
    <row r="24" spans="1:29" s="457" customFormat="1" hidden="1" x14ac:dyDescent="0.25">
      <c r="A24" s="2227"/>
      <c r="B24" s="2385"/>
      <c r="C24" s="2215"/>
      <c r="D24" s="340">
        <v>0</v>
      </c>
      <c r="E24" s="2386"/>
      <c r="F24" s="340"/>
      <c r="G24" s="456" t="str">
        <f t="shared" si="1"/>
        <v>0.00%</v>
      </c>
      <c r="H24" s="340">
        <f t="shared" si="2"/>
        <v>0</v>
      </c>
      <c r="I24" s="897" t="str">
        <f t="shared" si="3"/>
        <v>2.0% = Est. S &amp; C</v>
      </c>
      <c r="J24" s="455"/>
      <c r="K24" s="456" t="str">
        <f t="shared" si="4"/>
        <v>0.00%</v>
      </c>
      <c r="L24" s="340">
        <f>ROUND(H24*(1+M19),0)</f>
        <v>0</v>
      </c>
      <c r="M24" s="897" t="str">
        <f>TEXT(M19,"0.0%")&amp;" = Est. S &amp; C"</f>
        <v>2.0% = Est. S &amp; C</v>
      </c>
      <c r="O24" s="456" t="str">
        <f t="shared" si="5"/>
        <v>0.00%</v>
      </c>
      <c r="P24" s="340">
        <f>ROUND(L24*(1+Q19),0)</f>
        <v>0</v>
      </c>
      <c r="Q24" s="897" t="str">
        <f>TEXT(Q19,"0.0%")&amp;" = Est. S &amp; C"</f>
        <v>2.0% = Est. S &amp; C</v>
      </c>
      <c r="R24" s="592"/>
      <c r="S24" s="2238" t="str">
        <f t="shared" si="6"/>
        <v>0.00%</v>
      </c>
      <c r="T24" s="340">
        <f>ROUND(P24*(1+U19),0)</f>
        <v>0</v>
      </c>
      <c r="U24" s="455" t="str">
        <f>TEXT(U19,"0.0%")&amp;" = Est. S &amp; C"</f>
        <v>2.0% = Est. S &amp; C</v>
      </c>
      <c r="V24" s="952"/>
      <c r="W24" s="2241" t="str">
        <f t="shared" si="7"/>
        <v>0.00%</v>
      </c>
      <c r="X24" s="340">
        <f>ROUND(T24*(1+Y19),0)</f>
        <v>0</v>
      </c>
      <c r="Y24" s="455" t="str">
        <f>TEXT(Y19,"0.0%")&amp;" = Est. S &amp; C"</f>
        <v>2.0% = Est. S &amp; C</v>
      </c>
      <c r="AA24" s="456" t="str">
        <f t="shared" si="8"/>
        <v>0.00%</v>
      </c>
      <c r="AB24" s="340">
        <f>ROUND(X24*(1+AC19),0)</f>
        <v>0</v>
      </c>
      <c r="AC24" s="455" t="str">
        <f>TEXT(AC19,"0.0%")&amp;" = Est. S &amp; C"</f>
        <v>2.0% = Est. S &amp; C</v>
      </c>
    </row>
    <row r="25" spans="1:29" s="457" customFormat="1" hidden="1" x14ac:dyDescent="0.25">
      <c r="A25" s="2227"/>
      <c r="B25" s="2385"/>
      <c r="C25" s="2215"/>
      <c r="D25" s="340">
        <v>0</v>
      </c>
      <c r="E25" s="2386"/>
      <c r="F25" s="340"/>
      <c r="G25" s="456" t="str">
        <f t="shared" si="1"/>
        <v>0.00%</v>
      </c>
      <c r="H25" s="340">
        <f t="shared" si="2"/>
        <v>0</v>
      </c>
      <c r="I25" s="897" t="str">
        <f t="shared" si="3"/>
        <v>2.0% = Est. S &amp; C</v>
      </c>
      <c r="J25" s="455"/>
      <c r="K25" s="456" t="str">
        <f t="shared" si="4"/>
        <v>0.00%</v>
      </c>
      <c r="L25" s="340">
        <f>ROUND(H25*(1+M19),0)</f>
        <v>0</v>
      </c>
      <c r="M25" s="897" t="str">
        <f>TEXT(M19,"0.0%")&amp;" = Est. S &amp; C"</f>
        <v>2.0% = Est. S &amp; C</v>
      </c>
      <c r="O25" s="456" t="str">
        <f t="shared" si="5"/>
        <v>0.00%</v>
      </c>
      <c r="P25" s="340">
        <f>ROUND(L25*(1+Q19),0)</f>
        <v>0</v>
      </c>
      <c r="Q25" s="897" t="str">
        <f>TEXT(Q19,"0.0%")&amp;" = Est. S &amp; C"</f>
        <v>2.0% = Est. S &amp; C</v>
      </c>
      <c r="R25" s="592"/>
      <c r="S25" s="2238" t="str">
        <f t="shared" si="6"/>
        <v>0.00%</v>
      </c>
      <c r="T25" s="340">
        <f>ROUND(P25*(1+U19),0)</f>
        <v>0</v>
      </c>
      <c r="U25" s="455" t="str">
        <f>TEXT(U19,"0.0%")&amp;" = Est. S &amp; C"</f>
        <v>2.0% = Est. S &amp; C</v>
      </c>
      <c r="V25" s="952"/>
      <c r="W25" s="2241" t="str">
        <f t="shared" si="7"/>
        <v>0.00%</v>
      </c>
      <c r="X25" s="340">
        <f>ROUND(T25*(1+Y19),0)</f>
        <v>0</v>
      </c>
      <c r="Y25" s="455" t="str">
        <f>TEXT(Y19,"0.0%")&amp;" = Est. S &amp; C"</f>
        <v>2.0% = Est. S &amp; C</v>
      </c>
      <c r="AA25" s="456" t="str">
        <f t="shared" si="8"/>
        <v>0.00%</v>
      </c>
      <c r="AB25" s="340">
        <f>ROUND(X25*(1+AC19),0)</f>
        <v>0</v>
      </c>
      <c r="AC25" s="455" t="str">
        <f>TEXT(AC19,"0.0%")&amp;" = Est. S &amp; C"</f>
        <v>2.0% = Est. S &amp; C</v>
      </c>
    </row>
    <row r="26" spans="1:29" s="457" customFormat="1" hidden="1" x14ac:dyDescent="0.25">
      <c r="A26" s="2227"/>
      <c r="B26" s="2385"/>
      <c r="C26" s="2215"/>
      <c r="D26" s="340">
        <v>0</v>
      </c>
      <c r="E26" s="2386"/>
      <c r="F26" s="340"/>
      <c r="G26" s="456" t="str">
        <f t="shared" si="1"/>
        <v>0.00%</v>
      </c>
      <c r="H26" s="340">
        <f t="shared" si="2"/>
        <v>0</v>
      </c>
      <c r="I26" s="897" t="str">
        <f t="shared" si="3"/>
        <v>2.0% = Est. S &amp; C</v>
      </c>
      <c r="J26" s="455"/>
      <c r="K26" s="456" t="str">
        <f t="shared" si="4"/>
        <v>0.00%</v>
      </c>
      <c r="L26" s="340">
        <f>ROUND(H26*(1+M19),0)</f>
        <v>0</v>
      </c>
      <c r="M26" s="2341" t="str">
        <f>TEXT(M19,"0.0%")&amp;" = Est. S &amp; C"</f>
        <v>2.0% = Est. S &amp; C</v>
      </c>
      <c r="O26" s="456" t="str">
        <f t="shared" si="5"/>
        <v>0.00%</v>
      </c>
      <c r="P26" s="340">
        <f>ROUND(L26*(1+Q19),0)</f>
        <v>0</v>
      </c>
      <c r="Q26" s="897" t="str">
        <f>TEXT(Q19,"0.0%")&amp;" = Est. S &amp; C"</f>
        <v>2.0% = Est. S &amp; C</v>
      </c>
      <c r="R26" s="592"/>
      <c r="S26" s="2238" t="str">
        <f t="shared" si="6"/>
        <v>0.00%</v>
      </c>
      <c r="T26" s="340">
        <f>ROUND(P26*(1+U19),0)</f>
        <v>0</v>
      </c>
      <c r="U26" s="455" t="str">
        <f>TEXT(U19,"0.0%")&amp;" = Est. S &amp; C"</f>
        <v>2.0% = Est. S &amp; C</v>
      </c>
      <c r="V26" s="952"/>
      <c r="W26" s="2241" t="str">
        <f t="shared" si="7"/>
        <v>0.00%</v>
      </c>
      <c r="X26" s="340">
        <f>ROUND(T26*(1+Y19),0)</f>
        <v>0</v>
      </c>
      <c r="Y26" s="455" t="str">
        <f>TEXT(Y19,"0.0%")&amp;" = Est. S &amp; C"</f>
        <v>2.0% = Est. S &amp; C</v>
      </c>
      <c r="AA26" s="456" t="str">
        <f t="shared" si="8"/>
        <v>0.00%</v>
      </c>
      <c r="AB26" s="340">
        <f>ROUND(X26*(1+AC19),0)</f>
        <v>0</v>
      </c>
      <c r="AC26" s="455" t="str">
        <f>TEXT(AC19,"0.0%")&amp;" = Est. S &amp; C"</f>
        <v>2.0% = Est. S &amp; C</v>
      </c>
    </row>
    <row r="27" spans="1:29" s="457" customFormat="1" hidden="1" x14ac:dyDescent="0.25">
      <c r="A27" s="2227"/>
      <c r="B27" s="2385"/>
      <c r="C27" s="2215"/>
      <c r="D27" s="340">
        <v>0</v>
      </c>
      <c r="E27" s="2386"/>
      <c r="F27" s="340"/>
      <c r="G27" s="456" t="str">
        <f t="shared" si="1"/>
        <v>0.00%</v>
      </c>
      <c r="H27" s="340">
        <f t="shared" si="2"/>
        <v>0</v>
      </c>
      <c r="I27" s="897" t="str">
        <f t="shared" si="3"/>
        <v>2.0% = Est. S &amp; C</v>
      </c>
      <c r="J27" s="455"/>
      <c r="K27" s="456" t="str">
        <f t="shared" si="4"/>
        <v>0.00%</v>
      </c>
      <c r="L27" s="340">
        <f>ROUND(H27*(1+M19),0)</f>
        <v>0</v>
      </c>
      <c r="M27" s="897" t="str">
        <f>TEXT(M19,"0.0%")&amp;" = Est. S &amp; C"</f>
        <v>2.0% = Est. S &amp; C</v>
      </c>
      <c r="O27" s="456" t="str">
        <f t="shared" si="5"/>
        <v>0.00%</v>
      </c>
      <c r="P27" s="340">
        <f>ROUND(L27*(1+Q19),0)</f>
        <v>0</v>
      </c>
      <c r="Q27" s="897" t="str">
        <f>TEXT(Q19,"0.0%")&amp;" = Est. S &amp; C"</f>
        <v>2.0% = Est. S &amp; C</v>
      </c>
      <c r="R27" s="592"/>
      <c r="S27" s="2238" t="str">
        <f t="shared" si="6"/>
        <v>0.00%</v>
      </c>
      <c r="T27" s="340">
        <f>ROUND(P27*(1+U19),0)</f>
        <v>0</v>
      </c>
      <c r="U27" s="455" t="str">
        <f>TEXT(U19,"0.0%")&amp;" = Est. S &amp; C"</f>
        <v>2.0% = Est. S &amp; C</v>
      </c>
      <c r="V27" s="952"/>
      <c r="W27" s="2241" t="str">
        <f t="shared" si="7"/>
        <v>0.00%</v>
      </c>
      <c r="X27" s="340">
        <f>ROUND(T27*(1+Y19),0)</f>
        <v>0</v>
      </c>
      <c r="Y27" s="455" t="str">
        <f>TEXT(Y19,"0.0%")&amp;" = Est. S &amp; C"</f>
        <v>2.0% = Est. S &amp; C</v>
      </c>
      <c r="AA27" s="456" t="str">
        <f t="shared" si="8"/>
        <v>0.00%</v>
      </c>
      <c r="AB27" s="340">
        <f>ROUND(X27*(1+AC19),0)</f>
        <v>0</v>
      </c>
      <c r="AC27" s="455" t="str">
        <f>TEXT(AC19,"0.0%")&amp;" = Est. S &amp; C"</f>
        <v>2.0% = Est. S &amp; C</v>
      </c>
    </row>
    <row r="28" spans="1:29" s="457" customFormat="1" hidden="1" x14ac:dyDescent="0.25">
      <c r="A28" s="2227"/>
      <c r="B28" s="2385"/>
      <c r="C28" s="2215"/>
      <c r="D28" s="340">
        <v>0</v>
      </c>
      <c r="E28" s="2386"/>
      <c r="F28" s="340"/>
      <c r="G28" s="456" t="str">
        <f>IF(D28=0,"0.00%",(H28-D28)/D28)</f>
        <v>0.00%</v>
      </c>
      <c r="H28" s="340">
        <f>ROUND(D28*(1+$I$19),0)</f>
        <v>0</v>
      </c>
      <c r="I28" s="897" t="str">
        <f t="shared" si="3"/>
        <v>2.0% = Est. S &amp; C</v>
      </c>
      <c r="J28" s="455"/>
      <c r="K28" s="456" t="str">
        <f>IF(H28=0,"0.00%",(L28-H28)/H28)</f>
        <v>0.00%</v>
      </c>
      <c r="L28" s="340">
        <f>ROUND(H28*(1+M20),0)</f>
        <v>0</v>
      </c>
      <c r="M28" s="897" t="str">
        <f>TEXT(M20,"0.0%")&amp;" = Est. S &amp; C"</f>
        <v>0.0% = Est. S &amp; C</v>
      </c>
      <c r="O28" s="456" t="str">
        <f>IF(L28=0,"0.00%",(P28-L28)/L28)</f>
        <v>0.00%</v>
      </c>
      <c r="P28" s="340">
        <f>ROUND(L28*(1+Q20),0)</f>
        <v>0</v>
      </c>
      <c r="Q28" s="897" t="str">
        <f>TEXT(Q20,"0.0%")&amp;" = Est. S &amp; C"</f>
        <v>0.0% = Est. S &amp; C</v>
      </c>
      <c r="R28" s="592"/>
      <c r="S28" s="2238" t="str">
        <f>IF(P28=0,"0.00%",(T28-P28)/P28)</f>
        <v>0.00%</v>
      </c>
      <c r="T28" s="340">
        <f>ROUND(P28*(1+U20),0)</f>
        <v>0</v>
      </c>
      <c r="U28" s="455" t="str">
        <f>TEXT(U20,"0.0%")&amp;" = Est. S &amp; C"</f>
        <v>0.0% = Est. S &amp; C</v>
      </c>
      <c r="V28" s="952"/>
      <c r="W28" s="2241" t="str">
        <f>IF(T28=0,"0.00%",(X28-T28)/T28)</f>
        <v>0.00%</v>
      </c>
      <c r="X28" s="340">
        <f>ROUND(T28*(1+Y20),0)</f>
        <v>0</v>
      </c>
      <c r="Y28" s="455" t="str">
        <f>TEXT(Y20,"0.0%")&amp;" = Est. S &amp; C"</f>
        <v>0.0% = Est. S &amp; C</v>
      </c>
      <c r="AA28" s="456" t="str">
        <f>IF(X28=0,"0.00%",(AB28-X28)/X28)</f>
        <v>0.00%</v>
      </c>
      <c r="AB28" s="340">
        <f>ROUND(X28*(1+AC20),0)</f>
        <v>0</v>
      </c>
      <c r="AC28" s="455" t="str">
        <f>TEXT(AC20,"0.0%")&amp;" = Est. S &amp; C"</f>
        <v>0.0% = Est. S &amp; C</v>
      </c>
    </row>
    <row r="29" spans="1:29" s="457" customFormat="1" ht="6" hidden="1" customHeight="1" x14ac:dyDescent="0.25">
      <c r="A29" s="2227"/>
      <c r="B29" s="2385"/>
      <c r="C29" s="2215"/>
      <c r="D29" s="340"/>
      <c r="E29" s="2386"/>
      <c r="F29" s="340"/>
      <c r="G29" s="456"/>
      <c r="H29" s="340"/>
      <c r="I29" s="897"/>
      <c r="J29" s="455"/>
      <c r="K29" s="1668"/>
      <c r="L29" s="340"/>
      <c r="M29" s="901"/>
      <c r="O29" s="1668"/>
      <c r="P29" s="340"/>
      <c r="Q29" s="901"/>
      <c r="R29" s="592"/>
      <c r="S29" s="2341"/>
      <c r="T29" s="340"/>
      <c r="U29" s="2344"/>
      <c r="V29" s="952"/>
      <c r="W29" s="2343"/>
      <c r="X29" s="340"/>
      <c r="Y29" s="2344"/>
      <c r="AA29" s="1668"/>
      <c r="AB29" s="340"/>
      <c r="AC29" s="2344"/>
    </row>
    <row r="30" spans="1:29" s="457" customFormat="1" hidden="1" x14ac:dyDescent="0.25">
      <c r="A30" s="2228"/>
      <c r="B30" s="2385"/>
      <c r="C30" s="2215"/>
      <c r="D30" s="458">
        <f>SUM(D21:D29)</f>
        <v>0</v>
      </c>
      <c r="E30" s="2386"/>
      <c r="F30" s="340"/>
      <c r="G30" s="456" t="str">
        <f t="shared" si="1"/>
        <v>0.00%</v>
      </c>
      <c r="H30" s="458">
        <f>SUM(H21:H29)</f>
        <v>0</v>
      </c>
      <c r="I30" s="898"/>
      <c r="J30" s="459"/>
      <c r="K30" s="456" t="str">
        <f>IF(H30=0,"0.00%",(L30-H30)/H30)</f>
        <v>0.00%</v>
      </c>
      <c r="L30" s="458">
        <f>SUM(L21:L29)</f>
        <v>0</v>
      </c>
      <c r="M30" s="901"/>
      <c r="O30" s="456" t="str">
        <f>IF(L30=0,"0.00%",(P30-L30)/L30)</f>
        <v>0.00%</v>
      </c>
      <c r="P30" s="458">
        <f>SUM(P21:P29)</f>
        <v>0</v>
      </c>
      <c r="Q30" s="901"/>
      <c r="R30" s="592"/>
      <c r="S30" s="2238" t="str">
        <f>IF(P30=0,"0.00%",(T30-P30)/P30)</f>
        <v>0.00%</v>
      </c>
      <c r="T30" s="458">
        <f>SUM(T21:T29)</f>
        <v>0</v>
      </c>
      <c r="U30" s="2344"/>
      <c r="V30" s="952"/>
      <c r="W30" s="2241" t="str">
        <f>IF(T30=0,"0.00%",(X30-T30)/T30)</f>
        <v>0.00%</v>
      </c>
      <c r="X30" s="458">
        <f>SUM(X21:X29)</f>
        <v>0</v>
      </c>
      <c r="Y30" s="2344"/>
      <c r="AA30" s="456" t="str">
        <f>IF(X30=0,"0.00%",(AB30-X30)/X30)</f>
        <v>0.00%</v>
      </c>
      <c r="AB30" s="458">
        <f>SUM(AB21:AB29)</f>
        <v>0</v>
      </c>
      <c r="AC30" s="2344"/>
    </row>
    <row r="31" spans="1:29" s="457" customFormat="1" hidden="1" x14ac:dyDescent="0.25">
      <c r="A31" s="2227"/>
      <c r="B31" s="2345"/>
      <c r="C31" s="2215"/>
      <c r="D31" s="340"/>
      <c r="E31" s="2386"/>
      <c r="F31" s="340"/>
      <c r="G31" s="2338"/>
      <c r="H31" s="340"/>
      <c r="I31" s="899"/>
      <c r="J31" s="455"/>
      <c r="K31" s="1668"/>
      <c r="L31" s="340"/>
      <c r="M31" s="2388"/>
      <c r="O31" s="1668"/>
      <c r="P31" s="340"/>
      <c r="Q31" s="2388"/>
      <c r="R31" s="592"/>
      <c r="S31" s="2341"/>
      <c r="T31" s="340"/>
      <c r="U31" s="2344"/>
      <c r="V31" s="952"/>
      <c r="W31" s="2343"/>
      <c r="X31" s="340"/>
      <c r="Y31" s="2344"/>
      <c r="AA31" s="1668"/>
      <c r="AB31" s="340"/>
      <c r="AC31" s="2344"/>
    </row>
    <row r="32" spans="1:29" s="461" customFormat="1" hidden="1" x14ac:dyDescent="0.25">
      <c r="A32" s="2225"/>
      <c r="B32" s="2440" t="s">
        <v>35</v>
      </c>
      <c r="C32" s="2225"/>
      <c r="D32" s="460"/>
      <c r="E32" s="868"/>
      <c r="F32" s="460"/>
      <c r="G32" s="2389"/>
      <c r="H32" s="460"/>
      <c r="I32" s="868"/>
      <c r="J32" s="460"/>
      <c r="K32" s="1669"/>
      <c r="L32" s="460"/>
      <c r="M32" s="902"/>
      <c r="O32" s="1669"/>
      <c r="P32" s="460"/>
      <c r="Q32" s="902"/>
      <c r="S32" s="1669"/>
      <c r="T32" s="460"/>
      <c r="U32" s="2392"/>
      <c r="V32" s="2381"/>
      <c r="W32" s="2382"/>
      <c r="X32" s="460"/>
      <c r="Y32" s="2392"/>
      <c r="AA32" s="1669"/>
      <c r="AB32" s="460"/>
      <c r="AC32" s="2392"/>
    </row>
    <row r="33" spans="1:29" s="457" customFormat="1" hidden="1" x14ac:dyDescent="0.25">
      <c r="A33" s="2227"/>
      <c r="B33" s="2385"/>
      <c r="C33" s="2215"/>
      <c r="D33" s="340">
        <v>0</v>
      </c>
      <c r="E33" s="2386"/>
      <c r="F33" s="340"/>
      <c r="G33" s="456" t="str">
        <f t="shared" ref="G33:G39" si="9">IF(D33=0,"0.00%",(H33-D33)/D33)</f>
        <v>0.00%</v>
      </c>
      <c r="H33" s="340">
        <f t="shared" ref="H33:H39" si="10">ROUND(D33*(1+$I$19),0)</f>
        <v>0</v>
      </c>
      <c r="I33" s="897" t="str">
        <f t="shared" ref="I33:I39" si="11">TEXT($I$19,"0.0%")&amp;" = Est. S &amp; C"</f>
        <v>2.0% = Est. S &amp; C</v>
      </c>
      <c r="J33" s="455"/>
      <c r="K33" s="456" t="str">
        <f t="shared" ref="K33:K39" si="12">IF(H33=0,"0.00%",(L33-H33)/H33)</f>
        <v>0.00%</v>
      </c>
      <c r="L33" s="340">
        <f>ROUND(H33*(1+M19),0)</f>
        <v>0</v>
      </c>
      <c r="M33" s="897" t="str">
        <f>TEXT(M19,"0.0%")&amp;" = Est. S &amp; C"</f>
        <v>2.0% = Est. S &amp; C</v>
      </c>
      <c r="O33" s="456" t="str">
        <f t="shared" ref="O33:O39" si="13">IF(L33=0,"0.00%",(P33-L33)/L33)</f>
        <v>0.00%</v>
      </c>
      <c r="P33" s="340">
        <f>ROUND(L33*(1+Q19),0)</f>
        <v>0</v>
      </c>
      <c r="Q33" s="897" t="str">
        <f>TEXT(Q19,"0.0%")&amp;" = Est. S &amp; C"</f>
        <v>2.0% = Est. S &amp; C</v>
      </c>
      <c r="R33" s="592"/>
      <c r="S33" s="2238" t="str">
        <f t="shared" ref="S33:S39" si="14">IF(P33=0,"0.00%",(T33-P33)/P33)</f>
        <v>0.00%</v>
      </c>
      <c r="T33" s="340">
        <f>ROUND(P33*(1+U19),0)</f>
        <v>0</v>
      </c>
      <c r="U33" s="455" t="str">
        <f>TEXT(U19,"0.0%")&amp;" = Est. S &amp; C"</f>
        <v>2.0% = Est. S &amp; C</v>
      </c>
      <c r="V33" s="952"/>
      <c r="W33" s="2241" t="str">
        <f t="shared" ref="W33:W39" si="15">IF(T33=0,"0.00%",(X33-T33)/T33)</f>
        <v>0.00%</v>
      </c>
      <c r="X33" s="340">
        <f>ROUND(T33*(1+Y19),0)</f>
        <v>0</v>
      </c>
      <c r="Y33" s="455" t="str">
        <f>TEXT(Y19,"0.0%")&amp;" = Est. S &amp; C"</f>
        <v>2.0% = Est. S &amp; C</v>
      </c>
      <c r="AA33" s="456" t="str">
        <f t="shared" ref="AA33:AA39" si="16">IF(X33=0,"0.00%",(AB33-X33)/X33)</f>
        <v>0.00%</v>
      </c>
      <c r="AB33" s="340">
        <f>ROUND(X33*(1+AC19),0)</f>
        <v>0</v>
      </c>
      <c r="AC33" s="455" t="str">
        <f>TEXT(AC19,"0.0%")&amp;" = Est. S &amp; C"</f>
        <v>2.0% = Est. S &amp; C</v>
      </c>
    </row>
    <row r="34" spans="1:29" s="457" customFormat="1" hidden="1" x14ac:dyDescent="0.25">
      <c r="A34" s="2227"/>
      <c r="B34" s="2385"/>
      <c r="C34" s="2215"/>
      <c r="D34" s="340">
        <v>0</v>
      </c>
      <c r="E34" s="2386"/>
      <c r="F34" s="340"/>
      <c r="G34" s="456" t="str">
        <f t="shared" si="9"/>
        <v>0.00%</v>
      </c>
      <c r="H34" s="340">
        <f t="shared" si="10"/>
        <v>0</v>
      </c>
      <c r="I34" s="897" t="str">
        <f t="shared" si="11"/>
        <v>2.0% = Est. S &amp; C</v>
      </c>
      <c r="J34" s="455"/>
      <c r="K34" s="456" t="str">
        <f t="shared" si="12"/>
        <v>0.00%</v>
      </c>
      <c r="L34" s="340">
        <f>ROUND(H34*(1+M19),0)</f>
        <v>0</v>
      </c>
      <c r="M34" s="897" t="str">
        <f>TEXT(M19,"0.0%")&amp;" = Est. S &amp; C"</f>
        <v>2.0% = Est. S &amp; C</v>
      </c>
      <c r="O34" s="456" t="str">
        <f t="shared" si="13"/>
        <v>0.00%</v>
      </c>
      <c r="P34" s="340">
        <f>ROUND(L34*(1+Q19),0)</f>
        <v>0</v>
      </c>
      <c r="Q34" s="897" t="str">
        <f>TEXT(Q19,"0.0%")&amp;" = Est. S &amp; C"</f>
        <v>2.0% = Est. S &amp; C</v>
      </c>
      <c r="R34" s="592"/>
      <c r="S34" s="2238" t="str">
        <f t="shared" si="14"/>
        <v>0.00%</v>
      </c>
      <c r="T34" s="340">
        <f>ROUND(P34*(1+U19),0)</f>
        <v>0</v>
      </c>
      <c r="U34" s="455" t="str">
        <f>TEXT(U19,"0.0%")&amp;" = Est. S &amp; C"</f>
        <v>2.0% = Est. S &amp; C</v>
      </c>
      <c r="V34" s="952"/>
      <c r="W34" s="2241" t="str">
        <f t="shared" si="15"/>
        <v>0.00%</v>
      </c>
      <c r="X34" s="340">
        <f>ROUND(T34*(1+Y19),0)</f>
        <v>0</v>
      </c>
      <c r="Y34" s="455" t="str">
        <f>TEXT(Y19,"0.0%")&amp;" = Est. S &amp; C"</f>
        <v>2.0% = Est. S &amp; C</v>
      </c>
      <c r="AA34" s="456" t="str">
        <f t="shared" si="16"/>
        <v>0.00%</v>
      </c>
      <c r="AB34" s="340">
        <f>ROUND(X34*(1+AC19),0)</f>
        <v>0</v>
      </c>
      <c r="AC34" s="455" t="str">
        <f>TEXT(AC19,"0.0%")&amp;" = Est. S &amp; C"</f>
        <v>2.0% = Est. S &amp; C</v>
      </c>
    </row>
    <row r="35" spans="1:29" s="457" customFormat="1" hidden="1" x14ac:dyDescent="0.25">
      <c r="A35" s="2227"/>
      <c r="B35" s="2385"/>
      <c r="C35" s="2215"/>
      <c r="D35" s="340">
        <v>0</v>
      </c>
      <c r="E35" s="2386"/>
      <c r="F35" s="340"/>
      <c r="G35" s="456" t="str">
        <f t="shared" si="9"/>
        <v>0.00%</v>
      </c>
      <c r="H35" s="340">
        <f t="shared" si="10"/>
        <v>0</v>
      </c>
      <c r="I35" s="897" t="str">
        <f t="shared" si="11"/>
        <v>2.0% = Est. S &amp; C</v>
      </c>
      <c r="J35" s="455"/>
      <c r="K35" s="456" t="str">
        <f t="shared" si="12"/>
        <v>0.00%</v>
      </c>
      <c r="L35" s="340">
        <f>ROUND(H35*(1+M19),0)</f>
        <v>0</v>
      </c>
      <c r="M35" s="897" t="str">
        <f>TEXT(M19,"0.0%")&amp;" = Est. S &amp; C"</f>
        <v>2.0% = Est. S &amp; C</v>
      </c>
      <c r="O35" s="456" t="str">
        <f t="shared" si="13"/>
        <v>0.00%</v>
      </c>
      <c r="P35" s="340">
        <f>ROUND(L35*(1+Q19),0)</f>
        <v>0</v>
      </c>
      <c r="Q35" s="897" t="str">
        <f>TEXT(Q19,"0.0%")&amp;" = Est. S &amp; C"</f>
        <v>2.0% = Est. S &amp; C</v>
      </c>
      <c r="R35" s="592"/>
      <c r="S35" s="2238" t="str">
        <f t="shared" si="14"/>
        <v>0.00%</v>
      </c>
      <c r="T35" s="340">
        <f>ROUND(P35*(1+U19),0)</f>
        <v>0</v>
      </c>
      <c r="U35" s="455" t="str">
        <f>TEXT(U19,"0.0%")&amp;" = Est. S &amp; C"</f>
        <v>2.0% = Est. S &amp; C</v>
      </c>
      <c r="V35" s="952"/>
      <c r="W35" s="2241" t="str">
        <f t="shared" si="15"/>
        <v>0.00%</v>
      </c>
      <c r="X35" s="340">
        <f>ROUND(T35*(1+Y19),0)</f>
        <v>0</v>
      </c>
      <c r="Y35" s="455" t="str">
        <f>TEXT(Y19,"0.0%")&amp;" = Est. S &amp; C"</f>
        <v>2.0% = Est. S &amp; C</v>
      </c>
      <c r="AA35" s="456" t="str">
        <f t="shared" si="16"/>
        <v>0.00%</v>
      </c>
      <c r="AB35" s="340">
        <f>ROUND(X35*(1+AC19),0)</f>
        <v>0</v>
      </c>
      <c r="AC35" s="455" t="str">
        <f>TEXT(AC19,"0.0%")&amp;" = Est. S &amp; C"</f>
        <v>2.0% = Est. S &amp; C</v>
      </c>
    </row>
    <row r="36" spans="1:29" s="457" customFormat="1" hidden="1" x14ac:dyDescent="0.25">
      <c r="A36" s="2227"/>
      <c r="B36" s="2385"/>
      <c r="C36" s="2215"/>
      <c r="D36" s="340">
        <v>0</v>
      </c>
      <c r="E36" s="2386"/>
      <c r="F36" s="340"/>
      <c r="G36" s="456" t="str">
        <f t="shared" si="9"/>
        <v>0.00%</v>
      </c>
      <c r="H36" s="340">
        <f t="shared" si="10"/>
        <v>0</v>
      </c>
      <c r="I36" s="897" t="str">
        <f t="shared" si="11"/>
        <v>2.0% = Est. S &amp; C</v>
      </c>
      <c r="J36" s="455"/>
      <c r="K36" s="456" t="str">
        <f t="shared" si="12"/>
        <v>0.00%</v>
      </c>
      <c r="L36" s="340">
        <f>ROUND(H36*(1+M19),0)</f>
        <v>0</v>
      </c>
      <c r="M36" s="897" t="str">
        <f>TEXT(M19,"0.0%")&amp;" = Est. S &amp; C"</f>
        <v>2.0% = Est. S &amp; C</v>
      </c>
      <c r="O36" s="456" t="str">
        <f t="shared" si="13"/>
        <v>0.00%</v>
      </c>
      <c r="P36" s="340">
        <f>ROUND(L36*(1+Q19),0)</f>
        <v>0</v>
      </c>
      <c r="Q36" s="897" t="str">
        <f>TEXT(Q19,"0.0%")&amp;" = Est. S &amp; C"</f>
        <v>2.0% = Est. S &amp; C</v>
      </c>
      <c r="R36" s="592"/>
      <c r="S36" s="2238" t="str">
        <f t="shared" si="14"/>
        <v>0.00%</v>
      </c>
      <c r="T36" s="340">
        <f>ROUND(P36*(1+U19),0)</f>
        <v>0</v>
      </c>
      <c r="U36" s="455" t="str">
        <f>TEXT(U19,"0.0%")&amp;" = Est. S &amp; C"</f>
        <v>2.0% = Est. S &amp; C</v>
      </c>
      <c r="V36" s="952"/>
      <c r="W36" s="2241" t="str">
        <f t="shared" si="15"/>
        <v>0.00%</v>
      </c>
      <c r="X36" s="340">
        <f>ROUND(T36*(1+Y19),0)</f>
        <v>0</v>
      </c>
      <c r="Y36" s="455" t="str">
        <f>TEXT(Y19,"0.0%")&amp;" = Est. S &amp; C"</f>
        <v>2.0% = Est. S &amp; C</v>
      </c>
      <c r="AA36" s="456" t="str">
        <f t="shared" si="16"/>
        <v>0.00%</v>
      </c>
      <c r="AB36" s="340">
        <f>ROUND(X36*(1+AC19),0)</f>
        <v>0</v>
      </c>
      <c r="AC36" s="455" t="str">
        <f>TEXT(AC19,"0.0%")&amp;" = Est. S &amp; C"</f>
        <v>2.0% = Est. S &amp; C</v>
      </c>
    </row>
    <row r="37" spans="1:29" s="457" customFormat="1" hidden="1" x14ac:dyDescent="0.25">
      <c r="A37" s="2227"/>
      <c r="B37" s="2385"/>
      <c r="C37" s="2215"/>
      <c r="D37" s="340">
        <v>0</v>
      </c>
      <c r="E37" s="2386"/>
      <c r="F37" s="340"/>
      <c r="G37" s="456" t="str">
        <f t="shared" si="9"/>
        <v>0.00%</v>
      </c>
      <c r="H37" s="340">
        <f t="shared" si="10"/>
        <v>0</v>
      </c>
      <c r="I37" s="897" t="str">
        <f t="shared" si="11"/>
        <v>2.0% = Est. S &amp; C</v>
      </c>
      <c r="J37" s="455"/>
      <c r="K37" s="456" t="str">
        <f t="shared" si="12"/>
        <v>0.00%</v>
      </c>
      <c r="L37" s="340">
        <f>ROUND(H37*(1+M19),0)</f>
        <v>0</v>
      </c>
      <c r="M37" s="897" t="str">
        <f>TEXT(M19,"0.0%")&amp;" = Est. S &amp; C"</f>
        <v>2.0% = Est. S &amp; C</v>
      </c>
      <c r="O37" s="456" t="str">
        <f t="shared" si="13"/>
        <v>0.00%</v>
      </c>
      <c r="P37" s="340">
        <f>ROUND(L37*(1+Q19),0)</f>
        <v>0</v>
      </c>
      <c r="Q37" s="897" t="str">
        <f>TEXT(Q19,"0.0%")&amp;" = Est. S &amp; C"</f>
        <v>2.0% = Est. S &amp; C</v>
      </c>
      <c r="R37" s="592"/>
      <c r="S37" s="2238" t="str">
        <f t="shared" si="14"/>
        <v>0.00%</v>
      </c>
      <c r="T37" s="340">
        <f>ROUND(P37*(1+U19),0)</f>
        <v>0</v>
      </c>
      <c r="U37" s="455" t="str">
        <f>TEXT(U19,"0.0%")&amp;" = Est. S &amp; C"</f>
        <v>2.0% = Est. S &amp; C</v>
      </c>
      <c r="V37" s="952"/>
      <c r="W37" s="2241" t="str">
        <f t="shared" si="15"/>
        <v>0.00%</v>
      </c>
      <c r="X37" s="340">
        <f>ROUND(T37*(1+Y19),0)</f>
        <v>0</v>
      </c>
      <c r="Y37" s="455" t="str">
        <f>TEXT(Y19,"0.0%")&amp;" = Est. S &amp; C"</f>
        <v>2.0% = Est. S &amp; C</v>
      </c>
      <c r="AA37" s="456" t="str">
        <f t="shared" si="16"/>
        <v>0.00%</v>
      </c>
      <c r="AB37" s="340">
        <f>ROUND(X37*(1+AC19),0)</f>
        <v>0</v>
      </c>
      <c r="AC37" s="455" t="str">
        <f>TEXT(AC19,"0.0%")&amp;" = Est. S &amp; C"</f>
        <v>2.0% = Est. S &amp; C</v>
      </c>
    </row>
    <row r="38" spans="1:29" s="457" customFormat="1" hidden="1" x14ac:dyDescent="0.25">
      <c r="A38" s="2227"/>
      <c r="B38" s="2385"/>
      <c r="C38" s="2215"/>
      <c r="D38" s="340">
        <v>0</v>
      </c>
      <c r="E38" s="2386"/>
      <c r="F38" s="340"/>
      <c r="G38" s="456" t="str">
        <f t="shared" si="9"/>
        <v>0.00%</v>
      </c>
      <c r="H38" s="340">
        <f t="shared" si="10"/>
        <v>0</v>
      </c>
      <c r="I38" s="897" t="str">
        <f t="shared" si="11"/>
        <v>2.0% = Est. S &amp; C</v>
      </c>
      <c r="J38" s="455"/>
      <c r="K38" s="456" t="str">
        <f t="shared" si="12"/>
        <v>0.00%</v>
      </c>
      <c r="L38" s="340">
        <f>ROUND(H38*(1+M19),0)</f>
        <v>0</v>
      </c>
      <c r="M38" s="897" t="str">
        <f>TEXT(M19,"0.0%")&amp;" = Est. S &amp; C"</f>
        <v>2.0% = Est. S &amp; C</v>
      </c>
      <c r="O38" s="456" t="str">
        <f t="shared" si="13"/>
        <v>0.00%</v>
      </c>
      <c r="P38" s="340">
        <f>ROUND(L38*(1+Q19),0)</f>
        <v>0</v>
      </c>
      <c r="Q38" s="897" t="str">
        <f>TEXT(Q19,"0.0%")&amp;" = Est. S &amp; C"</f>
        <v>2.0% = Est. S &amp; C</v>
      </c>
      <c r="R38" s="592"/>
      <c r="S38" s="2238" t="str">
        <f t="shared" si="14"/>
        <v>0.00%</v>
      </c>
      <c r="T38" s="340">
        <f>ROUND(P38*(1+U19),0)</f>
        <v>0</v>
      </c>
      <c r="U38" s="455" t="str">
        <f>TEXT(U19,"0.0%")&amp;" = Est. S &amp; C"</f>
        <v>2.0% = Est. S &amp; C</v>
      </c>
      <c r="V38" s="952"/>
      <c r="W38" s="2241" t="str">
        <f t="shared" si="15"/>
        <v>0.00%</v>
      </c>
      <c r="X38" s="340">
        <f>ROUND(T38*(1+Y19),0)</f>
        <v>0</v>
      </c>
      <c r="Y38" s="455" t="str">
        <f>TEXT(Y19,"0.0%")&amp;" = Est. S &amp; C"</f>
        <v>2.0% = Est. S &amp; C</v>
      </c>
      <c r="AA38" s="456" t="str">
        <f t="shared" si="16"/>
        <v>0.00%</v>
      </c>
      <c r="AB38" s="340">
        <f>ROUND(X38*(1+AC19),0)</f>
        <v>0</v>
      </c>
      <c r="AC38" s="455" t="str">
        <f>TEXT(AC19,"0.0%")&amp;" = Est. S &amp; C"</f>
        <v>2.0% = Est. S &amp; C</v>
      </c>
    </row>
    <row r="39" spans="1:29" s="457" customFormat="1" hidden="1" x14ac:dyDescent="0.25">
      <c r="A39" s="2227"/>
      <c r="B39" s="2385"/>
      <c r="C39" s="2215"/>
      <c r="D39" s="340">
        <v>0</v>
      </c>
      <c r="E39" s="2386"/>
      <c r="F39" s="340"/>
      <c r="G39" s="456" t="str">
        <f t="shared" si="9"/>
        <v>0.00%</v>
      </c>
      <c r="H39" s="340">
        <f t="shared" si="10"/>
        <v>0</v>
      </c>
      <c r="I39" s="897" t="str">
        <f t="shared" si="11"/>
        <v>2.0% = Est. S &amp; C</v>
      </c>
      <c r="J39" s="455"/>
      <c r="K39" s="456" t="str">
        <f t="shared" si="12"/>
        <v>0.00%</v>
      </c>
      <c r="L39" s="340">
        <f>ROUND(H39*(1+M19),0)</f>
        <v>0</v>
      </c>
      <c r="M39" s="897" t="str">
        <f>TEXT(M19,"0.0%")&amp;" = Est. S &amp; C"</f>
        <v>2.0% = Est. S &amp; C</v>
      </c>
      <c r="O39" s="456" t="str">
        <f t="shared" si="13"/>
        <v>0.00%</v>
      </c>
      <c r="P39" s="340">
        <f>ROUND(L39*(1+Q19),0)</f>
        <v>0</v>
      </c>
      <c r="Q39" s="897" t="str">
        <f>TEXT(Q19,"0.0%")&amp;" = Est. S &amp; C"</f>
        <v>2.0% = Est. S &amp; C</v>
      </c>
      <c r="R39" s="592"/>
      <c r="S39" s="2238" t="str">
        <f t="shared" si="14"/>
        <v>0.00%</v>
      </c>
      <c r="T39" s="340">
        <f>ROUND(P39*(1+U19),0)</f>
        <v>0</v>
      </c>
      <c r="U39" s="455" t="str">
        <f>TEXT(U19,"0.0%")&amp;" = Est. S &amp; C"</f>
        <v>2.0% = Est. S &amp; C</v>
      </c>
      <c r="V39" s="952"/>
      <c r="W39" s="2241" t="str">
        <f t="shared" si="15"/>
        <v>0.00%</v>
      </c>
      <c r="X39" s="340">
        <f>ROUND(T39*(1+Y19),0)</f>
        <v>0</v>
      </c>
      <c r="Y39" s="455" t="str">
        <f>TEXT(Y19,"0.0%")&amp;" = Est. S &amp; C"</f>
        <v>2.0% = Est. S &amp; C</v>
      </c>
      <c r="AA39" s="456" t="str">
        <f t="shared" si="16"/>
        <v>0.00%</v>
      </c>
      <c r="AB39" s="340">
        <f>ROUND(X39*(1+AC19),0)</f>
        <v>0</v>
      </c>
      <c r="AC39" s="455" t="str">
        <f>TEXT(AC19,"0.0%")&amp;" = Est. S &amp; C"</f>
        <v>2.0% = Est. S &amp; C</v>
      </c>
    </row>
    <row r="40" spans="1:29" s="457" customFormat="1" ht="6" hidden="1" customHeight="1" x14ac:dyDescent="0.25">
      <c r="A40" s="2227"/>
      <c r="B40" s="2385"/>
      <c r="C40" s="2215"/>
      <c r="D40" s="340"/>
      <c r="E40" s="2386"/>
      <c r="F40" s="340"/>
      <c r="G40" s="2338"/>
      <c r="H40" s="340"/>
      <c r="I40" s="897"/>
      <c r="J40" s="455"/>
      <c r="K40" s="1668"/>
      <c r="L40" s="340"/>
      <c r="M40" s="901"/>
      <c r="O40" s="1668"/>
      <c r="P40" s="340"/>
      <c r="Q40" s="901"/>
      <c r="R40" s="592"/>
      <c r="S40" s="2341"/>
      <c r="T40" s="340"/>
      <c r="U40" s="2344"/>
      <c r="V40" s="952"/>
      <c r="W40" s="2343"/>
      <c r="X40" s="340"/>
      <c r="Y40" s="2344"/>
      <c r="AA40" s="1668"/>
      <c r="AB40" s="340"/>
      <c r="AC40" s="2344"/>
    </row>
    <row r="41" spans="1:29" s="457" customFormat="1" hidden="1" x14ac:dyDescent="0.25">
      <c r="A41" s="2228"/>
      <c r="B41" s="2385"/>
      <c r="C41" s="2215"/>
      <c r="D41" s="458">
        <f>SUM(D33:D40)</f>
        <v>0</v>
      </c>
      <c r="E41" s="2386"/>
      <c r="F41" s="340"/>
      <c r="G41" s="456" t="str">
        <f>IF(D41=0,"0.00%",(H41-D41)/D41)</f>
        <v>0.00%</v>
      </c>
      <c r="H41" s="458">
        <f>SUM(H33:H40)</f>
        <v>0</v>
      </c>
      <c r="I41" s="898"/>
      <c r="J41" s="459"/>
      <c r="K41" s="456" t="str">
        <f>IF(H41=0,"0.00%",(L41-H41)/H41)</f>
        <v>0.00%</v>
      </c>
      <c r="L41" s="458">
        <f>SUM(L33:L40)</f>
        <v>0</v>
      </c>
      <c r="M41" s="901"/>
      <c r="O41" s="456" t="str">
        <f>IF(L41=0,"0.00%",(P41-L41)/L41)</f>
        <v>0.00%</v>
      </c>
      <c r="P41" s="458">
        <f>SUM(P33:P40)</f>
        <v>0</v>
      </c>
      <c r="Q41" s="901"/>
      <c r="R41" s="592"/>
      <c r="S41" s="2238" t="str">
        <f>IF(P41=0,"0.00%",(T41-P41)/P41)</f>
        <v>0.00%</v>
      </c>
      <c r="T41" s="458">
        <f>SUM(T33:T40)</f>
        <v>0</v>
      </c>
      <c r="U41" s="2344"/>
      <c r="V41" s="952"/>
      <c r="W41" s="2241" t="str">
        <f>IF(T41=0,"0.00%",(X41-T41)/T41)</f>
        <v>0.00%</v>
      </c>
      <c r="X41" s="458">
        <f>SUM(X33:X40)</f>
        <v>0</v>
      </c>
      <c r="Y41" s="2344"/>
      <c r="AA41" s="456" t="str">
        <f>IF(X41=0,"0.00%",(AB41-X41)/X41)</f>
        <v>0.00%</v>
      </c>
      <c r="AB41" s="458">
        <f>SUM(AB33:AB40)</f>
        <v>0</v>
      </c>
      <c r="AC41" s="2344"/>
    </row>
    <row r="42" spans="1:29" s="457" customFormat="1" hidden="1" x14ac:dyDescent="0.25">
      <c r="A42" s="2227"/>
      <c r="B42" s="2345" t="s">
        <v>28</v>
      </c>
      <c r="C42" s="2215"/>
      <c r="D42" s="340"/>
      <c r="E42" s="2386"/>
      <c r="F42" s="340"/>
      <c r="G42" s="2338"/>
      <c r="H42" s="340"/>
      <c r="I42" s="897"/>
      <c r="J42" s="455"/>
      <c r="K42" s="1668"/>
      <c r="L42" s="340"/>
      <c r="M42" s="901"/>
      <c r="O42" s="1668"/>
      <c r="P42" s="340"/>
      <c r="Q42" s="901"/>
      <c r="R42" s="592"/>
      <c r="S42" s="2341"/>
      <c r="T42" s="340"/>
      <c r="U42" s="2344"/>
      <c r="V42" s="952"/>
      <c r="W42" s="2343"/>
      <c r="X42" s="340"/>
      <c r="Y42" s="2344"/>
      <c r="AA42" s="1668"/>
      <c r="AB42" s="340"/>
      <c r="AC42" s="2344"/>
    </row>
    <row r="43" spans="1:29" s="457" customFormat="1" hidden="1" x14ac:dyDescent="0.25">
      <c r="A43" s="2229"/>
      <c r="B43" s="2337" t="s">
        <v>27</v>
      </c>
      <c r="C43" s="2215"/>
      <c r="D43" s="340"/>
      <c r="E43" s="2386"/>
      <c r="F43" s="340"/>
      <c r="G43" s="2338"/>
      <c r="H43" s="340"/>
      <c r="I43" s="897"/>
      <c r="J43" s="455"/>
      <c r="K43" s="1668"/>
      <c r="L43" s="340"/>
      <c r="M43" s="901"/>
      <c r="O43" s="1668"/>
      <c r="P43" s="340"/>
      <c r="Q43" s="901"/>
      <c r="R43" s="592"/>
      <c r="S43" s="2341"/>
      <c r="T43" s="340"/>
      <c r="U43" s="2344"/>
      <c r="V43" s="952"/>
      <c r="W43" s="2343"/>
      <c r="X43" s="340"/>
      <c r="Y43" s="2344"/>
      <c r="AA43" s="1668"/>
      <c r="AB43" s="340"/>
      <c r="AC43" s="2344"/>
    </row>
    <row r="44" spans="1:29" s="457" customFormat="1" hidden="1" x14ac:dyDescent="0.25">
      <c r="A44" s="2227"/>
      <c r="B44" s="2385" t="s">
        <v>83</v>
      </c>
      <c r="C44" s="2215" t="s">
        <v>76</v>
      </c>
      <c r="D44" s="340">
        <v>0</v>
      </c>
      <c r="E44" s="899" t="str">
        <f>TEXT('MYP Assumptions'!$D$57,"0.00%")&amp;", STRS rate"</f>
        <v>12.58%, STRS rate</v>
      </c>
      <c r="F44" s="340"/>
      <c r="G44" s="456" t="str">
        <f t="shared" ref="G44:G53" si="17">IF(D44=0,"0.00%",(H44-D44)/D44)</f>
        <v>0.00%</v>
      </c>
      <c r="H44" s="340">
        <f>ROUND(H30*LEFT(I44,6),0)</f>
        <v>0</v>
      </c>
      <c r="I44" s="899" t="str">
        <f>TEXT('MYP Assumptions'!E57,"0.00%")&amp;", projected STRS rate"</f>
        <v>14.43%, projected STRS rate</v>
      </c>
      <c r="J44" s="455"/>
      <c r="K44" s="456" t="str">
        <f t="shared" ref="K44:K53" si="18">IF(H44=0,"0.00%",(L44-H44)/H44)</f>
        <v>0.00%</v>
      </c>
      <c r="L44" s="340">
        <f>ROUND(L30*LEFT(M44,6),0)</f>
        <v>0</v>
      </c>
      <c r="M44" s="899" t="str">
        <f>TEXT('MYP Assumptions'!F57,"0.00%")&amp;", projected STRS rate"</f>
        <v>16.28%, projected STRS rate</v>
      </c>
      <c r="O44" s="456" t="str">
        <f t="shared" ref="O44:O53" si="19">IF(L44=0,"0.00%",(P44-L44)/L44)</f>
        <v>0.00%</v>
      </c>
      <c r="P44" s="340">
        <f>ROUND(P30*LEFT(Q44,6),0)</f>
        <v>0</v>
      </c>
      <c r="Q44" s="899" t="str">
        <f>TEXT('MYP Assumptions'!G57,"0.00%")&amp;", projected STRS rate"</f>
        <v>18.13%, projected STRS rate</v>
      </c>
      <c r="R44" s="592"/>
      <c r="S44" s="2238" t="str">
        <f t="shared" ref="S44:S53" si="20">IF(P44=0,"0.00%",(T44-P44)/P44)</f>
        <v>0.00%</v>
      </c>
      <c r="T44" s="340">
        <f>ROUND(T30*LEFT(U44,6),0)</f>
        <v>0</v>
      </c>
      <c r="U44" s="953" t="str">
        <f>TEXT('MYP Assumptions'!H57,"0.00%")&amp;", projected STRS rate"</f>
        <v>19.10%, projected STRS rate</v>
      </c>
      <c r="V44" s="952"/>
      <c r="W44" s="2241" t="str">
        <f t="shared" ref="W44:W53" si="21">IF(T44=0,"0.00%",(X44-T44)/T44)</f>
        <v>0.00%</v>
      </c>
      <c r="X44" s="340">
        <f>ROUND(X30*LEFT(Y44,6),0)</f>
        <v>0</v>
      </c>
      <c r="Y44" s="953" t="str">
        <f>TEXT('MYP Assumptions'!I57,"0.00%")&amp;", projected STRS rate"</f>
        <v>19.10%, projected STRS rate</v>
      </c>
      <c r="AA44" s="456" t="str">
        <f t="shared" ref="AA44:AA53" si="22">IF(X44=0,"0.00%",(AB44-X44)/X44)</f>
        <v>0.00%</v>
      </c>
      <c r="AB44" s="340" t="e">
        <f>ROUND(AB30*LEFT(AC44,6),0)</f>
        <v>#VALUE!</v>
      </c>
      <c r="AC44" s="953" t="str">
        <f>TEXT('MYP Assumptions'!J57,"0.00%")&amp;", projected STRS rate"</f>
        <v>0.00%, projected STRS rate</v>
      </c>
    </row>
    <row r="45" spans="1:29" s="457" customFormat="1" hidden="1" x14ac:dyDescent="0.25">
      <c r="A45" s="2227"/>
      <c r="B45" s="2385" t="s">
        <v>84</v>
      </c>
      <c r="C45" s="2215" t="s">
        <v>77</v>
      </c>
      <c r="D45" s="340">
        <v>0</v>
      </c>
      <c r="E45" s="899" t="str">
        <f>TEXT('MYP Assumptions'!$D$58,"0.00%")&amp;", PERS rate"</f>
        <v>13.89%, PERS rate</v>
      </c>
      <c r="F45" s="340"/>
      <c r="G45" s="456" t="str">
        <f t="shared" si="17"/>
        <v>0.00%</v>
      </c>
      <c r="H45" s="340">
        <f>ROUND(H41*LEFT(I45,6),0)</f>
        <v>0</v>
      </c>
      <c r="I45" s="899" t="str">
        <f>TEXT('MYP Assumptions'!E58,"0.00%")&amp;", projected PERS rate"</f>
        <v>15.53%, projected PERS rate</v>
      </c>
      <c r="J45" s="455"/>
      <c r="K45" s="456" t="str">
        <f t="shared" si="18"/>
        <v>0.00%</v>
      </c>
      <c r="L45" s="340">
        <f>ROUND(L41*LEFT(M45,6),0)</f>
        <v>0</v>
      </c>
      <c r="M45" s="899" t="str">
        <f>TEXT('MYP Assumptions'!F58,"0.00%")&amp;", projected PERS rate"</f>
        <v>18.06%, projected PERS rate</v>
      </c>
      <c r="O45" s="456" t="str">
        <f t="shared" si="19"/>
        <v>0.00%</v>
      </c>
      <c r="P45" s="340">
        <f>ROUND(P41*LEFT(Q45,6),0)</f>
        <v>0</v>
      </c>
      <c r="Q45" s="899" t="str">
        <f>TEXT('MYP Assumptions'!G58,"0.00%")&amp;", projected PERS rate"</f>
        <v>20.80%, projected PERS rate</v>
      </c>
      <c r="R45" s="592"/>
      <c r="S45" s="2238" t="str">
        <f t="shared" si="20"/>
        <v>0.00%</v>
      </c>
      <c r="T45" s="340">
        <f>ROUND(T41*LEFT(U45,6),0)</f>
        <v>0</v>
      </c>
      <c r="U45" s="953" t="str">
        <f>TEXT('MYP Assumptions'!H58,"0.00%")&amp;", projected PERS rate"</f>
        <v>23.50%, projected PERS rate</v>
      </c>
      <c r="V45" s="952"/>
      <c r="W45" s="2241" t="str">
        <f t="shared" si="21"/>
        <v>0.00%</v>
      </c>
      <c r="X45" s="340">
        <f>ROUND(X41*LEFT(Y45,6),0)</f>
        <v>0</v>
      </c>
      <c r="Y45" s="953" t="str">
        <f>TEXT('MYP Assumptions'!I58,"0.00%")&amp;", projected PERS rate"</f>
        <v>24.60%, projected PERS rate</v>
      </c>
      <c r="AA45" s="456" t="str">
        <f t="shared" si="22"/>
        <v>0.00%</v>
      </c>
      <c r="AB45" s="340" t="e">
        <f>ROUND(AB41*LEFT(AC45,6),0)</f>
        <v>#VALUE!</v>
      </c>
      <c r="AC45" s="953" t="str">
        <f>TEXT('MYP Assumptions'!J58,"0.00%")&amp;", projected PERS rate"</f>
        <v>0.00%, projected PERS rate</v>
      </c>
    </row>
    <row r="46" spans="1:29" s="457" customFormat="1" hidden="1" x14ac:dyDescent="0.25">
      <c r="A46" s="2227"/>
      <c r="B46" s="2385" t="s">
        <v>85</v>
      </c>
      <c r="C46" s="2215" t="s">
        <v>78</v>
      </c>
      <c r="D46" s="340">
        <v>0</v>
      </c>
      <c r="E46" s="899" t="str">
        <f>TEXT('MYP Assumptions'!$D$60,"0.00%")&amp;", SS rate"</f>
        <v>6.20%, SS rate</v>
      </c>
      <c r="F46" s="340"/>
      <c r="G46" s="456" t="str">
        <f t="shared" si="17"/>
        <v>0.00%</v>
      </c>
      <c r="H46" s="340">
        <f>ROUND(H41*LEFT(I46,5),0)</f>
        <v>0</v>
      </c>
      <c r="I46" s="899" t="str">
        <f>TEXT('MYP Assumptions'!E60,"0.00%")&amp;", no rate change"</f>
        <v>6.20%, no rate change</v>
      </c>
      <c r="J46" s="455"/>
      <c r="K46" s="456" t="str">
        <f t="shared" si="18"/>
        <v>0.00%</v>
      </c>
      <c r="L46" s="340">
        <f>ROUND(L41*LEFT(M46,5),0)</f>
        <v>0</v>
      </c>
      <c r="M46" s="899" t="str">
        <f>TEXT('MYP Assumptions'!F60,"0.00%")&amp;", no rate change"</f>
        <v>6.20%, no rate change</v>
      </c>
      <c r="O46" s="456" t="str">
        <f t="shared" si="19"/>
        <v>0.00%</v>
      </c>
      <c r="P46" s="340">
        <f>ROUND(P41*LEFT(Q46,5),0)</f>
        <v>0</v>
      </c>
      <c r="Q46" s="899" t="str">
        <f>TEXT('MYP Assumptions'!G60,"0.00%")&amp;", no rate change"</f>
        <v>6.20%, no rate change</v>
      </c>
      <c r="R46" s="592"/>
      <c r="S46" s="2238" t="str">
        <f t="shared" si="20"/>
        <v>0.00%</v>
      </c>
      <c r="T46" s="340">
        <f>ROUND(T41*LEFT(U46,5),0)</f>
        <v>0</v>
      </c>
      <c r="U46" s="953" t="str">
        <f>TEXT('MYP Assumptions'!H60,"0.00%")&amp;", no rate change"</f>
        <v>6.20%, no rate change</v>
      </c>
      <c r="V46" s="952"/>
      <c r="W46" s="2241" t="str">
        <f t="shared" si="21"/>
        <v>0.00%</v>
      </c>
      <c r="X46" s="340">
        <f>ROUND(X41*LEFT(Y46,5),0)</f>
        <v>0</v>
      </c>
      <c r="Y46" s="953" t="str">
        <f>TEXT('MYP Assumptions'!I60,"0.00%")&amp;", no rate change"</f>
        <v>6.20%, no rate change</v>
      </c>
      <c r="AA46" s="456" t="str">
        <f t="shared" si="22"/>
        <v>0.00%</v>
      </c>
      <c r="AB46" s="340">
        <f>ROUND(AB41*LEFT(AC46,5),0)</f>
        <v>0</v>
      </c>
      <c r="AC46" s="953" t="str">
        <f>TEXT('MYP Assumptions'!J60,"0.00%")&amp;", no rate change"</f>
        <v>0.00%, no rate change</v>
      </c>
    </row>
    <row r="47" spans="1:29" s="457" customFormat="1" hidden="1" x14ac:dyDescent="0.25">
      <c r="A47" s="2227"/>
      <c r="B47" s="2385" t="s">
        <v>86</v>
      </c>
      <c r="C47" s="2215" t="s">
        <v>79</v>
      </c>
      <c r="D47" s="340">
        <v>0</v>
      </c>
      <c r="E47" s="899" t="str">
        <f>TEXT('MYP Assumptions'!$D$61,"0.00%")&amp;", Medicare rate"</f>
        <v>1.45%, Medicare rate</v>
      </c>
      <c r="F47" s="340"/>
      <c r="G47" s="456" t="str">
        <f t="shared" si="17"/>
        <v>0.00%</v>
      </c>
      <c r="H47" s="340">
        <f>ROUND((H41+H30)*LEFT(I47,5),0)</f>
        <v>0</v>
      </c>
      <c r="I47" s="899" t="str">
        <f>TEXT('MYP Assumptions'!E61,"0.00%")&amp;", no rate change"</f>
        <v>1.45%, no rate change</v>
      </c>
      <c r="J47" s="455"/>
      <c r="K47" s="456" t="str">
        <f t="shared" si="18"/>
        <v>0.00%</v>
      </c>
      <c r="L47" s="340">
        <f>ROUND((L41+L30)*LEFT(M47,5),0)</f>
        <v>0</v>
      </c>
      <c r="M47" s="899" t="str">
        <f>TEXT('MYP Assumptions'!F61,"0.00%")&amp;", no rate change"</f>
        <v>1.45%, no rate change</v>
      </c>
      <c r="O47" s="456" t="str">
        <f t="shared" si="19"/>
        <v>0.00%</v>
      </c>
      <c r="P47" s="340">
        <f>ROUND((P41+P30)*LEFT(Q47,5),0)</f>
        <v>0</v>
      </c>
      <c r="Q47" s="899" t="str">
        <f>TEXT('MYP Assumptions'!G61,"0.00%")&amp;", no rate change"</f>
        <v>1.45%, no rate change</v>
      </c>
      <c r="R47" s="592"/>
      <c r="S47" s="2238" t="str">
        <f t="shared" si="20"/>
        <v>0.00%</v>
      </c>
      <c r="T47" s="340">
        <f>ROUND((T41+T30)*LEFT(U47,5),0)</f>
        <v>0</v>
      </c>
      <c r="U47" s="953" t="str">
        <f>TEXT('MYP Assumptions'!H61,"0.00%")&amp;", no rate change"</f>
        <v>1.45%, no rate change</v>
      </c>
      <c r="V47" s="952"/>
      <c r="W47" s="2241" t="str">
        <f t="shared" si="21"/>
        <v>0.00%</v>
      </c>
      <c r="X47" s="340">
        <f>ROUND((X41+X30)*LEFT(Y47,5),0)</f>
        <v>0</v>
      </c>
      <c r="Y47" s="953" t="str">
        <f>TEXT('MYP Assumptions'!I61,"0.00%")&amp;", no rate change"</f>
        <v>1.45%, no rate change</v>
      </c>
      <c r="AA47" s="456" t="str">
        <f t="shared" si="22"/>
        <v>0.00%</v>
      </c>
      <c r="AB47" s="340">
        <f>ROUND((AB41+AB30)*LEFT(AC47,5),0)</f>
        <v>0</v>
      </c>
      <c r="AC47" s="953" t="str">
        <f>TEXT('MYP Assumptions'!J61,"0.00%")&amp;", no rate change"</f>
        <v>0.00%, no rate change</v>
      </c>
    </row>
    <row r="48" spans="1:29" s="457" customFormat="1" hidden="1" x14ac:dyDescent="0.25">
      <c r="A48" s="2227"/>
      <c r="B48" s="2385" t="s">
        <v>87</v>
      </c>
      <c r="C48" s="2215" t="s">
        <v>80</v>
      </c>
      <c r="D48" s="340">
        <v>0</v>
      </c>
      <c r="E48" s="899"/>
      <c r="F48" s="340"/>
      <c r="G48" s="456" t="str">
        <f t="shared" si="17"/>
        <v>0.00%</v>
      </c>
      <c r="H48" s="340">
        <f>ROUND((D48)*(LEFT(I48,5)+1),0)</f>
        <v>0</v>
      </c>
      <c r="I48" s="899" t="str">
        <f>TEXT('MYP Assumptions'!$I$68,"0.00%")&amp;", projected increase"</f>
        <v>5.00%, projected increase</v>
      </c>
      <c r="J48" s="455"/>
      <c r="K48" s="456" t="str">
        <f t="shared" si="18"/>
        <v>0.00%</v>
      </c>
      <c r="L48" s="340">
        <f>ROUND((H48)*(LEFT(M48,5)+1),0)</f>
        <v>0</v>
      </c>
      <c r="M48" s="899" t="str">
        <f>TEXT('MYP Assumptions'!$I$68,"0.00%")&amp;", projected increase"</f>
        <v>5.00%, projected increase</v>
      </c>
      <c r="O48" s="456" t="str">
        <f t="shared" si="19"/>
        <v>0.00%</v>
      </c>
      <c r="P48" s="340">
        <f>ROUND((L48)*(LEFT(Q48,5)+1),0)</f>
        <v>0</v>
      </c>
      <c r="Q48" s="899" t="str">
        <f>TEXT('MYP Assumptions'!$I$68,"0.00%")&amp;", projected increase"</f>
        <v>5.00%, projected increase</v>
      </c>
      <c r="R48" s="592"/>
      <c r="S48" s="2238" t="str">
        <f t="shared" si="20"/>
        <v>0.00%</v>
      </c>
      <c r="T48" s="340">
        <f>ROUND((P48)*(LEFT(U48,5)+1),0)</f>
        <v>0</v>
      </c>
      <c r="U48" s="953" t="str">
        <f>TEXT('MYP Assumptions'!$I$68,"0.00%")&amp;", projected increase"</f>
        <v>5.00%, projected increase</v>
      </c>
      <c r="V48" s="952"/>
      <c r="W48" s="2241" t="str">
        <f t="shared" si="21"/>
        <v>0.00%</v>
      </c>
      <c r="X48" s="340">
        <f>ROUND((T48)*(LEFT(Y48,5)+1),0)</f>
        <v>0</v>
      </c>
      <c r="Y48" s="953" t="str">
        <f>TEXT('MYP Assumptions'!$I$68,"0.00%")&amp;", projected increase"</f>
        <v>5.00%, projected increase</v>
      </c>
      <c r="AA48" s="456" t="str">
        <f t="shared" si="22"/>
        <v>0.00%</v>
      </c>
      <c r="AB48" s="340">
        <f>ROUND((X48)*(LEFT(AC48,5)+1),0)</f>
        <v>0</v>
      </c>
      <c r="AC48" s="953" t="str">
        <f>TEXT('MYP Assumptions'!$I$68,"0.00%")&amp;", projected increase"</f>
        <v>5.00%, projected increase</v>
      </c>
    </row>
    <row r="49" spans="1:29" s="457" customFormat="1" hidden="1" x14ac:dyDescent="0.25">
      <c r="A49" s="2227"/>
      <c r="B49" s="2385" t="s">
        <v>88</v>
      </c>
      <c r="C49" s="2215" t="s">
        <v>81</v>
      </c>
      <c r="D49" s="340">
        <v>0</v>
      </c>
      <c r="E49" s="899" t="str">
        <f>TEXT('MYP Assumptions'!$D$62,"0.00%")&amp;", SUI rate"</f>
        <v>0.05%, SUI rate</v>
      </c>
      <c r="F49" s="340"/>
      <c r="G49" s="456" t="str">
        <f t="shared" si="17"/>
        <v>0.00%</v>
      </c>
      <c r="H49" s="340">
        <f>ROUND((H41+H30)*LEFT(I49,5),0)</f>
        <v>0</v>
      </c>
      <c r="I49" s="899" t="str">
        <f>TEXT('MYP Assumptions'!E62,"0.00%")&amp;", no rate change"</f>
        <v>0.05%, no rate change</v>
      </c>
      <c r="J49" s="455"/>
      <c r="K49" s="456" t="str">
        <f t="shared" si="18"/>
        <v>0.00%</v>
      </c>
      <c r="L49" s="340">
        <f>ROUND((L41+L30)*LEFT(M49,5),0)</f>
        <v>0</v>
      </c>
      <c r="M49" s="899" t="str">
        <f>TEXT('MYP Assumptions'!F62,"0.00%")&amp;", no rate change"</f>
        <v>0.05%, no rate change</v>
      </c>
      <c r="O49" s="456" t="str">
        <f t="shared" si="19"/>
        <v>0.00%</v>
      </c>
      <c r="P49" s="340">
        <f>ROUND((P41+P30)*LEFT(Q49,5),0)</f>
        <v>0</v>
      </c>
      <c r="Q49" s="899" t="str">
        <f>TEXT('MYP Assumptions'!G62,"0.00%")&amp;", no rate change"</f>
        <v>0.05%, no rate change</v>
      </c>
      <c r="R49" s="592"/>
      <c r="S49" s="2238" t="str">
        <f t="shared" si="20"/>
        <v>0.00%</v>
      </c>
      <c r="T49" s="340">
        <f>ROUND((T41+T30)*LEFT(U49,5),0)</f>
        <v>0</v>
      </c>
      <c r="U49" s="953" t="str">
        <f>TEXT('MYP Assumptions'!H62,"0.00%")&amp;", no rate change"</f>
        <v>0.05%, no rate change</v>
      </c>
      <c r="V49" s="952"/>
      <c r="W49" s="2241" t="str">
        <f t="shared" si="21"/>
        <v>0.00%</v>
      </c>
      <c r="X49" s="340">
        <f>ROUND((X41+X30)*LEFT(Y49,5),0)</f>
        <v>0</v>
      </c>
      <c r="Y49" s="953" t="str">
        <f>TEXT('MYP Assumptions'!I62,"0.00%")&amp;", no rate change"</f>
        <v>0.05%, no rate change</v>
      </c>
      <c r="AA49" s="456" t="str">
        <f t="shared" si="22"/>
        <v>0.00%</v>
      </c>
      <c r="AB49" s="340">
        <f>ROUND((AB41+AB30)*LEFT(AC49,5),0)</f>
        <v>0</v>
      </c>
      <c r="AC49" s="953" t="str">
        <f>TEXT('MYP Assumptions'!J62,"0.00%")&amp;", no rate change"</f>
        <v>0.00%, no rate change</v>
      </c>
    </row>
    <row r="50" spans="1:29" s="457" customFormat="1" hidden="1" x14ac:dyDescent="0.25">
      <c r="A50" s="2227"/>
      <c r="B50" s="2385" t="s">
        <v>89</v>
      </c>
      <c r="C50" s="2215" t="s">
        <v>82</v>
      </c>
      <c r="D50" s="340">
        <v>0</v>
      </c>
      <c r="E50" s="899" t="str">
        <f>TEXT('MYP Assumptions'!$D$63,"0.00%")&amp;", W/C rate"</f>
        <v>1.10%, W/C rate</v>
      </c>
      <c r="F50" s="340"/>
      <c r="G50" s="456" t="str">
        <f t="shared" si="17"/>
        <v>0.00%</v>
      </c>
      <c r="H50" s="340">
        <f>ROUND((H41+H30)*LEFT(I50,5),0)</f>
        <v>0</v>
      </c>
      <c r="I50" s="899" t="str">
        <f>TEXT('MYP Assumptions'!E63,"0.00%")&amp;", no rate change"</f>
        <v>0.80%, no rate change</v>
      </c>
      <c r="J50" s="455"/>
      <c r="K50" s="456" t="str">
        <f t="shared" si="18"/>
        <v>0.00%</v>
      </c>
      <c r="L50" s="340">
        <f>ROUND((L41+L30)*LEFT(M50,5),0)</f>
        <v>0</v>
      </c>
      <c r="M50" s="899" t="str">
        <f>TEXT('MYP Assumptions'!F63,"0.00%")&amp;", no rate change"</f>
        <v>0.80%, no rate change</v>
      </c>
      <c r="O50" s="456" t="str">
        <f t="shared" si="19"/>
        <v>0.00%</v>
      </c>
      <c r="P50" s="340">
        <f>ROUND((P41+P30)*LEFT(Q50,5),0)</f>
        <v>0</v>
      </c>
      <c r="Q50" s="899" t="str">
        <f>TEXT('MYP Assumptions'!G63,"0.00%")&amp;", no rate change"</f>
        <v>0.80%, no rate change</v>
      </c>
      <c r="R50" s="592"/>
      <c r="S50" s="2238" t="str">
        <f t="shared" si="20"/>
        <v>0.00%</v>
      </c>
      <c r="T50" s="340">
        <f>ROUND((T41+T30)*LEFT(U50,5),0)</f>
        <v>0</v>
      </c>
      <c r="U50" s="953" t="str">
        <f>TEXT('MYP Assumptions'!H63,"0.00%")&amp;", no rate change"</f>
        <v>0.80%, no rate change</v>
      </c>
      <c r="V50" s="952"/>
      <c r="W50" s="2241" t="str">
        <f t="shared" si="21"/>
        <v>0.00%</v>
      </c>
      <c r="X50" s="340">
        <f>ROUND((X41+X30)*LEFT(Y50,5),0)</f>
        <v>0</v>
      </c>
      <c r="Y50" s="953" t="str">
        <f>TEXT('MYP Assumptions'!I63,"0.00%")&amp;", no rate change"</f>
        <v>0.80%, no rate change</v>
      </c>
      <c r="AA50" s="456" t="str">
        <f t="shared" si="22"/>
        <v>0.00%</v>
      </c>
      <c r="AB50" s="340">
        <f>ROUND((AB41+AB30)*LEFT(AC50,5),0)</f>
        <v>0</v>
      </c>
      <c r="AC50" s="953" t="str">
        <f>TEXT('MYP Assumptions'!J63,"0.00%")&amp;", no rate change"</f>
        <v>0.00%, no rate change</v>
      </c>
    </row>
    <row r="51" spans="1:29" s="457" customFormat="1" hidden="1" x14ac:dyDescent="0.25">
      <c r="A51" s="2227"/>
      <c r="B51" s="2385" t="s">
        <v>90</v>
      </c>
      <c r="C51" s="2215" t="s">
        <v>92</v>
      </c>
      <c r="D51" s="340">
        <v>0</v>
      </c>
      <c r="E51" s="2386"/>
      <c r="F51" s="340"/>
      <c r="G51" s="456" t="str">
        <f t="shared" si="17"/>
        <v>0.00%</v>
      </c>
      <c r="H51" s="340">
        <f>D51</f>
        <v>0</v>
      </c>
      <c r="I51" s="899" t="s">
        <v>165</v>
      </c>
      <c r="J51" s="455"/>
      <c r="K51" s="456" t="str">
        <f t="shared" si="18"/>
        <v>0.00%</v>
      </c>
      <c r="L51" s="340">
        <f>H51</f>
        <v>0</v>
      </c>
      <c r="M51" s="899" t="s">
        <v>165</v>
      </c>
      <c r="O51" s="456" t="str">
        <f t="shared" si="19"/>
        <v>0.00%</v>
      </c>
      <c r="P51" s="340">
        <f>L51</f>
        <v>0</v>
      </c>
      <c r="Q51" s="899" t="s">
        <v>165</v>
      </c>
      <c r="R51" s="592"/>
      <c r="S51" s="2238" t="str">
        <f t="shared" si="20"/>
        <v>0.00%</v>
      </c>
      <c r="T51" s="340">
        <f>P51</f>
        <v>0</v>
      </c>
      <c r="U51" s="953" t="s">
        <v>165</v>
      </c>
      <c r="V51" s="952"/>
      <c r="W51" s="2241" t="str">
        <f t="shared" si="21"/>
        <v>0.00%</v>
      </c>
      <c r="X51" s="340">
        <f>T51</f>
        <v>0</v>
      </c>
      <c r="Y51" s="953" t="s">
        <v>165</v>
      </c>
      <c r="AA51" s="456" t="str">
        <f t="shared" si="22"/>
        <v>0.00%</v>
      </c>
      <c r="AB51" s="340">
        <f>X51</f>
        <v>0</v>
      </c>
      <c r="AC51" s="953" t="s">
        <v>165</v>
      </c>
    </row>
    <row r="52" spans="1:29" s="457" customFormat="1" hidden="1" x14ac:dyDescent="0.25">
      <c r="A52" s="2227"/>
      <c r="B52" s="2385" t="s">
        <v>91</v>
      </c>
      <c r="C52" s="2215" t="s">
        <v>93</v>
      </c>
      <c r="D52" s="340">
        <v>0</v>
      </c>
      <c r="E52" s="2386"/>
      <c r="F52" s="340"/>
      <c r="G52" s="456" t="str">
        <f t="shared" si="17"/>
        <v>0.00%</v>
      </c>
      <c r="H52" s="340">
        <f>D52</f>
        <v>0</v>
      </c>
      <c r="I52" s="899" t="s">
        <v>165</v>
      </c>
      <c r="J52" s="455"/>
      <c r="K52" s="456" t="str">
        <f t="shared" si="18"/>
        <v>0.00%</v>
      </c>
      <c r="L52" s="340">
        <f>H52</f>
        <v>0</v>
      </c>
      <c r="M52" s="899" t="s">
        <v>165</v>
      </c>
      <c r="O52" s="456" t="str">
        <f t="shared" si="19"/>
        <v>0.00%</v>
      </c>
      <c r="P52" s="340">
        <f>L52</f>
        <v>0</v>
      </c>
      <c r="Q52" s="899" t="s">
        <v>165</v>
      </c>
      <c r="R52" s="592"/>
      <c r="S52" s="2238" t="str">
        <f t="shared" si="20"/>
        <v>0.00%</v>
      </c>
      <c r="T52" s="340">
        <f>P52</f>
        <v>0</v>
      </c>
      <c r="U52" s="953" t="s">
        <v>165</v>
      </c>
      <c r="V52" s="952"/>
      <c r="W52" s="2241" t="str">
        <f t="shared" si="21"/>
        <v>0.00%</v>
      </c>
      <c r="X52" s="340">
        <f>T52</f>
        <v>0</v>
      </c>
      <c r="Y52" s="953" t="s">
        <v>165</v>
      </c>
      <c r="AA52" s="456" t="str">
        <f t="shared" si="22"/>
        <v>0.00%</v>
      </c>
      <c r="AB52" s="340">
        <f>X52</f>
        <v>0</v>
      </c>
      <c r="AC52" s="953" t="s">
        <v>165</v>
      </c>
    </row>
    <row r="53" spans="1:29" s="457" customFormat="1" hidden="1" x14ac:dyDescent="0.25">
      <c r="A53" s="2228"/>
      <c r="B53" s="2385"/>
      <c r="C53" s="2215"/>
      <c r="D53" s="458">
        <f>SUM(D44:D52)</f>
        <v>0</v>
      </c>
      <c r="E53" s="2386"/>
      <c r="F53" s="340"/>
      <c r="G53" s="456" t="str">
        <f t="shared" si="17"/>
        <v>0.00%</v>
      </c>
      <c r="H53" s="458">
        <f>SUM(H44:H52)</f>
        <v>0</v>
      </c>
      <c r="I53" s="898"/>
      <c r="J53" s="459"/>
      <c r="K53" s="456" t="str">
        <f t="shared" si="18"/>
        <v>0.00%</v>
      </c>
      <c r="L53" s="458">
        <f>SUM(L44:L52)</f>
        <v>0</v>
      </c>
      <c r="M53" s="901"/>
      <c r="O53" s="456" t="str">
        <f t="shared" si="19"/>
        <v>0.00%</v>
      </c>
      <c r="P53" s="458">
        <f>SUM(P44:P52)</f>
        <v>0</v>
      </c>
      <c r="Q53" s="901"/>
      <c r="R53" s="592"/>
      <c r="S53" s="2238" t="str">
        <f t="shared" si="20"/>
        <v>0.00%</v>
      </c>
      <c r="T53" s="458">
        <f>SUM(T44:T52)</f>
        <v>0</v>
      </c>
      <c r="U53" s="2344"/>
      <c r="V53" s="952"/>
      <c r="W53" s="2241" t="str">
        <f t="shared" si="21"/>
        <v>0.00%</v>
      </c>
      <c r="X53" s="458">
        <f>SUM(X44:X52)</f>
        <v>0</v>
      </c>
      <c r="Y53" s="2344"/>
      <c r="AA53" s="456" t="str">
        <f t="shared" si="22"/>
        <v>0.00%</v>
      </c>
      <c r="AB53" s="458" t="e">
        <f>SUM(AB44:AB52)</f>
        <v>#VALUE!</v>
      </c>
      <c r="AC53" s="2344"/>
    </row>
    <row r="54" spans="1:29" s="457" customFormat="1" hidden="1" x14ac:dyDescent="0.25">
      <c r="A54" s="2229"/>
      <c r="B54" s="2385"/>
      <c r="C54" s="2215"/>
      <c r="D54" s="340"/>
      <c r="E54" s="2386"/>
      <c r="F54" s="340"/>
      <c r="G54" s="2338"/>
      <c r="H54" s="340"/>
      <c r="I54" s="897"/>
      <c r="J54" s="455"/>
      <c r="K54" s="1668"/>
      <c r="L54" s="340"/>
      <c r="M54" s="901"/>
      <c r="O54" s="1668"/>
      <c r="P54" s="340"/>
      <c r="Q54" s="901"/>
      <c r="R54" s="592"/>
      <c r="S54" s="2341"/>
      <c r="T54" s="340"/>
      <c r="U54" s="2344"/>
      <c r="V54" s="952"/>
      <c r="W54" s="2343"/>
      <c r="X54" s="340"/>
      <c r="Y54" s="2344"/>
      <c r="AA54" s="1668"/>
      <c r="AB54" s="340"/>
      <c r="AC54" s="2344"/>
    </row>
    <row r="55" spans="1:29" s="457" customFormat="1" hidden="1" x14ac:dyDescent="0.25">
      <c r="A55" s="2228"/>
      <c r="B55" s="2337" t="s">
        <v>26</v>
      </c>
      <c r="C55" s="2215"/>
      <c r="D55" s="458">
        <f>SUM(D53,D41,D30)</f>
        <v>0</v>
      </c>
      <c r="E55" s="2386"/>
      <c r="F55" s="340"/>
      <c r="G55" s="456" t="str">
        <f>IF(D55=0,"0.00%",(H55-D55)/D55)</f>
        <v>0.00%</v>
      </c>
      <c r="H55" s="458">
        <f>SUM(H53,H41,H30)</f>
        <v>0</v>
      </c>
      <c r="I55" s="898"/>
      <c r="J55" s="459"/>
      <c r="K55" s="456" t="str">
        <f>IF(H55=0,"0.00%",(L55-H55)/H55)</f>
        <v>0.00%</v>
      </c>
      <c r="L55" s="458">
        <f>SUM(L53,L41,L30)</f>
        <v>0</v>
      </c>
      <c r="M55" s="901"/>
      <c r="O55" s="456" t="str">
        <f>IF(L55=0,"0.00%",(P55-L55)/L55)</f>
        <v>0.00%</v>
      </c>
      <c r="P55" s="458">
        <f>SUM(P53,P41,P30)</f>
        <v>0</v>
      </c>
      <c r="Q55" s="901"/>
      <c r="R55" s="592"/>
      <c r="S55" s="2238" t="str">
        <f>IF(P55=0,"0.00%",(T55-P55)/P55)</f>
        <v>0.00%</v>
      </c>
      <c r="T55" s="458">
        <f>SUM(T53,T41,T30)</f>
        <v>0</v>
      </c>
      <c r="U55" s="2344"/>
      <c r="V55" s="952"/>
      <c r="W55" s="2241" t="str">
        <f>IF(T55=0,"0.00%",(X55-T55)/T55)</f>
        <v>0.00%</v>
      </c>
      <c r="X55" s="458">
        <f>SUM(X53,X41,X30)</f>
        <v>0</v>
      </c>
      <c r="Y55" s="2344"/>
      <c r="AA55" s="456" t="str">
        <f>IF(X55=0,"0.00%",(AB55-X55)/X55)</f>
        <v>0.00%</v>
      </c>
      <c r="AB55" s="458" t="e">
        <f>SUM(AB53,AB41,AB30)</f>
        <v>#VALUE!</v>
      </c>
      <c r="AC55" s="2344"/>
    </row>
    <row r="56" spans="1:29" s="457" customFormat="1" hidden="1" x14ac:dyDescent="0.25">
      <c r="A56" s="2230"/>
      <c r="B56" s="2345"/>
      <c r="C56" s="2215"/>
      <c r="D56" s="340"/>
      <c r="E56" s="2386"/>
      <c r="F56" s="340"/>
      <c r="G56" s="2338"/>
      <c r="H56" s="340"/>
      <c r="I56" s="897"/>
      <c r="J56" s="455"/>
      <c r="K56" s="1668"/>
      <c r="L56" s="340"/>
      <c r="M56" s="901"/>
      <c r="O56" s="1668"/>
      <c r="P56" s="340"/>
      <c r="Q56" s="901"/>
      <c r="R56" s="592"/>
      <c r="S56" s="2341"/>
      <c r="T56" s="340"/>
      <c r="U56" s="2344"/>
      <c r="V56" s="952"/>
      <c r="W56" s="2343"/>
      <c r="X56" s="340"/>
      <c r="Y56" s="2344"/>
      <c r="AA56" s="1668"/>
      <c r="AB56" s="340"/>
      <c r="AC56" s="2344"/>
    </row>
    <row r="57" spans="1:29" s="457" customFormat="1" hidden="1" x14ac:dyDescent="0.25">
      <c r="A57" s="2227"/>
      <c r="B57" s="2345"/>
      <c r="C57" s="2215"/>
      <c r="D57" s="340"/>
      <c r="E57" s="2386"/>
      <c r="F57" s="340"/>
      <c r="G57" s="2338"/>
      <c r="H57" s="340"/>
      <c r="I57" s="897"/>
      <c r="J57" s="455"/>
      <c r="K57" s="1668"/>
      <c r="L57" s="340"/>
      <c r="M57" s="901"/>
      <c r="O57" s="1668"/>
      <c r="P57" s="340"/>
      <c r="Q57" s="901"/>
      <c r="R57" s="592"/>
      <c r="S57" s="2341"/>
      <c r="T57" s="340"/>
      <c r="U57" s="2344"/>
      <c r="V57" s="952"/>
      <c r="W57" s="2343"/>
      <c r="X57" s="340"/>
      <c r="Y57" s="2344"/>
      <c r="AA57" s="1668"/>
      <c r="AB57" s="340"/>
      <c r="AC57" s="2344"/>
    </row>
    <row r="58" spans="1:29" s="457" customFormat="1" x14ac:dyDescent="0.25">
      <c r="A58" s="2230"/>
      <c r="B58" s="2440" t="s">
        <v>25</v>
      </c>
      <c r="C58" s="2225"/>
      <c r="D58" s="340"/>
      <c r="E58" s="2386"/>
      <c r="F58" s="340"/>
      <c r="G58" s="2338"/>
      <c r="H58" s="340"/>
      <c r="I58" s="897"/>
      <c r="J58" s="455"/>
      <c r="K58" s="1668"/>
      <c r="L58" s="340"/>
      <c r="M58" s="901"/>
      <c r="O58" s="1668"/>
      <c r="P58" s="340"/>
      <c r="Q58" s="901"/>
      <c r="R58" s="592"/>
      <c r="S58" s="2341"/>
      <c r="T58" s="340"/>
      <c r="U58" s="2344"/>
      <c r="V58" s="952"/>
      <c r="W58" s="2343"/>
      <c r="X58" s="340"/>
      <c r="Y58" s="2344"/>
      <c r="AA58" s="1668"/>
      <c r="AB58" s="340"/>
      <c r="AC58" s="2344"/>
    </row>
    <row r="59" spans="1:29" s="457" customFormat="1" x14ac:dyDescent="0.25">
      <c r="A59" s="2227"/>
      <c r="B59" s="2385">
        <v>4310</v>
      </c>
      <c r="C59" s="2215" t="s">
        <v>315</v>
      </c>
      <c r="D59" s="340">
        <v>0</v>
      </c>
      <c r="E59" s="2386"/>
      <c r="F59" s="340"/>
      <c r="G59" s="456" t="str">
        <f t="shared" ref="G59:G66" si="23">IF(D59=0,"0.00%",(H59-D59)/D59)</f>
        <v>0.00%</v>
      </c>
      <c r="H59" s="833"/>
      <c r="I59" s="1656" t="s">
        <v>173</v>
      </c>
      <c r="J59" s="342"/>
      <c r="K59" s="456" t="str">
        <f>IF(H59=0,"0.00%",(L59-H59)/H59)</f>
        <v>0.00%</v>
      </c>
      <c r="L59" s="833">
        <v>0</v>
      </c>
      <c r="M59" s="1656" t="s">
        <v>173</v>
      </c>
      <c r="O59" s="456" t="str">
        <f>IF(L59=0,"0.00%",(P59-L59)/L59)</f>
        <v>0.00%</v>
      </c>
      <c r="P59" s="833">
        <f>+L59</f>
        <v>0</v>
      </c>
      <c r="Q59" s="1656" t="s">
        <v>173</v>
      </c>
      <c r="R59" s="592"/>
      <c r="S59" s="2238" t="str">
        <f>IF(P59=0,"0.00%",(T59-P59)/P59)</f>
        <v>0.00%</v>
      </c>
      <c r="T59" s="833">
        <f>+P59</f>
        <v>0</v>
      </c>
      <c r="U59" s="457" t="s">
        <v>173</v>
      </c>
      <c r="V59" s="952"/>
      <c r="W59" s="2241" t="str">
        <f t="shared" ref="W59:W66" si="24">IF(T59=0,"0.00%",(X59-T59)/T59)</f>
        <v>0.00%</v>
      </c>
      <c r="X59" s="340">
        <f>ROUND(T59*(LEFT(Y59,5)+1),0)</f>
        <v>0</v>
      </c>
      <c r="Y59" s="953" t="str">
        <f>TEXT('MYP Assumptions'!I78,"0.00%")&amp;", CPI"</f>
        <v>2.73%, CPI</v>
      </c>
      <c r="AA59" s="456" t="str">
        <f t="shared" ref="AA59:AA66" si="25">IF(X59=0,"0.00%",(AB59-X59)/X59)</f>
        <v>0.00%</v>
      </c>
      <c r="AB59" s="340">
        <f>ROUND(X59*(LEFT(AC59,5)+1),0)</f>
        <v>0</v>
      </c>
      <c r="AC59" s="953" t="str">
        <f>TEXT('MYP Assumptions'!J78,"0.00%")&amp;", CPI"</f>
        <v>2.73%, CPI</v>
      </c>
    </row>
    <row r="60" spans="1:29" s="457" customFormat="1" hidden="1" x14ac:dyDescent="0.25">
      <c r="A60" s="2227"/>
      <c r="B60" s="2385"/>
      <c r="C60" s="2215"/>
      <c r="D60" s="340">
        <v>0</v>
      </c>
      <c r="E60" s="2386"/>
      <c r="F60" s="340"/>
      <c r="G60" s="456" t="str">
        <f t="shared" si="23"/>
        <v>0.00%</v>
      </c>
      <c r="H60" s="340">
        <f t="shared" ref="H60:H65" si="26">ROUND(D60*(LEFT(I60,5)+1),0)</f>
        <v>0</v>
      </c>
      <c r="I60" s="899" t="str">
        <f>TEXT('MYP Assumptions'!E78,"0.00%")&amp;", CPI"</f>
        <v>3.37%, CPI</v>
      </c>
      <c r="J60" s="455"/>
      <c r="K60" s="456" t="str">
        <f t="shared" ref="K60:K66" si="27">IF(H60=0,"0.00%",(L60-H60)/H60)</f>
        <v>0.00%</v>
      </c>
      <c r="L60" s="340">
        <f t="shared" ref="L60:L65" si="28">ROUND(H60*(LEFT(M60,5)+1),0)</f>
        <v>0</v>
      </c>
      <c r="M60" s="899" t="str">
        <f>TEXT('MYP Assumptions'!F78,"0.00%")&amp;", CPI"</f>
        <v>3.58%, CPI</v>
      </c>
      <c r="O60" s="456" t="str">
        <f t="shared" ref="O60:O66" si="29">IF(L60=0,"0.00%",(P60-L60)/L60)</f>
        <v>0.00%</v>
      </c>
      <c r="P60" s="340">
        <f t="shared" ref="P60:P65" si="30">ROUND(L60*(LEFT(Q60,5)+1),0)</f>
        <v>0</v>
      </c>
      <c r="Q60" s="899" t="str">
        <f>TEXT('MYP Assumptions'!G78,"0.00%")&amp;", CPI"</f>
        <v>3.36%, CPI</v>
      </c>
      <c r="R60" s="592"/>
      <c r="S60" s="2238" t="str">
        <f t="shared" ref="S60:S66" si="31">IF(P60=0,"0.00%",(T60-P60)/P60)</f>
        <v>0.00%</v>
      </c>
      <c r="T60" s="340">
        <f t="shared" ref="T60:T65" si="32">ROUND(P60*(LEFT(U60,5)+1),0)</f>
        <v>0</v>
      </c>
      <c r="U60" s="953" t="str">
        <f>TEXT('MYP Assumptions'!H78,"0.00%")&amp;", CPI"</f>
        <v>3.23%, CPI</v>
      </c>
      <c r="V60" s="952"/>
      <c r="W60" s="2241" t="str">
        <f t="shared" si="24"/>
        <v>0.00%</v>
      </c>
      <c r="X60" s="340">
        <f t="shared" ref="X60:X65" si="33">ROUND(T60*(LEFT(Y60,5)+1),0)</f>
        <v>0</v>
      </c>
      <c r="Y60" s="953" t="str">
        <f>TEXT('MYP Assumptions'!I78,"0.00%")&amp;", CPI"</f>
        <v>2.73%, CPI</v>
      </c>
      <c r="AA60" s="456" t="str">
        <f t="shared" si="25"/>
        <v>0.00%</v>
      </c>
      <c r="AB60" s="340">
        <f t="shared" ref="AB60:AB65" si="34">ROUND(X60*(LEFT(AC60,5)+1),0)</f>
        <v>0</v>
      </c>
      <c r="AC60" s="953" t="str">
        <f>TEXT('MYP Assumptions'!J78,"0.00%")&amp;", CPI"</f>
        <v>2.73%, CPI</v>
      </c>
    </row>
    <row r="61" spans="1:29" s="457" customFormat="1" hidden="1" x14ac:dyDescent="0.25">
      <c r="A61" s="2227"/>
      <c r="B61" s="2385"/>
      <c r="C61" s="2215"/>
      <c r="D61" s="340">
        <v>0</v>
      </c>
      <c r="E61" s="2386"/>
      <c r="F61" s="340"/>
      <c r="G61" s="456" t="str">
        <f t="shared" si="23"/>
        <v>0.00%</v>
      </c>
      <c r="H61" s="340">
        <f t="shared" si="26"/>
        <v>0</v>
      </c>
      <c r="I61" s="899" t="str">
        <f>TEXT('MYP Assumptions'!E78,"0.00%")&amp;", CPI"</f>
        <v>3.37%, CPI</v>
      </c>
      <c r="J61" s="455"/>
      <c r="K61" s="456" t="str">
        <f t="shared" si="27"/>
        <v>0.00%</v>
      </c>
      <c r="L61" s="340">
        <f t="shared" si="28"/>
        <v>0</v>
      </c>
      <c r="M61" s="899" t="str">
        <f>TEXT('MYP Assumptions'!F78,"0.00%")&amp;", CPI"</f>
        <v>3.58%, CPI</v>
      </c>
      <c r="O61" s="456" t="str">
        <f t="shared" si="29"/>
        <v>0.00%</v>
      </c>
      <c r="P61" s="340">
        <f t="shared" si="30"/>
        <v>0</v>
      </c>
      <c r="Q61" s="899" t="str">
        <f>TEXT('MYP Assumptions'!G78,"0.00%")&amp;", CPI"</f>
        <v>3.36%, CPI</v>
      </c>
      <c r="R61" s="592"/>
      <c r="S61" s="2238" t="str">
        <f t="shared" si="31"/>
        <v>0.00%</v>
      </c>
      <c r="T61" s="340">
        <f t="shared" si="32"/>
        <v>0</v>
      </c>
      <c r="U61" s="953" t="str">
        <f>TEXT('MYP Assumptions'!H78,"0.00%")&amp;", CPI"</f>
        <v>3.23%, CPI</v>
      </c>
      <c r="V61" s="952"/>
      <c r="W61" s="2241" t="str">
        <f t="shared" si="24"/>
        <v>0.00%</v>
      </c>
      <c r="X61" s="340">
        <f t="shared" si="33"/>
        <v>0</v>
      </c>
      <c r="Y61" s="953" t="str">
        <f>TEXT('MYP Assumptions'!I78,"0.00%")&amp;", CPI"</f>
        <v>2.73%, CPI</v>
      </c>
      <c r="AA61" s="456" t="str">
        <f t="shared" si="25"/>
        <v>0.00%</v>
      </c>
      <c r="AB61" s="340">
        <f t="shared" si="34"/>
        <v>0</v>
      </c>
      <c r="AC61" s="953" t="str">
        <f>TEXT('MYP Assumptions'!J78,"0.00%")&amp;", CPI"</f>
        <v>2.73%, CPI</v>
      </c>
    </row>
    <row r="62" spans="1:29" s="457" customFormat="1" hidden="1" x14ac:dyDescent="0.25">
      <c r="A62" s="2227"/>
      <c r="B62" s="2385"/>
      <c r="C62" s="2215"/>
      <c r="D62" s="340">
        <v>0</v>
      </c>
      <c r="E62" s="2386"/>
      <c r="F62" s="340"/>
      <c r="G62" s="456" t="str">
        <f t="shared" si="23"/>
        <v>0.00%</v>
      </c>
      <c r="H62" s="340">
        <f t="shared" si="26"/>
        <v>0</v>
      </c>
      <c r="I62" s="899" t="str">
        <f>TEXT('MYP Assumptions'!E78,"0.00%")&amp;", CPI"</f>
        <v>3.37%, CPI</v>
      </c>
      <c r="J62" s="455"/>
      <c r="K62" s="456" t="str">
        <f t="shared" si="27"/>
        <v>0.00%</v>
      </c>
      <c r="L62" s="340">
        <f t="shared" si="28"/>
        <v>0</v>
      </c>
      <c r="M62" s="899" t="str">
        <f>TEXT('MYP Assumptions'!F78,"0.00%")&amp;", CPI"</f>
        <v>3.58%, CPI</v>
      </c>
      <c r="O62" s="456" t="str">
        <f t="shared" si="29"/>
        <v>0.00%</v>
      </c>
      <c r="P62" s="340">
        <f t="shared" si="30"/>
        <v>0</v>
      </c>
      <c r="Q62" s="899" t="str">
        <f>TEXT('MYP Assumptions'!G78,"0.00%")&amp;", CPI"</f>
        <v>3.36%, CPI</v>
      </c>
      <c r="R62" s="592"/>
      <c r="S62" s="2238" t="str">
        <f t="shared" si="31"/>
        <v>0.00%</v>
      </c>
      <c r="T62" s="340">
        <f t="shared" si="32"/>
        <v>0</v>
      </c>
      <c r="U62" s="953" t="str">
        <f>TEXT('MYP Assumptions'!H78,"0.00%")&amp;", CPI"</f>
        <v>3.23%, CPI</v>
      </c>
      <c r="V62" s="952"/>
      <c r="W62" s="2241" t="str">
        <f t="shared" si="24"/>
        <v>0.00%</v>
      </c>
      <c r="X62" s="340">
        <f t="shared" si="33"/>
        <v>0</v>
      </c>
      <c r="Y62" s="953" t="str">
        <f>TEXT('MYP Assumptions'!I78,"0.00%")&amp;", CPI"</f>
        <v>2.73%, CPI</v>
      </c>
      <c r="AA62" s="456" t="str">
        <f t="shared" si="25"/>
        <v>0.00%</v>
      </c>
      <c r="AB62" s="340">
        <f t="shared" si="34"/>
        <v>0</v>
      </c>
      <c r="AC62" s="953" t="str">
        <f>TEXT('MYP Assumptions'!J78,"0.00%")&amp;", CPI"</f>
        <v>2.73%, CPI</v>
      </c>
    </row>
    <row r="63" spans="1:29" s="457" customFormat="1" hidden="1" x14ac:dyDescent="0.25">
      <c r="A63" s="2227"/>
      <c r="B63" s="2385"/>
      <c r="C63" s="2215"/>
      <c r="D63" s="340">
        <v>0</v>
      </c>
      <c r="E63" s="2386"/>
      <c r="F63" s="340"/>
      <c r="G63" s="456" t="str">
        <f t="shared" si="23"/>
        <v>0.00%</v>
      </c>
      <c r="H63" s="340">
        <f t="shared" si="26"/>
        <v>0</v>
      </c>
      <c r="I63" s="899" t="str">
        <f>TEXT('MYP Assumptions'!E78,"0.00%")&amp;", CPI"</f>
        <v>3.37%, CPI</v>
      </c>
      <c r="J63" s="455"/>
      <c r="K63" s="456" t="str">
        <f t="shared" si="27"/>
        <v>0.00%</v>
      </c>
      <c r="L63" s="340">
        <f t="shared" si="28"/>
        <v>0</v>
      </c>
      <c r="M63" s="899" t="str">
        <f>TEXT('MYP Assumptions'!F78,"0.00%")&amp;", CPI"</f>
        <v>3.58%, CPI</v>
      </c>
      <c r="O63" s="456" t="str">
        <f t="shared" si="29"/>
        <v>0.00%</v>
      </c>
      <c r="P63" s="340">
        <f t="shared" si="30"/>
        <v>0</v>
      </c>
      <c r="Q63" s="899" t="str">
        <f>TEXT('MYP Assumptions'!G78,"0.00%")&amp;", CPI"</f>
        <v>3.36%, CPI</v>
      </c>
      <c r="R63" s="592"/>
      <c r="S63" s="2238" t="str">
        <f t="shared" si="31"/>
        <v>0.00%</v>
      </c>
      <c r="T63" s="340">
        <f t="shared" si="32"/>
        <v>0</v>
      </c>
      <c r="U63" s="953" t="str">
        <f>TEXT('MYP Assumptions'!H78,"0.00%")&amp;", CPI"</f>
        <v>3.23%, CPI</v>
      </c>
      <c r="V63" s="952"/>
      <c r="W63" s="2241" t="str">
        <f t="shared" si="24"/>
        <v>0.00%</v>
      </c>
      <c r="X63" s="340">
        <f t="shared" si="33"/>
        <v>0</v>
      </c>
      <c r="Y63" s="953" t="str">
        <f>TEXT('MYP Assumptions'!I78,"0.00%")&amp;", CPI"</f>
        <v>2.73%, CPI</v>
      </c>
      <c r="AA63" s="456" t="str">
        <f t="shared" si="25"/>
        <v>0.00%</v>
      </c>
      <c r="AB63" s="340">
        <f t="shared" si="34"/>
        <v>0</v>
      </c>
      <c r="AC63" s="953" t="str">
        <f>TEXT('MYP Assumptions'!J78,"0.00%")&amp;", CPI"</f>
        <v>2.73%, CPI</v>
      </c>
    </row>
    <row r="64" spans="1:29" s="457" customFormat="1" hidden="1" x14ac:dyDescent="0.25">
      <c r="A64" s="2227"/>
      <c r="B64" s="2385"/>
      <c r="C64" s="2215"/>
      <c r="D64" s="340">
        <v>0</v>
      </c>
      <c r="E64" s="2386"/>
      <c r="F64" s="340"/>
      <c r="G64" s="456" t="str">
        <f t="shared" si="23"/>
        <v>0.00%</v>
      </c>
      <c r="H64" s="340">
        <f t="shared" si="26"/>
        <v>0</v>
      </c>
      <c r="I64" s="899" t="str">
        <f>TEXT('MYP Assumptions'!E78,"0.00%")&amp;", CPI"</f>
        <v>3.37%, CPI</v>
      </c>
      <c r="J64" s="455"/>
      <c r="K64" s="456" t="str">
        <f t="shared" si="27"/>
        <v>0.00%</v>
      </c>
      <c r="L64" s="340">
        <f t="shared" si="28"/>
        <v>0</v>
      </c>
      <c r="M64" s="899" t="str">
        <f>TEXT('MYP Assumptions'!F78,"0.00%")&amp;", CPI"</f>
        <v>3.58%, CPI</v>
      </c>
      <c r="O64" s="456" t="str">
        <f t="shared" si="29"/>
        <v>0.00%</v>
      </c>
      <c r="P64" s="340">
        <f t="shared" si="30"/>
        <v>0</v>
      </c>
      <c r="Q64" s="899" t="str">
        <f>TEXT('MYP Assumptions'!G78,"0.00%")&amp;", CPI"</f>
        <v>3.36%, CPI</v>
      </c>
      <c r="R64" s="592"/>
      <c r="S64" s="2238" t="str">
        <f t="shared" si="31"/>
        <v>0.00%</v>
      </c>
      <c r="T64" s="340">
        <f t="shared" si="32"/>
        <v>0</v>
      </c>
      <c r="U64" s="953" t="str">
        <f>TEXT('MYP Assumptions'!H78,"0.00%")&amp;", CPI"</f>
        <v>3.23%, CPI</v>
      </c>
      <c r="V64" s="952"/>
      <c r="W64" s="2241" t="str">
        <f t="shared" si="24"/>
        <v>0.00%</v>
      </c>
      <c r="X64" s="340">
        <f t="shared" si="33"/>
        <v>0</v>
      </c>
      <c r="Y64" s="953" t="str">
        <f>TEXT('MYP Assumptions'!I78,"0.00%")&amp;", CPI"</f>
        <v>2.73%, CPI</v>
      </c>
      <c r="AA64" s="456" t="str">
        <f t="shared" si="25"/>
        <v>0.00%</v>
      </c>
      <c r="AB64" s="340">
        <f t="shared" si="34"/>
        <v>0</v>
      </c>
      <c r="AC64" s="953" t="str">
        <f>TEXT('MYP Assumptions'!J78,"0.00%")&amp;", CPI"</f>
        <v>2.73%, CPI</v>
      </c>
    </row>
    <row r="65" spans="1:29" s="457" customFormat="1" hidden="1" x14ac:dyDescent="0.25">
      <c r="A65" s="2227"/>
      <c r="B65" s="2385"/>
      <c r="C65" s="2349"/>
      <c r="D65" s="340">
        <v>0</v>
      </c>
      <c r="E65" s="2386"/>
      <c r="F65" s="340"/>
      <c r="G65" s="456" t="str">
        <f t="shared" si="23"/>
        <v>0.00%</v>
      </c>
      <c r="H65" s="340">
        <f t="shared" si="26"/>
        <v>0</v>
      </c>
      <c r="I65" s="899" t="str">
        <f>TEXT('MYP Assumptions'!E78,"0.00%")&amp;", CPI"</f>
        <v>3.37%, CPI</v>
      </c>
      <c r="J65" s="455"/>
      <c r="K65" s="456" t="str">
        <f t="shared" si="27"/>
        <v>0.00%</v>
      </c>
      <c r="L65" s="340">
        <f t="shared" si="28"/>
        <v>0</v>
      </c>
      <c r="M65" s="899" t="str">
        <f>TEXT('MYP Assumptions'!F78,"0.00%")&amp;", CPI"</f>
        <v>3.58%, CPI</v>
      </c>
      <c r="O65" s="456" t="str">
        <f t="shared" si="29"/>
        <v>0.00%</v>
      </c>
      <c r="P65" s="340">
        <f t="shared" si="30"/>
        <v>0</v>
      </c>
      <c r="Q65" s="899" t="str">
        <f>TEXT('MYP Assumptions'!G78,"0.00%")&amp;", CPI"</f>
        <v>3.36%, CPI</v>
      </c>
      <c r="R65" s="592"/>
      <c r="S65" s="2238" t="str">
        <f t="shared" si="31"/>
        <v>0.00%</v>
      </c>
      <c r="T65" s="340">
        <f t="shared" si="32"/>
        <v>0</v>
      </c>
      <c r="U65" s="953" t="str">
        <f>TEXT('MYP Assumptions'!H78,"0.00%")&amp;", CPI"</f>
        <v>3.23%, CPI</v>
      </c>
      <c r="V65" s="952"/>
      <c r="W65" s="2241" t="str">
        <f t="shared" si="24"/>
        <v>0.00%</v>
      </c>
      <c r="X65" s="340">
        <f t="shared" si="33"/>
        <v>0</v>
      </c>
      <c r="Y65" s="953" t="str">
        <f>TEXT('MYP Assumptions'!I78,"0.00%")&amp;", CPI"</f>
        <v>2.73%, CPI</v>
      </c>
      <c r="AA65" s="456" t="str">
        <f t="shared" si="25"/>
        <v>0.00%</v>
      </c>
      <c r="AB65" s="340">
        <f t="shared" si="34"/>
        <v>0</v>
      </c>
      <c r="AC65" s="953" t="str">
        <f>TEXT('MYP Assumptions'!J78,"0.00%")&amp;", CPI"</f>
        <v>2.73%, CPI</v>
      </c>
    </row>
    <row r="66" spans="1:29" s="457" customFormat="1" x14ac:dyDescent="0.25">
      <c r="A66" s="2228"/>
      <c r="B66" s="2215"/>
      <c r="C66" s="2215"/>
      <c r="D66" s="458">
        <f>SUM(D59:D65)</f>
        <v>0</v>
      </c>
      <c r="E66" s="2386"/>
      <c r="F66" s="340"/>
      <c r="G66" s="456" t="str">
        <f t="shared" si="23"/>
        <v>0.00%</v>
      </c>
      <c r="H66" s="458">
        <f>SUM(H59:H65)</f>
        <v>0</v>
      </c>
      <c r="I66" s="898"/>
      <c r="J66" s="459"/>
      <c r="K66" s="456" t="str">
        <f t="shared" si="27"/>
        <v>0.00%</v>
      </c>
      <c r="L66" s="458">
        <f>SUM(L59:L65)</f>
        <v>0</v>
      </c>
      <c r="M66" s="901"/>
      <c r="O66" s="456" t="str">
        <f t="shared" si="29"/>
        <v>0.00%</v>
      </c>
      <c r="P66" s="458">
        <f>SUM(P59:P65)</f>
        <v>0</v>
      </c>
      <c r="Q66" s="901"/>
      <c r="R66" s="592"/>
      <c r="S66" s="2238" t="str">
        <f t="shared" si="31"/>
        <v>0.00%</v>
      </c>
      <c r="T66" s="458">
        <f>SUM(T59:T65)</f>
        <v>0</v>
      </c>
      <c r="U66" s="2344"/>
      <c r="V66" s="952"/>
      <c r="W66" s="2241" t="str">
        <f t="shared" si="24"/>
        <v>0.00%</v>
      </c>
      <c r="X66" s="458">
        <f>SUM(X59:X65)</f>
        <v>0</v>
      </c>
      <c r="Y66" s="2344"/>
      <c r="AA66" s="456" t="str">
        <f t="shared" si="25"/>
        <v>0.00%</v>
      </c>
      <c r="AB66" s="458">
        <f>SUM(AB59:AB65)</f>
        <v>0</v>
      </c>
      <c r="AC66" s="2344"/>
    </row>
    <row r="67" spans="1:29" s="457" customFormat="1" x14ac:dyDescent="0.25">
      <c r="A67" s="2227"/>
      <c r="B67" s="2345"/>
      <c r="C67" s="2215"/>
      <c r="D67" s="340"/>
      <c r="E67" s="2386"/>
      <c r="F67" s="340"/>
      <c r="G67" s="2338"/>
      <c r="H67" s="340"/>
      <c r="I67" s="897"/>
      <c r="J67" s="455"/>
      <c r="K67" s="1668"/>
      <c r="L67" s="340"/>
      <c r="M67" s="901"/>
      <c r="O67" s="1668"/>
      <c r="P67" s="340"/>
      <c r="Q67" s="901"/>
      <c r="R67" s="592"/>
      <c r="S67" s="2341"/>
      <c r="T67" s="340"/>
      <c r="U67" s="2344"/>
      <c r="V67" s="952"/>
      <c r="W67" s="2343"/>
      <c r="X67" s="340"/>
      <c r="Y67" s="2344"/>
      <c r="AA67" s="1668"/>
      <c r="AB67" s="340"/>
      <c r="AC67" s="2344"/>
    </row>
    <row r="68" spans="1:29" s="461" customFormat="1" x14ac:dyDescent="0.25">
      <c r="A68" s="2225"/>
      <c r="B68" s="2337" t="s">
        <v>16</v>
      </c>
      <c r="C68" s="2225"/>
      <c r="D68" s="460"/>
      <c r="E68" s="868"/>
      <c r="F68" s="460"/>
      <c r="G68" s="2389"/>
      <c r="H68" s="460"/>
      <c r="I68" s="900"/>
      <c r="K68" s="1669"/>
      <c r="L68" s="460"/>
      <c r="M68" s="902"/>
      <c r="O68" s="1669"/>
      <c r="P68" s="460"/>
      <c r="Q68" s="902"/>
      <c r="S68" s="1669"/>
      <c r="U68" s="2392"/>
      <c r="V68" s="2381"/>
      <c r="W68" s="2382"/>
      <c r="Y68" s="2392"/>
      <c r="AA68" s="1669"/>
      <c r="AC68" s="2392"/>
    </row>
    <row r="69" spans="1:29" s="457" customFormat="1" x14ac:dyDescent="0.25">
      <c r="A69" s="2227"/>
      <c r="B69" s="2385">
        <v>5814</v>
      </c>
      <c r="C69" s="2215" t="s">
        <v>4</v>
      </c>
      <c r="D69" s="340">
        <v>0</v>
      </c>
      <c r="E69" s="2386"/>
      <c r="F69" s="340"/>
      <c r="G69" s="456" t="str">
        <f t="shared" ref="G69:G74" si="35">IF(D69=0,"0.00%",(H69-D69)/D69)</f>
        <v>0.00%</v>
      </c>
      <c r="H69" s="833">
        <v>7934</v>
      </c>
      <c r="I69" s="1656" t="s">
        <v>173</v>
      </c>
      <c r="J69" s="342"/>
      <c r="K69" s="456">
        <f>IF(H69=0,"0.00%",(L69-H69)/H69)</f>
        <v>-1</v>
      </c>
      <c r="L69" s="833">
        <v>0</v>
      </c>
      <c r="M69" s="1656" t="s">
        <v>173</v>
      </c>
      <c r="O69" s="456" t="str">
        <f>IF(L69=0,"0.00%",(P69-L69)/L69)</f>
        <v>0.00%</v>
      </c>
      <c r="P69" s="833">
        <f>+L69</f>
        <v>0</v>
      </c>
      <c r="Q69" s="1656" t="s">
        <v>173</v>
      </c>
      <c r="R69" s="592"/>
      <c r="S69" s="2238" t="str">
        <f>IF(P69=0,"0.00%",(T69-P69)/P69)</f>
        <v>0.00%</v>
      </c>
      <c r="T69" s="833">
        <f>+P69</f>
        <v>0</v>
      </c>
      <c r="U69" s="457" t="s">
        <v>173</v>
      </c>
      <c r="V69" s="952"/>
      <c r="W69" s="2241" t="str">
        <f t="shared" ref="W69:W82" si="36">IF(T69=0,"0.00%",(X69-T69)/T69)</f>
        <v>0.00%</v>
      </c>
      <c r="X69" s="340">
        <f>ROUND(T69*(LEFT(Y69,5)+1),0)</f>
        <v>0</v>
      </c>
      <c r="Y69" s="953" t="str">
        <f>TEXT('MYP Assumptions'!I78,"0.00%")&amp;", CPI"</f>
        <v>2.73%, CPI</v>
      </c>
      <c r="AA69" s="456" t="str">
        <f t="shared" ref="AA69:AA82" si="37">IF(X69=0,"0.00%",(AB69-X69)/X69)</f>
        <v>0.00%</v>
      </c>
      <c r="AB69" s="340">
        <f>ROUND(X69*(LEFT(AC69,5)+1),0)</f>
        <v>0</v>
      </c>
      <c r="AC69" s="953" t="str">
        <f>TEXT('MYP Assumptions'!J78,"0.00%")&amp;", CPI"</f>
        <v>2.73%, CPI</v>
      </c>
    </row>
    <row r="70" spans="1:29" s="457" customFormat="1" hidden="1" x14ac:dyDescent="0.25">
      <c r="A70" s="2227"/>
      <c r="B70" s="2385"/>
      <c r="C70" s="2215"/>
      <c r="D70" s="340">
        <v>0</v>
      </c>
      <c r="E70" s="2386"/>
      <c r="F70" s="340"/>
      <c r="G70" s="456" t="str">
        <f t="shared" si="35"/>
        <v>0.00%</v>
      </c>
      <c r="H70" s="340">
        <f>ROUND(D70*(LEFT(I70,5)+1),0)</f>
        <v>0</v>
      </c>
      <c r="I70" s="899" t="str">
        <f>TEXT('MYP Assumptions'!E78,"0.00%")&amp;", CPI"</f>
        <v>3.37%, CPI</v>
      </c>
      <c r="J70" s="455"/>
      <c r="K70" s="456" t="str">
        <f t="shared" ref="K70:K82" si="38">IF(H70=0,"0.00%",(L70-H70)/H70)</f>
        <v>0.00%</v>
      </c>
      <c r="L70" s="340">
        <f t="shared" ref="L70:L81" si="39">ROUND(H70*(LEFT(M70,5)+1),0)</f>
        <v>0</v>
      </c>
      <c r="M70" s="899" t="str">
        <f>TEXT('MYP Assumptions'!F78,"0.00%")&amp;", CPI"</f>
        <v>3.58%, CPI</v>
      </c>
      <c r="O70" s="456" t="str">
        <f t="shared" ref="O70:O82" si="40">IF(L70=0,"0.00%",(P70-L70)/L70)</f>
        <v>0.00%</v>
      </c>
      <c r="P70" s="340">
        <f t="shared" ref="P70:P81" si="41">ROUND(L70*(LEFT(Q70,5)+1),0)</f>
        <v>0</v>
      </c>
      <c r="Q70" s="899" t="str">
        <f>TEXT('MYP Assumptions'!G78,"0.00%")&amp;", CPI"</f>
        <v>3.36%, CPI</v>
      </c>
      <c r="R70" s="592"/>
      <c r="S70" s="2238" t="str">
        <f t="shared" ref="S70:S82" si="42">IF(P70=0,"0.00%",(T70-P70)/P70)</f>
        <v>0.00%</v>
      </c>
      <c r="T70" s="340">
        <f t="shared" ref="T70:T81" si="43">ROUND(P70*(LEFT(U70,5)+1),0)</f>
        <v>0</v>
      </c>
      <c r="U70" s="953" t="str">
        <f>TEXT('MYP Assumptions'!H78,"0.00%")&amp;", CPI"</f>
        <v>3.23%, CPI</v>
      </c>
      <c r="V70" s="952"/>
      <c r="W70" s="2241" t="str">
        <f t="shared" si="36"/>
        <v>0.00%</v>
      </c>
      <c r="X70" s="340">
        <f t="shared" ref="X70:X81" si="44">ROUND(T70*(LEFT(Y70,5)+1),0)</f>
        <v>0</v>
      </c>
      <c r="Y70" s="953" t="str">
        <f>TEXT('MYP Assumptions'!I78,"0.00%")&amp;", CPI"</f>
        <v>2.73%, CPI</v>
      </c>
      <c r="AA70" s="456" t="str">
        <f t="shared" si="37"/>
        <v>0.00%</v>
      </c>
      <c r="AB70" s="340">
        <f t="shared" ref="AB70:AB81" si="45">ROUND(X70*(LEFT(AC70,5)+1),0)</f>
        <v>0</v>
      </c>
      <c r="AC70" s="953" t="str">
        <f>TEXT('MYP Assumptions'!J78,"0.00%")&amp;", CPI"</f>
        <v>2.73%, CPI</v>
      </c>
    </row>
    <row r="71" spans="1:29" s="457" customFormat="1" hidden="1" x14ac:dyDescent="0.25">
      <c r="A71" s="2227"/>
      <c r="B71" s="2385"/>
      <c r="C71" s="2215"/>
      <c r="D71" s="340">
        <v>0</v>
      </c>
      <c r="E71" s="2386"/>
      <c r="F71" s="340"/>
      <c r="G71" s="456" t="str">
        <f t="shared" si="35"/>
        <v>0.00%</v>
      </c>
      <c r="H71" s="340">
        <f t="shared" ref="H71:H76" si="46">ROUND(D71*(LEFT(I71,5)+1),0)</f>
        <v>0</v>
      </c>
      <c r="I71" s="899" t="str">
        <f>TEXT('MYP Assumptions'!E78,"0.00%")&amp;", CPI"</f>
        <v>3.37%, CPI</v>
      </c>
      <c r="J71" s="455"/>
      <c r="K71" s="456" t="str">
        <f t="shared" si="38"/>
        <v>0.00%</v>
      </c>
      <c r="L71" s="340">
        <f t="shared" si="39"/>
        <v>0</v>
      </c>
      <c r="M71" s="899" t="str">
        <f>TEXT('MYP Assumptions'!F78,"0.00%")&amp;", CPI"</f>
        <v>3.58%, CPI</v>
      </c>
      <c r="O71" s="456" t="str">
        <f t="shared" si="40"/>
        <v>0.00%</v>
      </c>
      <c r="P71" s="340">
        <f t="shared" si="41"/>
        <v>0</v>
      </c>
      <c r="Q71" s="899" t="str">
        <f>TEXT('MYP Assumptions'!G78,"0.00%")&amp;", CPI"</f>
        <v>3.36%, CPI</v>
      </c>
      <c r="R71" s="592"/>
      <c r="S71" s="2238" t="str">
        <f t="shared" si="42"/>
        <v>0.00%</v>
      </c>
      <c r="T71" s="340">
        <f t="shared" si="43"/>
        <v>0</v>
      </c>
      <c r="U71" s="953" t="str">
        <f>TEXT('MYP Assumptions'!H78,"0.00%")&amp;", CPI"</f>
        <v>3.23%, CPI</v>
      </c>
      <c r="V71" s="952"/>
      <c r="W71" s="2241" t="str">
        <f t="shared" si="36"/>
        <v>0.00%</v>
      </c>
      <c r="X71" s="340">
        <f t="shared" si="44"/>
        <v>0</v>
      </c>
      <c r="Y71" s="953" t="str">
        <f>TEXT('MYP Assumptions'!I78,"0.00%")&amp;", CPI"</f>
        <v>2.73%, CPI</v>
      </c>
      <c r="AA71" s="456" t="str">
        <f t="shared" si="37"/>
        <v>0.00%</v>
      </c>
      <c r="AB71" s="340">
        <f t="shared" si="45"/>
        <v>0</v>
      </c>
      <c r="AC71" s="953" t="str">
        <f>TEXT('MYP Assumptions'!J78,"0.00%")&amp;", CPI"</f>
        <v>2.73%, CPI</v>
      </c>
    </row>
    <row r="72" spans="1:29" s="457" customFormat="1" hidden="1" x14ac:dyDescent="0.25">
      <c r="A72" s="2227"/>
      <c r="B72" s="2385"/>
      <c r="C72" s="2215"/>
      <c r="D72" s="340">
        <v>0</v>
      </c>
      <c r="E72" s="2386"/>
      <c r="F72" s="340"/>
      <c r="G72" s="456" t="str">
        <f t="shared" si="35"/>
        <v>0.00%</v>
      </c>
      <c r="H72" s="340">
        <f t="shared" si="46"/>
        <v>0</v>
      </c>
      <c r="I72" s="899" t="str">
        <f>TEXT('MYP Assumptions'!E78,"0.00%")&amp;", CPI"</f>
        <v>3.37%, CPI</v>
      </c>
      <c r="J72" s="455"/>
      <c r="K72" s="456" t="str">
        <f t="shared" si="38"/>
        <v>0.00%</v>
      </c>
      <c r="L72" s="340">
        <f t="shared" si="39"/>
        <v>0</v>
      </c>
      <c r="M72" s="899" t="str">
        <f>TEXT('MYP Assumptions'!F78,"0.00%")&amp;", CPI"</f>
        <v>3.58%, CPI</v>
      </c>
      <c r="O72" s="456" t="str">
        <f t="shared" si="40"/>
        <v>0.00%</v>
      </c>
      <c r="P72" s="340">
        <f t="shared" si="41"/>
        <v>0</v>
      </c>
      <c r="Q72" s="899" t="str">
        <f>TEXT('MYP Assumptions'!G78,"0.00%")&amp;", CPI"</f>
        <v>3.36%, CPI</v>
      </c>
      <c r="R72" s="592"/>
      <c r="S72" s="2238" t="str">
        <f t="shared" si="42"/>
        <v>0.00%</v>
      </c>
      <c r="T72" s="340">
        <f t="shared" si="43"/>
        <v>0</v>
      </c>
      <c r="U72" s="953" t="str">
        <f>TEXT('MYP Assumptions'!H78,"0.00%")&amp;", CPI"</f>
        <v>3.23%, CPI</v>
      </c>
      <c r="V72" s="952"/>
      <c r="W72" s="2241" t="str">
        <f t="shared" si="36"/>
        <v>0.00%</v>
      </c>
      <c r="X72" s="340">
        <f t="shared" si="44"/>
        <v>0</v>
      </c>
      <c r="Y72" s="953" t="str">
        <f>TEXT('MYP Assumptions'!I78,"0.00%")&amp;", CPI"</f>
        <v>2.73%, CPI</v>
      </c>
      <c r="AA72" s="456" t="str">
        <f t="shared" si="37"/>
        <v>0.00%</v>
      </c>
      <c r="AB72" s="340">
        <f t="shared" si="45"/>
        <v>0</v>
      </c>
      <c r="AC72" s="953" t="str">
        <f>TEXT('MYP Assumptions'!J78,"0.00%")&amp;", CPI"</f>
        <v>2.73%, CPI</v>
      </c>
    </row>
    <row r="73" spans="1:29" s="457" customFormat="1" hidden="1" x14ac:dyDescent="0.25">
      <c r="A73" s="2227"/>
      <c r="B73" s="2385"/>
      <c r="C73" s="2215"/>
      <c r="D73" s="340">
        <v>0</v>
      </c>
      <c r="E73" s="2386"/>
      <c r="F73" s="340"/>
      <c r="G73" s="456" t="str">
        <f t="shared" si="35"/>
        <v>0.00%</v>
      </c>
      <c r="H73" s="340">
        <f t="shared" si="46"/>
        <v>0</v>
      </c>
      <c r="I73" s="899" t="str">
        <f>TEXT('MYP Assumptions'!E78,"0.00%")&amp;", CPI"</f>
        <v>3.37%, CPI</v>
      </c>
      <c r="J73" s="455"/>
      <c r="K73" s="456" t="str">
        <f t="shared" si="38"/>
        <v>0.00%</v>
      </c>
      <c r="L73" s="340">
        <f t="shared" si="39"/>
        <v>0</v>
      </c>
      <c r="M73" s="899" t="str">
        <f>TEXT('MYP Assumptions'!F78,"0.00%")&amp;", CPI"</f>
        <v>3.58%, CPI</v>
      </c>
      <c r="O73" s="456" t="str">
        <f t="shared" si="40"/>
        <v>0.00%</v>
      </c>
      <c r="P73" s="340">
        <f t="shared" si="41"/>
        <v>0</v>
      </c>
      <c r="Q73" s="899" t="str">
        <f>TEXT('MYP Assumptions'!G78,"0.00%")&amp;", CPI"</f>
        <v>3.36%, CPI</v>
      </c>
      <c r="R73" s="592"/>
      <c r="S73" s="2238" t="str">
        <f t="shared" si="42"/>
        <v>0.00%</v>
      </c>
      <c r="T73" s="340">
        <f t="shared" si="43"/>
        <v>0</v>
      </c>
      <c r="U73" s="953" t="str">
        <f>TEXT('MYP Assumptions'!H78,"0.00%")&amp;", CPI"</f>
        <v>3.23%, CPI</v>
      </c>
      <c r="V73" s="952"/>
      <c r="W73" s="2241" t="str">
        <f t="shared" si="36"/>
        <v>0.00%</v>
      </c>
      <c r="X73" s="340">
        <f t="shared" si="44"/>
        <v>0</v>
      </c>
      <c r="Y73" s="953" t="str">
        <f>TEXT('MYP Assumptions'!I78,"0.00%")&amp;", CPI"</f>
        <v>2.73%, CPI</v>
      </c>
      <c r="AA73" s="456" t="str">
        <f t="shared" si="37"/>
        <v>0.00%</v>
      </c>
      <c r="AB73" s="340">
        <f t="shared" si="45"/>
        <v>0</v>
      </c>
      <c r="AC73" s="953" t="str">
        <f>TEXT('MYP Assumptions'!J78,"0.00%")&amp;", CPI"</f>
        <v>2.73%, CPI</v>
      </c>
    </row>
    <row r="74" spans="1:29" s="457" customFormat="1" hidden="1" x14ac:dyDescent="0.25">
      <c r="A74" s="2227"/>
      <c r="B74" s="2385"/>
      <c r="C74" s="2215"/>
      <c r="D74" s="340">
        <v>0</v>
      </c>
      <c r="E74" s="2386"/>
      <c r="F74" s="340"/>
      <c r="G74" s="456" t="str">
        <f t="shared" si="35"/>
        <v>0.00%</v>
      </c>
      <c r="H74" s="340">
        <f t="shared" si="46"/>
        <v>0</v>
      </c>
      <c r="I74" s="899" t="str">
        <f>TEXT('MYP Assumptions'!E78,"0.00%")&amp;", CPI"</f>
        <v>3.37%, CPI</v>
      </c>
      <c r="J74" s="455"/>
      <c r="K74" s="456" t="str">
        <f t="shared" si="38"/>
        <v>0.00%</v>
      </c>
      <c r="L74" s="340">
        <f t="shared" si="39"/>
        <v>0</v>
      </c>
      <c r="M74" s="899" t="str">
        <f>TEXT('MYP Assumptions'!F78,"0.00%")&amp;", CPI"</f>
        <v>3.58%, CPI</v>
      </c>
      <c r="O74" s="456" t="str">
        <f t="shared" si="40"/>
        <v>0.00%</v>
      </c>
      <c r="P74" s="340">
        <f t="shared" si="41"/>
        <v>0</v>
      </c>
      <c r="Q74" s="899" t="str">
        <f>TEXT('MYP Assumptions'!G78,"0.00%")&amp;", CPI"</f>
        <v>3.36%, CPI</v>
      </c>
      <c r="R74" s="592"/>
      <c r="S74" s="2238" t="str">
        <f t="shared" si="42"/>
        <v>0.00%</v>
      </c>
      <c r="T74" s="340">
        <f t="shared" si="43"/>
        <v>0</v>
      </c>
      <c r="U74" s="953" t="str">
        <f>TEXT('MYP Assumptions'!H78,"0.00%")&amp;", CPI"</f>
        <v>3.23%, CPI</v>
      </c>
      <c r="V74" s="952"/>
      <c r="W74" s="2241" t="str">
        <f t="shared" si="36"/>
        <v>0.00%</v>
      </c>
      <c r="X74" s="340">
        <f t="shared" si="44"/>
        <v>0</v>
      </c>
      <c r="Y74" s="953" t="str">
        <f>TEXT('MYP Assumptions'!I78,"0.00%")&amp;", CPI"</f>
        <v>2.73%, CPI</v>
      </c>
      <c r="AA74" s="456" t="str">
        <f t="shared" si="37"/>
        <v>0.00%</v>
      </c>
      <c r="AB74" s="340">
        <f t="shared" si="45"/>
        <v>0</v>
      </c>
      <c r="AC74" s="953" t="str">
        <f>TEXT('MYP Assumptions'!J78,"0.00%")&amp;", CPI"</f>
        <v>2.73%, CPI</v>
      </c>
    </row>
    <row r="75" spans="1:29" s="457" customFormat="1" hidden="1" x14ac:dyDescent="0.25">
      <c r="A75" s="2227"/>
      <c r="B75" s="2385"/>
      <c r="C75" s="2215"/>
      <c r="D75" s="340">
        <v>0</v>
      </c>
      <c r="E75" s="2386"/>
      <c r="F75" s="340"/>
      <c r="G75" s="456" t="str">
        <f>IF(D75=0,"0.00%",(H75-D75)/D75)</f>
        <v>0.00%</v>
      </c>
      <c r="H75" s="340">
        <f t="shared" si="46"/>
        <v>0</v>
      </c>
      <c r="I75" s="899" t="str">
        <f>TEXT('MYP Assumptions'!E78,"0.00%")&amp;", CPI"</f>
        <v>3.37%, CPI</v>
      </c>
      <c r="J75" s="455"/>
      <c r="K75" s="456" t="str">
        <f t="shared" si="38"/>
        <v>0.00%</v>
      </c>
      <c r="L75" s="340">
        <f t="shared" si="39"/>
        <v>0</v>
      </c>
      <c r="M75" s="899" t="str">
        <f>TEXT('MYP Assumptions'!F78,"0.00%")&amp;", CPI"</f>
        <v>3.58%, CPI</v>
      </c>
      <c r="O75" s="456" t="str">
        <f t="shared" si="40"/>
        <v>0.00%</v>
      </c>
      <c r="P75" s="340">
        <f t="shared" si="41"/>
        <v>0</v>
      </c>
      <c r="Q75" s="899" t="str">
        <f>TEXT('MYP Assumptions'!G78,"0.00%")&amp;", CPI"</f>
        <v>3.36%, CPI</v>
      </c>
      <c r="R75" s="592"/>
      <c r="S75" s="2238" t="str">
        <f t="shared" si="42"/>
        <v>0.00%</v>
      </c>
      <c r="T75" s="340">
        <f t="shared" si="43"/>
        <v>0</v>
      </c>
      <c r="U75" s="953" t="str">
        <f>TEXT('MYP Assumptions'!H78,"0.00%")&amp;", CPI"</f>
        <v>3.23%, CPI</v>
      </c>
      <c r="V75" s="952"/>
      <c r="W75" s="2241" t="str">
        <f t="shared" si="36"/>
        <v>0.00%</v>
      </c>
      <c r="X75" s="340">
        <f t="shared" si="44"/>
        <v>0</v>
      </c>
      <c r="Y75" s="953" t="str">
        <f>TEXT('MYP Assumptions'!I78,"0.00%")&amp;", CPI"</f>
        <v>2.73%, CPI</v>
      </c>
      <c r="AA75" s="456" t="str">
        <f t="shared" si="37"/>
        <v>0.00%</v>
      </c>
      <c r="AB75" s="340">
        <f t="shared" si="45"/>
        <v>0</v>
      </c>
      <c r="AC75" s="953" t="str">
        <f>TEXT('MYP Assumptions'!J78,"0.00%")&amp;", CPI"</f>
        <v>2.73%, CPI</v>
      </c>
    </row>
    <row r="76" spans="1:29" s="457" customFormat="1" hidden="1" x14ac:dyDescent="0.25">
      <c r="A76" s="2227"/>
      <c r="B76" s="2385"/>
      <c r="C76" s="2215"/>
      <c r="D76" s="340">
        <v>0</v>
      </c>
      <c r="E76" s="2386"/>
      <c r="F76" s="340"/>
      <c r="G76" s="456" t="str">
        <f t="shared" ref="G76:G82" si="47">IF(D76=0,"0.00%",(H76-D76)/D76)</f>
        <v>0.00%</v>
      </c>
      <c r="H76" s="340">
        <f t="shared" si="46"/>
        <v>0</v>
      </c>
      <c r="I76" s="899" t="str">
        <f>TEXT('MYP Assumptions'!E78,"0.00%")&amp;", CPI"</f>
        <v>3.37%, CPI</v>
      </c>
      <c r="J76" s="455"/>
      <c r="K76" s="456" t="str">
        <f t="shared" si="38"/>
        <v>0.00%</v>
      </c>
      <c r="L76" s="340">
        <f t="shared" si="39"/>
        <v>0</v>
      </c>
      <c r="M76" s="899" t="str">
        <f>TEXT('MYP Assumptions'!F78,"0.00%")&amp;", CPI"</f>
        <v>3.58%, CPI</v>
      </c>
      <c r="O76" s="456" t="str">
        <f t="shared" si="40"/>
        <v>0.00%</v>
      </c>
      <c r="P76" s="340">
        <f t="shared" si="41"/>
        <v>0</v>
      </c>
      <c r="Q76" s="899" t="str">
        <f>TEXT('MYP Assumptions'!G78,"0.00%")&amp;", CPI"</f>
        <v>3.36%, CPI</v>
      </c>
      <c r="R76" s="592"/>
      <c r="S76" s="2238" t="str">
        <f t="shared" si="42"/>
        <v>0.00%</v>
      </c>
      <c r="T76" s="340">
        <f t="shared" si="43"/>
        <v>0</v>
      </c>
      <c r="U76" s="953" t="str">
        <f>TEXT('MYP Assumptions'!H78,"0.00%")&amp;", CPI"</f>
        <v>3.23%, CPI</v>
      </c>
      <c r="V76" s="952"/>
      <c r="W76" s="2241" t="str">
        <f t="shared" si="36"/>
        <v>0.00%</v>
      </c>
      <c r="X76" s="340">
        <f t="shared" si="44"/>
        <v>0</v>
      </c>
      <c r="Y76" s="953" t="str">
        <f>TEXT('MYP Assumptions'!I78,"0.00%")&amp;", CPI"</f>
        <v>2.73%, CPI</v>
      </c>
      <c r="AA76" s="456" t="str">
        <f t="shared" si="37"/>
        <v>0.00%</v>
      </c>
      <c r="AB76" s="340">
        <f t="shared" si="45"/>
        <v>0</v>
      </c>
      <c r="AC76" s="953" t="str">
        <f>TEXT('MYP Assumptions'!J78,"0.00%")&amp;", CPI"</f>
        <v>2.73%, CPI</v>
      </c>
    </row>
    <row r="77" spans="1:29" s="457" customFormat="1" hidden="1" x14ac:dyDescent="0.25">
      <c r="A77" s="2227"/>
      <c r="B77" s="2385"/>
      <c r="C77" s="2215"/>
      <c r="D77" s="340">
        <v>0</v>
      </c>
      <c r="E77" s="2386"/>
      <c r="F77" s="340"/>
      <c r="G77" s="456" t="str">
        <f t="shared" si="47"/>
        <v>0.00%</v>
      </c>
      <c r="H77" s="340">
        <f>ROUND(D77*(LEFT(I77,5)+1),0)</f>
        <v>0</v>
      </c>
      <c r="I77" s="899" t="str">
        <f>TEXT('MYP Assumptions'!E78,"0.00%")&amp;", CPI"</f>
        <v>3.37%, CPI</v>
      </c>
      <c r="J77" s="455"/>
      <c r="K77" s="456" t="str">
        <f t="shared" si="38"/>
        <v>0.00%</v>
      </c>
      <c r="L77" s="340">
        <f t="shared" si="39"/>
        <v>0</v>
      </c>
      <c r="M77" s="899" t="str">
        <f>TEXT('MYP Assumptions'!F78,"0.00%")&amp;", CPI"</f>
        <v>3.58%, CPI</v>
      </c>
      <c r="O77" s="456" t="str">
        <f t="shared" si="40"/>
        <v>0.00%</v>
      </c>
      <c r="P77" s="340">
        <f t="shared" si="41"/>
        <v>0</v>
      </c>
      <c r="Q77" s="899" t="str">
        <f>TEXT('MYP Assumptions'!G78,"0.00%")&amp;", CPI"</f>
        <v>3.36%, CPI</v>
      </c>
      <c r="R77" s="592"/>
      <c r="S77" s="2238" t="str">
        <f t="shared" si="42"/>
        <v>0.00%</v>
      </c>
      <c r="T77" s="340">
        <f t="shared" si="43"/>
        <v>0</v>
      </c>
      <c r="U77" s="953" t="str">
        <f>TEXT('MYP Assumptions'!H78,"0.00%")&amp;", CPI"</f>
        <v>3.23%, CPI</v>
      </c>
      <c r="V77" s="952"/>
      <c r="W77" s="2241" t="str">
        <f t="shared" si="36"/>
        <v>0.00%</v>
      </c>
      <c r="X77" s="340">
        <f t="shared" si="44"/>
        <v>0</v>
      </c>
      <c r="Y77" s="953" t="str">
        <f>TEXT('MYP Assumptions'!I78,"0.00%")&amp;", CPI"</f>
        <v>2.73%, CPI</v>
      </c>
      <c r="AA77" s="456" t="str">
        <f t="shared" si="37"/>
        <v>0.00%</v>
      </c>
      <c r="AB77" s="340">
        <f t="shared" si="45"/>
        <v>0</v>
      </c>
      <c r="AC77" s="953" t="str">
        <f>TEXT('MYP Assumptions'!J78,"0.00%")&amp;", CPI"</f>
        <v>2.73%, CPI</v>
      </c>
    </row>
    <row r="78" spans="1:29" s="457" customFormat="1" hidden="1" x14ac:dyDescent="0.25">
      <c r="A78" s="2227"/>
      <c r="B78" s="2385"/>
      <c r="C78" s="2215"/>
      <c r="D78" s="340">
        <v>0</v>
      </c>
      <c r="E78" s="2386"/>
      <c r="F78" s="340"/>
      <c r="G78" s="456" t="str">
        <f t="shared" si="47"/>
        <v>0.00%</v>
      </c>
      <c r="H78" s="340">
        <f>ROUND(D78*(LEFT(I78,5)+1),0)</f>
        <v>0</v>
      </c>
      <c r="I78" s="899" t="str">
        <f>TEXT('MYP Assumptions'!E78,"0.00%")&amp;", CPI"</f>
        <v>3.37%, CPI</v>
      </c>
      <c r="J78" s="455"/>
      <c r="K78" s="456" t="str">
        <f t="shared" si="38"/>
        <v>0.00%</v>
      </c>
      <c r="L78" s="340">
        <f t="shared" si="39"/>
        <v>0</v>
      </c>
      <c r="M78" s="899" t="str">
        <f>TEXT('MYP Assumptions'!F78,"0.00%")&amp;", CPI"</f>
        <v>3.58%, CPI</v>
      </c>
      <c r="O78" s="456" t="str">
        <f t="shared" si="40"/>
        <v>0.00%</v>
      </c>
      <c r="P78" s="340">
        <f t="shared" si="41"/>
        <v>0</v>
      </c>
      <c r="Q78" s="899" t="str">
        <f>TEXT('MYP Assumptions'!G78,"0.00%")&amp;", CPI"</f>
        <v>3.36%, CPI</v>
      </c>
      <c r="R78" s="592"/>
      <c r="S78" s="2238" t="str">
        <f t="shared" si="42"/>
        <v>0.00%</v>
      </c>
      <c r="T78" s="340">
        <f t="shared" si="43"/>
        <v>0</v>
      </c>
      <c r="U78" s="953" t="str">
        <f>TEXT('MYP Assumptions'!H78,"0.00%")&amp;", CPI"</f>
        <v>3.23%, CPI</v>
      </c>
      <c r="V78" s="952"/>
      <c r="W78" s="2241" t="str">
        <f t="shared" si="36"/>
        <v>0.00%</v>
      </c>
      <c r="X78" s="340">
        <f t="shared" si="44"/>
        <v>0</v>
      </c>
      <c r="Y78" s="953" t="str">
        <f>TEXT('MYP Assumptions'!I78,"0.00%")&amp;", CPI"</f>
        <v>2.73%, CPI</v>
      </c>
      <c r="AA78" s="456" t="str">
        <f t="shared" si="37"/>
        <v>0.00%</v>
      </c>
      <c r="AB78" s="340">
        <f t="shared" si="45"/>
        <v>0</v>
      </c>
      <c r="AC78" s="953" t="str">
        <f>TEXT('MYP Assumptions'!J78,"0.00%")&amp;", CPI"</f>
        <v>2.73%, CPI</v>
      </c>
    </row>
    <row r="79" spans="1:29" s="457" customFormat="1" hidden="1" x14ac:dyDescent="0.25">
      <c r="A79" s="2227"/>
      <c r="B79" s="2385"/>
      <c r="C79" s="2215"/>
      <c r="D79" s="340">
        <v>0</v>
      </c>
      <c r="E79" s="2386"/>
      <c r="F79" s="340"/>
      <c r="G79" s="456" t="str">
        <f t="shared" si="47"/>
        <v>0.00%</v>
      </c>
      <c r="H79" s="340">
        <f>ROUND(D79*(LEFT(I79,5)+1),0)</f>
        <v>0</v>
      </c>
      <c r="I79" s="899" t="str">
        <f>TEXT('MYP Assumptions'!E78,"0.00%")&amp;", CPI"</f>
        <v>3.37%, CPI</v>
      </c>
      <c r="J79" s="455"/>
      <c r="K79" s="456" t="str">
        <f t="shared" si="38"/>
        <v>0.00%</v>
      </c>
      <c r="L79" s="340">
        <f t="shared" si="39"/>
        <v>0</v>
      </c>
      <c r="M79" s="899" t="str">
        <f>TEXT('MYP Assumptions'!F78,"0.00%")&amp;", CPI"</f>
        <v>3.58%, CPI</v>
      </c>
      <c r="O79" s="456" t="str">
        <f t="shared" si="40"/>
        <v>0.00%</v>
      </c>
      <c r="P79" s="340">
        <f t="shared" si="41"/>
        <v>0</v>
      </c>
      <c r="Q79" s="899" t="str">
        <f>TEXT('MYP Assumptions'!G78,"0.00%")&amp;", CPI"</f>
        <v>3.36%, CPI</v>
      </c>
      <c r="R79" s="592"/>
      <c r="S79" s="2238" t="str">
        <f t="shared" si="42"/>
        <v>0.00%</v>
      </c>
      <c r="T79" s="340">
        <f t="shared" si="43"/>
        <v>0</v>
      </c>
      <c r="U79" s="953" t="str">
        <f>TEXT('MYP Assumptions'!H78,"0.00%")&amp;", CPI"</f>
        <v>3.23%, CPI</v>
      </c>
      <c r="V79" s="952"/>
      <c r="W79" s="2241" t="str">
        <f t="shared" si="36"/>
        <v>0.00%</v>
      </c>
      <c r="X79" s="340">
        <f t="shared" si="44"/>
        <v>0</v>
      </c>
      <c r="Y79" s="953" t="str">
        <f>TEXT('MYP Assumptions'!I78,"0.00%")&amp;", CPI"</f>
        <v>2.73%, CPI</v>
      </c>
      <c r="AA79" s="456" t="str">
        <f t="shared" si="37"/>
        <v>0.00%</v>
      </c>
      <c r="AB79" s="340">
        <f t="shared" si="45"/>
        <v>0</v>
      </c>
      <c r="AC79" s="953" t="str">
        <f>TEXT('MYP Assumptions'!J78,"0.00%")&amp;", CPI"</f>
        <v>2.73%, CPI</v>
      </c>
    </row>
    <row r="80" spans="1:29" s="457" customFormat="1" hidden="1" x14ac:dyDescent="0.25">
      <c r="A80" s="2227"/>
      <c r="B80" s="2385"/>
      <c r="C80" s="2215"/>
      <c r="D80" s="340">
        <v>0</v>
      </c>
      <c r="E80" s="2386"/>
      <c r="F80" s="340"/>
      <c r="G80" s="456" t="str">
        <f t="shared" si="47"/>
        <v>0.00%</v>
      </c>
      <c r="H80" s="340">
        <f>ROUND(D80*(LEFT(I80,5)+1),0)</f>
        <v>0</v>
      </c>
      <c r="I80" s="899" t="str">
        <f>TEXT('MYP Assumptions'!E78,"0.00%")&amp;", CPI"</f>
        <v>3.37%, CPI</v>
      </c>
      <c r="J80" s="455"/>
      <c r="K80" s="456" t="str">
        <f t="shared" si="38"/>
        <v>0.00%</v>
      </c>
      <c r="L80" s="340">
        <f t="shared" si="39"/>
        <v>0</v>
      </c>
      <c r="M80" s="899" t="str">
        <f>TEXT('MYP Assumptions'!F78,"0.00%")&amp;", CPI"</f>
        <v>3.58%, CPI</v>
      </c>
      <c r="O80" s="456" t="str">
        <f t="shared" si="40"/>
        <v>0.00%</v>
      </c>
      <c r="P80" s="340">
        <f t="shared" si="41"/>
        <v>0</v>
      </c>
      <c r="Q80" s="899" t="str">
        <f>TEXT('MYP Assumptions'!G78,"0.00%")&amp;", CPI"</f>
        <v>3.36%, CPI</v>
      </c>
      <c r="R80" s="592"/>
      <c r="S80" s="2238" t="str">
        <f t="shared" si="42"/>
        <v>0.00%</v>
      </c>
      <c r="T80" s="340">
        <f t="shared" si="43"/>
        <v>0</v>
      </c>
      <c r="U80" s="953" t="str">
        <f>TEXT('MYP Assumptions'!H78,"0.00%")&amp;", CPI"</f>
        <v>3.23%, CPI</v>
      </c>
      <c r="V80" s="952"/>
      <c r="W80" s="2241" t="str">
        <f t="shared" si="36"/>
        <v>0.00%</v>
      </c>
      <c r="X80" s="340">
        <f t="shared" si="44"/>
        <v>0</v>
      </c>
      <c r="Y80" s="953" t="str">
        <f>TEXT('MYP Assumptions'!I78,"0.00%")&amp;", CPI"</f>
        <v>2.73%, CPI</v>
      </c>
      <c r="AA80" s="456" t="str">
        <f t="shared" si="37"/>
        <v>0.00%</v>
      </c>
      <c r="AB80" s="340">
        <f t="shared" si="45"/>
        <v>0</v>
      </c>
      <c r="AC80" s="953" t="str">
        <f>TEXT('MYP Assumptions'!J78,"0.00%")&amp;", CPI"</f>
        <v>2.73%, CPI</v>
      </c>
    </row>
    <row r="81" spans="1:29" s="457" customFormat="1" hidden="1" x14ac:dyDescent="0.25">
      <c r="A81" s="2227"/>
      <c r="B81" s="2385"/>
      <c r="C81" s="2215"/>
      <c r="D81" s="340">
        <f>'18-19 Budget RS 3010-ALL'!AF80</f>
        <v>0</v>
      </c>
      <c r="E81" s="2386"/>
      <c r="F81" s="340"/>
      <c r="G81" s="456" t="str">
        <f t="shared" si="47"/>
        <v>0.00%</v>
      </c>
      <c r="H81" s="340">
        <f>ROUND(D81*(LEFT(I81,5)+1),0)</f>
        <v>0</v>
      </c>
      <c r="I81" s="899" t="str">
        <f>TEXT('MYP Assumptions'!E78,"0.00%")&amp;", CPI"</f>
        <v>3.37%, CPI</v>
      </c>
      <c r="J81" s="455"/>
      <c r="K81" s="456" t="str">
        <f t="shared" si="38"/>
        <v>0.00%</v>
      </c>
      <c r="L81" s="340">
        <f t="shared" si="39"/>
        <v>0</v>
      </c>
      <c r="M81" s="899" t="str">
        <f>TEXT('MYP Assumptions'!F78,"0.00%")&amp;", CPI"</f>
        <v>3.58%, CPI</v>
      </c>
      <c r="O81" s="456" t="str">
        <f t="shared" si="40"/>
        <v>0.00%</v>
      </c>
      <c r="P81" s="340">
        <f t="shared" si="41"/>
        <v>0</v>
      </c>
      <c r="Q81" s="899" t="str">
        <f>TEXT('MYP Assumptions'!G78,"0.00%")&amp;", CPI"</f>
        <v>3.36%, CPI</v>
      </c>
      <c r="R81" s="592"/>
      <c r="S81" s="2238" t="str">
        <f t="shared" si="42"/>
        <v>0.00%</v>
      </c>
      <c r="T81" s="340">
        <f t="shared" si="43"/>
        <v>0</v>
      </c>
      <c r="U81" s="953" t="str">
        <f>TEXT('MYP Assumptions'!H78,"0.00%")&amp;", CPI"</f>
        <v>3.23%, CPI</v>
      </c>
      <c r="V81" s="952"/>
      <c r="W81" s="2241" t="str">
        <f t="shared" si="36"/>
        <v>0.00%</v>
      </c>
      <c r="X81" s="340">
        <f t="shared" si="44"/>
        <v>0</v>
      </c>
      <c r="Y81" s="953" t="str">
        <f>TEXT('MYP Assumptions'!I78,"0.00%")&amp;", CPI"</f>
        <v>2.73%, CPI</v>
      </c>
      <c r="AA81" s="456" t="str">
        <f t="shared" si="37"/>
        <v>0.00%</v>
      </c>
      <c r="AB81" s="340">
        <f t="shared" si="45"/>
        <v>0</v>
      </c>
      <c r="AC81" s="953" t="str">
        <f>TEXT('MYP Assumptions'!J78,"0.00%")&amp;", CPI"</f>
        <v>2.73%, CPI</v>
      </c>
    </row>
    <row r="82" spans="1:29" s="457" customFormat="1" x14ac:dyDescent="0.25">
      <c r="A82" s="2228"/>
      <c r="B82" s="2345"/>
      <c r="C82" s="2215"/>
      <c r="D82" s="458">
        <f>SUM(D69:D81)</f>
        <v>0</v>
      </c>
      <c r="E82" s="2386"/>
      <c r="F82" s="340"/>
      <c r="G82" s="456" t="str">
        <f t="shared" si="47"/>
        <v>0.00%</v>
      </c>
      <c r="H82" s="458">
        <f>SUM(H69:H81)</f>
        <v>7934</v>
      </c>
      <c r="I82" s="898"/>
      <c r="J82" s="459"/>
      <c r="K82" s="456">
        <f t="shared" si="38"/>
        <v>-1</v>
      </c>
      <c r="L82" s="458">
        <f>SUM(L69:L81)</f>
        <v>0</v>
      </c>
      <c r="M82" s="901"/>
      <c r="O82" s="456" t="str">
        <f t="shared" si="40"/>
        <v>0.00%</v>
      </c>
      <c r="P82" s="458">
        <f>SUM(P69:P81)</f>
        <v>0</v>
      </c>
      <c r="Q82" s="901"/>
      <c r="R82" s="592"/>
      <c r="S82" s="2238" t="str">
        <f t="shared" si="42"/>
        <v>0.00%</v>
      </c>
      <c r="T82" s="458">
        <f>SUM(T69:T81)</f>
        <v>0</v>
      </c>
      <c r="U82" s="2344"/>
      <c r="V82" s="952"/>
      <c r="W82" s="2241" t="str">
        <f t="shared" si="36"/>
        <v>0.00%</v>
      </c>
      <c r="X82" s="458">
        <f>SUM(X69:X81)</f>
        <v>0</v>
      </c>
      <c r="Y82" s="2344"/>
      <c r="AA82" s="456" t="str">
        <f t="shared" si="37"/>
        <v>0.00%</v>
      </c>
      <c r="AB82" s="458">
        <f>SUM(AB69:AB81)</f>
        <v>0</v>
      </c>
      <c r="AC82" s="2344"/>
    </row>
    <row r="83" spans="1:29" s="457" customFormat="1" x14ac:dyDescent="0.25">
      <c r="A83" s="2227"/>
      <c r="B83" s="2337"/>
      <c r="C83" s="2215"/>
      <c r="D83" s="340"/>
      <c r="E83" s="2386"/>
      <c r="F83" s="340"/>
      <c r="G83" s="456"/>
      <c r="H83" s="340"/>
      <c r="I83" s="897"/>
      <c r="J83" s="455"/>
      <c r="K83" s="1668"/>
      <c r="L83" s="340"/>
      <c r="M83" s="901"/>
      <c r="O83" s="1668"/>
      <c r="P83" s="340"/>
      <c r="Q83" s="901"/>
      <c r="R83" s="592"/>
      <c r="S83" s="2341"/>
      <c r="T83" s="340"/>
      <c r="U83" s="2344"/>
      <c r="V83" s="952"/>
      <c r="W83" s="2343"/>
      <c r="X83" s="340"/>
      <c r="Y83" s="2344"/>
      <c r="AA83" s="1668"/>
      <c r="AB83" s="340"/>
      <c r="AC83" s="2344"/>
    </row>
    <row r="84" spans="1:29" s="457" customFormat="1" x14ac:dyDescent="0.25">
      <c r="A84" s="2227"/>
      <c r="B84" s="2345"/>
      <c r="C84" s="2215"/>
      <c r="D84" s="340"/>
      <c r="E84" s="2386"/>
      <c r="F84" s="340"/>
      <c r="G84" s="2338"/>
      <c r="H84" s="340"/>
      <c r="I84" s="897"/>
      <c r="J84" s="455"/>
      <c r="K84" s="1668"/>
      <c r="L84" s="340"/>
      <c r="M84" s="901"/>
      <c r="O84" s="1668"/>
      <c r="P84" s="340"/>
      <c r="Q84" s="901"/>
      <c r="R84" s="592"/>
      <c r="S84" s="2341"/>
      <c r="T84" s="340"/>
      <c r="U84" s="2344"/>
      <c r="V84" s="952"/>
      <c r="W84" s="2343"/>
      <c r="X84" s="340"/>
      <c r="Y84" s="2344"/>
      <c r="AA84" s="1668"/>
      <c r="AB84" s="340"/>
      <c r="AC84" s="2344"/>
    </row>
    <row r="85" spans="1:29" s="457" customFormat="1" x14ac:dyDescent="0.25">
      <c r="A85" s="2228"/>
      <c r="B85" s="2337" t="s">
        <v>0</v>
      </c>
      <c r="C85" s="2215"/>
      <c r="D85" s="458">
        <f>SUM(D82,D66,D55,D13)</f>
        <v>0</v>
      </c>
      <c r="E85" s="2386"/>
      <c r="F85" s="340"/>
      <c r="G85" s="456" t="str">
        <f>IF(D85=0,"0.00%",(H85-D85)/D85)</f>
        <v>0.00%</v>
      </c>
      <c r="H85" s="458">
        <f>SUM(H82,H66,H55,H13)</f>
        <v>7934</v>
      </c>
      <c r="I85" s="898"/>
      <c r="J85" s="459"/>
      <c r="K85" s="456">
        <f>IF(H85=0,"0.00%",(L85-H85)/H85)</f>
        <v>-1</v>
      </c>
      <c r="L85" s="458">
        <f>SUM(L82,L66,L55,L13)</f>
        <v>0</v>
      </c>
      <c r="M85" s="901"/>
      <c r="O85" s="456" t="str">
        <f>IF(L85=0,"0.00%",(P85-L85)/L85)</f>
        <v>0.00%</v>
      </c>
      <c r="P85" s="458">
        <f>SUM(P82,P66,P55,P13)</f>
        <v>0</v>
      </c>
      <c r="Q85" s="901"/>
      <c r="R85" s="592"/>
      <c r="S85" s="2238" t="str">
        <f>IF(P85=0,"0.00%",(T85-P85)/P85)</f>
        <v>0.00%</v>
      </c>
      <c r="T85" s="458">
        <f>SUM(T82,T66,T55,T13)</f>
        <v>0</v>
      </c>
      <c r="U85" s="2344"/>
      <c r="V85" s="952"/>
      <c r="W85" s="2241" t="str">
        <f>IF(T85=0,"0.00%",(X85-T85)/T85)</f>
        <v>0.00%</v>
      </c>
      <c r="X85" s="458">
        <f>SUM(X82,X66,X55,X13)</f>
        <v>0</v>
      </c>
      <c r="Y85" s="2344"/>
      <c r="AA85" s="456" t="str">
        <f>IF(X85=0,"0.00%",(AB85-X85)/X85)</f>
        <v>0.00%</v>
      </c>
      <c r="AB85" s="458" t="e">
        <f>SUM(AB82,AB66,AB55,AB13)</f>
        <v>#VALUE!</v>
      </c>
      <c r="AC85" s="2344"/>
    </row>
    <row r="86" spans="1:29" s="457" customFormat="1" x14ac:dyDescent="0.25">
      <c r="A86" s="2227"/>
      <c r="B86" s="2345"/>
      <c r="C86" s="2215"/>
      <c r="D86" s="340"/>
      <c r="E86" s="2386"/>
      <c r="F86" s="340"/>
      <c r="G86" s="2338"/>
      <c r="H86" s="340"/>
      <c r="I86" s="897"/>
      <c r="J86" s="455"/>
      <c r="K86" s="1668"/>
      <c r="L86" s="340"/>
      <c r="M86" s="901"/>
      <c r="O86" s="1668"/>
      <c r="P86" s="340"/>
      <c r="Q86" s="901"/>
      <c r="R86" s="592"/>
      <c r="S86" s="2341"/>
      <c r="T86" s="340"/>
      <c r="U86" s="2344"/>
      <c r="V86" s="952"/>
      <c r="W86" s="2343"/>
      <c r="X86" s="340"/>
      <c r="Y86" s="2344"/>
      <c r="AA86" s="1668"/>
      <c r="AB86" s="340"/>
      <c r="AC86" s="2344"/>
    </row>
    <row r="87" spans="1:29" s="457" customFormat="1" x14ac:dyDescent="0.25">
      <c r="A87" s="2227"/>
      <c r="B87" s="2337" t="s">
        <v>138</v>
      </c>
      <c r="C87" s="2215"/>
      <c r="D87" s="833">
        <f>D11-D85</f>
        <v>0</v>
      </c>
      <c r="E87" s="1656"/>
      <c r="G87" s="456" t="str">
        <f>IF(D87=0,"0.00%",(H87-D87)/D87)</f>
        <v>0.00%</v>
      </c>
      <c r="H87" s="833">
        <f>H11-H85</f>
        <v>0</v>
      </c>
      <c r="I87" s="897"/>
      <c r="J87" s="455"/>
      <c r="K87" s="456" t="str">
        <f>IF(H87=0,"0.00%",(L87-H87)/H87)</f>
        <v>0.00%</v>
      </c>
      <c r="L87" s="833">
        <f>L11-L85</f>
        <v>0</v>
      </c>
      <c r="M87" s="901"/>
      <c r="O87" s="456" t="str">
        <f>IF(L87=0,"0.00%",(P87-L87)/L87)</f>
        <v>0.00%</v>
      </c>
      <c r="P87" s="833">
        <f>P11-P85</f>
        <v>0</v>
      </c>
      <c r="Q87" s="901"/>
      <c r="R87" s="592"/>
      <c r="S87" s="2238" t="str">
        <f>IF(P87=0,"0.00%",(T87-P87)/P87)</f>
        <v>0.00%</v>
      </c>
      <c r="T87" s="833">
        <f>T11-T85</f>
        <v>0</v>
      </c>
      <c r="U87" s="2344"/>
      <c r="V87" s="952"/>
      <c r="W87" s="2241" t="str">
        <f>IF(T87=0,"0.00%",(X87-T87)/T87)</f>
        <v>0.00%</v>
      </c>
      <c r="X87" s="833">
        <f>X11-X85</f>
        <v>0</v>
      </c>
      <c r="Y87" s="2344"/>
      <c r="AA87" s="456" t="str">
        <f>IF(X87=0,"0.00%",(AB87-X87)/X87)</f>
        <v>0.00%</v>
      </c>
      <c r="AB87" s="833" t="e">
        <f>AB11-AB85</f>
        <v>#VALUE!</v>
      </c>
      <c r="AC87" s="2344"/>
    </row>
    <row r="88" spans="1:29" s="457" customFormat="1" x14ac:dyDescent="0.25">
      <c r="A88" s="2215"/>
      <c r="B88" s="2337"/>
      <c r="C88" s="2345"/>
      <c r="D88" s="833"/>
      <c r="E88" s="1656"/>
      <c r="G88" s="2338"/>
      <c r="H88" s="833"/>
      <c r="I88" s="897"/>
      <c r="J88" s="455"/>
      <c r="K88" s="1668"/>
      <c r="L88" s="833"/>
      <c r="M88" s="901"/>
      <c r="O88" s="1668"/>
      <c r="P88" s="833"/>
      <c r="Q88" s="901"/>
      <c r="R88" s="592"/>
      <c r="S88" s="2341"/>
      <c r="T88" s="2356"/>
      <c r="U88" s="2344"/>
      <c r="V88" s="952"/>
      <c r="W88" s="2343"/>
      <c r="X88" s="2356"/>
      <c r="Y88" s="2344"/>
      <c r="AA88" s="1668"/>
      <c r="AB88" s="2356"/>
      <c r="AC88" s="2344"/>
    </row>
    <row r="89" spans="1:29" s="457" customFormat="1" x14ac:dyDescent="0.25">
      <c r="A89" s="2215"/>
      <c r="B89" s="2337" t="s">
        <v>136</v>
      </c>
      <c r="C89" s="2394"/>
      <c r="D89" s="833">
        <f>D7+D87</f>
        <v>0</v>
      </c>
      <c r="E89" s="1656"/>
      <c r="G89" s="456" t="str">
        <f>IF(D89=0,"0.00%",(H89-D89)/D89)</f>
        <v>0.00%</v>
      </c>
      <c r="H89" s="833">
        <f>H7+H87</f>
        <v>0</v>
      </c>
      <c r="I89" s="897"/>
      <c r="J89" s="455"/>
      <c r="K89" s="456" t="str">
        <f>IF(H89=0,"0.00%",(L89-H89)/H89)</f>
        <v>0.00%</v>
      </c>
      <c r="L89" s="833">
        <f>L7+L87</f>
        <v>0</v>
      </c>
      <c r="M89" s="901"/>
      <c r="O89" s="456" t="str">
        <f>IF(L89=0,"0.00%",(P89-L89)/L89)</f>
        <v>0.00%</v>
      </c>
      <c r="P89" s="833">
        <f>P7+P87</f>
        <v>0</v>
      </c>
      <c r="Q89" s="901"/>
      <c r="R89" s="592"/>
      <c r="S89" s="2238" t="str">
        <f>IF(P89=0,"0.00%",(T89-P89)/P89)</f>
        <v>0.00%</v>
      </c>
      <c r="T89" s="2367">
        <f>T7+T87</f>
        <v>0</v>
      </c>
      <c r="U89" s="2344"/>
      <c r="V89" s="952"/>
      <c r="W89" s="2241" t="str">
        <f>IF(T89=0,"0.00%",(X89-T89)/T89)</f>
        <v>0.00%</v>
      </c>
      <c r="X89" s="2367">
        <f>X7+X87</f>
        <v>0</v>
      </c>
      <c r="Y89" s="2344"/>
      <c r="AA89" s="456" t="str">
        <f>IF(X89=0,"0.00%",(AB89-X89)/X89)</f>
        <v>0.00%</v>
      </c>
      <c r="AB89" s="2367" t="e">
        <f>AB7+AB87</f>
        <v>#VALUE!</v>
      </c>
      <c r="AC89" s="2344"/>
    </row>
    <row r="90" spans="1:29" s="457" customFormat="1" x14ac:dyDescent="0.25">
      <c r="A90" s="2215"/>
      <c r="B90" s="2345"/>
      <c r="C90" s="2225"/>
      <c r="D90" s="340"/>
      <c r="E90" s="1656"/>
      <c r="G90" s="2355"/>
      <c r="H90" s="459"/>
      <c r="I90" s="898"/>
      <c r="J90" s="459"/>
      <c r="K90" s="1668"/>
      <c r="L90" s="459"/>
      <c r="M90" s="901"/>
      <c r="O90" s="1668"/>
      <c r="P90" s="459"/>
      <c r="Q90" s="901"/>
      <c r="R90" s="592"/>
      <c r="S90" s="2341"/>
      <c r="T90" s="459"/>
      <c r="U90" s="2344"/>
      <c r="V90" s="952"/>
      <c r="W90" s="2343"/>
      <c r="X90" s="459"/>
      <c r="Y90" s="2344"/>
      <c r="AA90" s="1668"/>
      <c r="AB90" s="459"/>
      <c r="AC90" s="2344"/>
    </row>
    <row r="91" spans="1:29" s="457" customFormat="1" x14ac:dyDescent="0.25">
      <c r="A91" s="2215"/>
      <c r="B91" s="2345"/>
      <c r="C91" s="2230"/>
      <c r="D91" s="340"/>
      <c r="E91" s="1656"/>
      <c r="G91" s="2355"/>
      <c r="H91" s="455"/>
      <c r="I91" s="897"/>
      <c r="J91" s="455"/>
      <c r="K91" s="1668"/>
      <c r="L91" s="340"/>
      <c r="M91" s="901"/>
      <c r="O91" s="1668"/>
      <c r="P91" s="340"/>
      <c r="Q91" s="901"/>
      <c r="R91" s="592"/>
      <c r="S91" s="2341"/>
      <c r="T91" s="340"/>
      <c r="U91" s="2344"/>
      <c r="V91" s="952"/>
      <c r="W91" s="2343"/>
      <c r="X91" s="340"/>
      <c r="Y91" s="2344"/>
      <c r="AA91" s="1668"/>
      <c r="AB91" s="340"/>
      <c r="AC91" s="2344"/>
    </row>
    <row r="92" spans="1:29" s="457" customFormat="1" x14ac:dyDescent="0.25">
      <c r="A92" s="2215"/>
      <c r="B92" s="2345"/>
      <c r="C92" s="2230"/>
      <c r="D92" s="340"/>
      <c r="E92" s="1656"/>
      <c r="G92" s="2355"/>
      <c r="H92" s="455"/>
      <c r="I92" s="897"/>
      <c r="J92" s="455"/>
      <c r="K92" s="1668"/>
      <c r="L92" s="340"/>
      <c r="M92" s="901"/>
      <c r="O92" s="1668"/>
      <c r="P92" s="340"/>
      <c r="Q92" s="901"/>
      <c r="R92" s="592"/>
      <c r="S92" s="2341"/>
      <c r="T92" s="340"/>
      <c r="U92" s="2344"/>
      <c r="V92" s="952"/>
      <c r="W92" s="2343"/>
      <c r="X92" s="340"/>
      <c r="Y92" s="2344"/>
      <c r="AA92" s="1668"/>
      <c r="AB92" s="340"/>
      <c r="AC92" s="2344"/>
    </row>
    <row r="93" spans="1:29" s="457" customFormat="1" x14ac:dyDescent="0.25">
      <c r="A93" s="2215"/>
      <c r="B93" s="2345"/>
      <c r="C93" s="2230"/>
      <c r="D93" s="340"/>
      <c r="E93" s="1656"/>
      <c r="G93" s="2355"/>
      <c r="H93" s="455"/>
      <c r="I93" s="897"/>
      <c r="J93" s="455"/>
      <c r="K93" s="1668"/>
      <c r="L93" s="340"/>
      <c r="M93" s="901"/>
      <c r="O93" s="1668"/>
      <c r="P93" s="340"/>
      <c r="Q93" s="901"/>
      <c r="R93" s="592"/>
      <c r="S93" s="2341"/>
      <c r="T93" s="340"/>
      <c r="U93" s="2344"/>
      <c r="V93" s="952"/>
      <c r="W93" s="2343"/>
      <c r="X93" s="340"/>
      <c r="Y93" s="2344"/>
      <c r="AA93" s="1668"/>
      <c r="AB93" s="340"/>
      <c r="AC93" s="2344"/>
    </row>
    <row r="94" spans="1:29" s="457" customFormat="1" x14ac:dyDescent="0.25">
      <c r="A94" s="2215"/>
      <c r="B94" s="2345"/>
      <c r="C94" s="2230"/>
      <c r="D94" s="340"/>
      <c r="E94" s="1656"/>
      <c r="G94" s="2355"/>
      <c r="H94" s="455"/>
      <c r="I94" s="897"/>
      <c r="J94" s="455"/>
      <c r="K94" s="1668"/>
      <c r="L94" s="340"/>
      <c r="M94" s="901"/>
      <c r="O94" s="1668"/>
      <c r="P94" s="340"/>
      <c r="Q94" s="901"/>
      <c r="R94" s="592"/>
      <c r="S94" s="2341"/>
      <c r="T94" s="340"/>
      <c r="U94" s="2344"/>
      <c r="V94" s="952"/>
      <c r="W94" s="2343"/>
      <c r="X94" s="340"/>
      <c r="Y94" s="2344"/>
      <c r="AA94" s="1668"/>
      <c r="AB94" s="340"/>
      <c r="AC94" s="2344"/>
    </row>
    <row r="95" spans="1:29" s="2402" customFormat="1" ht="11.25" x14ac:dyDescent="0.2">
      <c r="A95" s="2232"/>
      <c r="B95" s="2395"/>
      <c r="C95" s="2396" t="s">
        <v>221</v>
      </c>
      <c r="D95" s="2397">
        <f>+D82+D66+D53+D41+D30</f>
        <v>0</v>
      </c>
      <c r="E95" s="2363"/>
      <c r="G95" s="2399" t="s">
        <v>221</v>
      </c>
      <c r="H95" s="2397">
        <f>+H82+H66+H53+H41+H30</f>
        <v>7934</v>
      </c>
      <c r="I95" s="2400"/>
      <c r="J95" s="607"/>
      <c r="K95" s="2399" t="s">
        <v>221</v>
      </c>
      <c r="L95" s="2397">
        <f>+L82+L66+L53+L41+L30</f>
        <v>0</v>
      </c>
      <c r="M95" s="2404"/>
      <c r="O95" s="2399" t="s">
        <v>221</v>
      </c>
      <c r="P95" s="2397">
        <f>+P82+P66+P53+P41+P30</f>
        <v>0</v>
      </c>
      <c r="Q95" s="2404"/>
      <c r="R95" s="608"/>
      <c r="S95" s="2405" t="s">
        <v>221</v>
      </c>
      <c r="T95" s="2397">
        <f>+T82+T66+T53+T41+T30</f>
        <v>0</v>
      </c>
      <c r="U95" s="2409"/>
      <c r="V95" s="2407"/>
      <c r="W95" s="2408" t="s">
        <v>221</v>
      </c>
      <c r="X95" s="2397">
        <f>+X82+X66+X53+X41+X30</f>
        <v>0</v>
      </c>
      <c r="Y95" s="2409"/>
      <c r="AA95" s="2399" t="s">
        <v>221</v>
      </c>
      <c r="AB95" s="2397" t="e">
        <f>+AB82+AB66+AB53+AB41+AB30</f>
        <v>#VALUE!</v>
      </c>
      <c r="AC95" s="2409"/>
    </row>
    <row r="96" spans="1:29" s="2402" customFormat="1" ht="11.25" x14ac:dyDescent="0.2">
      <c r="A96" s="2233"/>
      <c r="B96" s="2395"/>
      <c r="C96" s="2411" t="s">
        <v>222</v>
      </c>
      <c r="D96" s="2412">
        <f>+D13</f>
        <v>0</v>
      </c>
      <c r="E96" s="2419"/>
      <c r="F96" s="2410"/>
      <c r="G96" s="2415" t="s">
        <v>222</v>
      </c>
      <c r="H96" s="2412">
        <f>+H13</f>
        <v>0</v>
      </c>
      <c r="I96" s="2398"/>
      <c r="J96" s="608"/>
      <c r="K96" s="2415" t="s">
        <v>222</v>
      </c>
      <c r="L96" s="2412">
        <f>+L13</f>
        <v>0</v>
      </c>
      <c r="M96" s="2404"/>
      <c r="O96" s="2415" t="s">
        <v>222</v>
      </c>
      <c r="P96" s="2412">
        <f>+P13</f>
        <v>0</v>
      </c>
      <c r="Q96" s="2363"/>
      <c r="R96" s="608"/>
      <c r="S96" s="2416" t="s">
        <v>222</v>
      </c>
      <c r="T96" s="2412">
        <f>+T13</f>
        <v>0</v>
      </c>
      <c r="V96" s="2407"/>
      <c r="W96" s="2417" t="s">
        <v>222</v>
      </c>
      <c r="X96" s="2412">
        <f>+X13</f>
        <v>0</v>
      </c>
      <c r="AA96" s="2415" t="s">
        <v>222</v>
      </c>
      <c r="AB96" s="2412">
        <f>+AB13</f>
        <v>0</v>
      </c>
    </row>
    <row r="97" spans="1:28" s="2402" customFormat="1" ht="11.25" x14ac:dyDescent="0.2">
      <c r="A97" s="2233"/>
      <c r="B97" s="2395"/>
      <c r="C97" s="2411"/>
      <c r="D97" s="2418">
        <f>+D95+D96</f>
        <v>0</v>
      </c>
      <c r="E97" s="2419"/>
      <c r="F97" s="2410"/>
      <c r="G97" s="2415"/>
      <c r="H97" s="2418">
        <f>+H95+H96</f>
        <v>7934</v>
      </c>
      <c r="I97" s="2398"/>
      <c r="J97" s="608"/>
      <c r="K97" s="2415"/>
      <c r="L97" s="2418">
        <f>+L95+L96</f>
        <v>0</v>
      </c>
      <c r="M97" s="2363"/>
      <c r="O97" s="2415"/>
      <c r="P97" s="2418">
        <f>+P95+P96</f>
        <v>0</v>
      </c>
      <c r="Q97" s="2363"/>
      <c r="R97" s="608"/>
      <c r="S97" s="2416"/>
      <c r="T97" s="2418">
        <f>+T95+T96</f>
        <v>0</v>
      </c>
      <c r="V97" s="2407"/>
      <c r="W97" s="2417"/>
      <c r="X97" s="2418">
        <f>+X95+X96</f>
        <v>0</v>
      </c>
      <c r="AA97" s="2415"/>
      <c r="AB97" s="2418" t="e">
        <f>+AB95+AB96</f>
        <v>#VALUE!</v>
      </c>
    </row>
    <row r="98" spans="1:28" s="457" customFormat="1" ht="15" customHeight="1" x14ac:dyDescent="0.25">
      <c r="A98" s="2227"/>
      <c r="B98" s="2422"/>
      <c r="C98" s="2422"/>
      <c r="D98" s="459">
        <f>+D85-D97</f>
        <v>0</v>
      </c>
      <c r="E98" s="2386"/>
      <c r="F98" s="340"/>
      <c r="G98" s="2447"/>
      <c r="H98" s="459">
        <f>+H85-H97</f>
        <v>0</v>
      </c>
      <c r="I98" s="2339"/>
      <c r="J98" s="592"/>
      <c r="K98" s="2447"/>
      <c r="L98" s="459">
        <f>+L85-L97</f>
        <v>0</v>
      </c>
      <c r="M98" s="1656"/>
      <c r="O98" s="2447"/>
      <c r="P98" s="459">
        <f>+P85-P97</f>
        <v>0</v>
      </c>
      <c r="Q98" s="1656"/>
      <c r="R98" s="592"/>
      <c r="S98" s="2447"/>
      <c r="T98" s="459">
        <f>+T85-T97</f>
        <v>0</v>
      </c>
      <c r="V98" s="952"/>
      <c r="W98" s="2448"/>
      <c r="X98" s="459">
        <f>+X85-X97</f>
        <v>0</v>
      </c>
      <c r="AA98" s="2447"/>
      <c r="AB98" s="459" t="e">
        <f>+AB85-AB97</f>
        <v>#VALUE!</v>
      </c>
    </row>
    <row r="99" spans="1:28" s="457" customFormat="1" x14ac:dyDescent="0.25">
      <c r="A99" s="2227"/>
      <c r="B99" s="2422"/>
      <c r="C99" s="2422"/>
      <c r="D99" s="455"/>
      <c r="E99" s="2386"/>
      <c r="F99" s="340"/>
      <c r="G99" s="2338"/>
      <c r="H99" s="2424"/>
      <c r="I99" s="2339"/>
      <c r="J99" s="592"/>
      <c r="K99" s="1668"/>
      <c r="L99" s="2370"/>
      <c r="M99" s="1656"/>
      <c r="O99" s="1668"/>
      <c r="P99" s="340"/>
      <c r="Q99" s="1656"/>
      <c r="R99" s="592"/>
      <c r="S99" s="2341"/>
      <c r="V99" s="952"/>
      <c r="W99" s="2343"/>
      <c r="AA99" s="1668"/>
    </row>
    <row r="100" spans="1:28" s="457" customFormat="1" x14ac:dyDescent="0.25">
      <c r="A100" s="2227"/>
      <c r="B100" s="2394"/>
      <c r="C100" s="2230"/>
      <c r="D100" s="342"/>
      <c r="E100" s="2386"/>
      <c r="F100" s="340"/>
      <c r="G100" s="2338"/>
      <c r="H100" s="2424"/>
      <c r="I100" s="2339"/>
      <c r="J100" s="592"/>
      <c r="K100" s="1668"/>
      <c r="L100" s="2370"/>
      <c r="M100" s="1656"/>
      <c r="O100" s="1668"/>
      <c r="P100" s="340"/>
      <c r="Q100" s="1656"/>
      <c r="R100" s="592"/>
      <c r="S100" s="2341"/>
      <c r="V100" s="952"/>
      <c r="W100" s="2343"/>
      <c r="AA100" s="1668"/>
    </row>
    <row r="101" spans="1:28" s="457" customFormat="1" x14ac:dyDescent="0.25">
      <c r="A101" s="2215"/>
      <c r="B101" s="2394"/>
      <c r="C101" s="2230"/>
      <c r="D101" s="455"/>
      <c r="E101" s="1656"/>
      <c r="G101" s="2338"/>
      <c r="H101" s="2424"/>
      <c r="I101" s="2339"/>
      <c r="J101" s="592"/>
      <c r="K101" s="1668"/>
      <c r="L101" s="2370"/>
      <c r="M101" s="1656"/>
      <c r="O101" s="1668"/>
      <c r="P101" s="340"/>
      <c r="Q101" s="1656"/>
      <c r="R101" s="592"/>
      <c r="S101" s="2341"/>
      <c r="V101" s="952"/>
      <c r="W101" s="2343"/>
      <c r="AA101" s="1668"/>
    </row>
    <row r="102" spans="1:28" s="457" customFormat="1" x14ac:dyDescent="0.25">
      <c r="A102" s="2215"/>
      <c r="B102" s="2394"/>
      <c r="C102" s="2230"/>
      <c r="D102" s="455"/>
      <c r="E102" s="1656"/>
      <c r="G102" s="2338"/>
      <c r="H102" s="2424"/>
      <c r="I102" s="2339"/>
      <c r="J102" s="592"/>
      <c r="K102" s="1668"/>
      <c r="L102" s="2370"/>
      <c r="M102" s="1656"/>
      <c r="O102" s="1668"/>
      <c r="P102" s="340"/>
      <c r="Q102" s="1656"/>
      <c r="R102" s="592"/>
      <c r="S102" s="2341"/>
      <c r="V102" s="952"/>
      <c r="W102" s="2343"/>
      <c r="AA102" s="1668"/>
    </row>
    <row r="103" spans="1:28" s="457" customFormat="1" ht="15" customHeight="1" x14ac:dyDescent="0.25">
      <c r="A103" s="2215"/>
      <c r="B103" s="2394"/>
      <c r="C103" s="2230"/>
      <c r="D103" s="455"/>
      <c r="E103" s="1656"/>
      <c r="G103" s="2338"/>
      <c r="H103" s="2424"/>
      <c r="I103" s="2339"/>
      <c r="J103" s="592"/>
      <c r="K103" s="1668"/>
      <c r="L103" s="2370"/>
      <c r="M103" s="1656"/>
      <c r="O103" s="1668"/>
      <c r="P103" s="340"/>
      <c r="Q103" s="1656"/>
      <c r="R103" s="592"/>
      <c r="S103" s="2341"/>
      <c r="V103" s="952"/>
      <c r="W103" s="2343"/>
      <c r="AA103" s="1668"/>
    </row>
    <row r="104" spans="1:28" s="457" customFormat="1" x14ac:dyDescent="0.25">
      <c r="A104" s="2215"/>
      <c r="B104" s="2394"/>
      <c r="C104" s="2230"/>
      <c r="D104" s="455"/>
      <c r="E104" s="1656"/>
      <c r="G104" s="2338"/>
      <c r="H104" s="2424"/>
      <c r="I104" s="2339"/>
      <c r="J104" s="592"/>
      <c r="K104" s="1668"/>
      <c r="L104" s="2370"/>
      <c r="M104" s="1656"/>
      <c r="O104" s="1668"/>
      <c r="P104" s="340"/>
      <c r="Q104" s="1656"/>
      <c r="R104" s="592"/>
      <c r="S104" s="2341"/>
      <c r="V104" s="952"/>
      <c r="W104" s="2343"/>
      <c r="AA104" s="1668"/>
    </row>
    <row r="105" spans="1:28" s="457" customFormat="1" x14ac:dyDescent="0.25">
      <c r="A105" s="2215"/>
      <c r="B105" s="2394"/>
      <c r="C105" s="2230"/>
      <c r="D105" s="455"/>
      <c r="E105" s="1656"/>
      <c r="G105" s="2338"/>
      <c r="H105" s="2424"/>
      <c r="I105" s="2339"/>
      <c r="J105" s="592"/>
      <c r="K105" s="1668"/>
      <c r="L105" s="2370"/>
      <c r="M105" s="1656"/>
      <c r="O105" s="1668"/>
      <c r="P105" s="340"/>
      <c r="Q105" s="1656"/>
      <c r="R105" s="592"/>
      <c r="S105" s="2341"/>
      <c r="V105" s="952"/>
      <c r="W105" s="2343"/>
      <c r="AA105" s="1668"/>
    </row>
    <row r="106" spans="1:28" s="457" customFormat="1" ht="15" customHeight="1" x14ac:dyDescent="0.25">
      <c r="A106" s="2215"/>
      <c r="B106" s="2570"/>
      <c r="C106" s="2570"/>
      <c r="D106" s="455"/>
      <c r="E106" s="1656"/>
      <c r="G106" s="2338"/>
      <c r="H106" s="2424"/>
      <c r="I106" s="2339"/>
      <c r="J106" s="592"/>
      <c r="K106" s="1668"/>
      <c r="L106" s="2370"/>
      <c r="M106" s="1656"/>
      <c r="O106" s="1668"/>
      <c r="P106" s="340"/>
      <c r="Q106" s="1656"/>
      <c r="R106" s="592"/>
      <c r="S106" s="2341"/>
      <c r="V106" s="952"/>
      <c r="W106" s="2343"/>
      <c r="AA106" s="1668"/>
    </row>
    <row r="107" spans="1:28" s="457" customFormat="1" x14ac:dyDescent="0.25">
      <c r="A107" s="2215"/>
      <c r="B107" s="2570"/>
      <c r="C107" s="2570"/>
      <c r="D107" s="455"/>
      <c r="E107" s="1656"/>
      <c r="G107" s="2338"/>
      <c r="H107" s="2424"/>
      <c r="I107" s="2339"/>
      <c r="J107" s="592"/>
      <c r="K107" s="1668"/>
      <c r="L107" s="2370"/>
      <c r="M107" s="1656"/>
      <c r="O107" s="1668"/>
      <c r="P107" s="340"/>
      <c r="Q107" s="1656"/>
      <c r="R107" s="592"/>
      <c r="S107" s="2341"/>
      <c r="V107" s="952"/>
      <c r="W107" s="2343"/>
      <c r="AA107" s="1668"/>
    </row>
    <row r="108" spans="1:28" s="457" customFormat="1" x14ac:dyDescent="0.25">
      <c r="A108" s="2215"/>
      <c r="B108" s="2394"/>
      <c r="C108" s="2230"/>
      <c r="D108" s="460"/>
      <c r="E108" s="1656"/>
      <c r="G108" s="2338"/>
      <c r="H108" s="2424"/>
      <c r="I108" s="2339"/>
      <c r="J108" s="592"/>
      <c r="K108" s="1668"/>
      <c r="L108" s="2370"/>
      <c r="M108" s="1656"/>
      <c r="O108" s="1668"/>
      <c r="P108" s="340"/>
      <c r="Q108" s="1656"/>
      <c r="R108" s="592"/>
      <c r="S108" s="2341"/>
      <c r="V108" s="952"/>
      <c r="W108" s="2343"/>
      <c r="AA108" s="1668"/>
    </row>
    <row r="109" spans="1:28" s="457" customFormat="1" x14ac:dyDescent="0.25">
      <c r="A109" s="2215"/>
      <c r="B109" s="2394"/>
      <c r="C109" s="2230"/>
      <c r="D109" s="455"/>
      <c r="E109" s="1656"/>
      <c r="G109" s="2338"/>
      <c r="H109" s="2424"/>
      <c r="I109" s="2339"/>
      <c r="J109" s="592"/>
      <c r="K109" s="1668"/>
      <c r="L109" s="2370"/>
      <c r="M109" s="1656"/>
      <c r="O109" s="1668"/>
      <c r="P109" s="340"/>
      <c r="Q109" s="1656"/>
      <c r="R109" s="592"/>
      <c r="S109" s="2341"/>
      <c r="V109" s="952"/>
      <c r="W109" s="2343"/>
      <c r="AA109" s="1668"/>
    </row>
    <row r="110" spans="1:28" s="457" customFormat="1" x14ac:dyDescent="0.25">
      <c r="A110" s="2215"/>
      <c r="B110" s="2394"/>
      <c r="C110" s="2230"/>
      <c r="D110" s="455"/>
      <c r="E110" s="1656"/>
      <c r="G110" s="2338"/>
      <c r="H110" s="2424"/>
      <c r="I110" s="2339"/>
      <c r="J110" s="592"/>
      <c r="K110" s="1668"/>
      <c r="L110" s="2370"/>
      <c r="M110" s="1656"/>
      <c r="O110" s="1668"/>
      <c r="P110" s="340"/>
      <c r="Q110" s="1656"/>
      <c r="R110" s="592"/>
      <c r="S110" s="2341"/>
      <c r="V110" s="952"/>
      <c r="W110" s="2343"/>
      <c r="AA110" s="1668"/>
    </row>
    <row r="111" spans="1:28" s="457" customFormat="1" ht="28.5" customHeight="1" x14ac:dyDescent="0.25">
      <c r="A111" s="2215"/>
      <c r="B111" s="2394"/>
      <c r="C111" s="2230"/>
      <c r="D111" s="342"/>
      <c r="E111" s="1656"/>
      <c r="G111" s="2338"/>
      <c r="H111" s="2424"/>
      <c r="I111" s="2339"/>
      <c r="J111" s="592"/>
      <c r="K111" s="1668"/>
      <c r="L111" s="2370"/>
      <c r="M111" s="1656"/>
      <c r="O111" s="1668"/>
      <c r="P111" s="340"/>
      <c r="Q111" s="1656"/>
      <c r="R111" s="592"/>
      <c r="S111" s="2341"/>
      <c r="V111" s="952"/>
      <c r="W111" s="2343"/>
      <c r="AA111" s="1668"/>
    </row>
    <row r="112" spans="1:28" s="457" customFormat="1" x14ac:dyDescent="0.25">
      <c r="A112" s="2215"/>
      <c r="B112" s="2394"/>
      <c r="C112" s="2230"/>
      <c r="D112" s="455"/>
      <c r="E112" s="1656"/>
      <c r="G112" s="2338"/>
      <c r="H112" s="2424"/>
      <c r="I112" s="2339"/>
      <c r="J112" s="592"/>
      <c r="K112" s="1668"/>
      <c r="L112" s="2370"/>
      <c r="M112" s="1656"/>
      <c r="O112" s="1668"/>
      <c r="P112" s="340"/>
      <c r="Q112" s="1656"/>
      <c r="R112" s="592"/>
      <c r="S112" s="2341"/>
      <c r="V112" s="952"/>
      <c r="W112" s="2343"/>
      <c r="AA112" s="1668"/>
    </row>
    <row r="113" spans="1:27" s="457" customFormat="1" x14ac:dyDescent="0.25">
      <c r="A113" s="2215"/>
      <c r="B113" s="2394"/>
      <c r="C113" s="2230"/>
      <c r="D113" s="455"/>
      <c r="E113" s="1656"/>
      <c r="G113" s="2338"/>
      <c r="H113" s="2424"/>
      <c r="I113" s="2339"/>
      <c r="J113" s="592"/>
      <c r="K113" s="1668"/>
      <c r="L113" s="2370"/>
      <c r="M113" s="1656"/>
      <c r="O113" s="1668"/>
      <c r="P113" s="340"/>
      <c r="Q113" s="1656"/>
      <c r="R113" s="592"/>
      <c r="S113" s="2341"/>
      <c r="V113" s="952"/>
      <c r="W113" s="2343"/>
      <c r="AA113" s="1668"/>
    </row>
    <row r="114" spans="1:27" s="457" customFormat="1" x14ac:dyDescent="0.25">
      <c r="A114" s="2215"/>
      <c r="B114" s="2394"/>
      <c r="C114" s="2230"/>
      <c r="D114" s="455"/>
      <c r="E114" s="1656"/>
      <c r="G114" s="2338"/>
      <c r="H114" s="2424"/>
      <c r="I114" s="2339"/>
      <c r="J114" s="592"/>
      <c r="K114" s="1668"/>
      <c r="L114" s="2370"/>
      <c r="M114" s="1656"/>
      <c r="O114" s="1668"/>
      <c r="P114" s="340"/>
      <c r="Q114" s="1656"/>
      <c r="R114" s="592"/>
      <c r="S114" s="2341"/>
      <c r="V114" s="952"/>
      <c r="W114" s="2343"/>
      <c r="AA114" s="1668"/>
    </row>
    <row r="115" spans="1:27" s="457" customFormat="1" x14ac:dyDescent="0.25">
      <c r="A115" s="2215"/>
      <c r="B115" s="2394"/>
      <c r="C115" s="2230"/>
      <c r="D115" s="455"/>
      <c r="E115" s="1656"/>
      <c r="G115" s="2338"/>
      <c r="H115" s="2424"/>
      <c r="I115" s="2339"/>
      <c r="J115" s="592"/>
      <c r="K115" s="1668"/>
      <c r="L115" s="2370"/>
      <c r="M115" s="1656"/>
      <c r="O115" s="1668"/>
      <c r="P115" s="340"/>
      <c r="Q115" s="1656"/>
      <c r="R115" s="592"/>
      <c r="S115" s="2341"/>
      <c r="V115" s="952"/>
      <c r="W115" s="2343"/>
      <c r="AA115" s="1668"/>
    </row>
    <row r="116" spans="1:27" s="457" customFormat="1" x14ac:dyDescent="0.25">
      <c r="A116" s="2215"/>
      <c r="B116" s="2394"/>
      <c r="C116" s="2230"/>
      <c r="D116" s="455"/>
      <c r="E116" s="1656"/>
      <c r="G116" s="2338"/>
      <c r="H116" s="2424"/>
      <c r="I116" s="2339"/>
      <c r="J116" s="592"/>
      <c r="K116" s="1668"/>
      <c r="L116" s="2370"/>
      <c r="M116" s="1656"/>
      <c r="O116" s="1668"/>
      <c r="P116" s="340"/>
      <c r="Q116" s="1656"/>
      <c r="R116" s="592"/>
      <c r="S116" s="2341"/>
      <c r="V116" s="952"/>
      <c r="W116" s="2343"/>
      <c r="AA116" s="1668"/>
    </row>
    <row r="117" spans="1:27" s="457" customFormat="1" x14ac:dyDescent="0.25">
      <c r="A117" s="2215"/>
      <c r="B117" s="2394"/>
      <c r="C117" s="2230"/>
      <c r="D117" s="455"/>
      <c r="E117" s="1656"/>
      <c r="G117" s="2338"/>
      <c r="H117" s="2424"/>
      <c r="I117" s="2339"/>
      <c r="J117" s="592"/>
      <c r="K117" s="1668"/>
      <c r="L117" s="2370"/>
      <c r="M117" s="1656"/>
      <c r="O117" s="1668"/>
      <c r="P117" s="340"/>
      <c r="Q117" s="1656"/>
      <c r="R117" s="592"/>
      <c r="S117" s="2341"/>
      <c r="V117" s="952"/>
      <c r="W117" s="2343"/>
      <c r="AA117" s="1668"/>
    </row>
    <row r="118" spans="1:27" s="457" customFormat="1" x14ac:dyDescent="0.25">
      <c r="A118" s="2215"/>
      <c r="B118" s="2394"/>
      <c r="C118" s="2230"/>
      <c r="D118" s="455"/>
      <c r="E118" s="1656"/>
      <c r="G118" s="2338"/>
      <c r="H118" s="2424"/>
      <c r="I118" s="2339"/>
      <c r="J118" s="592"/>
      <c r="K118" s="1668"/>
      <c r="L118" s="2370"/>
      <c r="M118" s="1656"/>
      <c r="O118" s="1668"/>
      <c r="P118" s="340"/>
      <c r="Q118" s="1656"/>
      <c r="R118" s="592"/>
      <c r="S118" s="2341"/>
      <c r="V118" s="952"/>
      <c r="W118" s="2343"/>
      <c r="AA118" s="1668"/>
    </row>
    <row r="119" spans="1:27" s="457" customFormat="1" x14ac:dyDescent="0.25">
      <c r="A119" s="2215"/>
      <c r="B119" s="2394"/>
      <c r="C119" s="2230"/>
      <c r="D119" s="455"/>
      <c r="E119" s="1656"/>
      <c r="G119" s="2338"/>
      <c r="H119" s="2424"/>
      <c r="I119" s="2339"/>
      <c r="J119" s="592"/>
      <c r="K119" s="1668"/>
      <c r="L119" s="2370"/>
      <c r="M119" s="1656"/>
      <c r="O119" s="1668"/>
      <c r="P119" s="340"/>
      <c r="Q119" s="1656"/>
      <c r="R119" s="592"/>
      <c r="S119" s="2341"/>
      <c r="V119" s="952"/>
      <c r="W119" s="2343"/>
      <c r="AA119" s="1668"/>
    </row>
    <row r="120" spans="1:27" s="457" customFormat="1" x14ac:dyDescent="0.25">
      <c r="A120" s="2215"/>
      <c r="B120" s="2394"/>
      <c r="C120" s="2230"/>
      <c r="D120" s="455"/>
      <c r="E120" s="1656"/>
      <c r="G120" s="2338"/>
      <c r="H120" s="2424"/>
      <c r="I120" s="2339"/>
      <c r="J120" s="592"/>
      <c r="K120" s="1668"/>
      <c r="L120" s="2370"/>
      <c r="M120" s="1656"/>
      <c r="O120" s="1668"/>
      <c r="P120" s="340"/>
      <c r="Q120" s="1656"/>
      <c r="R120" s="592"/>
      <c r="S120" s="2341"/>
      <c r="V120" s="952"/>
      <c r="W120" s="2343"/>
      <c r="AA120" s="1668"/>
    </row>
    <row r="121" spans="1:27" s="457" customFormat="1" x14ac:dyDescent="0.25">
      <c r="A121" s="2215"/>
      <c r="B121" s="2394"/>
      <c r="C121" s="2230"/>
      <c r="D121" s="455"/>
      <c r="E121" s="1656"/>
      <c r="G121" s="2338"/>
      <c r="H121" s="2424"/>
      <c r="I121" s="2339"/>
      <c r="J121" s="592"/>
      <c r="K121" s="1668"/>
      <c r="L121" s="2370"/>
      <c r="M121" s="1656"/>
      <c r="O121" s="1668"/>
      <c r="P121" s="340"/>
      <c r="Q121" s="1656"/>
      <c r="R121" s="592"/>
      <c r="S121" s="2341"/>
      <c r="V121" s="952"/>
      <c r="W121" s="2343"/>
      <c r="AA121" s="1668"/>
    </row>
    <row r="122" spans="1:27" s="457" customFormat="1" x14ac:dyDescent="0.25">
      <c r="A122" s="2215"/>
      <c r="B122" s="2394"/>
      <c r="C122" s="2230"/>
      <c r="D122" s="455"/>
      <c r="E122" s="1656"/>
      <c r="G122" s="2338"/>
      <c r="H122" s="2424"/>
      <c r="I122" s="2339"/>
      <c r="J122" s="592"/>
      <c r="K122" s="1668"/>
      <c r="L122" s="2370"/>
      <c r="M122" s="1656"/>
      <c r="O122" s="1668"/>
      <c r="P122" s="340"/>
      <c r="Q122" s="1656"/>
      <c r="R122" s="592"/>
      <c r="S122" s="2341"/>
      <c r="V122" s="952"/>
      <c r="W122" s="2343"/>
      <c r="AA122" s="1668"/>
    </row>
    <row r="123" spans="1:27" s="457" customFormat="1" x14ac:dyDescent="0.25">
      <c r="A123" s="2215"/>
      <c r="B123" s="2394"/>
      <c r="C123" s="2230"/>
      <c r="D123" s="455"/>
      <c r="E123" s="1656"/>
      <c r="G123" s="2338"/>
      <c r="H123" s="2424"/>
      <c r="I123" s="2339"/>
      <c r="J123" s="592"/>
      <c r="K123" s="1668"/>
      <c r="L123" s="2370"/>
      <c r="M123" s="1656"/>
      <c r="O123" s="1668"/>
      <c r="P123" s="340"/>
      <c r="Q123" s="1656"/>
      <c r="R123" s="592"/>
      <c r="S123" s="2341"/>
      <c r="V123" s="952"/>
      <c r="W123" s="2343"/>
      <c r="AA123" s="1668"/>
    </row>
    <row r="124" spans="1:27" s="457" customFormat="1" x14ac:dyDescent="0.25">
      <c r="A124" s="2215"/>
      <c r="B124" s="2394"/>
      <c r="C124" s="2230"/>
      <c r="D124" s="455"/>
      <c r="E124" s="1656"/>
      <c r="G124" s="2338"/>
      <c r="H124" s="2424"/>
      <c r="I124" s="2339"/>
      <c r="J124" s="592"/>
      <c r="K124" s="1668"/>
      <c r="L124" s="2370"/>
      <c r="M124" s="1656"/>
      <c r="O124" s="1668"/>
      <c r="P124" s="340"/>
      <c r="Q124" s="1656"/>
      <c r="R124" s="592"/>
      <c r="S124" s="2341"/>
      <c r="V124" s="952"/>
      <c r="W124" s="2343"/>
      <c r="AA124" s="1668"/>
    </row>
    <row r="125" spans="1:27" s="457" customFormat="1" x14ac:dyDescent="0.25">
      <c r="A125" s="2215"/>
      <c r="B125" s="2394"/>
      <c r="C125" s="2230"/>
      <c r="D125" s="455"/>
      <c r="E125" s="1656"/>
      <c r="G125" s="2338"/>
      <c r="H125" s="2424"/>
      <c r="I125" s="2339"/>
      <c r="J125" s="592"/>
      <c r="K125" s="1668"/>
      <c r="L125" s="2370"/>
      <c r="M125" s="1656"/>
      <c r="O125" s="1668"/>
      <c r="P125" s="340"/>
      <c r="Q125" s="1656"/>
      <c r="R125" s="592"/>
      <c r="S125" s="2341"/>
      <c r="V125" s="952"/>
      <c r="W125" s="2343"/>
      <c r="AA125" s="1668"/>
    </row>
    <row r="126" spans="1:27" s="457" customFormat="1" x14ac:dyDescent="0.25">
      <c r="A126" s="2215"/>
      <c r="B126" s="2394"/>
      <c r="C126" s="2230"/>
      <c r="D126" s="455"/>
      <c r="E126" s="1656"/>
      <c r="G126" s="2338"/>
      <c r="H126" s="2424"/>
      <c r="I126" s="2339"/>
      <c r="J126" s="592"/>
      <c r="K126" s="1668"/>
      <c r="L126" s="2370"/>
      <c r="M126" s="1656"/>
      <c r="O126" s="1668"/>
      <c r="P126" s="340"/>
      <c r="Q126" s="1656"/>
      <c r="R126" s="592"/>
      <c r="S126" s="2341"/>
      <c r="V126" s="952"/>
      <c r="W126" s="2343"/>
      <c r="AA126" s="1668"/>
    </row>
    <row r="127" spans="1:27" s="457" customFormat="1" x14ac:dyDescent="0.25">
      <c r="A127" s="2215"/>
      <c r="B127" s="2345"/>
      <c r="C127" s="2215"/>
      <c r="D127" s="340"/>
      <c r="E127" s="1656"/>
      <c r="G127" s="2338"/>
      <c r="H127" s="2424"/>
      <c r="I127" s="2339"/>
      <c r="J127" s="592"/>
      <c r="K127" s="1668"/>
      <c r="L127" s="2370"/>
      <c r="M127" s="1656"/>
      <c r="O127" s="1668"/>
      <c r="P127" s="340"/>
      <c r="Q127" s="1656"/>
      <c r="R127" s="592"/>
      <c r="S127" s="2341"/>
      <c r="V127" s="952"/>
      <c r="W127" s="2343"/>
      <c r="AA127" s="1668"/>
    </row>
    <row r="128" spans="1:27" s="457" customFormat="1" x14ac:dyDescent="0.25">
      <c r="A128" s="2215"/>
      <c r="B128" s="2345"/>
      <c r="C128" s="2215"/>
      <c r="D128" s="340"/>
      <c r="E128" s="1656"/>
      <c r="G128" s="2338"/>
      <c r="H128" s="2424"/>
      <c r="I128" s="2339"/>
      <c r="J128" s="592"/>
      <c r="K128" s="1668"/>
      <c r="L128" s="2370"/>
      <c r="M128" s="1656"/>
      <c r="O128" s="1668"/>
      <c r="P128" s="340"/>
      <c r="Q128" s="1656"/>
      <c r="R128" s="592"/>
      <c r="S128" s="2341"/>
      <c r="V128" s="952"/>
      <c r="W128" s="2343"/>
      <c r="AA128" s="1668"/>
    </row>
    <row r="129" spans="1:27" s="457" customFormat="1" x14ac:dyDescent="0.25">
      <c r="A129" s="2215"/>
      <c r="B129" s="2345"/>
      <c r="C129" s="2215"/>
      <c r="D129" s="340"/>
      <c r="E129" s="1656"/>
      <c r="G129" s="2338"/>
      <c r="H129" s="2424"/>
      <c r="I129" s="2339"/>
      <c r="J129" s="592"/>
      <c r="K129" s="1668"/>
      <c r="L129" s="2370"/>
      <c r="M129" s="1656"/>
      <c r="O129" s="1668"/>
      <c r="P129" s="340"/>
      <c r="Q129" s="1656"/>
      <c r="R129" s="592"/>
      <c r="S129" s="2341"/>
      <c r="V129" s="952"/>
      <c r="W129" s="2343"/>
      <c r="AA129" s="1668"/>
    </row>
    <row r="130" spans="1:27" s="457" customFormat="1" x14ac:dyDescent="0.25">
      <c r="A130" s="2215"/>
      <c r="B130" s="2345"/>
      <c r="C130" s="2215"/>
      <c r="D130" s="340"/>
      <c r="E130" s="1656"/>
      <c r="G130" s="2338"/>
      <c r="H130" s="2424"/>
      <c r="I130" s="2339"/>
      <c r="J130" s="592"/>
      <c r="K130" s="1668"/>
      <c r="L130" s="2370"/>
      <c r="M130" s="1656"/>
      <c r="O130" s="1668"/>
      <c r="P130" s="340"/>
      <c r="Q130" s="1656"/>
      <c r="R130" s="592"/>
      <c r="S130" s="2341"/>
      <c r="V130" s="952"/>
      <c r="W130" s="2343"/>
      <c r="AA130" s="1668"/>
    </row>
    <row r="131" spans="1:27" s="457" customFormat="1" x14ac:dyDescent="0.25">
      <c r="A131" s="2215"/>
      <c r="B131" s="2345"/>
      <c r="C131" s="2215"/>
      <c r="D131" s="340"/>
      <c r="E131" s="1656"/>
      <c r="G131" s="2338"/>
      <c r="H131" s="2424"/>
      <c r="I131" s="2339"/>
      <c r="J131" s="592"/>
      <c r="K131" s="1668"/>
      <c r="L131" s="2370"/>
      <c r="M131" s="1656"/>
      <c r="O131" s="1668"/>
      <c r="P131" s="340"/>
      <c r="Q131" s="1656"/>
      <c r="R131" s="592"/>
      <c r="S131" s="2341"/>
      <c r="V131" s="952"/>
      <c r="W131" s="2343"/>
      <c r="AA131" s="1668"/>
    </row>
  </sheetData>
  <sheetProtection password="E247" sheet="1" objects="1" scenarios="1"/>
  <mergeCells count="1">
    <mergeCell ref="B106:C107"/>
  </mergeCells>
  <pageMargins left="0.25" right="0.25" top="0.5" bottom="0.5" header="0.25" footer="0.25"/>
  <pageSetup paperSize="5" orientation="portrait" r:id="rId1"/>
  <headerFooter>
    <oddHeader>&amp;L&amp;F</oddHeader>
    <oddFooter>&amp;R&amp;A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33FF"/>
  </sheetPr>
  <dimension ref="A1:AR94"/>
  <sheetViews>
    <sheetView showGridLines="0" zoomScaleNormal="100" zoomScaleSheetLayoutView="85" workbookViewId="0"/>
  </sheetViews>
  <sheetFormatPr defaultColWidth="0" defaultRowHeight="15.75" zeroHeight="1" x14ac:dyDescent="0.25"/>
  <cols>
    <col min="1" max="1" width="1.28515625" style="1213" customWidth="1"/>
    <col min="2" max="2" width="2.140625" style="1214" customWidth="1"/>
    <col min="3" max="3" width="2.140625" style="1213" customWidth="1"/>
    <col min="4" max="4" width="66.140625" style="1213" customWidth="1"/>
    <col min="5" max="5" width="1.42578125" style="187" hidden="1" customWidth="1"/>
    <col min="6" max="6" width="21.7109375" style="181" hidden="1" customWidth="1"/>
    <col min="7" max="7" width="21.7109375" style="187" customWidth="1"/>
    <col min="8" max="8" width="21.7109375" style="181" customWidth="1"/>
    <col min="9" max="9" width="21.7109375" style="187" customWidth="1"/>
    <col min="10" max="10" width="21.7109375" style="181" customWidth="1"/>
    <col min="11" max="12" width="21.7109375" style="187" hidden="1" customWidth="1"/>
    <col min="13" max="13" width="18.7109375" style="1735" hidden="1" customWidth="1"/>
    <col min="14" max="14" width="13" style="1698" hidden="1" customWidth="1"/>
    <col min="15" max="15" width="18.7109375" style="1735" hidden="1" customWidth="1"/>
    <col min="16" max="16" width="11.42578125" style="1603" hidden="1" customWidth="1"/>
    <col min="17" max="17" width="18.7109375" style="1733" hidden="1" customWidth="1"/>
    <col min="18" max="18" width="14.28515625" style="1703" hidden="1" customWidth="1"/>
    <col min="19" max="19" width="15" style="1163" hidden="1" customWidth="1"/>
    <col min="20" max="20" width="13.42578125" style="1163" hidden="1" customWidth="1"/>
    <col min="21" max="21" width="20.28515625" style="1607" hidden="1" customWidth="1"/>
    <col min="22" max="24" width="16.85546875" style="1607" hidden="1" customWidth="1"/>
    <col min="25" max="44" width="0" style="1163" hidden="1" customWidth="1"/>
    <col min="45" max="16384" width="9.140625" style="1163" hidden="1"/>
  </cols>
  <sheetData>
    <row r="1" spans="1:24" ht="8.1" customHeight="1" thickBot="1" x14ac:dyDescent="0.3"/>
    <row r="2" spans="1:24" s="1162" customFormat="1" ht="18" customHeight="1" thickTop="1" x14ac:dyDescent="0.25">
      <c r="A2" s="2545" t="s">
        <v>377</v>
      </c>
      <c r="B2" s="2546"/>
      <c r="C2" s="2546"/>
      <c r="D2" s="2546"/>
      <c r="E2" s="1352" t="str">
        <f>+UNRESTRICTED!E2</f>
        <v>2015-2016</v>
      </c>
      <c r="F2" s="1477" t="str">
        <f>+UNRESTRICTED!F2</f>
        <v>2016-2017</v>
      </c>
      <c r="G2" s="1477" t="str">
        <f>+UNRESTRICTED!G2</f>
        <v>2017-2018</v>
      </c>
      <c r="H2" s="1478" t="str">
        <f>+UNRESTRICTED!H2</f>
        <v>2018-2019</v>
      </c>
      <c r="I2" s="1479" t="str">
        <f>+UNRESTRICTED!I2</f>
        <v>2019-2020</v>
      </c>
      <c r="J2" s="1479" t="str">
        <f>+UNRESTRICTED!J2</f>
        <v>2020-2021</v>
      </c>
      <c r="K2" s="1480" t="str">
        <f>+UNRESTRICTED!K2</f>
        <v>2021-2022</v>
      </c>
      <c r="L2" s="1480" t="str">
        <f>+UNRESTRICTED!L2</f>
        <v>2022-2023</v>
      </c>
      <c r="M2" s="1734"/>
      <c r="N2" s="1706"/>
      <c r="O2" s="1734"/>
      <c r="P2" s="1705"/>
      <c r="Q2" s="1719"/>
      <c r="R2" s="1704"/>
      <c r="U2" s="1611"/>
      <c r="V2" s="1611"/>
      <c r="W2" s="1611"/>
      <c r="X2" s="1611"/>
    </row>
    <row r="3" spans="1:24" s="1162" customFormat="1" ht="36" customHeight="1" x14ac:dyDescent="0.25">
      <c r="A3" s="2547"/>
      <c r="B3" s="2548"/>
      <c r="C3" s="2548"/>
      <c r="D3" s="2548"/>
      <c r="E3" s="1365"/>
      <c r="F3" s="1571" t="str">
        <f>+UNRESTRICTED!F3</f>
        <v>Actuals</v>
      </c>
      <c r="G3" s="1571" t="str">
        <f>+UNRESTRICTED!G3</f>
        <v>Estimated Actuals</v>
      </c>
      <c r="H3" s="1688" t="str">
        <f>+UNRESTRICTED!H3</f>
        <v>PROPOSED BUDGET</v>
      </c>
      <c r="I3" s="1886" t="str">
        <f>+UNRESTRICTED!I3</f>
        <v>Projections</v>
      </c>
      <c r="J3" s="1886" t="str">
        <f>+UNRESTRICTED!J3</f>
        <v>Projections</v>
      </c>
      <c r="K3" s="1572" t="s">
        <v>859</v>
      </c>
      <c r="L3" s="1572" t="s">
        <v>859</v>
      </c>
      <c r="M3" s="1734"/>
      <c r="N3" s="1706"/>
      <c r="O3" s="1734"/>
      <c r="P3" s="1705"/>
      <c r="Q3" s="1719"/>
      <c r="R3" s="1704"/>
      <c r="U3" s="1611"/>
      <c r="V3" s="1611"/>
      <c r="W3" s="1611"/>
      <c r="X3" s="1611"/>
    </row>
    <row r="4" spans="1:24" x14ac:dyDescent="0.25">
      <c r="A4" s="1354"/>
      <c r="B4" s="1355"/>
      <c r="C4" s="1356"/>
      <c r="D4" s="1356"/>
      <c r="E4" s="190"/>
      <c r="F4" s="1481"/>
      <c r="G4" s="1997"/>
      <c r="H4" s="2028"/>
      <c r="I4" s="2014"/>
      <c r="J4" s="1512"/>
      <c r="K4" s="1357"/>
      <c r="L4" s="1357"/>
      <c r="Q4" s="1720"/>
      <c r="S4" s="1162"/>
    </row>
    <row r="5" spans="1:24" ht="18" x14ac:dyDescent="0.25">
      <c r="A5" s="1172"/>
      <c r="B5" s="1173" t="s">
        <v>344</v>
      </c>
      <c r="C5" s="1174"/>
      <c r="D5" s="1174"/>
      <c r="E5" s="665"/>
      <c r="F5" s="1482"/>
      <c r="G5" s="1998"/>
      <c r="H5" s="2029"/>
      <c r="I5" s="2015"/>
      <c r="J5" s="1513"/>
      <c r="K5" s="666"/>
      <c r="L5" s="666"/>
      <c r="M5" s="1736"/>
      <c r="N5" s="1709"/>
      <c r="O5" s="1736"/>
      <c r="P5" s="1708"/>
      <c r="Q5" s="1721"/>
      <c r="R5" s="1707"/>
      <c r="S5" s="1162"/>
    </row>
    <row r="6" spans="1:24" ht="19.5" x14ac:dyDescent="0.35">
      <c r="A6" s="1175"/>
      <c r="B6" s="1176"/>
      <c r="C6" s="739" t="s">
        <v>345</v>
      </c>
      <c r="D6" s="739"/>
      <c r="E6" s="618"/>
      <c r="F6" s="1483">
        <f>+'RS 6500'!D9</f>
        <v>1039279</v>
      </c>
      <c r="G6" s="1891">
        <f>+'RS 6500'!H9</f>
        <v>1065113</v>
      </c>
      <c r="H6" s="2030">
        <f>+'RS 6500'!L9</f>
        <v>1058618</v>
      </c>
      <c r="I6" s="1916">
        <f>+'RS 6500'!P9</f>
        <v>1085824</v>
      </c>
      <c r="J6" s="1514">
        <f>+'RS 6500'!T9</f>
        <v>1114816</v>
      </c>
      <c r="K6" s="663">
        <f t="shared" ref="K6:L6" si="0">+J6</f>
        <v>1114816</v>
      </c>
      <c r="L6" s="663">
        <f t="shared" si="0"/>
        <v>1114816</v>
      </c>
      <c r="M6" s="1722">
        <f t="shared" ref="M6:M14" si="1">+H6-G6</f>
        <v>-6495</v>
      </c>
      <c r="N6" s="1699">
        <f t="shared" ref="N6:N14" si="2">IFERROR(M6/G6,0)</f>
        <v>-6.0979445373401699E-3</v>
      </c>
      <c r="O6" s="1722">
        <f t="shared" ref="O6:O14" si="3">+I6-H6</f>
        <v>27206</v>
      </c>
      <c r="P6" s="1699">
        <f t="shared" ref="P6:P14" si="4">IFERROR(O6/H6,0)</f>
        <v>2.5699544122620245E-2</v>
      </c>
      <c r="Q6" s="1722">
        <f>+J6-I6</f>
        <v>28992</v>
      </c>
      <c r="R6" s="1699">
        <f>IFERROR(Q6/I6,0)</f>
        <v>2.6700459743015444E-2</v>
      </c>
      <c r="S6" s="1162"/>
      <c r="U6" s="1609" t="s">
        <v>911</v>
      </c>
    </row>
    <row r="7" spans="1:24" ht="18" hidden="1" x14ac:dyDescent="0.25">
      <c r="A7" s="1175"/>
      <c r="B7" s="1176"/>
      <c r="C7" s="739"/>
      <c r="D7" s="739"/>
      <c r="E7" s="618"/>
      <c r="F7" s="1483"/>
      <c r="G7" s="1891"/>
      <c r="H7" s="2030"/>
      <c r="I7" s="1916"/>
      <c r="J7" s="1514"/>
      <c r="K7" s="663"/>
      <c r="L7" s="663"/>
      <c r="M7" s="1722">
        <f t="shared" si="1"/>
        <v>0</v>
      </c>
      <c r="N7" s="1699">
        <f t="shared" si="2"/>
        <v>0</v>
      </c>
      <c r="O7" s="1722">
        <f t="shared" si="3"/>
        <v>0</v>
      </c>
      <c r="P7" s="1699">
        <f t="shared" si="4"/>
        <v>0</v>
      </c>
      <c r="Q7" s="1722">
        <f t="shared" ref="Q7:Q62" si="5">+J7-I7</f>
        <v>0</v>
      </c>
      <c r="R7" s="1699">
        <f t="shared" ref="R7:R62" si="6">IFERROR(Q7/I7,0)</f>
        <v>0</v>
      </c>
      <c r="S7" s="1162"/>
    </row>
    <row r="8" spans="1:24" ht="18" x14ac:dyDescent="0.25">
      <c r="A8" s="1177"/>
      <c r="B8" s="1178"/>
      <c r="C8" s="731" t="s">
        <v>346</v>
      </c>
      <c r="D8" s="731"/>
      <c r="E8" s="619"/>
      <c r="F8" s="1484">
        <f>+'RS 3010'!D10+'RS 4035'!D9+'RS 4201'!D9+'RS 4203'!D9+'RS 5640'!D9+'RS 3310'!D11+'RS 3311'!D9</f>
        <v>3400521.8600000003</v>
      </c>
      <c r="G8" s="1893">
        <f>+'RS 3010'!H10+'RS 4035'!H9+'RS 4201'!H9+'RS 4203'!H9+'RS 5640'!H9+'RS 3310'!H11+'RS 3311'!H9</f>
        <v>3825345.81</v>
      </c>
      <c r="H8" s="2031">
        <f>+'RS 3010'!L10+'RS 4035'!L9+'RS 4201'!L9+'RS 4203'!L9+'RS 5640'!L9+'RS 3310'!L11+'RS 3311'!L9</f>
        <v>3902172</v>
      </c>
      <c r="I8" s="1918">
        <f>+'RS 3010'!P10+'RS 4035'!P9+'RS 4201'!P9+'RS 4203'!P9+'RS 5640'!P9+'RS 3310'!P11+'RS 3311'!P9</f>
        <v>3957778</v>
      </c>
      <c r="J8" s="1515">
        <f>+'RS 3010'!T10+'RS 4035'!T9+'RS 4201'!T9+'RS 4203'!T9+'RS 5640'!T9+'RS 3310'!T11+'RS 3311'!T9</f>
        <v>3960620</v>
      </c>
      <c r="K8" s="647" t="e">
        <f>+J8*(1+#REF!)</f>
        <v>#REF!</v>
      </c>
      <c r="L8" s="647" t="e">
        <f>+K8*(1+#REF!)</f>
        <v>#REF!</v>
      </c>
      <c r="M8" s="1722">
        <f t="shared" si="1"/>
        <v>76826.189999999944</v>
      </c>
      <c r="N8" s="1699">
        <f t="shared" si="2"/>
        <v>2.0083462728824494E-2</v>
      </c>
      <c r="O8" s="1722">
        <f t="shared" si="3"/>
        <v>55606</v>
      </c>
      <c r="P8" s="1699">
        <f t="shared" si="4"/>
        <v>1.4250012557109221E-2</v>
      </c>
      <c r="Q8" s="1722">
        <f t="shared" si="5"/>
        <v>2842</v>
      </c>
      <c r="R8" s="1699">
        <f t="shared" si="6"/>
        <v>7.1807969016958505E-4</v>
      </c>
      <c r="S8" s="1162"/>
      <c r="U8" s="1607">
        <f>+G8+G9</f>
        <v>4576072</v>
      </c>
      <c r="V8" s="1607">
        <f t="shared" ref="V8:X8" si="7">+H8+H9</f>
        <v>4372775</v>
      </c>
      <c r="W8" s="1607">
        <f t="shared" si="7"/>
        <v>3957778</v>
      </c>
      <c r="X8" s="1607">
        <f t="shared" si="7"/>
        <v>3960620</v>
      </c>
    </row>
    <row r="9" spans="1:24" ht="18" x14ac:dyDescent="0.25">
      <c r="A9" s="1177"/>
      <c r="B9" s="1178"/>
      <c r="C9" s="731"/>
      <c r="D9" s="1179" t="s">
        <v>378</v>
      </c>
      <c r="E9" s="620"/>
      <c r="F9" s="1485">
        <f>+'RS 3010'!D11+'RS 4035'!D10+'RS 4201'!D10+'RS 4203'!D10+'RS 5640'!D10+'RS 3311'!D10</f>
        <v>1102146.6500000001</v>
      </c>
      <c r="G9" s="1892">
        <f>+'RS 3010'!H11+'RS 4035'!H10+'RS 4201'!H10+'RS 4203'!H10+'RS 5640'!H10+'RS 5640'!H10+'RS 3311'!H10</f>
        <v>750726.19</v>
      </c>
      <c r="H9" s="2032">
        <f>+'RS 3010'!L11+'RS 4035'!L10+'RS 4201'!L10+'RS 4203'!L10+'RS 5640'!L10+'RS 3311'!L10</f>
        <v>470603</v>
      </c>
      <c r="I9" s="1917">
        <f>+'RS 3010'!P11+'RS 4035'!P10+'RS 4201'!P10+'RS 4203'!P10+'RS 5640'!P10+'RS 3311'!P10</f>
        <v>0</v>
      </c>
      <c r="J9" s="1516">
        <f>+'RS 3010'!T11+'RS 4035'!T10+'RS 4201'!T10+'RS 4203'!T10+'RS 5640'!T10+'RS 3311'!T10</f>
        <v>0</v>
      </c>
      <c r="K9" s="648">
        <v>0</v>
      </c>
      <c r="L9" s="648">
        <v>0</v>
      </c>
      <c r="M9" s="1722">
        <f t="shared" si="1"/>
        <v>-280123.18999999994</v>
      </c>
      <c r="N9" s="1699">
        <f t="shared" si="2"/>
        <v>-0.37313629620407934</v>
      </c>
      <c r="O9" s="1722">
        <f t="shared" si="3"/>
        <v>-470603</v>
      </c>
      <c r="P9" s="1699">
        <f t="shared" si="4"/>
        <v>-1</v>
      </c>
      <c r="Q9" s="1722">
        <f t="shared" si="5"/>
        <v>0</v>
      </c>
      <c r="R9" s="1699">
        <f t="shared" si="6"/>
        <v>0</v>
      </c>
      <c r="S9" s="1162"/>
      <c r="V9" s="1607">
        <f>+V8-U8</f>
        <v>-203297</v>
      </c>
      <c r="W9" s="1607">
        <f t="shared" ref="W9:X9" si="8">+W8-V8</f>
        <v>-414997</v>
      </c>
      <c r="X9" s="1607">
        <f t="shared" si="8"/>
        <v>2842</v>
      </c>
    </row>
    <row r="10" spans="1:24" ht="18" x14ac:dyDescent="0.25">
      <c r="A10" s="1177"/>
      <c r="B10" s="1178"/>
      <c r="C10" s="731" t="s">
        <v>347</v>
      </c>
      <c r="D10" s="731"/>
      <c r="E10" s="619"/>
      <c r="F10" s="1484">
        <f>+'RS 6010'!D9+'RS 6264'!D9+'RS 6300'!D9+'RS 6512'!D9</f>
        <v>629379.90999999992</v>
      </c>
      <c r="G10" s="1893">
        <f>+'RS 6010'!H9+'RS 6264'!H9+'RS 6300'!H9+'RS 6512'!H9</f>
        <v>664831.6</v>
      </c>
      <c r="H10" s="2031">
        <f>+'RS 6010'!L9+'RS 6264'!L9+'RS 6300'!L9+'RS 6512'!L9</f>
        <v>617285</v>
      </c>
      <c r="I10" s="1918">
        <f>+'RS 6010'!P9+'RS 6264'!P9+'RS 6300'!P9+'RS 6512'!P9</f>
        <v>626805</v>
      </c>
      <c r="J10" s="1515">
        <f>+'RS 6010'!T9+'RS 6264'!T9+'RS 6300'!T9+'RS 6512'!T9</f>
        <v>637461</v>
      </c>
      <c r="K10" s="647" t="e">
        <f>+J10*(1+#REF!)</f>
        <v>#REF!</v>
      </c>
      <c r="L10" s="647" t="e">
        <f>+K10*(1+#REF!)</f>
        <v>#REF!</v>
      </c>
      <c r="M10" s="1722">
        <f t="shared" si="1"/>
        <v>-47546.599999999977</v>
      </c>
      <c r="N10" s="1699">
        <f t="shared" si="2"/>
        <v>-7.1516757025388053E-2</v>
      </c>
      <c r="O10" s="1722">
        <f t="shared" si="3"/>
        <v>9520</v>
      </c>
      <c r="P10" s="1699">
        <f t="shared" si="4"/>
        <v>1.5422373781964571E-2</v>
      </c>
      <c r="Q10" s="1722">
        <f t="shared" si="5"/>
        <v>10656</v>
      </c>
      <c r="R10" s="1699">
        <f t="shared" si="6"/>
        <v>1.700050254863953E-2</v>
      </c>
      <c r="S10" s="1162"/>
      <c r="V10" s="2273">
        <f>+V9/U8</f>
        <v>-4.4426092946090012E-2</v>
      </c>
      <c r="W10" s="2273">
        <f t="shared" ref="W10:X10" si="9">+W9/V8</f>
        <v>-9.4904722973397901E-2</v>
      </c>
      <c r="X10" s="2273">
        <f t="shared" si="9"/>
        <v>7.1807969016958505E-4</v>
      </c>
    </row>
    <row r="11" spans="1:24" ht="19.5" x14ac:dyDescent="0.35">
      <c r="A11" s="1177"/>
      <c r="B11" s="1178"/>
      <c r="C11" s="731"/>
      <c r="D11" s="1179" t="s">
        <v>379</v>
      </c>
      <c r="E11" s="620"/>
      <c r="F11" s="1485">
        <f>+'RS 6230'!D11</f>
        <v>466860</v>
      </c>
      <c r="G11" s="1892">
        <f>+'RS 6230'!H11</f>
        <v>441384</v>
      </c>
      <c r="H11" s="2032">
        <v>0</v>
      </c>
      <c r="I11" s="1917">
        <v>0</v>
      </c>
      <c r="J11" s="1516">
        <v>0</v>
      </c>
      <c r="K11" s="648">
        <v>0</v>
      </c>
      <c r="L11" s="648">
        <v>0</v>
      </c>
      <c r="M11" s="1722">
        <f t="shared" si="1"/>
        <v>-441384</v>
      </c>
      <c r="N11" s="1699">
        <f t="shared" si="2"/>
        <v>-1</v>
      </c>
      <c r="O11" s="1722">
        <f t="shared" si="3"/>
        <v>0</v>
      </c>
      <c r="P11" s="1699">
        <f t="shared" si="4"/>
        <v>0</v>
      </c>
      <c r="Q11" s="1722">
        <f t="shared" si="5"/>
        <v>0</v>
      </c>
      <c r="R11" s="1699">
        <f t="shared" si="6"/>
        <v>0</v>
      </c>
      <c r="S11" s="1162"/>
      <c r="U11" s="1609" t="s">
        <v>912</v>
      </c>
    </row>
    <row r="12" spans="1:24" ht="18" x14ac:dyDescent="0.25">
      <c r="A12" s="1180"/>
      <c r="B12" s="1181"/>
      <c r="C12" s="1182" t="s">
        <v>349</v>
      </c>
      <c r="D12" s="1182"/>
      <c r="E12" s="625"/>
      <c r="F12" s="1486">
        <f>+'RS 6500'!D10+'RS 6500'!D11+'RS 9076'!D11</f>
        <v>3437837.6199999996</v>
      </c>
      <c r="G12" s="1897">
        <f>+'RS 6500'!H10+'RS 6500'!H11+'RS 9076'!H11+'RS 9221'!H11+'RS 9222'!H11</f>
        <v>3391981</v>
      </c>
      <c r="H12" s="2033">
        <f>+'RS 6500'!L10+'RS 6500'!L11+'RS 9076'!L11+'RS 9221'!L11+'RS 9222'!L11</f>
        <v>3786271</v>
      </c>
      <c r="I12" s="1922">
        <f>+'RS 6500'!P10+'RS 6500'!P11+'RS 9076'!P11+'RS 9221'!P11+'RS 9222'!P11</f>
        <v>3883370</v>
      </c>
      <c r="J12" s="1517">
        <f>+'RS 6500'!T10+'RS 6500'!T11+'RS 9076'!T11+'RS 9221'!T11+'RS 9222'!T11</f>
        <v>3986840</v>
      </c>
      <c r="K12" s="649">
        <f t="shared" ref="K12:L12" si="10">+J12</f>
        <v>3986840</v>
      </c>
      <c r="L12" s="649">
        <f t="shared" si="10"/>
        <v>3986840</v>
      </c>
      <c r="M12" s="1722">
        <f t="shared" si="1"/>
        <v>394290</v>
      </c>
      <c r="N12" s="1699">
        <f t="shared" si="2"/>
        <v>0.11624180677898845</v>
      </c>
      <c r="O12" s="1722">
        <f t="shared" si="3"/>
        <v>97099</v>
      </c>
      <c r="P12" s="1699">
        <f t="shared" si="4"/>
        <v>2.5645021183111297E-2</v>
      </c>
      <c r="Q12" s="1722">
        <f t="shared" si="5"/>
        <v>103470</v>
      </c>
      <c r="R12" s="1699">
        <f t="shared" si="6"/>
        <v>2.6644383615262002E-2</v>
      </c>
      <c r="S12" s="1162"/>
      <c r="U12" s="1610">
        <f>+G10+G11</f>
        <v>1106215.6000000001</v>
      </c>
      <c r="V12" s="1610">
        <f>+H10+H11</f>
        <v>617285</v>
      </c>
      <c r="W12" s="1610">
        <f>+I10+I11</f>
        <v>626805</v>
      </c>
      <c r="X12" s="1610">
        <f>+J10+J11</f>
        <v>637461</v>
      </c>
    </row>
    <row r="13" spans="1:24" ht="18" hidden="1" x14ac:dyDescent="0.25">
      <c r="A13" s="1185"/>
      <c r="B13" s="1193"/>
      <c r="C13" s="1194"/>
      <c r="D13" s="1194"/>
      <c r="E13" s="182"/>
      <c r="F13" s="1487"/>
      <c r="G13" s="1999"/>
      <c r="H13" s="2034"/>
      <c r="I13" s="2016"/>
      <c r="J13" s="1518"/>
      <c r="K13" s="700"/>
      <c r="L13" s="700"/>
      <c r="M13" s="1722">
        <f t="shared" si="1"/>
        <v>0</v>
      </c>
      <c r="N13" s="1699">
        <f t="shared" si="2"/>
        <v>0</v>
      </c>
      <c r="O13" s="1722">
        <f t="shared" si="3"/>
        <v>0</v>
      </c>
      <c r="P13" s="1699">
        <f t="shared" si="4"/>
        <v>0</v>
      </c>
      <c r="Q13" s="1722">
        <f t="shared" si="5"/>
        <v>0</v>
      </c>
      <c r="R13" s="1699">
        <f t="shared" si="6"/>
        <v>0</v>
      </c>
      <c r="S13" s="1162"/>
    </row>
    <row r="14" spans="1:24" ht="18.75" thickBot="1" x14ac:dyDescent="0.3">
      <c r="A14" s="1183"/>
      <c r="B14" s="1184" t="s">
        <v>350</v>
      </c>
      <c r="C14" s="1184"/>
      <c r="D14" s="1184"/>
      <c r="E14" s="640"/>
      <c r="F14" s="1488">
        <f t="shared" ref="F14:L14" si="11">SUM(F6:F12)</f>
        <v>10076025.040000001</v>
      </c>
      <c r="G14" s="2000">
        <f t="shared" si="11"/>
        <v>10139381.6</v>
      </c>
      <c r="H14" s="2035">
        <f t="shared" si="11"/>
        <v>9834949</v>
      </c>
      <c r="I14" s="2017">
        <f t="shared" ref="I14" si="12">SUM(I6:I12)</f>
        <v>9553777</v>
      </c>
      <c r="J14" s="1519">
        <f t="shared" ref="J14" si="13">SUM(J6:J12)</f>
        <v>9699737</v>
      </c>
      <c r="K14" s="650" t="e">
        <f t="shared" si="11"/>
        <v>#REF!</v>
      </c>
      <c r="L14" s="650" t="e">
        <f t="shared" si="11"/>
        <v>#REF!</v>
      </c>
      <c r="M14" s="1722">
        <f t="shared" si="1"/>
        <v>-304432.59999999963</v>
      </c>
      <c r="N14" s="1699">
        <f t="shared" si="2"/>
        <v>-3.0024769952439669E-2</v>
      </c>
      <c r="O14" s="1722">
        <f t="shared" si="3"/>
        <v>-281172</v>
      </c>
      <c r="P14" s="1699">
        <f t="shared" si="4"/>
        <v>-2.8589065383053842E-2</v>
      </c>
      <c r="Q14" s="1722">
        <f t="shared" si="5"/>
        <v>145960</v>
      </c>
      <c r="R14" s="1699">
        <f t="shared" si="6"/>
        <v>1.5277727332341963E-2</v>
      </c>
      <c r="S14" s="1162"/>
      <c r="V14" s="1607">
        <f>+V12-U12</f>
        <v>-488930.60000000009</v>
      </c>
      <c r="W14" s="1607">
        <f t="shared" ref="W14:X14" si="14">+W12-V12</f>
        <v>9520</v>
      </c>
      <c r="X14" s="1607">
        <f t="shared" si="14"/>
        <v>10656</v>
      </c>
    </row>
    <row r="15" spans="1:24" ht="18.75" thickTop="1" x14ac:dyDescent="0.25">
      <c r="A15" s="1185"/>
      <c r="B15" s="1186"/>
      <c r="C15" s="1187"/>
      <c r="D15" s="1187"/>
      <c r="E15" s="183"/>
      <c r="F15" s="1489"/>
      <c r="G15" s="2001"/>
      <c r="H15" s="2036"/>
      <c r="I15" s="1921"/>
      <c r="J15" s="1520"/>
      <c r="K15" s="651"/>
      <c r="L15" s="651"/>
      <c r="M15" s="1722"/>
      <c r="N15" s="1699"/>
      <c r="O15" s="1722"/>
      <c r="P15" s="1699"/>
      <c r="Q15" s="1722">
        <f t="shared" si="5"/>
        <v>0</v>
      </c>
      <c r="R15" s="1699">
        <f t="shared" si="6"/>
        <v>0</v>
      </c>
      <c r="S15" s="1162"/>
      <c r="T15" s="1140"/>
      <c r="V15" s="2273">
        <f>+V14/U12</f>
        <v>-0.44198490782447841</v>
      </c>
      <c r="W15" s="2273">
        <f t="shared" ref="W15:X15" si="15">+W14/V12</f>
        <v>1.5422373781964571E-2</v>
      </c>
      <c r="X15" s="2273">
        <f t="shared" si="15"/>
        <v>1.700050254863953E-2</v>
      </c>
    </row>
    <row r="16" spans="1:24" ht="18" x14ac:dyDescent="0.25">
      <c r="A16" s="1185"/>
      <c r="B16" s="1186" t="s">
        <v>702</v>
      </c>
      <c r="C16" s="1187"/>
      <c r="D16" s="1187"/>
      <c r="E16" s="183"/>
      <c r="F16" s="1490"/>
      <c r="G16" s="2002"/>
      <c r="H16" s="2037"/>
      <c r="I16" s="2018"/>
      <c r="J16" s="1521"/>
      <c r="K16" s="652"/>
      <c r="L16" s="652"/>
      <c r="M16" s="1722"/>
      <c r="N16" s="1699"/>
      <c r="O16" s="1722"/>
      <c r="P16" s="1699"/>
      <c r="Q16" s="1722">
        <f t="shared" si="5"/>
        <v>0</v>
      </c>
      <c r="R16" s="1699">
        <f t="shared" si="6"/>
        <v>0</v>
      </c>
      <c r="S16" s="1162"/>
    </row>
    <row r="17" spans="1:25" s="1164" customFormat="1" ht="18" x14ac:dyDescent="0.25">
      <c r="A17" s="1177"/>
      <c r="B17" s="1178"/>
      <c r="C17" s="731" t="s">
        <v>361</v>
      </c>
      <c r="D17" s="731"/>
      <c r="E17" s="626"/>
      <c r="F17" s="1491">
        <v>0</v>
      </c>
      <c r="G17" s="2003">
        <f>+'RS 9225'!H10</f>
        <v>2671070</v>
      </c>
      <c r="H17" s="2038">
        <v>0</v>
      </c>
      <c r="I17" s="2019">
        <v>0</v>
      </c>
      <c r="J17" s="1522">
        <v>0</v>
      </c>
      <c r="K17" s="646">
        <v>0</v>
      </c>
      <c r="L17" s="646">
        <v>0</v>
      </c>
      <c r="M17" s="1722">
        <f>+H17-G17</f>
        <v>-2671070</v>
      </c>
      <c r="N17" s="1699">
        <f>IFERROR(M17/G17,0)</f>
        <v>-1</v>
      </c>
      <c r="O17" s="1722">
        <f>+I17-H17</f>
        <v>0</v>
      </c>
      <c r="P17" s="1699">
        <f>IFERROR(O17/H17,0)</f>
        <v>0</v>
      </c>
      <c r="Q17" s="1722">
        <f t="shared" si="5"/>
        <v>0</v>
      </c>
      <c r="R17" s="1699">
        <f t="shared" si="6"/>
        <v>0</v>
      </c>
      <c r="S17" s="1162"/>
      <c r="U17" s="1611"/>
      <c r="V17" s="1611"/>
      <c r="W17" s="1611"/>
      <c r="X17" s="1611"/>
    </row>
    <row r="18" spans="1:25" ht="18" x14ac:dyDescent="0.25">
      <c r="A18" s="1180"/>
      <c r="B18" s="1181"/>
      <c r="C18" s="1182" t="s">
        <v>270</v>
      </c>
      <c r="D18" s="1182"/>
      <c r="E18" s="625"/>
      <c r="F18" s="1486">
        <f>+'RS 7810'!D9</f>
        <v>843860.64</v>
      </c>
      <c r="G18" s="1897">
        <v>0</v>
      </c>
      <c r="H18" s="2033">
        <v>0</v>
      </c>
      <c r="I18" s="1922">
        <v>0</v>
      </c>
      <c r="J18" s="1517">
        <v>0</v>
      </c>
      <c r="K18" s="649">
        <v>0</v>
      </c>
      <c r="L18" s="649">
        <v>0</v>
      </c>
      <c r="M18" s="1722">
        <f>+H18-G18</f>
        <v>0</v>
      </c>
      <c r="N18" s="1699">
        <f>IFERROR(M18/G18,0)</f>
        <v>0</v>
      </c>
      <c r="O18" s="1722">
        <f>+I18-H18</f>
        <v>0</v>
      </c>
      <c r="P18" s="1699">
        <f>IFERROR(O18/H18,0)</f>
        <v>0</v>
      </c>
      <c r="Q18" s="1722">
        <f t="shared" si="5"/>
        <v>0</v>
      </c>
      <c r="R18" s="1699">
        <f t="shared" si="6"/>
        <v>0</v>
      </c>
    </row>
    <row r="19" spans="1:25" ht="18" x14ac:dyDescent="0.25">
      <c r="A19" s="1177"/>
      <c r="B19" s="1178"/>
      <c r="C19" s="731" t="s">
        <v>687</v>
      </c>
      <c r="D19" s="731"/>
      <c r="E19" s="619"/>
      <c r="F19" s="1484"/>
      <c r="G19" s="1893"/>
      <c r="H19" s="2031"/>
      <c r="I19" s="1918"/>
      <c r="J19" s="1515"/>
      <c r="K19" s="647"/>
      <c r="L19" s="647"/>
      <c r="M19" s="1722"/>
      <c r="N19" s="1699"/>
      <c r="O19" s="1722"/>
      <c r="P19" s="1699"/>
      <c r="Q19" s="1722">
        <f t="shared" si="5"/>
        <v>0</v>
      </c>
      <c r="R19" s="1699">
        <f t="shared" si="6"/>
        <v>0</v>
      </c>
    </row>
    <row r="20" spans="1:25" ht="18" x14ac:dyDescent="0.25">
      <c r="A20" s="1177"/>
      <c r="B20" s="1178"/>
      <c r="C20" s="731"/>
      <c r="D20" s="731" t="s">
        <v>391</v>
      </c>
      <c r="E20" s="619"/>
      <c r="F20" s="1484">
        <f>+'RS 6500'!D12</f>
        <v>11011522.92</v>
      </c>
      <c r="G20" s="1893">
        <f>+'RS 6500'!H12</f>
        <v>12810175</v>
      </c>
      <c r="H20" s="2031">
        <f>+'RS 6500'!L12</f>
        <v>13924421</v>
      </c>
      <c r="I20" s="1918">
        <f>+'RS 6500'!P12</f>
        <v>14065041</v>
      </c>
      <c r="J20" s="1515">
        <f>+'RS 6500'!T12</f>
        <v>14236765</v>
      </c>
      <c r="K20" s="647"/>
      <c r="L20" s="647"/>
      <c r="M20" s="1722">
        <f>+H20-G20</f>
        <v>1114246</v>
      </c>
      <c r="N20" s="1699">
        <f>IFERROR(M20/G20,0)</f>
        <v>8.6981325391729619E-2</v>
      </c>
      <c r="O20" s="1722">
        <f>+I20-H20</f>
        <v>140620</v>
      </c>
      <c r="P20" s="1699">
        <f>IFERROR(O20/H20,0)</f>
        <v>1.0098804108264178E-2</v>
      </c>
      <c r="Q20" s="1722">
        <f t="shared" si="5"/>
        <v>171724</v>
      </c>
      <c r="R20" s="1699">
        <f t="shared" si="6"/>
        <v>1.2209278309249151E-2</v>
      </c>
    </row>
    <row r="21" spans="1:25" ht="18" x14ac:dyDescent="0.25">
      <c r="A21" s="1177"/>
      <c r="B21" s="1178"/>
      <c r="C21" s="731"/>
      <c r="D21" s="731" t="s">
        <v>392</v>
      </c>
      <c r="E21" s="619"/>
      <c r="F21" s="1484">
        <f>+'RS 8150'!D11</f>
        <v>2400861</v>
      </c>
      <c r="G21" s="1893">
        <f>+'RS 8150'!H11</f>
        <v>2608798</v>
      </c>
      <c r="H21" s="2031">
        <f>+'RS 8150'!L11</f>
        <v>2679245</v>
      </c>
      <c r="I21" s="1918">
        <f>+'RS 8150'!P11</f>
        <v>2995687.1799999997</v>
      </c>
      <c r="J21" s="1515">
        <f>+'RS 8150'!T11</f>
        <v>3048208.4299999997</v>
      </c>
      <c r="K21" s="647"/>
      <c r="L21" s="647"/>
      <c r="M21" s="1722">
        <f>+H21-G21</f>
        <v>70447</v>
      </c>
      <c r="N21" s="1699">
        <f>IFERROR(M21/G21,0)</f>
        <v>2.7003623891156004E-2</v>
      </c>
      <c r="O21" s="1722">
        <f>+I21-H21</f>
        <v>316442.1799999997</v>
      </c>
      <c r="P21" s="1699">
        <f>IFERROR(O21/H21,0)</f>
        <v>0.11810871346218793</v>
      </c>
      <c r="Q21" s="1722">
        <f t="shared" si="5"/>
        <v>52521.25</v>
      </c>
      <c r="R21" s="1699">
        <f t="shared" si="6"/>
        <v>1.7532287867253218E-2</v>
      </c>
    </row>
    <row r="22" spans="1:25" ht="18" x14ac:dyDescent="0.25">
      <c r="A22" s="1188"/>
      <c r="B22" s="1189"/>
      <c r="C22" s="1190"/>
      <c r="D22" s="1190" t="s">
        <v>393</v>
      </c>
      <c r="E22" s="623"/>
      <c r="F22" s="1492">
        <f>+'RS 9225'!D11</f>
        <v>1961318</v>
      </c>
      <c r="G22" s="2004">
        <f>+'RS 9225'!H9</f>
        <v>300000</v>
      </c>
      <c r="H22" s="2039">
        <f>+'RS 9225'!L11</f>
        <v>0</v>
      </c>
      <c r="I22" s="2020">
        <f>+'RS 9225'!P11</f>
        <v>0</v>
      </c>
      <c r="J22" s="1523">
        <f>+'RS 9225'!T11</f>
        <v>0</v>
      </c>
      <c r="K22" s="653"/>
      <c r="L22" s="653"/>
      <c r="M22" s="1722">
        <f>+H22-G22</f>
        <v>-300000</v>
      </c>
      <c r="N22" s="1699">
        <f>IFERROR(M22/G22,0)</f>
        <v>-1</v>
      </c>
      <c r="O22" s="1722">
        <f>+I22-H22</f>
        <v>0</v>
      </c>
      <c r="P22" s="1699">
        <f>IFERROR(O22/H22,0)</f>
        <v>0</v>
      </c>
      <c r="Q22" s="1722">
        <f t="shared" si="5"/>
        <v>0</v>
      </c>
      <c r="R22" s="1699">
        <f t="shared" si="6"/>
        <v>0</v>
      </c>
    </row>
    <row r="23" spans="1:25" s="1164" customFormat="1" ht="18.75" thickBot="1" x14ac:dyDescent="0.3">
      <c r="A23" s="1191"/>
      <c r="B23" s="1184" t="s">
        <v>703</v>
      </c>
      <c r="C23" s="1192"/>
      <c r="D23" s="1192"/>
      <c r="E23" s="624"/>
      <c r="F23" s="1493">
        <f>SUM(F17:F22)</f>
        <v>16217562.560000001</v>
      </c>
      <c r="G23" s="1894">
        <f>SUM(G17:G22)</f>
        <v>18390043</v>
      </c>
      <c r="H23" s="2040">
        <f>SUM(H17:H22)</f>
        <v>16603666</v>
      </c>
      <c r="I23" s="1920">
        <f>SUM(I17:I22)</f>
        <v>17060728.18</v>
      </c>
      <c r="J23" s="1524">
        <f>SUM(J17:J22)</f>
        <v>17284973.43</v>
      </c>
      <c r="K23" s="654"/>
      <c r="L23" s="654"/>
      <c r="M23" s="1722">
        <f>+H23-G23</f>
        <v>-1786377</v>
      </c>
      <c r="N23" s="1699">
        <f>IFERROR(M23/G23,0)</f>
        <v>-9.7138272052979979E-2</v>
      </c>
      <c r="O23" s="1722">
        <f>+I23-H23</f>
        <v>457062.1799999997</v>
      </c>
      <c r="P23" s="1699">
        <f>IFERROR(O23/H23,0)</f>
        <v>2.7527786935728514E-2</v>
      </c>
      <c r="Q23" s="1722">
        <f t="shared" si="5"/>
        <v>224245.25</v>
      </c>
      <c r="R23" s="1699">
        <f t="shared" si="6"/>
        <v>1.3143943660205482E-2</v>
      </c>
      <c r="U23" s="1611"/>
      <c r="V23" s="1611"/>
      <c r="W23" s="1611"/>
      <c r="X23" s="1611"/>
    </row>
    <row r="24" spans="1:25" s="1164" customFormat="1" ht="18.75" thickTop="1" x14ac:dyDescent="0.25">
      <c r="A24" s="1185"/>
      <c r="B24" s="1193"/>
      <c r="C24" s="1194"/>
      <c r="D24" s="1194"/>
      <c r="E24" s="196"/>
      <c r="F24" s="1494"/>
      <c r="G24" s="2005"/>
      <c r="H24" s="2041"/>
      <c r="I24" s="2021"/>
      <c r="J24" s="1525"/>
      <c r="K24" s="655"/>
      <c r="L24" s="655"/>
      <c r="M24" s="1722"/>
      <c r="N24" s="1699"/>
      <c r="O24" s="1722"/>
      <c r="P24" s="1699"/>
      <c r="Q24" s="1722">
        <f t="shared" si="5"/>
        <v>0</v>
      </c>
      <c r="R24" s="1699">
        <f t="shared" si="6"/>
        <v>0</v>
      </c>
      <c r="U24" s="1611"/>
      <c r="V24" s="1611"/>
      <c r="W24" s="1611"/>
      <c r="X24" s="1611"/>
    </row>
    <row r="25" spans="1:25" s="1139" customFormat="1" ht="25.5" customHeight="1" x14ac:dyDescent="0.25">
      <c r="A25" s="1565"/>
      <c r="B25" s="1540" t="s">
        <v>704</v>
      </c>
      <c r="C25" s="1540"/>
      <c r="D25" s="1540"/>
      <c r="E25" s="1566"/>
      <c r="F25" s="1495">
        <f>SUM(F14,F23)</f>
        <v>26293587.600000001</v>
      </c>
      <c r="G25" s="1495">
        <f t="shared" ref="G25:H25" si="16">SUM(G14,G23)</f>
        <v>28529424.600000001</v>
      </c>
      <c r="H25" s="1567">
        <f t="shared" si="16"/>
        <v>26438615</v>
      </c>
      <c r="I25" s="1526">
        <f t="shared" ref="I25" si="17">SUM(I14,I23)</f>
        <v>26614505.18</v>
      </c>
      <c r="J25" s="1568">
        <f t="shared" ref="J25" si="18">SUM(J14,J23)</f>
        <v>26984710.43</v>
      </c>
      <c r="K25" s="1568"/>
      <c r="L25" s="1568"/>
      <c r="M25" s="1722">
        <f>+H25-G25</f>
        <v>-2090809.6000000015</v>
      </c>
      <c r="N25" s="1699">
        <f>IFERROR(M25/G25,0)</f>
        <v>-7.3286076719542445E-2</v>
      </c>
      <c r="O25" s="1722">
        <f>+I25-H25</f>
        <v>175890.1799999997</v>
      </c>
      <c r="P25" s="1699">
        <f>IFERROR(O25/H25,0)</f>
        <v>6.6527758734714242E-3</v>
      </c>
      <c r="Q25" s="1722">
        <f t="shared" si="5"/>
        <v>370205.25</v>
      </c>
      <c r="R25" s="1699">
        <f t="shared" si="6"/>
        <v>1.3909905425489486E-2</v>
      </c>
      <c r="S25" s="1165"/>
      <c r="T25" s="1165"/>
      <c r="U25" s="1611"/>
      <c r="V25" s="1628"/>
      <c r="W25" s="1628"/>
      <c r="X25" s="1628"/>
      <c r="Y25" s="1166"/>
    </row>
    <row r="26" spans="1:25" s="1164" customFormat="1" ht="18" x14ac:dyDescent="0.25">
      <c r="A26" s="1195"/>
      <c r="B26" s="1196"/>
      <c r="C26" s="1197"/>
      <c r="D26" s="1197"/>
      <c r="E26" s="202"/>
      <c r="F26" s="1496"/>
      <c r="G26" s="2006"/>
      <c r="H26" s="2042"/>
      <c r="I26" s="2022"/>
      <c r="J26" s="1527"/>
      <c r="K26" s="664"/>
      <c r="L26" s="664"/>
      <c r="M26" s="1722"/>
      <c r="N26" s="1699"/>
      <c r="O26" s="1722"/>
      <c r="P26" s="1699"/>
      <c r="Q26" s="1722">
        <f t="shared" si="5"/>
        <v>0</v>
      </c>
      <c r="R26" s="1699">
        <f t="shared" si="6"/>
        <v>0</v>
      </c>
      <c r="S26" s="1694"/>
      <c r="U26" s="1611"/>
      <c r="V26" s="1611"/>
      <c r="W26" s="1611"/>
      <c r="X26" s="1611"/>
    </row>
    <row r="27" spans="1:25" ht="18" x14ac:dyDescent="0.25">
      <c r="A27" s="1172"/>
      <c r="B27" s="1173" t="s">
        <v>351</v>
      </c>
      <c r="C27" s="1174"/>
      <c r="D27" s="1174"/>
      <c r="E27" s="661"/>
      <c r="F27" s="1497"/>
      <c r="G27" s="1896"/>
      <c r="H27" s="2043"/>
      <c r="I27" s="749"/>
      <c r="J27" s="1528"/>
      <c r="K27" s="662"/>
      <c r="L27" s="662"/>
      <c r="M27" s="1722"/>
      <c r="N27" s="1699"/>
      <c r="O27" s="1722"/>
      <c r="P27" s="1699"/>
      <c r="Q27" s="1722">
        <f t="shared" si="5"/>
        <v>0</v>
      </c>
      <c r="R27" s="1699">
        <f t="shared" si="6"/>
        <v>0</v>
      </c>
      <c r="S27" s="1693"/>
      <c r="T27" s="1167"/>
    </row>
    <row r="28" spans="1:25" ht="18" x14ac:dyDescent="0.25">
      <c r="A28" s="1175"/>
      <c r="B28" s="1176"/>
      <c r="C28" s="739" t="s">
        <v>352</v>
      </c>
      <c r="D28" s="739"/>
      <c r="E28" s="618"/>
      <c r="F28" s="1498">
        <f>+'RS 3010'!D30+'RS 4035'!D29+'RS 4201'!D30+'RS 4203'!D30+'RS 5640'!D30+'RS 6010'!D30+'RS 6264'!D30+'RS 3310'!D30+'RS 3311'!D30+'RS 6500'!D40+'RS 6512'!D30</f>
        <v>7181246.1800000006</v>
      </c>
      <c r="G28" s="2007">
        <f>+'RS 3010'!H30+'RS 4035'!H29+'RS 4201'!H30+'RS 4203'!H30+'RS 5640'!H30+'RS 6010'!H30+'RS 6264'!H30+'RS 3310'!H30+'RS 3311'!H30+'RS 6500'!H40+'RS 6512'!H30+'RS 9076'!H30</f>
        <v>7419190</v>
      </c>
      <c r="H28" s="2030">
        <f>'RS 3010'!L30+'RS 3311'!L30+'RS 4035'!L29+'RS 4203'!L30+'RS 5640'!L30+'RS 6010'!L30+'RS 6264'!L30+'RS 6500'!L40+'RS 9076'!L30</f>
        <v>7578567</v>
      </c>
      <c r="I28" s="1916">
        <f>'RS 3010'!P30+'RS 3311'!P30+'RS 4035'!P29+'RS 4203'!P30+'RS 5640'!P30+'RS 6010'!P30+'RS 6264'!P30+'RS 6500'!P40+'RS 9076'!P30</f>
        <v>7695729</v>
      </c>
      <c r="J28" s="1514">
        <f>'RS 3010'!T30+'RS 3311'!T30+'RS 4035'!T29+'RS 4203'!T30+'RS 5640'!T30+'RS 6010'!T30+'RS 6264'!T30+'RS 6500'!T40+'RS 9076'!T30</f>
        <v>7790434</v>
      </c>
      <c r="K28" s="663" t="e">
        <f>+J28*(1+#REF!)</f>
        <v>#REF!</v>
      </c>
      <c r="L28" s="663" t="e">
        <f>+K28*(1+#REF!)</f>
        <v>#REF!</v>
      </c>
      <c r="M28" s="1722">
        <f t="shared" ref="M28:M51" si="19">+H28-G28</f>
        <v>159377</v>
      </c>
      <c r="N28" s="1699">
        <f t="shared" ref="N28:N51" si="20">IFERROR(M28/G28,0)</f>
        <v>2.1481725093979262E-2</v>
      </c>
      <c r="O28" s="1722">
        <f t="shared" ref="O28:O51" si="21">+I28-H28</f>
        <v>117162</v>
      </c>
      <c r="P28" s="1699">
        <f t="shared" ref="P28:P51" si="22">IFERROR(O28/H28,0)</f>
        <v>1.5459650881228602E-2</v>
      </c>
      <c r="Q28" s="1722">
        <f t="shared" si="5"/>
        <v>94705</v>
      </c>
      <c r="R28" s="1699">
        <f t="shared" si="6"/>
        <v>1.2306176581841695E-2</v>
      </c>
      <c r="S28" s="1692"/>
      <c r="T28" s="1692"/>
    </row>
    <row r="29" spans="1:25" ht="18" x14ac:dyDescent="0.25">
      <c r="A29" s="1177"/>
      <c r="B29" s="1178"/>
      <c r="C29" s="731" t="s">
        <v>353</v>
      </c>
      <c r="D29" s="731"/>
      <c r="E29" s="619"/>
      <c r="F29" s="1499">
        <f>+'RS 3010'!D41+'RS 4035'!D40+'RS 4201'!D41+'RS 4203'!D41+'RS 5640'!D41+'RS 6010'!D41+'RS 6264'!D41+'RS 3310'!D41+'RS 3311'!D41+'RS 6500'!D60+'RS 6512'!D41+'RS 8150'!D41</f>
        <v>4985104.38</v>
      </c>
      <c r="G29" s="1893">
        <f>+'RS 3010'!H41+'RS 4035'!H40+'RS 4201'!H41+'RS 4203'!H41+'RS 5640'!H41+'RS 6010'!H41+'RS 6264'!H41+'RS 3310'!H41+'RS 3311'!H41+'RS 6500'!H60+'RS 6512'!H41+'RS 8150'!H41</f>
        <v>5507436</v>
      </c>
      <c r="H29" s="2031">
        <f>+'RS 3010'!L41+'RS 4035'!L40+'RS 4201'!L41+'RS 4203'!L41+'RS 5640'!L41+'RS 6010'!L41+'RS 6264'!L41+'RS 3310'!L41+'RS 3311'!L41+'RS 6500'!L60+'RS 6512'!L41+'RS 8150'!L41</f>
        <v>5691503</v>
      </c>
      <c r="I29" s="1918">
        <f>+'RS 3010'!P41+'RS 4035'!P40+'RS 4201'!P41+'RS 4203'!P41+'RS 5640'!P41+'RS 6010'!P41+'RS 6264'!P41+'RS 3310'!P41+'RS 3311'!P41+'RS 6500'!P60+'RS 6512'!P41+'RS 8150'!P41</f>
        <v>5752887</v>
      </c>
      <c r="J29" s="1515">
        <f>+'RS 3010'!T41+'RS 4035'!T40+'RS 4201'!T41+'RS 4203'!T41+'RS 5640'!T41+'RS 6010'!T41+'RS 6264'!T41+'RS 3310'!T41+'RS 3311'!T41+'RS 6500'!T60+'RS 6512'!T41+'RS 8150'!T41</f>
        <v>5797001</v>
      </c>
      <c r="K29" s="647" t="e">
        <f>(+J29*(1+#REF!))</f>
        <v>#REF!</v>
      </c>
      <c r="L29" s="647" t="e">
        <f>(+K29*(1+#REF!))</f>
        <v>#REF!</v>
      </c>
      <c r="M29" s="1722">
        <f t="shared" si="19"/>
        <v>184067</v>
      </c>
      <c r="N29" s="1699">
        <f t="shared" si="20"/>
        <v>3.3421541348823663E-2</v>
      </c>
      <c r="O29" s="1722">
        <f t="shared" si="21"/>
        <v>61384</v>
      </c>
      <c r="P29" s="1699">
        <f t="shared" si="22"/>
        <v>1.0785200324062027E-2</v>
      </c>
      <c r="Q29" s="1722">
        <f t="shared" si="5"/>
        <v>44114</v>
      </c>
      <c r="R29" s="1699">
        <f t="shared" si="6"/>
        <v>7.6681499219435388E-3</v>
      </c>
      <c r="S29" s="1692"/>
      <c r="T29" s="1692"/>
    </row>
    <row r="30" spans="1:25" ht="18" hidden="1" x14ac:dyDescent="0.25">
      <c r="A30" s="1337"/>
      <c r="B30" s="1338"/>
      <c r="C30" s="1349">
        <f>UNRESTRICTED!C30</f>
        <v>0</v>
      </c>
      <c r="D30" s="1349"/>
      <c r="E30" s="1334"/>
      <c r="F30" s="1742"/>
      <c r="G30" s="1899"/>
      <c r="H30" s="1951"/>
      <c r="I30" s="1888"/>
      <c r="J30" s="1010"/>
      <c r="K30" s="647"/>
      <c r="L30" s="647"/>
      <c r="M30" s="1722">
        <f t="shared" si="19"/>
        <v>0</v>
      </c>
      <c r="N30" s="1699">
        <f t="shared" si="20"/>
        <v>0</v>
      </c>
      <c r="O30" s="1722">
        <f t="shared" si="21"/>
        <v>0</v>
      </c>
      <c r="P30" s="1699">
        <f t="shared" si="22"/>
        <v>0</v>
      </c>
      <c r="Q30" s="1722">
        <f t="shared" si="5"/>
        <v>0</v>
      </c>
      <c r="R30" s="1699">
        <f t="shared" si="6"/>
        <v>0</v>
      </c>
      <c r="S30" s="1164"/>
      <c r="T30" s="1167"/>
    </row>
    <row r="31" spans="1:25" ht="18" hidden="1" x14ac:dyDescent="0.25">
      <c r="A31" s="1337"/>
      <c r="B31" s="1338"/>
      <c r="C31" s="1349">
        <f>UNRESTRICTED!C31</f>
        <v>0</v>
      </c>
      <c r="D31" s="1349"/>
      <c r="E31" s="1334"/>
      <c r="F31" s="1742"/>
      <c r="G31" s="1899"/>
      <c r="H31" s="1951"/>
      <c r="I31" s="1888"/>
      <c r="J31" s="1010"/>
      <c r="K31" s="647"/>
      <c r="L31" s="647"/>
      <c r="M31" s="1722">
        <f t="shared" si="19"/>
        <v>0</v>
      </c>
      <c r="N31" s="1699">
        <f t="shared" si="20"/>
        <v>0</v>
      </c>
      <c r="O31" s="1722">
        <f t="shared" si="21"/>
        <v>0</v>
      </c>
      <c r="P31" s="1699">
        <f t="shared" si="22"/>
        <v>0</v>
      </c>
      <c r="Q31" s="1722">
        <f t="shared" si="5"/>
        <v>0</v>
      </c>
      <c r="R31" s="1699">
        <f t="shared" si="6"/>
        <v>0</v>
      </c>
      <c r="S31" s="1164"/>
      <c r="T31" s="1167"/>
    </row>
    <row r="32" spans="1:25" ht="18" hidden="1" x14ac:dyDescent="0.25">
      <c r="A32" s="1337"/>
      <c r="B32" s="1338"/>
      <c r="C32" s="1349"/>
      <c r="D32" s="1349"/>
      <c r="E32" s="1334"/>
      <c r="F32" s="1742"/>
      <c r="G32" s="1899"/>
      <c r="H32" s="1951"/>
      <c r="I32" s="1888"/>
      <c r="J32" s="1010"/>
      <c r="K32" s="647"/>
      <c r="L32" s="647"/>
      <c r="M32" s="1722">
        <f t="shared" si="19"/>
        <v>0</v>
      </c>
      <c r="N32" s="1699">
        <f t="shared" si="20"/>
        <v>0</v>
      </c>
      <c r="O32" s="1722">
        <f t="shared" si="21"/>
        <v>0</v>
      </c>
      <c r="P32" s="1699">
        <f t="shared" si="22"/>
        <v>0</v>
      </c>
      <c r="Q32" s="1722">
        <f t="shared" si="5"/>
        <v>0</v>
      </c>
      <c r="R32" s="1699">
        <f t="shared" si="6"/>
        <v>0</v>
      </c>
      <c r="S32" s="1164"/>
      <c r="T32" s="1167"/>
    </row>
    <row r="33" spans="1:24" ht="18" hidden="1" x14ac:dyDescent="0.25">
      <c r="A33" s="1337"/>
      <c r="B33" s="1338"/>
      <c r="C33" s="1339"/>
      <c r="D33" s="1339"/>
      <c r="E33" s="1334"/>
      <c r="F33" s="1742"/>
      <c r="G33" s="1899"/>
      <c r="H33" s="1951"/>
      <c r="I33" s="1888"/>
      <c r="J33" s="1010"/>
      <c r="K33" s="647"/>
      <c r="L33" s="647"/>
      <c r="M33" s="1722">
        <f t="shared" si="19"/>
        <v>0</v>
      </c>
      <c r="N33" s="1699">
        <f t="shared" si="20"/>
        <v>0</v>
      </c>
      <c r="O33" s="1722">
        <f t="shared" si="21"/>
        <v>0</v>
      </c>
      <c r="P33" s="1699">
        <f t="shared" si="22"/>
        <v>0</v>
      </c>
      <c r="Q33" s="1722">
        <f t="shared" si="5"/>
        <v>0</v>
      </c>
      <c r="R33" s="1699">
        <f t="shared" si="6"/>
        <v>0</v>
      </c>
      <c r="S33" s="1164"/>
      <c r="T33" s="1167"/>
    </row>
    <row r="34" spans="1:24" s="1169" customFormat="1" ht="18" x14ac:dyDescent="0.25">
      <c r="A34" s="1177"/>
      <c r="B34" s="1178"/>
      <c r="C34" s="731" t="s">
        <v>354</v>
      </c>
      <c r="D34" s="731"/>
      <c r="E34" s="619"/>
      <c r="F34" s="1499"/>
      <c r="G34" s="1893"/>
      <c r="H34" s="2031"/>
      <c r="I34" s="1918"/>
      <c r="J34" s="1515"/>
      <c r="K34" s="647"/>
      <c r="L34" s="647"/>
      <c r="M34" s="1722">
        <f t="shared" si="19"/>
        <v>0</v>
      </c>
      <c r="N34" s="1699">
        <f t="shared" si="20"/>
        <v>0</v>
      </c>
      <c r="O34" s="1722">
        <f t="shared" si="21"/>
        <v>0</v>
      </c>
      <c r="P34" s="1699">
        <f t="shared" si="22"/>
        <v>0</v>
      </c>
      <c r="Q34" s="1722">
        <f t="shared" si="5"/>
        <v>0</v>
      </c>
      <c r="R34" s="1699">
        <f t="shared" si="6"/>
        <v>0</v>
      </c>
      <c r="S34" s="1164"/>
      <c r="T34" s="1168"/>
      <c r="U34" s="1610"/>
      <c r="V34" s="1610"/>
      <c r="W34" s="1610"/>
      <c r="X34" s="1610"/>
    </row>
    <row r="35" spans="1:24" ht="18" x14ac:dyDescent="0.25">
      <c r="A35" s="1177"/>
      <c r="B35" s="1178"/>
      <c r="C35" s="731"/>
      <c r="D35" s="1179" t="s">
        <v>76</v>
      </c>
      <c r="E35" s="620"/>
      <c r="F35" s="1485">
        <f>+'RS 3010'!D44+'RS 4035'!D43+'RS 4203'!D44+'RS 5640'!D44+'RS 6010'!D44+'RS 6264'!D44+'RS 3310'!D44+'RS 3311'!D44+'RS 6500'!D63+'RS 6512'!D44+'RS 8150'!D44</f>
        <v>923494.8</v>
      </c>
      <c r="G35" s="1892">
        <f>+'RS 3010'!H44+'RS 3310'!H44+'RS 3311'!H44+'RS 4035'!H43+'RS 4203'!H44+'RS 5640'!H44+'RS 6010'!H44+'RS 6264'!H44+'RS 6500'!H63+'RS 6512'!H44+'RS 8150'!H44+'RS 9076'!H44</f>
        <v>1105252</v>
      </c>
      <c r="H35" s="2032">
        <f>+'RS 3010'!L44+'RS 3310'!L44+'RS 3311'!L44+'RS 4035'!L43+'RS 4203'!L44+'RS 5640'!L44+'RS 6010'!L44+'RS 6264'!L44+'RS 6500'!L63+'RS 6512'!L44+'RS 8150'!L44+'RS 9076'!L44</f>
        <v>1244601</v>
      </c>
      <c r="I35" s="1917">
        <f>+'RS 3010'!P44+'RS 3310'!P44+'RS 3311'!P44+'RS 4035'!P43+'RS 4203'!P44+'RS 5640'!P44+'RS 6010'!P44+'RS 6264'!P44+'RS 6500'!P63+'RS 6512'!P44+'RS 8150'!P44+'RS 9076'!P44</f>
        <v>1396412</v>
      </c>
      <c r="J35" s="1516">
        <f>+'RS 3010'!T44+'RS 3310'!T44+'RS 3311'!T44+'RS 4035'!T43+'RS 4203'!T44+'RS 5640'!T44+'RS 6010'!T44+'RS 6264'!T44+'RS 6500'!T63+'RS 6512'!T44+'RS 8150'!T44+'RS 9076'!T44</f>
        <v>1487971</v>
      </c>
      <c r="K35" s="648">
        <v>1608861.5312168831</v>
      </c>
      <c r="L35" s="648">
        <v>1777196.8284210551</v>
      </c>
      <c r="M35" s="1722">
        <f t="shared" si="19"/>
        <v>139349</v>
      </c>
      <c r="N35" s="1699">
        <f t="shared" si="20"/>
        <v>0.12607893946357934</v>
      </c>
      <c r="O35" s="1722">
        <f t="shared" si="21"/>
        <v>151811</v>
      </c>
      <c r="P35" s="1699">
        <f t="shared" si="22"/>
        <v>0.12197563717207362</v>
      </c>
      <c r="Q35" s="1722">
        <f t="shared" si="5"/>
        <v>91559</v>
      </c>
      <c r="R35" s="1699">
        <f t="shared" si="6"/>
        <v>6.5567325402531629E-2</v>
      </c>
      <c r="S35" s="1164"/>
      <c r="T35" s="1167"/>
    </row>
    <row r="36" spans="1:24" ht="18" x14ac:dyDescent="0.25">
      <c r="A36" s="1177"/>
      <c r="B36" s="1178"/>
      <c r="C36" s="731"/>
      <c r="D36" s="1179" t="s">
        <v>77</v>
      </c>
      <c r="E36" s="620"/>
      <c r="F36" s="1485">
        <f>+'RS 3010'!D45+'RS 4035'!D44+'RS 4203'!D45+'RS 5640'!D45+'RS 6010'!D45+'RS 6264'!D45+'RS 3310'!D45+'RS 3311'!D45+'RS 6500'!D64+'RS 6512'!D45+'RS 8150'!D45</f>
        <v>636147.08000000007</v>
      </c>
      <c r="G36" s="1892">
        <f>+'RS 3010'!H45+'RS 3310'!H45+'RS 3311'!H45+'RS 4035'!H44+'RS 4203'!H45+'RS 5640'!H45+'RS 6010'!H45+'RS 6264'!H45+'RS 6500'!H64+'RS 6512'!H45+'RS 8150'!H45+'RS 9076'!H45</f>
        <v>812634</v>
      </c>
      <c r="H36" s="2032">
        <f>+'RS 3010'!L45+'RS 3310'!L45+'RS 3311'!L45+'RS 4035'!L44+'RS 4203'!L45+'RS 5640'!L45+'RS 6010'!L45+'RS 6264'!L45+'RS 6500'!L64+'RS 6512'!L45+'RS 8150'!L45+'RS 9076'!L45</f>
        <v>1071577</v>
      </c>
      <c r="I36" s="1917">
        <f>+'RS 3010'!P45+'RS 3310'!P45+'RS 3311'!P45+'RS 4035'!P44+'RS 4203'!P45+'RS 5640'!P45+'RS 6010'!P45+'RS 6264'!P45+'RS 6500'!P64+'RS 6512'!P45+'RS 8150'!P45+'RS 9076'!P45</f>
        <v>1183047</v>
      </c>
      <c r="J36" s="1516">
        <f>+'RS 3010'!T45+'RS 3310'!T45+'RS 3311'!T45+'RS 4035'!T44+'RS 4203'!T45+'RS 5640'!T45+'RS 6010'!T45+'RS 6264'!T45+'RS 6500'!T64+'RS 6512'!T45+'RS 8150'!T45+'RS 9076'!T45</f>
        <v>1348233</v>
      </c>
      <c r="K36" s="648">
        <v>1459015.9968413657</v>
      </c>
      <c r="L36" s="648">
        <v>1536995.9806119401</v>
      </c>
      <c r="M36" s="1722">
        <f t="shared" si="19"/>
        <v>258943</v>
      </c>
      <c r="N36" s="1699">
        <f t="shared" si="20"/>
        <v>0.31864652475776301</v>
      </c>
      <c r="O36" s="1722">
        <f t="shared" si="21"/>
        <v>111470</v>
      </c>
      <c r="P36" s="1699">
        <f t="shared" si="22"/>
        <v>0.10402425583975766</v>
      </c>
      <c r="Q36" s="1722">
        <f t="shared" si="5"/>
        <v>165186</v>
      </c>
      <c r="R36" s="1699">
        <f t="shared" si="6"/>
        <v>0.13962758876020986</v>
      </c>
      <c r="S36" s="1164"/>
      <c r="T36" s="1167"/>
    </row>
    <row r="37" spans="1:24" ht="18" x14ac:dyDescent="0.25">
      <c r="A37" s="1177"/>
      <c r="B37" s="1178"/>
      <c r="C37" s="731"/>
      <c r="D37" s="731" t="s">
        <v>394</v>
      </c>
      <c r="E37" s="619"/>
      <c r="F37" s="1499">
        <f>+'RS 3010'!D46+'RS 4035'!D45+'RS 4203'!D46+'RS 5640'!D46+'RS 6010'!D46+'RS 6264'!D46+'RS 3310'!D46+'RS 3311'!D46+'RS 6500'!D65+'RS 6512'!D46+'RS 8150'!D46</f>
        <v>278420.81</v>
      </c>
      <c r="G37" s="1893">
        <f>+'RS 3010'!H46+'RS 3310'!H46+'RS 3311'!H46+'RS 4035'!H45+'RS 4203'!H46+'RS 5640'!H46+'RS 6010'!H46+'RS 6264'!H46+'RS 6500'!H65+'RS 6512'!H46+'RS 8150'!H46+'RS 9076'!H46</f>
        <v>328700</v>
      </c>
      <c r="H37" s="2031">
        <f>+'RS 3010'!L46+'RS 3310'!L46+'RS 3311'!L46+'RS 4035'!L45+'RS 4203'!L46+'RS 5640'!L46+'RS 6010'!L46+'RS 6264'!L46+'RS 6500'!L65+'RS 6512'!L46+'RS 8150'!L46+'RS 9076'!L46</f>
        <v>368206</v>
      </c>
      <c r="I37" s="1918">
        <f>+'RS 3010'!P46+'RS 3310'!P46+'RS 3311'!P46+'RS 4035'!P45+'RS 4203'!P46+'RS 5640'!P46+'RS 6010'!P46+'RS 6264'!P46+'RS 6500'!P65+'RS 6512'!P46+'RS 8150'!P46+'RS 9076'!P46</f>
        <v>356275</v>
      </c>
      <c r="J37" s="1515">
        <f>+'RS 3010'!T46+'RS 3310'!T46+'RS 3311'!T46+'RS 4035'!T45+'RS 4203'!T46+'RS 5640'!T46+'RS 6010'!T46+'RS 6264'!T46+'RS 6500'!T65+'RS 6512'!T46+'RS 8150'!T46+'RS 9076'!T46</f>
        <v>359415</v>
      </c>
      <c r="K37" s="647">
        <v>342647.69622789649</v>
      </c>
      <c r="L37" s="647">
        <v>347787.41167131491</v>
      </c>
      <c r="M37" s="1722">
        <f t="shared" si="19"/>
        <v>39506</v>
      </c>
      <c r="N37" s="1699">
        <f t="shared" si="20"/>
        <v>0.1201886218436264</v>
      </c>
      <c r="O37" s="1722">
        <f t="shared" si="21"/>
        <v>-11931</v>
      </c>
      <c r="P37" s="1699">
        <f t="shared" si="22"/>
        <v>-3.2403056984405466E-2</v>
      </c>
      <c r="Q37" s="1722">
        <f t="shared" si="5"/>
        <v>3140</v>
      </c>
      <c r="R37" s="1699">
        <f t="shared" si="6"/>
        <v>8.813416602343695E-3</v>
      </c>
      <c r="S37" s="1164"/>
      <c r="T37" s="1167"/>
    </row>
    <row r="38" spans="1:24" ht="18" x14ac:dyDescent="0.25">
      <c r="A38" s="1177"/>
      <c r="B38" s="1178"/>
      <c r="C38" s="731"/>
      <c r="D38" s="731" t="s">
        <v>79</v>
      </c>
      <c r="E38" s="619"/>
      <c r="F38" s="1499">
        <f>+'RS 3010'!D47+'RS 4035'!D46+'RS 4203'!D47+'RS 5640'!D47+'RS 6010'!D47+'RS 6264'!D47+'RS 3310'!D47+'RS 3311'!D47+'RS 6500'!D66+'RS 6512'!D47+'RS 8150'!D47</f>
        <v>167570.72999999998</v>
      </c>
      <c r="G38" s="1893">
        <f>+'RS 3010'!H47+'RS 3310'!H47+'RS 3311'!H47+'RS 4035'!H46+'RS 4203'!H47+'RS 5640'!H47+'RS 6010'!H47+'RS 6264'!H47+'RS 6500'!H66+'RS 6512'!H47+'RS 8150'!H47+'RS 9076'!H47</f>
        <v>189382</v>
      </c>
      <c r="H38" s="2031">
        <f>+'RS 3010'!L47+'RS 3310'!L47+'RS 3311'!L47+'RS 4035'!L46+'RS 4203'!L47+'RS 5640'!L47+'RS 6010'!L47+'RS 6264'!L47+'RS 6500'!L66+'RS 6512'!L47+'RS 8150'!L47+'RS 9076'!L47</f>
        <v>196954</v>
      </c>
      <c r="I38" s="1918">
        <f>+'RS 3010'!P47+'RS 3310'!P47+'RS 3311'!P47+'RS 4035'!P46+'RS 4203'!P47+'RS 5640'!P47+'RS 6010'!P47+'RS 6264'!P47+'RS 6500'!P66+'RS 6512'!P47+'RS 8150'!P47+'RS 9076'!P47</f>
        <v>195005</v>
      </c>
      <c r="J38" s="1515">
        <f>+'RS 3010'!T47+'RS 3310'!T47+'RS 3311'!T47+'RS 4035'!T46+'RS 4203'!T47+'RS 5640'!T47+'RS 6010'!T47+'RS 6264'!T47+'RS 6500'!T66+'RS 6512'!T47+'RS 8150'!T47+'RS 9076'!T47</f>
        <v>197016</v>
      </c>
      <c r="K38" s="647">
        <v>191488.53304952424</v>
      </c>
      <c r="L38" s="647">
        <v>194360.86104526708</v>
      </c>
      <c r="M38" s="1722">
        <f t="shared" si="19"/>
        <v>7572</v>
      </c>
      <c r="N38" s="1699">
        <f t="shared" si="20"/>
        <v>3.9982680508179234E-2</v>
      </c>
      <c r="O38" s="1722">
        <f t="shared" si="21"/>
        <v>-1949</v>
      </c>
      <c r="P38" s="1699">
        <f t="shared" si="22"/>
        <v>-9.8957116890238325E-3</v>
      </c>
      <c r="Q38" s="1722">
        <f t="shared" si="5"/>
        <v>2011</v>
      </c>
      <c r="R38" s="1699">
        <f t="shared" si="6"/>
        <v>1.0312556088305428E-2</v>
      </c>
      <c r="S38" s="1164"/>
      <c r="T38" s="1140"/>
    </row>
    <row r="39" spans="1:24" ht="18" x14ac:dyDescent="0.25">
      <c r="A39" s="1198"/>
      <c r="B39" s="1199"/>
      <c r="C39" s="1200"/>
      <c r="D39" s="1200" t="s">
        <v>80</v>
      </c>
      <c r="E39" s="621"/>
      <c r="F39" s="1499">
        <f>+'RS 3010'!D48+'RS 4035'!D47+'RS 4203'!D48+'RS 5640'!D48+'RS 6010'!D48+'RS 6264'!D48+'RS 3310'!D48+'RS 3311'!D48+'RS 6500'!D67+'RS 6512'!D48+'RS 8150'!D48</f>
        <v>969117.58000000007</v>
      </c>
      <c r="G39" s="2008">
        <f>+'RS 3010'!H48+'RS 3310'!H48+'RS 3311'!H48+'RS 4035'!H47+'RS 4203'!H48+'RS 5640'!H48+'RS 6010'!H48+'RS 6264'!H48+'RS 6500'!H67+'RS 6512'!H48+'RS 8150'!H48+'RS 9076'!H48</f>
        <v>1044898</v>
      </c>
      <c r="H39" s="2044">
        <f>+'RS 3010'!L48+'RS 3310'!L48+'RS 3311'!L48+'RS 4035'!L47+'RS 4203'!L48+'RS 5640'!L48+'RS 6010'!L48+'RS 6264'!L48+'RS 6500'!L67+'RS 6512'!L48+'RS 8150'!L48+'RS 9076'!L48</f>
        <v>1062593</v>
      </c>
      <c r="I39" s="2023">
        <f>+'RS 3010'!P48+'RS 3310'!P48+'RS 3311'!P48+'RS 4035'!P47+'RS 4203'!P48+'RS 5640'!P48+'RS 6010'!P48+'RS 6264'!P48+'RS 6500'!P67+'RS 6512'!P48+'RS 8150'!P48+'RS 9076'!P48</f>
        <v>1125722</v>
      </c>
      <c r="J39" s="1529">
        <f>+'RS 3010'!T48+'RS 3310'!T48+'RS 3311'!T48+'RS 4035'!T47+'RS 4203'!T48+'RS 5640'!T48+'RS 6010'!T48+'RS 6264'!T48+'RS 6500'!T67+'RS 6512'!T48+'RS 8150'!T48+'RS 9076'!T48</f>
        <v>1182009</v>
      </c>
      <c r="K39" s="656">
        <v>1385206.3915260334</v>
      </c>
      <c r="L39" s="656">
        <v>1454466.7111023352</v>
      </c>
      <c r="M39" s="1722">
        <f t="shared" si="19"/>
        <v>17695</v>
      </c>
      <c r="N39" s="1699">
        <f t="shared" si="20"/>
        <v>1.6934667307239557E-2</v>
      </c>
      <c r="O39" s="1722">
        <f t="shared" si="21"/>
        <v>63129</v>
      </c>
      <c r="P39" s="1699">
        <f t="shared" si="22"/>
        <v>5.9410329260591782E-2</v>
      </c>
      <c r="Q39" s="1722">
        <f t="shared" si="5"/>
        <v>56287</v>
      </c>
      <c r="R39" s="1699">
        <f t="shared" si="6"/>
        <v>5.0000799486907069E-2</v>
      </c>
      <c r="S39" s="1164"/>
      <c r="T39" s="1140"/>
    </row>
    <row r="40" spans="1:24" ht="18" x14ac:dyDescent="0.25">
      <c r="A40" s="1177"/>
      <c r="B40" s="1178"/>
      <c r="C40" s="731"/>
      <c r="D40" s="731" t="s">
        <v>81</v>
      </c>
      <c r="E40" s="619"/>
      <c r="F40" s="1499">
        <f>+'RS 3010'!D49+'RS 4035'!D48+'RS 4203'!D49+'RS 5640'!D49+'RS 6010'!D49+'RS 6264'!D49+'RS 3310'!D49+'RS 3311'!D49+'RS 6500'!D68+'RS 6512'!D49+'RS 8150'!D49</f>
        <v>5788.62</v>
      </c>
      <c r="G40" s="1893">
        <f>+'RS 3010'!H49+'RS 3310'!H49+'RS 3311'!H49+'RS 4035'!H48+'RS 4203'!H49+'RS 5640'!H49+'RS 6010'!H49+'RS 6264'!H49+'RS 6500'!H68+'RS 6512'!H49+'RS 8150'!H49+'RS 9076'!H49</f>
        <v>6683</v>
      </c>
      <c r="H40" s="2031">
        <f>+'RS 3010'!L49+'RS 3310'!L49+'RS 3311'!L49+'RS 4035'!L48+'RS 4203'!L49+'RS 5640'!L49+'RS 6010'!L49+'RS 6264'!L49+'RS 6500'!L68+'RS 6512'!L49+'RS 8150'!L49+'RS 9076'!L49</f>
        <v>6796</v>
      </c>
      <c r="I40" s="1918">
        <f>+'RS 3010'!P49+'RS 3310'!P49+'RS 3311'!P49+'RS 4035'!P48+'RS 4203'!P49+'RS 5640'!P49+'RS 6010'!P49+'RS 6264'!P49+'RS 6500'!P68+'RS 6512'!P49+'RS 8150'!P49+'RS 9076'!P49</f>
        <v>6724</v>
      </c>
      <c r="J40" s="1515">
        <f>+'RS 3010'!T49+'RS 3310'!T49+'RS 3311'!T49+'RS 4035'!T48+'RS 4203'!T49+'RS 5640'!T49+'RS 6010'!T49+'RS 6264'!T49+'RS 6500'!T68+'RS 6512'!T49+'RS 8150'!T49+'RS 9076'!T49</f>
        <v>6794</v>
      </c>
      <c r="K40" s="647">
        <v>6603.0528637766984</v>
      </c>
      <c r="L40" s="647">
        <v>6702.0986567333475</v>
      </c>
      <c r="M40" s="1722">
        <f t="shared" si="19"/>
        <v>113</v>
      </c>
      <c r="N40" s="1699">
        <f t="shared" si="20"/>
        <v>1.6908573993715398E-2</v>
      </c>
      <c r="O40" s="1722">
        <f t="shared" si="21"/>
        <v>-72</v>
      </c>
      <c r="P40" s="1699">
        <f t="shared" si="22"/>
        <v>-1.059446733372572E-2</v>
      </c>
      <c r="Q40" s="1722">
        <f t="shared" si="5"/>
        <v>70</v>
      </c>
      <c r="R40" s="1699">
        <f t="shared" si="6"/>
        <v>1.0410469958358121E-2</v>
      </c>
      <c r="S40" s="1164"/>
      <c r="T40" s="1140"/>
    </row>
    <row r="41" spans="1:24" ht="18" x14ac:dyDescent="0.25">
      <c r="A41" s="1177"/>
      <c r="B41" s="1178"/>
      <c r="C41" s="731"/>
      <c r="D41" s="731" t="s">
        <v>82</v>
      </c>
      <c r="E41" s="619"/>
      <c r="F41" s="1499">
        <f>+'RS 3010'!D50+'RS 4035'!D49+'RS 4203'!D50+'RS 5640'!D50+'RS 6010'!D50+'RS 6264'!D50+'RS 3310'!D50+'RS 3311'!D50+'RS 6500'!D69+'RS 6512'!D50+'RS 8150'!D50</f>
        <v>126711</v>
      </c>
      <c r="G41" s="1893">
        <f>+'RS 3010'!H50+'RS 3310'!H50+'RS 3311'!H50+'RS 4035'!H49+'RS 4203'!H50+'RS 5640'!H50+'RS 6010'!H50+'RS 6264'!H50+'RS 6500'!H69+'RS 6512'!H50+'RS 8150'!H50+'RS 9076'!H50</f>
        <v>126055</v>
      </c>
      <c r="H41" s="2031">
        <f>+'RS 3010'!L50+'RS 3310'!L50+'RS 3311'!L50+'RS 4035'!L49+'RS 4203'!L50+'RS 5640'!L50+'RS 6010'!L50+'RS 6264'!L50+'RS 6500'!L69+'RS 6512'!L50+'RS 8150'!L50+'RS 9076'!L50</f>
        <v>108665</v>
      </c>
      <c r="I41" s="1918">
        <f>+'RS 3010'!P50+'RS 3310'!P50+'RS 3311'!P50+'RS 4035'!P49+'RS 4203'!P50+'RS 5640'!P50+'RS 6010'!P50+'RS 6264'!P50+'RS 6500'!P69+'RS 6512'!P50+'RS 8150'!P50+'RS 9076'!P50</f>
        <v>107589</v>
      </c>
      <c r="J41" s="1515">
        <f>+'RS 3010'!T50+'RS 3310'!T50+'RS 3311'!T50+'RS 4035'!T49+'RS 4203'!T50+'RS 5640'!T50+'RS 6010'!T50+'RS 6264'!T50+'RS 6500'!T69+'RS 6512'!T50+'RS 8150'!T50+'RS 9076'!T50</f>
        <v>108700</v>
      </c>
      <c r="K41" s="647">
        <v>132061.05727553397</v>
      </c>
      <c r="L41" s="647">
        <v>134041.97313466697</v>
      </c>
      <c r="M41" s="1722">
        <f t="shared" si="19"/>
        <v>-17390</v>
      </c>
      <c r="N41" s="1699">
        <f t="shared" si="20"/>
        <v>-0.13795565427789458</v>
      </c>
      <c r="O41" s="1722">
        <f t="shared" si="21"/>
        <v>-1076</v>
      </c>
      <c r="P41" s="1699">
        <f t="shared" si="22"/>
        <v>-9.9019923618460411E-3</v>
      </c>
      <c r="Q41" s="1722">
        <f t="shared" si="5"/>
        <v>1111</v>
      </c>
      <c r="R41" s="1699">
        <f t="shared" si="6"/>
        <v>1.0326334476572883E-2</v>
      </c>
      <c r="S41" s="1164"/>
      <c r="T41" s="1140"/>
      <c r="U41" s="1627" t="s">
        <v>909</v>
      </c>
      <c r="V41" s="1613"/>
      <c r="W41" s="1613"/>
      <c r="X41" s="1613"/>
    </row>
    <row r="42" spans="1:24" ht="18" x14ac:dyDescent="0.25">
      <c r="A42" s="1177"/>
      <c r="B42" s="1178"/>
      <c r="C42" s="731"/>
      <c r="D42" s="731" t="s">
        <v>92</v>
      </c>
      <c r="E42" s="619"/>
      <c r="F42" s="1499">
        <f>+'RS 3010'!D51+'RS 4035'!D50+'RS 4203'!D51+'RS 5640'!D51+'RS 6010'!D51+'RS 6264'!D51+'RS 3310'!D51+'RS 3311'!D51+'RS 6500'!D70+'RS 6512'!D51+'RS 8150'!D51</f>
        <v>0</v>
      </c>
      <c r="G42" s="1893">
        <f>+'RS 3010'!H51+'RS 3310'!H51+'RS 3311'!H51+'RS 4035'!H50+'RS 4203'!H51+'RS 5640'!H51+'RS 6010'!H51+'RS 6264'!H51+'RS 6500'!H70+'RS 6512'!H51+'RS 8150'!H51+'RS 9076'!H51</f>
        <v>0</v>
      </c>
      <c r="H42" s="2031">
        <f>+'RS 3010'!L51+'RS 3310'!L51+'RS 3311'!L51+'RS 4035'!L50+'RS 4203'!L51+'RS 5640'!L51+'RS 6010'!L51+'RS 6264'!L51+'RS 6500'!L70+'RS 6512'!L51+'RS 8150'!L51+'RS 9076'!L51</f>
        <v>0</v>
      </c>
      <c r="I42" s="1918">
        <f>+'RS 3010'!P51+'RS 3310'!P51+'RS 3311'!P51+'RS 4035'!P50+'RS 4203'!P51+'RS 5640'!P51+'RS 6010'!P51+'RS 6264'!P51+'RS 6500'!P70+'RS 6512'!P51+'RS 8150'!P51+'RS 9076'!P51</f>
        <v>0</v>
      </c>
      <c r="J42" s="1515">
        <f>+'RS 3010'!T51+'RS 3310'!T51+'RS 3311'!T51+'RS 4035'!T50+'RS 4203'!T51+'RS 5640'!T51+'RS 6010'!T51+'RS 6264'!T51+'RS 6500'!T70+'RS 6512'!T51+'RS 8150'!T51+'RS 9076'!T51</f>
        <v>0</v>
      </c>
      <c r="K42" s="647"/>
      <c r="L42" s="647"/>
      <c r="M42" s="1722">
        <f t="shared" si="19"/>
        <v>0</v>
      </c>
      <c r="N42" s="1699">
        <f t="shared" si="20"/>
        <v>0</v>
      </c>
      <c r="O42" s="1722">
        <f t="shared" si="21"/>
        <v>0</v>
      </c>
      <c r="P42" s="1699">
        <f t="shared" si="22"/>
        <v>0</v>
      </c>
      <c r="Q42" s="1722">
        <f t="shared" si="5"/>
        <v>0</v>
      </c>
      <c r="R42" s="1699">
        <f t="shared" si="6"/>
        <v>0</v>
      </c>
      <c r="S42" s="1164"/>
      <c r="T42" s="1140"/>
      <c r="U42" s="1629" t="str">
        <f t="shared" ref="U42:X42" si="23">+G2</f>
        <v>2017-2018</v>
      </c>
      <c r="V42" s="1629" t="str">
        <f t="shared" si="23"/>
        <v>2018-2019</v>
      </c>
      <c r="W42" s="1629" t="str">
        <f t="shared" si="23"/>
        <v>2019-2020</v>
      </c>
      <c r="X42" s="1629" t="str">
        <f t="shared" si="23"/>
        <v>2020-2021</v>
      </c>
    </row>
    <row r="43" spans="1:24" ht="18" x14ac:dyDescent="0.25">
      <c r="A43" s="1177"/>
      <c r="B43" s="1178"/>
      <c r="C43" s="731"/>
      <c r="D43" s="731" t="s">
        <v>93</v>
      </c>
      <c r="E43" s="619"/>
      <c r="F43" s="1499">
        <f>+'RS 3010'!D52+'RS 4035'!D51+'RS 4203'!D52+'RS 5640'!D52+'RS 6010'!D52+'RS 6264'!D52+'RS 3310'!D52+'RS 3311'!D52+'RS 6500'!D71+'RS 6512'!D52+'RS 8150'!D52</f>
        <v>60076.01</v>
      </c>
      <c r="G43" s="1893">
        <f>+'RS 3010'!H52+'RS 3310'!H52+'RS 3311'!H52+'RS 4035'!H51+'RS 4203'!H52+'RS 5640'!H52+'RS 6010'!H52+'RS 6264'!H52+'RS 6500'!H71+'RS 6512'!H52+'RS 8150'!H52+'RS 9076'!H52</f>
        <v>69384</v>
      </c>
      <c r="H43" s="2031">
        <f>+'RS 3010'!L52+'RS 3310'!L52+'RS 3311'!L52+'RS 4035'!L51+'RS 4203'!L52+'RS 5640'!L52+'RS 6010'!L52+'RS 6264'!L52+'RS 6500'!L71+'RS 6512'!L52+'RS 8150'!L52+'RS 9076'!L52</f>
        <v>65226</v>
      </c>
      <c r="I43" s="1918">
        <f>+'RS 3010'!P52+'RS 3310'!P52+'RS 3311'!P52+'RS 4035'!P51+'RS 4203'!P52+'RS 5640'!P52+'RS 6010'!P52+'RS 6264'!P52+'RS 6500'!P71+'RS 6512'!P52+'RS 8150'!P52+'RS 9076'!P52</f>
        <v>65226</v>
      </c>
      <c r="J43" s="1515">
        <f>+'RS 3010'!T52+'RS 3310'!T52+'RS 3311'!T52+'RS 4035'!T51+'RS 4203'!T52+'RS 5640'!T52+'RS 6010'!T52+'RS 6264'!T52+'RS 6500'!T71+'RS 6512'!T52+'RS 8150'!T52+'RS 9076'!T52</f>
        <v>65226</v>
      </c>
      <c r="K43" s="647"/>
      <c r="L43" s="647"/>
      <c r="M43" s="1722">
        <f t="shared" si="19"/>
        <v>-4158</v>
      </c>
      <c r="N43" s="1699">
        <f t="shared" si="20"/>
        <v>-5.9927360774818403E-2</v>
      </c>
      <c r="O43" s="1722">
        <f t="shared" si="21"/>
        <v>0</v>
      </c>
      <c r="P43" s="1699">
        <f t="shared" si="22"/>
        <v>0</v>
      </c>
      <c r="Q43" s="1722">
        <f t="shared" si="5"/>
        <v>0</v>
      </c>
      <c r="R43" s="1699">
        <f t="shared" si="6"/>
        <v>0</v>
      </c>
      <c r="S43" s="1164"/>
      <c r="T43" s="1140"/>
      <c r="U43" s="1613">
        <f t="shared" ref="U43:X43" si="24">+SUM(G35:G43)</f>
        <v>3682988</v>
      </c>
      <c r="V43" s="1613">
        <f t="shared" si="24"/>
        <v>4124618</v>
      </c>
      <c r="W43" s="1613">
        <f t="shared" si="24"/>
        <v>4436000</v>
      </c>
      <c r="X43" s="1613">
        <f t="shared" si="24"/>
        <v>4755364</v>
      </c>
    </row>
    <row r="44" spans="1:24" ht="26.25" customHeight="1" x14ac:dyDescent="0.35">
      <c r="A44" s="1177"/>
      <c r="B44" s="1178"/>
      <c r="C44" s="731" t="str">
        <f>UNRESTRICTED!C44</f>
        <v>Other Supplies &amp; Materials</v>
      </c>
      <c r="D44" s="731"/>
      <c r="E44" s="619"/>
      <c r="F44" s="1499">
        <f>+'RS 3010'!D66+'RS 4035'!D65+'RS 4201'!D66+'RS 4203'!D66+'RS 5640'!D67+'RS 6010'!D66+'RS 6264'!D66+'RS 3310'!D66+'RS 3311'!D66+'RS 6500'!D85+'RS 6512'!D66+'RS 6230'!D66+'RS 7810'!D66+'RS 8150'!D69+'RS 9225'!D66+'RS 9076'!D66</f>
        <v>971209.57000000007</v>
      </c>
      <c r="G44" s="1893">
        <f>'RS 3010'!H66+'RS 3310'!H66+'RS 4035'!H65+'RS 4201'!H66+'RS 4203'!H66+'RS 5640'!H67+'RS 6264'!H66+'RS 6300'!H62+'RS 6500'!H85+'RS 8150'!H69+'RS 9076'!H66+'RS 9221'!H66+'RS 9222'!H66+'RS 9225'!H66-RESTRICTED!G45</f>
        <v>866393.47</v>
      </c>
      <c r="H44" s="2031">
        <f>'RS 3010'!L66+'RS 3310'!L66+'RS 4035'!L65+'RS 4201'!L66+'RS 4203'!L66+'RS 5640'!L67+'RS 6264'!L66+'RS 6300'!L62+'RS 6500'!L85+'RS 8150'!L69+'RS 9076'!L66+'RS 9221'!L66+'RS 9222'!L66+'RS 9225'!L66-RESTRICTED!H45</f>
        <v>1103548</v>
      </c>
      <c r="I44" s="1918">
        <f>'RS 3010'!P66+'RS 3310'!P66+'RS 4035'!P65+'RS 4201'!P66+'RS 4203'!P66+'RS 5640'!P67+'RS 6264'!P66+'RS 6300'!P62+'RS 6500'!P85+'RS 8150'!P69+'RS 9076'!P66+'RS 9221'!P66+'RS 9222'!P66+'RS 9225'!P66-RESTRICTED!I45</f>
        <v>920855</v>
      </c>
      <c r="J44" s="1515">
        <f>'RS 3010'!T66+'RS 3310'!T66+'RS 4035'!T65+'RS 4201'!T66+'RS 4203'!T66+'RS 5640'!T67+'RS 6264'!T66+'RS 6300'!T62+'RS 6500'!T85+'RS 8150'!T69+'RS 9076'!T66+'RS 9221'!T66+'RS 9222'!T66+'RS 9225'!T66-RESTRICTED!J45</f>
        <v>970105</v>
      </c>
      <c r="K44" s="647" t="e">
        <v>#REF!</v>
      </c>
      <c r="L44" s="647" t="e">
        <v>#REF!</v>
      </c>
      <c r="M44" s="1722">
        <f t="shared" si="19"/>
        <v>237154.53000000003</v>
      </c>
      <c r="N44" s="1699">
        <f t="shared" si="20"/>
        <v>0.2737261281528357</v>
      </c>
      <c r="O44" s="1722">
        <f t="shared" si="21"/>
        <v>-182693</v>
      </c>
      <c r="P44" s="1699">
        <f t="shared" si="22"/>
        <v>-0.16555056961727083</v>
      </c>
      <c r="Q44" s="1722">
        <f t="shared" si="5"/>
        <v>49250</v>
      </c>
      <c r="R44" s="1699">
        <f t="shared" si="6"/>
        <v>5.3482904474645848E-2</v>
      </c>
      <c r="S44" s="1164"/>
      <c r="T44" s="1147"/>
      <c r="U44" s="1609" t="s">
        <v>910</v>
      </c>
    </row>
    <row r="45" spans="1:24" s="1169" customFormat="1" ht="39" customHeight="1" x14ac:dyDescent="0.25">
      <c r="A45" s="1201"/>
      <c r="B45" s="1202"/>
      <c r="C45" s="1203"/>
      <c r="D45" s="1204" t="s">
        <v>688</v>
      </c>
      <c r="E45" s="622"/>
      <c r="F45" s="1500">
        <f>+'RS 6300'!D62</f>
        <v>640044.14</v>
      </c>
      <c r="G45" s="1900">
        <f>'RS 6300'!H59</f>
        <v>361120</v>
      </c>
      <c r="H45" s="2045">
        <f>'RS 6300'!L59</f>
        <v>0</v>
      </c>
      <c r="I45" s="1924">
        <f>'RS 6300'!P59</f>
        <v>1800000</v>
      </c>
      <c r="J45" s="1530">
        <f>'RS 6300'!T59</f>
        <v>0</v>
      </c>
      <c r="K45" s="657">
        <v>0</v>
      </c>
      <c r="L45" s="657">
        <v>1180788</v>
      </c>
      <c r="M45" s="1722">
        <f t="shared" si="19"/>
        <v>-361120</v>
      </c>
      <c r="N45" s="1699">
        <f t="shared" si="20"/>
        <v>-1</v>
      </c>
      <c r="O45" s="1722">
        <f t="shared" si="21"/>
        <v>1800000</v>
      </c>
      <c r="P45" s="1699">
        <f t="shared" si="22"/>
        <v>0</v>
      </c>
      <c r="Q45" s="1722">
        <f t="shared" si="5"/>
        <v>-1800000</v>
      </c>
      <c r="R45" s="1699">
        <f t="shared" si="6"/>
        <v>-1</v>
      </c>
      <c r="S45" s="1140"/>
      <c r="T45" s="1140"/>
      <c r="U45" s="1610">
        <f t="shared" ref="U45" si="25">+G44+G45</f>
        <v>1227513.47</v>
      </c>
      <c r="V45" s="1610">
        <f t="shared" ref="V45" si="26">+H44+H45</f>
        <v>1103548</v>
      </c>
      <c r="W45" s="1610">
        <f t="shared" ref="W45" si="27">+I44+I45</f>
        <v>2720855</v>
      </c>
      <c r="X45" s="1610">
        <f t="shared" ref="X45" si="28">+J44+J45</f>
        <v>970105</v>
      </c>
    </row>
    <row r="46" spans="1:24" ht="18" x14ac:dyDescent="0.25">
      <c r="A46" s="1177"/>
      <c r="B46" s="1178"/>
      <c r="C46" s="731" t="s">
        <v>380</v>
      </c>
      <c r="D46" s="731"/>
      <c r="E46" s="619"/>
      <c r="F46" s="1484">
        <f>+'RS 3010'!D82+'RS 4035'!D81+'RS 4201'!D82+'RS 4203'!D82+'RS 5640'!D83+'RS 6010'!D82+'RS 6264'!D82+'RS 3310'!D82+'RS 3311'!D82+'RS 6500'!D103+'RS 6512'!D82+'RS 6230'!D82+'RS 7810'!D82+'RS 8150'!D89+'RS 9225'!D82+'RS 9076'!D82</f>
        <v>5519138.5499999998</v>
      </c>
      <c r="G46" s="1893">
        <f>'RS 3010'!H82+'RS 3310'!H82+'RS 4035'!H81+'RS 4201'!H82+'RS 4203'!H82+'RS 5640'!H83+'RS 6010'!H82+'RS 6230'!H82+'RS 6264'!H82+'RS 6500'!H103+'RS 8150'!H89+'RS 9076'!H82+'RS 9221'!H82+'RS 9222'!H82+'RS 9225'!H82</f>
        <v>5514881.5999999996</v>
      </c>
      <c r="H46" s="2031">
        <f>+'RS 3010'!L82+'RS 4035'!L81+'RS 4201'!L82+'RS 4203'!L82+'RS 5640'!L83+'RS 6010'!L82+'RS 6264'!L82+'RS 3310'!L82+'RS 3311'!L82+'RS 6500'!L103+'RS 6512'!L82+'RS 6230'!L82+'RS 7810'!L82+'RS 8150'!L89+'RS 9225'!L82+'RS 9076'!L82</f>
        <v>5596062</v>
      </c>
      <c r="I46" s="1918">
        <f>+'RS 3010'!P82+'RS 4035'!P81+'RS 4201'!P82+'RS 4203'!P82+'RS 5640'!P83+'RS 6010'!P82+'RS 6264'!P82+'RS 3310'!P82+'RS 3311'!P82+'RS 6500'!P103+'RS 6512'!P82+'RS 6230'!P82+'RS 7810'!P82+'RS 8150'!P89+'RS 9225'!P82+'RS 9076'!P82</f>
        <v>5226967</v>
      </c>
      <c r="J46" s="1515">
        <f>+'RS 3010'!T82+'RS 4035'!T81+'RS 4201'!T82+'RS 4203'!T82+'RS 5640'!T83+'RS 6010'!T82+'RS 6264'!T82+'RS 3310'!T82+'RS 3311'!T82+'RS 6500'!T103+'RS 6512'!T82+'RS 6230'!T82+'RS 7810'!T82+'RS 8150'!T89+'RS 9225'!T82+'RS 9076'!T82</f>
        <v>5199172</v>
      </c>
      <c r="K46" s="647" t="e">
        <v>#REF!</v>
      </c>
      <c r="L46" s="647" t="e">
        <v>#REF!</v>
      </c>
      <c r="M46" s="1722">
        <f t="shared" si="19"/>
        <v>81180.400000000373</v>
      </c>
      <c r="N46" s="1699">
        <f t="shared" si="20"/>
        <v>1.4720243495345463E-2</v>
      </c>
      <c r="O46" s="1722">
        <f t="shared" si="21"/>
        <v>-369095</v>
      </c>
      <c r="P46" s="1699">
        <f t="shared" si="22"/>
        <v>-6.5956202772592579E-2</v>
      </c>
      <c r="Q46" s="1722">
        <f t="shared" si="5"/>
        <v>-27795</v>
      </c>
      <c r="R46" s="1699">
        <f t="shared" si="6"/>
        <v>-5.3176153589643864E-3</v>
      </c>
      <c r="S46" s="1147"/>
      <c r="T46" s="1147"/>
    </row>
    <row r="47" spans="1:24" ht="18" x14ac:dyDescent="0.25">
      <c r="A47" s="1336"/>
      <c r="B47" s="1332"/>
      <c r="C47" s="1333"/>
      <c r="D47" s="1333"/>
      <c r="E47" s="1334"/>
      <c r="F47" s="1484"/>
      <c r="G47" s="1893"/>
      <c r="H47" s="2031"/>
      <c r="I47" s="1918"/>
      <c r="J47" s="1515"/>
      <c r="K47" s="647"/>
      <c r="L47" s="647"/>
      <c r="M47" s="1722">
        <f t="shared" si="19"/>
        <v>0</v>
      </c>
      <c r="N47" s="1699">
        <f t="shared" si="20"/>
        <v>0</v>
      </c>
      <c r="O47" s="1722">
        <f t="shared" si="21"/>
        <v>0</v>
      </c>
      <c r="P47" s="1699">
        <f t="shared" si="22"/>
        <v>0</v>
      </c>
      <c r="Q47" s="1722">
        <f t="shared" si="5"/>
        <v>0</v>
      </c>
      <c r="R47" s="1699">
        <f t="shared" si="6"/>
        <v>0</v>
      </c>
      <c r="S47" s="1147"/>
      <c r="T47" s="1147"/>
    </row>
    <row r="48" spans="1:24" s="1169" customFormat="1" ht="18" x14ac:dyDescent="0.25">
      <c r="A48" s="1177"/>
      <c r="B48" s="1178"/>
      <c r="C48" s="731" t="s">
        <v>328</v>
      </c>
      <c r="D48" s="731"/>
      <c r="E48" s="619"/>
      <c r="F48" s="1484">
        <f>+'RS 8150'!D95+'RS 9225'!D96+'RS 5640'!D86+'RS 7810'!D85</f>
        <v>1655374.5500000003</v>
      </c>
      <c r="G48" s="1893">
        <f>+'RS 8150'!H95+'RS 9225'!H96+'RS 5640'!H86+'RS 7810'!H85</f>
        <v>3988352.33</v>
      </c>
      <c r="H48" s="2031">
        <f>+'RS 8150'!L95+'RS 9225'!L96+'RS 5640'!L86+'RS 7810'!L85</f>
        <v>997000</v>
      </c>
      <c r="I48" s="1918">
        <f>+'RS 8150'!P95+'RS 9225'!P96+'RS 5640'!P86+'RS 7810'!P85</f>
        <v>0</v>
      </c>
      <c r="J48" s="1515">
        <f>+'RS 8150'!T95+'RS 9225'!T96+'RS 5640'!T86+'RS 7810'!T85</f>
        <v>0</v>
      </c>
      <c r="K48" s="647" t="e">
        <v>#REF!</v>
      </c>
      <c r="L48" s="647" t="e">
        <v>#REF!</v>
      </c>
      <c r="M48" s="1722">
        <f t="shared" si="19"/>
        <v>-2991352.33</v>
      </c>
      <c r="N48" s="1699">
        <f t="shared" si="20"/>
        <v>-0.75002208493450728</v>
      </c>
      <c r="O48" s="1722">
        <f t="shared" si="21"/>
        <v>-997000</v>
      </c>
      <c r="P48" s="1699">
        <f t="shared" si="22"/>
        <v>-1</v>
      </c>
      <c r="Q48" s="1722">
        <f t="shared" si="5"/>
        <v>0</v>
      </c>
      <c r="R48" s="1699">
        <f t="shared" si="6"/>
        <v>0</v>
      </c>
      <c r="S48" s="1140"/>
      <c r="T48" s="1140"/>
      <c r="U48" s="1610"/>
      <c r="V48" s="1610"/>
      <c r="W48" s="1610"/>
      <c r="X48" s="1610"/>
    </row>
    <row r="49" spans="1:44" ht="18" x14ac:dyDescent="0.25">
      <c r="A49" s="1177"/>
      <c r="B49" s="1178"/>
      <c r="C49" s="731" t="s">
        <v>381</v>
      </c>
      <c r="D49" s="731"/>
      <c r="E49" s="619"/>
      <c r="F49" s="1484">
        <f>+'RS 3310'!D89+'RS 6500'!D110</f>
        <v>1459459.87</v>
      </c>
      <c r="G49" s="1893">
        <f>+'RS 3310'!H89+'RS 6500'!H110</f>
        <v>1716263</v>
      </c>
      <c r="H49" s="2031">
        <f>'RS 3310'!L89+'RS 6500'!L110</f>
        <v>1603825</v>
      </c>
      <c r="I49" s="1918">
        <f>'RS 3310'!P89+'RS 6500'!P110</f>
        <v>1603825</v>
      </c>
      <c r="J49" s="1515">
        <f>'RS 3310'!T89+'RS 6500'!T110</f>
        <v>1603825</v>
      </c>
      <c r="K49" s="647" t="e">
        <f>(+J49)*(1+#REF!)</f>
        <v>#REF!</v>
      </c>
      <c r="L49" s="647" t="e">
        <f>(+K49)*(1+#REF!)</f>
        <v>#REF!</v>
      </c>
      <c r="M49" s="1722">
        <f t="shared" si="19"/>
        <v>-112438</v>
      </c>
      <c r="N49" s="1699">
        <f t="shared" si="20"/>
        <v>-6.5513269236707888E-2</v>
      </c>
      <c r="O49" s="1722">
        <f t="shared" si="21"/>
        <v>0</v>
      </c>
      <c r="P49" s="1699">
        <f t="shared" si="22"/>
        <v>0</v>
      </c>
      <c r="Q49" s="1722">
        <f t="shared" si="5"/>
        <v>0</v>
      </c>
      <c r="R49" s="1699">
        <f t="shared" si="6"/>
        <v>0</v>
      </c>
      <c r="S49" s="1140"/>
      <c r="T49" s="1140"/>
    </row>
    <row r="50" spans="1:44" ht="18" x14ac:dyDescent="0.25">
      <c r="A50" s="1180"/>
      <c r="B50" s="1181"/>
      <c r="C50" s="1182" t="s">
        <v>382</v>
      </c>
      <c r="D50" s="1182"/>
      <c r="E50" s="623"/>
      <c r="F50" s="1492">
        <f>+'RS 3010'!D14+'RS 4035'!D13+'RS 4201'!D13+'RS 4203'!D13+'RS 5640'!D13+'RS 6010'!D13+'RS 6264'!D13+'RS 3310'!D13+'RS 3311'!D13+'RS 6500'!D16+'RS 6512'!D13</f>
        <v>575725.48</v>
      </c>
      <c r="G50" s="2004">
        <f>+'RS 3010'!H14+'RS 4035'!H13+'RS 4201'!H13+'RS 4203'!H13+'RS 5640'!H13+'RS 6010'!H13+'RS 6264'!H13+'RS 3310'!H13+'RS 3311'!H13+'RS 6500'!H16+'RS 6512'!H13</f>
        <v>747658</v>
      </c>
      <c r="H50" s="2039">
        <f>+'RS 3010'!L14+'RS 4035'!L13+'RS 4201'!L13+'RS 4203'!L13+'RS 5640'!L13+'RS 6010'!L13+'RS 6264'!L13+'RS 3310'!L13+'RS 3311'!L13+'RS 6500'!L16+'RS 6512'!L13</f>
        <v>919263</v>
      </c>
      <c r="I50" s="2020">
        <f>+'RS 3010'!P14+'RS 4035'!P13+'RS 4201'!P13+'RS 4203'!P13+'RS 5640'!P13+'RS 6010'!P13+'RS 6264'!P13+'RS 3310'!P13+'RS 3311'!P13+'RS 6500'!P16+'RS 6512'!P13</f>
        <v>798762</v>
      </c>
      <c r="J50" s="1523">
        <v>710426</v>
      </c>
      <c r="K50" s="653" t="e">
        <f>SUM(K28:K46)*0.024</f>
        <v>#REF!</v>
      </c>
      <c r="L50" s="653" t="e">
        <f>SUM(L28:L46)*0.024</f>
        <v>#REF!</v>
      </c>
      <c r="M50" s="1722">
        <f t="shared" si="19"/>
        <v>171605</v>
      </c>
      <c r="N50" s="1699">
        <f t="shared" si="20"/>
        <v>0.22952339171118347</v>
      </c>
      <c r="O50" s="1722">
        <f t="shared" si="21"/>
        <v>-120501</v>
      </c>
      <c r="P50" s="1699">
        <f t="shared" si="22"/>
        <v>-0.13108435779532082</v>
      </c>
      <c r="Q50" s="1722">
        <f t="shared" si="5"/>
        <v>-88336</v>
      </c>
      <c r="R50" s="1699">
        <f t="shared" si="6"/>
        <v>-0.11059113978882321</v>
      </c>
      <c r="S50" s="1140"/>
      <c r="T50" s="1140"/>
    </row>
    <row r="51" spans="1:44" ht="18.75" thickBot="1" x14ac:dyDescent="0.3">
      <c r="A51" s="1191"/>
      <c r="B51" s="1184" t="s">
        <v>359</v>
      </c>
      <c r="C51" s="1192"/>
      <c r="D51" s="1192"/>
      <c r="E51" s="624"/>
      <c r="F51" s="1493">
        <f t="shared" ref="F51:L51" si="29">SUM(F28:F50)</f>
        <v>26154629.350000005</v>
      </c>
      <c r="G51" s="1894">
        <f t="shared" si="29"/>
        <v>29804282.399999999</v>
      </c>
      <c r="H51" s="2040">
        <f>SUM(H28:H50)</f>
        <v>27614386</v>
      </c>
      <c r="I51" s="1920">
        <f>SUM(I28:I50)</f>
        <v>28235025</v>
      </c>
      <c r="J51" s="1524">
        <f>SUM(J28:J50)</f>
        <v>26826327</v>
      </c>
      <c r="K51" s="654" t="e">
        <f t="shared" si="29"/>
        <v>#REF!</v>
      </c>
      <c r="L51" s="654" t="e">
        <f t="shared" si="29"/>
        <v>#REF!</v>
      </c>
      <c r="M51" s="1722">
        <f t="shared" si="19"/>
        <v>-2189896.3999999985</v>
      </c>
      <c r="N51" s="1699">
        <f t="shared" si="20"/>
        <v>-7.3475897544172997E-2</v>
      </c>
      <c r="O51" s="1722">
        <f t="shared" si="21"/>
        <v>620639</v>
      </c>
      <c r="P51" s="1699">
        <f t="shared" si="22"/>
        <v>2.2475205496149724E-2</v>
      </c>
      <c r="Q51" s="1722">
        <f t="shared" si="5"/>
        <v>-1408698</v>
      </c>
      <c r="R51" s="1699">
        <f t="shared" si="6"/>
        <v>-4.9891863031819521E-2</v>
      </c>
      <c r="S51" s="1140"/>
      <c r="T51" s="1140"/>
    </row>
    <row r="52" spans="1:44" ht="18.75" thickTop="1" x14ac:dyDescent="0.25">
      <c r="A52" s="1185"/>
      <c r="B52" s="1186"/>
      <c r="C52" s="1187"/>
      <c r="D52" s="1187"/>
      <c r="E52" s="183"/>
      <c r="F52" s="1490"/>
      <c r="G52" s="2002"/>
      <c r="H52" s="2037"/>
      <c r="I52" s="2018"/>
      <c r="J52" s="1521"/>
      <c r="K52" s="652"/>
      <c r="L52" s="652"/>
      <c r="M52" s="1722"/>
      <c r="N52" s="1699"/>
      <c r="O52" s="1722"/>
      <c r="P52" s="1699"/>
      <c r="Q52" s="1722">
        <f t="shared" si="5"/>
        <v>0</v>
      </c>
      <c r="R52" s="1699">
        <f t="shared" si="6"/>
        <v>0</v>
      </c>
    </row>
    <row r="53" spans="1:44" ht="18" x14ac:dyDescent="0.25">
      <c r="A53" s="1172"/>
      <c r="B53" s="1173" t="s">
        <v>705</v>
      </c>
      <c r="C53" s="1174"/>
      <c r="D53" s="1174"/>
      <c r="E53" s="661"/>
      <c r="F53" s="1501"/>
      <c r="G53" s="1896"/>
      <c r="H53" s="2043"/>
      <c r="I53" s="749"/>
      <c r="J53" s="1528"/>
      <c r="K53" s="662"/>
      <c r="L53" s="662"/>
      <c r="M53" s="1722"/>
      <c r="N53" s="1699"/>
      <c r="O53" s="1722"/>
      <c r="P53" s="1699"/>
      <c r="Q53" s="1722">
        <f t="shared" si="5"/>
        <v>0</v>
      </c>
      <c r="R53" s="1699">
        <f t="shared" si="6"/>
        <v>0</v>
      </c>
    </row>
    <row r="54" spans="1:44" ht="18" x14ac:dyDescent="0.25">
      <c r="A54" s="1175"/>
      <c r="B54" s="1176"/>
      <c r="C54" s="739" t="s">
        <v>360</v>
      </c>
      <c r="D54" s="739"/>
      <c r="E54" s="659"/>
      <c r="F54" s="1502">
        <v>0</v>
      </c>
      <c r="G54" s="2234">
        <f>+'RS 9225'!H99</f>
        <v>1959794.72</v>
      </c>
      <c r="H54" s="2046">
        <f>+'RS 9225'!L99</f>
        <v>0</v>
      </c>
      <c r="I54" s="2024">
        <f>+'RS 9225'!P99</f>
        <v>0</v>
      </c>
      <c r="J54" s="1531">
        <f>+'RS 9225'!T99</f>
        <v>0</v>
      </c>
      <c r="K54" s="660">
        <f t="shared" ref="K54:L54" si="30">+J54</f>
        <v>0</v>
      </c>
      <c r="L54" s="660">
        <f t="shared" si="30"/>
        <v>0</v>
      </c>
      <c r="M54" s="1722">
        <f>+H54-G54</f>
        <v>-1959794.72</v>
      </c>
      <c r="N54" s="1699">
        <f>IFERROR(M54/G54,0)</f>
        <v>-1</v>
      </c>
      <c r="O54" s="1722">
        <f>+I54-H54</f>
        <v>0</v>
      </c>
      <c r="P54" s="1699">
        <f>IFERROR(O54/H54,0)</f>
        <v>0</v>
      </c>
      <c r="Q54" s="1722">
        <f t="shared" si="5"/>
        <v>0</v>
      </c>
      <c r="R54" s="1699">
        <f t="shared" si="6"/>
        <v>0</v>
      </c>
    </row>
    <row r="55" spans="1:44" ht="18" x14ac:dyDescent="0.25">
      <c r="A55" s="1177"/>
      <c r="B55" s="1178"/>
      <c r="C55" s="731" t="s">
        <v>362</v>
      </c>
      <c r="D55" s="731"/>
      <c r="E55" s="619"/>
      <c r="F55" s="1484">
        <v>0</v>
      </c>
      <c r="G55" s="1893">
        <v>0</v>
      </c>
      <c r="H55" s="2031">
        <v>0</v>
      </c>
      <c r="I55" s="1918">
        <v>0</v>
      </c>
      <c r="J55" s="1515">
        <v>0</v>
      </c>
      <c r="K55" s="647">
        <v>0</v>
      </c>
      <c r="L55" s="647">
        <v>0</v>
      </c>
      <c r="M55" s="1722">
        <f>+H55-G55</f>
        <v>0</v>
      </c>
      <c r="N55" s="1699">
        <f>IFERROR(M55/G55,0)</f>
        <v>0</v>
      </c>
      <c r="O55" s="1722">
        <f>+I55-H55</f>
        <v>0</v>
      </c>
      <c r="P55" s="1699">
        <f>IFERROR(O55/H55,0)</f>
        <v>0</v>
      </c>
      <c r="Q55" s="1722">
        <f t="shared" si="5"/>
        <v>0</v>
      </c>
      <c r="R55" s="1699">
        <f t="shared" si="6"/>
        <v>0</v>
      </c>
    </row>
    <row r="56" spans="1:44" ht="18.75" thickBot="1" x14ac:dyDescent="0.3">
      <c r="A56" s="1191"/>
      <c r="B56" s="1184" t="s">
        <v>707</v>
      </c>
      <c r="C56" s="1192"/>
      <c r="D56" s="1192"/>
      <c r="E56" s="624"/>
      <c r="F56" s="1493">
        <f>SUM(F54:F55)</f>
        <v>0</v>
      </c>
      <c r="G56" s="1894">
        <f t="shared" ref="G56:L56" si="31">SUM(G54:G55)</f>
        <v>1959794.72</v>
      </c>
      <c r="H56" s="2040">
        <f t="shared" si="31"/>
        <v>0</v>
      </c>
      <c r="I56" s="1920">
        <f t="shared" ref="I56" si="32">SUM(I54:I55)</f>
        <v>0</v>
      </c>
      <c r="J56" s="1524">
        <f t="shared" ref="J56" si="33">SUM(J54:J55)</f>
        <v>0</v>
      </c>
      <c r="K56" s="654">
        <f t="shared" si="31"/>
        <v>0</v>
      </c>
      <c r="L56" s="654">
        <f t="shared" si="31"/>
        <v>0</v>
      </c>
      <c r="M56" s="1722">
        <f>+H56-G56</f>
        <v>-1959794.72</v>
      </c>
      <c r="N56" s="1699">
        <f>IFERROR(M56/G56,0)</f>
        <v>-1</v>
      </c>
      <c r="O56" s="1722">
        <f>+I56-H56</f>
        <v>0</v>
      </c>
      <c r="P56" s="1699">
        <f>IFERROR(O56/H56,0)</f>
        <v>0</v>
      </c>
      <c r="Q56" s="1722">
        <f t="shared" si="5"/>
        <v>0</v>
      </c>
      <c r="R56" s="1699">
        <f t="shared" si="6"/>
        <v>0</v>
      </c>
    </row>
    <row r="57" spans="1:44" s="1164" customFormat="1" ht="18.75" thickTop="1" x14ac:dyDescent="0.25">
      <c r="A57" s="1185"/>
      <c r="B57" s="1186"/>
      <c r="C57" s="1187"/>
      <c r="D57" s="1187"/>
      <c r="E57" s="185"/>
      <c r="F57" s="1976"/>
      <c r="G57" s="1563"/>
      <c r="H57" s="2047"/>
      <c r="I57" s="1564"/>
      <c r="J57" s="1977"/>
      <c r="K57" s="658"/>
      <c r="L57" s="658"/>
      <c r="M57" s="1722">
        <f>+H57-G57</f>
        <v>0</v>
      </c>
      <c r="N57" s="1699">
        <f>IFERROR(M57/G57,0)</f>
        <v>0</v>
      </c>
      <c r="O57" s="1722">
        <f>+I57-H57</f>
        <v>0</v>
      </c>
      <c r="P57" s="1699">
        <f>IFERROR(O57/H57,0)</f>
        <v>0</v>
      </c>
      <c r="Q57" s="1722">
        <f t="shared" si="5"/>
        <v>0</v>
      </c>
      <c r="R57" s="1699">
        <f t="shared" si="6"/>
        <v>0</v>
      </c>
      <c r="U57" s="1611"/>
      <c r="V57" s="1611"/>
      <c r="W57" s="1611"/>
      <c r="X57" s="1611"/>
    </row>
    <row r="58" spans="1:44" s="1154" customFormat="1" ht="25.5" customHeight="1" x14ac:dyDescent="0.25">
      <c r="A58" s="1539"/>
      <c r="B58" s="1540" t="s">
        <v>706</v>
      </c>
      <c r="C58" s="1541"/>
      <c r="D58" s="1541"/>
      <c r="E58" s="1542"/>
      <c r="F58" s="1503">
        <f>SUM(F51,F56)</f>
        <v>26154629.350000005</v>
      </c>
      <c r="G58" s="1503">
        <f t="shared" ref="G58" si="34">SUM(G51,G56)</f>
        <v>31764077.119999997</v>
      </c>
      <c r="H58" s="1543">
        <f>SUM(H51,H56)</f>
        <v>27614386</v>
      </c>
      <c r="I58" s="1532">
        <f>SUM(I51,I56)</f>
        <v>28235025</v>
      </c>
      <c r="J58" s="1532">
        <f>SUM(J51,J56)</f>
        <v>26826327</v>
      </c>
      <c r="K58" s="1544"/>
      <c r="L58" s="1544"/>
      <c r="M58" s="1722">
        <f>+H58-G58</f>
        <v>-4149691.1199999973</v>
      </c>
      <c r="N58" s="1699">
        <f>IFERROR(M58/G58,0)</f>
        <v>-0.13064101010468765</v>
      </c>
      <c r="O58" s="1722">
        <f>+I58-H58</f>
        <v>620639</v>
      </c>
      <c r="P58" s="1699">
        <f>IFERROR(O58/H58,0)</f>
        <v>2.2475205496149724E-2</v>
      </c>
      <c r="Q58" s="1722">
        <f t="shared" si="5"/>
        <v>-1408698</v>
      </c>
      <c r="R58" s="1699">
        <f t="shared" si="6"/>
        <v>-4.9891863031819521E-2</v>
      </c>
      <c r="U58" s="1613"/>
      <c r="V58" s="1621"/>
      <c r="W58" s="1621"/>
      <c r="X58" s="1621"/>
      <c r="Y58" s="1171"/>
      <c r="Z58" s="1153"/>
      <c r="AA58" s="1153"/>
      <c r="AB58" s="1153"/>
      <c r="AC58" s="1153"/>
      <c r="AD58" s="1153"/>
      <c r="AE58" s="1153"/>
      <c r="AF58" s="1153"/>
      <c r="AG58" s="1153"/>
      <c r="AH58" s="1153"/>
      <c r="AI58" s="1153"/>
      <c r="AJ58" s="1153"/>
      <c r="AK58" s="1153"/>
      <c r="AL58" s="1153"/>
      <c r="AM58" s="1153"/>
      <c r="AN58" s="1153"/>
      <c r="AO58" s="1153"/>
      <c r="AP58" s="1153"/>
      <c r="AQ58" s="1153"/>
      <c r="AR58" s="1153"/>
    </row>
    <row r="59" spans="1:44" ht="18" x14ac:dyDescent="0.25">
      <c r="A59" s="1185"/>
      <c r="B59" s="1186"/>
      <c r="C59" s="1187"/>
      <c r="D59" s="1174"/>
      <c r="E59" s="1174"/>
      <c r="F59" s="1174"/>
      <c r="G59" s="1174"/>
      <c r="H59" s="2048"/>
      <c r="I59" s="1174"/>
      <c r="J59" s="1174"/>
      <c r="K59" s="749"/>
      <c r="L59" s="749"/>
      <c r="M59" s="1722"/>
      <c r="N59" s="1699"/>
      <c r="O59" s="1722"/>
      <c r="P59" s="1699"/>
      <c r="Q59" s="1722">
        <f t="shared" si="5"/>
        <v>0</v>
      </c>
      <c r="R59" s="1699">
        <f t="shared" si="6"/>
        <v>0</v>
      </c>
    </row>
    <row r="60" spans="1:44" s="1164" customFormat="1" ht="36.75" customHeight="1" x14ac:dyDescent="0.25">
      <c r="A60" s="1539"/>
      <c r="B60" s="1540" t="s">
        <v>383</v>
      </c>
      <c r="C60" s="1541"/>
      <c r="D60" s="1541"/>
      <c r="E60" s="1545"/>
      <c r="F60" s="1504">
        <v>5899189.46</v>
      </c>
      <c r="G60" s="1504">
        <f t="shared" ref="G60:L60" si="35">+F62</f>
        <v>6038147.7099999962</v>
      </c>
      <c r="H60" s="1546">
        <f t="shared" si="35"/>
        <v>2803495.1900000004</v>
      </c>
      <c r="I60" s="1533">
        <f>+H62</f>
        <v>1627724.1900000004</v>
      </c>
      <c r="J60" s="1533">
        <f>+I62</f>
        <v>7204.3700000001118</v>
      </c>
      <c r="K60" s="1547">
        <f t="shared" si="35"/>
        <v>165587.79999999981</v>
      </c>
      <c r="L60" s="1547" t="e">
        <f t="shared" si="35"/>
        <v>#REF!</v>
      </c>
      <c r="M60" s="1722">
        <f>+H60-G60</f>
        <v>-3234652.5199999958</v>
      </c>
      <c r="N60" s="1699">
        <f>IFERROR(M60/G60,0)</f>
        <v>-0.53570278094438961</v>
      </c>
      <c r="O60" s="1722">
        <f>+I60-H60</f>
        <v>-1175771</v>
      </c>
      <c r="P60" s="1699">
        <f>IFERROR(O60/H60,0)</f>
        <v>-0.41939469138165342</v>
      </c>
      <c r="Q60" s="1722">
        <f t="shared" si="5"/>
        <v>-1620519.8200000003</v>
      </c>
      <c r="R60" s="1699">
        <f t="shared" si="6"/>
        <v>-0.99557396145842125</v>
      </c>
      <c r="U60" s="1611"/>
      <c r="V60" s="1611"/>
      <c r="W60" s="1611"/>
      <c r="X60" s="1611"/>
    </row>
    <row r="61" spans="1:44" s="1164" customFormat="1" ht="36.75" customHeight="1" x14ac:dyDescent="0.25">
      <c r="A61" s="1548"/>
      <c r="B61" s="1549" t="s">
        <v>365</v>
      </c>
      <c r="C61" s="1550"/>
      <c r="D61" s="1550"/>
      <c r="E61" s="1551"/>
      <c r="F61" s="1505">
        <f>F25-F58</f>
        <v>138958.24999999627</v>
      </c>
      <c r="G61" s="1505">
        <f>G25-G58</f>
        <v>-3234652.5199999958</v>
      </c>
      <c r="H61" s="1552">
        <f>H25-H58</f>
        <v>-1175771</v>
      </c>
      <c r="I61" s="1534">
        <f>I25-I58</f>
        <v>-1620519.8200000003</v>
      </c>
      <c r="J61" s="1534">
        <f>J25-J58</f>
        <v>158383.4299999997</v>
      </c>
      <c r="K61" s="1553" t="e">
        <f>+#REF!+K56</f>
        <v>#REF!</v>
      </c>
      <c r="L61" s="1553" t="e">
        <f>+#REF!+L56</f>
        <v>#REF!</v>
      </c>
      <c r="M61" s="1722">
        <f>+H61-G61</f>
        <v>2058881.5199999958</v>
      </c>
      <c r="N61" s="1699">
        <f>IFERROR(M61/G61,0)</f>
        <v>-0.6365077878596983</v>
      </c>
      <c r="O61" s="1722">
        <f>+I61-H61</f>
        <v>-444748.8200000003</v>
      </c>
      <c r="P61" s="1699">
        <f>IFERROR(O61/H61,0)</f>
        <v>0.37826143015944458</v>
      </c>
      <c r="Q61" s="1722">
        <f t="shared" si="5"/>
        <v>1778903.25</v>
      </c>
      <c r="R61" s="1699">
        <f t="shared" si="6"/>
        <v>-1.0977361881325214</v>
      </c>
      <c r="U61" s="1611"/>
      <c r="V61" s="1611"/>
      <c r="W61" s="1611"/>
      <c r="X61" s="1611"/>
    </row>
    <row r="62" spans="1:44" s="1164" customFormat="1" ht="36.75" customHeight="1" thickBot="1" x14ac:dyDescent="0.3">
      <c r="A62" s="1554"/>
      <c r="B62" s="1555" t="s">
        <v>136</v>
      </c>
      <c r="C62" s="1556"/>
      <c r="D62" s="1556"/>
      <c r="E62" s="1557"/>
      <c r="F62" s="1506">
        <f>+F60+F61</f>
        <v>6038147.7099999962</v>
      </c>
      <c r="G62" s="1506">
        <f t="shared" ref="G62:H62" si="36">+G60+G61</f>
        <v>2803495.1900000004</v>
      </c>
      <c r="H62" s="1558">
        <f t="shared" si="36"/>
        <v>1627724.1900000004</v>
      </c>
      <c r="I62" s="1535">
        <f t="shared" ref="I62" si="37">+I60+I61</f>
        <v>7204.3700000001118</v>
      </c>
      <c r="J62" s="1535">
        <f t="shared" ref="J62" si="38">+J60+J61</f>
        <v>165587.79999999981</v>
      </c>
      <c r="K62" s="1559" t="e">
        <f>+K60+K61</f>
        <v>#REF!</v>
      </c>
      <c r="L62" s="1559" t="e">
        <f>+L60+L61</f>
        <v>#REF!</v>
      </c>
      <c r="M62" s="1722">
        <f>+H62-G62</f>
        <v>-1175771</v>
      </c>
      <c r="N62" s="1699">
        <f>IFERROR(M62/G62,0)</f>
        <v>-0.41939469138165342</v>
      </c>
      <c r="O62" s="1722">
        <f>+I62-H62</f>
        <v>-1620519.8200000003</v>
      </c>
      <c r="P62" s="1699">
        <f>IFERROR(O62/H62,0)</f>
        <v>-0.99557396145842125</v>
      </c>
      <c r="Q62" s="1722">
        <f t="shared" si="5"/>
        <v>158383.4299999997</v>
      </c>
      <c r="R62" s="1699">
        <f t="shared" si="6"/>
        <v>21.984355328779234</v>
      </c>
      <c r="U62" s="1611"/>
      <c r="V62" s="1611"/>
      <c r="W62" s="1611"/>
      <c r="X62" s="1611"/>
    </row>
    <row r="63" spans="1:44" s="1164" customFormat="1" ht="36.75" hidden="1" customHeight="1" thickTop="1" x14ac:dyDescent="0.25">
      <c r="A63" s="1340"/>
      <c r="B63" s="1341"/>
      <c r="C63" s="1342"/>
      <c r="D63" s="1342"/>
      <c r="E63" s="1343"/>
      <c r="F63" s="1507"/>
      <c r="G63" s="2009"/>
      <c r="H63" s="2049"/>
      <c r="I63" s="1344"/>
      <c r="J63" s="1507"/>
      <c r="K63" s="1344"/>
      <c r="L63" s="1344"/>
      <c r="M63" s="1722"/>
      <c r="N63" s="1711"/>
      <c r="O63" s="1722"/>
      <c r="P63" s="1712"/>
      <c r="Q63" s="1722"/>
      <c r="R63" s="1710"/>
      <c r="U63" s="1611"/>
      <c r="V63" s="1611"/>
      <c r="W63" s="1611"/>
      <c r="X63" s="1611"/>
    </row>
    <row r="64" spans="1:44" s="1140" customFormat="1" ht="18.75" thickTop="1" x14ac:dyDescent="0.25">
      <c r="A64" s="1185"/>
      <c r="B64" s="1186"/>
      <c r="C64" s="1187"/>
      <c r="D64" s="1174"/>
      <c r="E64" s="1174"/>
      <c r="F64" s="1174"/>
      <c r="G64" s="1174"/>
      <c r="H64" s="2048"/>
      <c r="I64" s="750"/>
      <c r="J64" s="1174"/>
      <c r="K64" s="750"/>
      <c r="L64" s="750"/>
      <c r="M64" s="1737"/>
      <c r="N64" s="1695"/>
      <c r="O64" s="1737"/>
      <c r="P64" s="1589"/>
      <c r="Q64" s="1723"/>
      <c r="R64" s="1700"/>
      <c r="U64" s="1606"/>
      <c r="V64" s="1606"/>
      <c r="W64" s="1606"/>
      <c r="X64" s="1606"/>
    </row>
    <row r="65" spans="1:24" ht="36.75" customHeight="1" x14ac:dyDescent="0.25">
      <c r="A65" s="1969"/>
      <c r="B65" s="1540" t="s">
        <v>384</v>
      </c>
      <c r="C65" s="1560"/>
      <c r="D65" s="1560"/>
      <c r="E65" s="1508"/>
      <c r="F65" s="1508"/>
      <c r="G65" s="2010"/>
      <c r="H65" s="1561"/>
      <c r="I65" s="1562"/>
      <c r="J65" s="1508"/>
      <c r="K65" s="1562"/>
      <c r="L65" s="1562"/>
      <c r="M65" s="1737"/>
      <c r="N65" s="1695"/>
      <c r="O65" s="1737"/>
      <c r="P65" s="1589"/>
      <c r="Q65" s="1720"/>
      <c r="R65" s="1700"/>
    </row>
    <row r="66" spans="1:24" s="1164" customFormat="1" ht="24.75" hidden="1" customHeight="1" x14ac:dyDescent="0.25">
      <c r="A66" s="1205"/>
      <c r="B66" s="1206"/>
      <c r="C66" s="1346" t="s">
        <v>367</v>
      </c>
      <c r="D66" s="1206"/>
      <c r="E66" s="713"/>
      <c r="F66" s="1509">
        <v>0</v>
      </c>
      <c r="G66" s="2011">
        <v>0</v>
      </c>
      <c r="H66" s="2050">
        <v>0</v>
      </c>
      <c r="I66" s="2025">
        <v>0</v>
      </c>
      <c r="J66" s="1536">
        <v>0</v>
      </c>
      <c r="K66" s="714"/>
      <c r="L66" s="714"/>
      <c r="M66" s="1737"/>
      <c r="N66" s="1695"/>
      <c r="O66" s="1737"/>
      <c r="P66" s="1589"/>
      <c r="Q66" s="1724"/>
      <c r="R66" s="1700"/>
      <c r="U66" s="1611"/>
      <c r="V66" s="1611"/>
      <c r="W66" s="1611"/>
      <c r="X66" s="1611"/>
    </row>
    <row r="67" spans="1:24" s="1164" customFormat="1" ht="24.75" customHeight="1" x14ac:dyDescent="0.25">
      <c r="A67" s="1205"/>
      <c r="B67" s="1206"/>
      <c r="C67" s="1206" t="s">
        <v>368</v>
      </c>
      <c r="D67" s="1206"/>
      <c r="E67" s="713"/>
      <c r="F67" s="1509">
        <f>+F62</f>
        <v>6038147.7099999962</v>
      </c>
      <c r="G67" s="2011">
        <f>+G62</f>
        <v>2803495.1900000004</v>
      </c>
      <c r="H67" s="2050">
        <f>+H62</f>
        <v>1627724.1900000004</v>
      </c>
      <c r="I67" s="2025">
        <f>+I62</f>
        <v>7204.3700000001118</v>
      </c>
      <c r="J67" s="1536">
        <f>+J62</f>
        <v>165587.79999999981</v>
      </c>
      <c r="K67" s="714" t="e">
        <f t="shared" ref="K67:L67" si="39">+K62</f>
        <v>#REF!</v>
      </c>
      <c r="L67" s="714" t="e">
        <f t="shared" si="39"/>
        <v>#REF!</v>
      </c>
      <c r="M67" s="1737"/>
      <c r="N67" s="1695"/>
      <c r="O67" s="1737"/>
      <c r="P67" s="1589"/>
      <c r="Q67" s="1724"/>
      <c r="R67" s="1700"/>
      <c r="U67" s="1611"/>
      <c r="V67" s="1611"/>
      <c r="W67" s="1611"/>
      <c r="X67" s="1611"/>
    </row>
    <row r="68" spans="1:24" s="1164" customFormat="1" ht="24.75" hidden="1" customHeight="1" x14ac:dyDescent="0.25">
      <c r="A68" s="1205"/>
      <c r="B68" s="1206"/>
      <c r="C68" s="1347" t="s">
        <v>369</v>
      </c>
      <c r="D68" s="1206"/>
      <c r="E68" s="713"/>
      <c r="F68" s="1510">
        <v>0</v>
      </c>
      <c r="G68" s="2012">
        <v>0</v>
      </c>
      <c r="H68" s="2051">
        <v>0</v>
      </c>
      <c r="I68" s="2026">
        <v>0</v>
      </c>
      <c r="J68" s="1537">
        <v>0</v>
      </c>
      <c r="K68" s="716"/>
      <c r="L68" s="716"/>
      <c r="M68" s="1737"/>
      <c r="N68" s="1695"/>
      <c r="O68" s="1737"/>
      <c r="P68" s="1589"/>
      <c r="Q68" s="1724"/>
      <c r="R68" s="1700"/>
      <c r="U68" s="1611"/>
      <c r="V68" s="1611"/>
      <c r="W68" s="1611"/>
      <c r="X68" s="1611"/>
    </row>
    <row r="69" spans="1:24" s="1164" customFormat="1" ht="24.75" customHeight="1" x14ac:dyDescent="0.25">
      <c r="A69" s="1207"/>
      <c r="B69" s="1208"/>
      <c r="C69" s="1208" t="s">
        <v>370</v>
      </c>
      <c r="D69" s="1208"/>
      <c r="E69" s="715"/>
      <c r="F69" s="1510">
        <v>0</v>
      </c>
      <c r="G69" s="2012">
        <v>0</v>
      </c>
      <c r="H69" s="2051">
        <v>0</v>
      </c>
      <c r="I69" s="2026">
        <v>0</v>
      </c>
      <c r="J69" s="1537">
        <v>0</v>
      </c>
      <c r="K69" s="716">
        <v>0</v>
      </c>
      <c r="L69" s="716">
        <v>0</v>
      </c>
      <c r="M69" s="1737"/>
      <c r="N69" s="1695"/>
      <c r="O69" s="1737"/>
      <c r="P69" s="1589"/>
      <c r="Q69" s="1724"/>
      <c r="R69" s="1700"/>
      <c r="U69" s="1611"/>
      <c r="V69" s="1611"/>
      <c r="W69" s="1611"/>
      <c r="X69" s="1611"/>
    </row>
    <row r="70" spans="1:24" s="1164" customFormat="1" ht="24.75" hidden="1" customHeight="1" x14ac:dyDescent="0.25">
      <c r="A70" s="1345"/>
      <c r="B70" s="1210"/>
      <c r="C70" s="1210"/>
      <c r="D70" s="1210"/>
      <c r="E70" s="717"/>
      <c r="F70" s="1511"/>
      <c r="G70" s="2013"/>
      <c r="H70" s="2052"/>
      <c r="I70" s="2027"/>
      <c r="J70" s="1538"/>
      <c r="K70" s="718"/>
      <c r="L70" s="718"/>
      <c r="M70" s="1735"/>
      <c r="N70" s="1698"/>
      <c r="O70" s="1735"/>
      <c r="P70" s="1603"/>
      <c r="Q70" s="1725"/>
      <c r="R70" s="1703"/>
      <c r="U70" s="1611"/>
      <c r="V70" s="1611"/>
      <c r="W70" s="1611"/>
      <c r="X70" s="1611"/>
    </row>
    <row r="71" spans="1:24" s="1164" customFormat="1" ht="24.75" hidden="1" customHeight="1" x14ac:dyDescent="0.3">
      <c r="A71" s="1345"/>
      <c r="B71" s="1210"/>
      <c r="C71" s="1210"/>
      <c r="D71" s="1210"/>
      <c r="E71" s="717"/>
      <c r="F71" s="1511"/>
      <c r="G71" s="2013"/>
      <c r="H71" s="2052"/>
      <c r="I71" s="2027"/>
      <c r="J71" s="1538"/>
      <c r="K71" s="718"/>
      <c r="L71" s="718"/>
      <c r="M71" s="1738"/>
      <c r="N71" s="1696"/>
      <c r="O71" s="1738"/>
      <c r="P71" s="1584"/>
      <c r="Q71" s="1726"/>
      <c r="R71" s="1701"/>
      <c r="U71" s="1611"/>
      <c r="V71" s="1611"/>
      <c r="W71" s="1611"/>
      <c r="X71" s="1611"/>
    </row>
    <row r="72" spans="1:24" s="1164" customFormat="1" ht="24.75" hidden="1" customHeight="1" x14ac:dyDescent="0.25">
      <c r="A72" s="1345"/>
      <c r="B72" s="1210"/>
      <c r="C72" s="1210"/>
      <c r="D72" s="1210"/>
      <c r="E72" s="717"/>
      <c r="F72" s="1511"/>
      <c r="G72" s="2013"/>
      <c r="H72" s="2052"/>
      <c r="I72" s="2027"/>
      <c r="J72" s="1538"/>
      <c r="K72" s="718"/>
      <c r="L72" s="718"/>
      <c r="M72" s="1739"/>
      <c r="N72" s="1697"/>
      <c r="O72" s="1739"/>
      <c r="P72" s="1599"/>
      <c r="Q72" s="1725"/>
      <c r="R72" s="1702"/>
      <c r="U72" s="1611"/>
      <c r="V72" s="1611"/>
      <c r="W72" s="1611"/>
      <c r="X72" s="1611"/>
    </row>
    <row r="73" spans="1:24" s="1164" customFormat="1" ht="24.75" hidden="1" customHeight="1" x14ac:dyDescent="0.25">
      <c r="A73" s="1345"/>
      <c r="B73" s="1210"/>
      <c r="C73" s="1210"/>
      <c r="D73" s="1210"/>
      <c r="E73" s="717"/>
      <c r="F73" s="1511"/>
      <c r="G73" s="2013"/>
      <c r="H73" s="2052"/>
      <c r="I73" s="2027"/>
      <c r="J73" s="1538"/>
      <c r="K73" s="718"/>
      <c r="L73" s="718"/>
      <c r="M73" s="1735"/>
      <c r="N73" s="1698"/>
      <c r="O73" s="1735"/>
      <c r="P73" s="1603"/>
      <c r="Q73" s="1725"/>
      <c r="R73" s="1703"/>
      <c r="U73" s="1611"/>
      <c r="V73" s="1611"/>
      <c r="W73" s="1611"/>
      <c r="X73" s="1611"/>
    </row>
    <row r="74" spans="1:24" s="1164" customFormat="1" ht="24.75" hidden="1" customHeight="1" x14ac:dyDescent="0.25">
      <c r="A74" s="1345"/>
      <c r="B74" s="1210"/>
      <c r="C74" s="1210"/>
      <c r="D74" s="1210"/>
      <c r="E74" s="717"/>
      <c r="F74" s="1511"/>
      <c r="G74" s="2013"/>
      <c r="H74" s="2052"/>
      <c r="I74" s="2027"/>
      <c r="J74" s="1538"/>
      <c r="K74" s="718"/>
      <c r="L74" s="718"/>
      <c r="M74" s="1735"/>
      <c r="N74" s="1698"/>
      <c r="O74" s="1735"/>
      <c r="P74" s="1603"/>
      <c r="Q74" s="1725"/>
      <c r="R74" s="1703"/>
      <c r="U74" s="1611"/>
      <c r="V74" s="1611"/>
      <c r="W74" s="1611"/>
      <c r="X74" s="1611"/>
    </row>
    <row r="75" spans="1:24" s="1164" customFormat="1" ht="24.75" hidden="1" customHeight="1" x14ac:dyDescent="0.25">
      <c r="A75" s="1345"/>
      <c r="B75" s="1210"/>
      <c r="C75" s="1210"/>
      <c r="D75" s="1210"/>
      <c r="E75" s="717"/>
      <c r="F75" s="1511"/>
      <c r="G75" s="2013"/>
      <c r="H75" s="2052"/>
      <c r="I75" s="2027"/>
      <c r="J75" s="1538"/>
      <c r="K75" s="718"/>
      <c r="L75" s="718"/>
      <c r="M75" s="1735"/>
      <c r="N75" s="1698"/>
      <c r="O75" s="1735"/>
      <c r="P75" s="1603"/>
      <c r="Q75" s="1725"/>
      <c r="R75" s="1703"/>
      <c r="U75" s="1611"/>
      <c r="V75" s="1611"/>
      <c r="W75" s="1611"/>
      <c r="X75" s="1611"/>
    </row>
    <row r="76" spans="1:24" s="1164" customFormat="1" ht="24.75" customHeight="1" x14ac:dyDescent="0.25">
      <c r="A76" s="1209"/>
      <c r="B76" s="1210"/>
      <c r="C76" s="1210" t="s">
        <v>375</v>
      </c>
      <c r="D76" s="1210"/>
      <c r="E76" s="717"/>
      <c r="F76" s="1511">
        <f>ROUND(+F62-F67-F69,0)</f>
        <v>0</v>
      </c>
      <c r="G76" s="2013">
        <f>ROUND(+G62-G67-G69,0)</f>
        <v>0</v>
      </c>
      <c r="H76" s="2052">
        <f>ROUND(+H62-H67-H69,0)</f>
        <v>0</v>
      </c>
      <c r="I76" s="2027">
        <f>ROUND(+I62-I67-I69,0)</f>
        <v>0</v>
      </c>
      <c r="J76" s="1538">
        <f>ROUND(+J62-J67-J69,0)</f>
        <v>0</v>
      </c>
      <c r="K76" s="718" t="e">
        <f t="shared" ref="K76:L76" si="40">ROUND(+K62-K67-K69,0)</f>
        <v>#REF!</v>
      </c>
      <c r="L76" s="718" t="e">
        <f t="shared" si="40"/>
        <v>#REF!</v>
      </c>
      <c r="M76" s="1735"/>
      <c r="N76" s="1698"/>
      <c r="O76" s="1735"/>
      <c r="P76" s="1603"/>
      <c r="Q76" s="1727"/>
      <c r="R76" s="1703"/>
      <c r="U76" s="1611"/>
      <c r="V76" s="1611"/>
      <c r="W76" s="1611"/>
      <c r="X76" s="1611"/>
    </row>
    <row r="77" spans="1:24" s="1164" customFormat="1" ht="24.75" hidden="1" customHeight="1" x14ac:dyDescent="0.25">
      <c r="A77" s="1345"/>
      <c r="B77" s="1210"/>
      <c r="C77" s="1210"/>
      <c r="D77" s="1210"/>
      <c r="E77" s="717"/>
      <c r="F77" s="1511"/>
      <c r="G77" s="2013"/>
      <c r="H77" s="2052"/>
      <c r="I77" s="2027"/>
      <c r="J77" s="1538"/>
      <c r="K77" s="718"/>
      <c r="L77" s="718"/>
      <c r="M77" s="1735"/>
      <c r="N77" s="1698"/>
      <c r="O77" s="1735"/>
      <c r="P77" s="1603"/>
      <c r="Q77" s="1724"/>
      <c r="R77" s="1703"/>
      <c r="U77" s="1611"/>
      <c r="V77" s="1611"/>
      <c r="W77" s="1611"/>
      <c r="X77" s="1611"/>
    </row>
    <row r="78" spans="1:24" s="1164" customFormat="1" ht="24.75" hidden="1" customHeight="1" x14ac:dyDescent="0.25">
      <c r="A78" s="1345"/>
      <c r="B78" s="1210"/>
      <c r="C78" s="1210"/>
      <c r="D78" s="1210"/>
      <c r="E78" s="717"/>
      <c r="F78" s="1511"/>
      <c r="G78" s="2013"/>
      <c r="H78" s="2052"/>
      <c r="I78" s="2027"/>
      <c r="J78" s="1538"/>
      <c r="K78" s="718"/>
      <c r="L78" s="718"/>
      <c r="M78" s="1735"/>
      <c r="N78" s="1698"/>
      <c r="O78" s="1735"/>
      <c r="P78" s="1603"/>
      <c r="Q78" s="1728"/>
      <c r="R78" s="1703"/>
      <c r="U78" s="1611"/>
      <c r="V78" s="1611"/>
      <c r="W78" s="1611"/>
      <c r="X78" s="1611"/>
    </row>
    <row r="79" spans="1:24" s="1164" customFormat="1" ht="24.75" hidden="1" customHeight="1" x14ac:dyDescent="0.25">
      <c r="A79" s="1345"/>
      <c r="B79" s="1210"/>
      <c r="C79" s="1210"/>
      <c r="D79" s="1210"/>
      <c r="E79" s="717"/>
      <c r="F79" s="1511"/>
      <c r="G79" s="2013"/>
      <c r="H79" s="2052"/>
      <c r="I79" s="2027"/>
      <c r="J79" s="1538"/>
      <c r="K79" s="718"/>
      <c r="L79" s="718"/>
      <c r="M79" s="1735"/>
      <c r="N79" s="1698"/>
      <c r="O79" s="1735"/>
      <c r="P79" s="1603"/>
      <c r="Q79" s="1729"/>
      <c r="R79" s="1703"/>
      <c r="U79" s="1611"/>
      <c r="V79" s="1611"/>
      <c r="W79" s="1611"/>
      <c r="X79" s="1611"/>
    </row>
    <row r="80" spans="1:24" s="1164" customFormat="1" ht="24.75" hidden="1" customHeight="1" x14ac:dyDescent="0.25">
      <c r="A80" s="1345"/>
      <c r="B80" s="1210"/>
      <c r="C80" s="1210"/>
      <c r="D80" s="1210"/>
      <c r="E80" s="717"/>
      <c r="F80" s="1511"/>
      <c r="G80" s="2013"/>
      <c r="H80" s="2052"/>
      <c r="I80" s="2027"/>
      <c r="J80" s="1538"/>
      <c r="K80" s="718"/>
      <c r="L80" s="718"/>
      <c r="M80" s="1735"/>
      <c r="N80" s="1698"/>
      <c r="O80" s="1735"/>
      <c r="P80" s="1603"/>
      <c r="Q80" s="1730"/>
      <c r="R80" s="1703"/>
      <c r="U80" s="1611"/>
      <c r="V80" s="1611"/>
      <c r="W80" s="1611"/>
      <c r="X80" s="1611"/>
    </row>
    <row r="81" spans="1:25" s="1996" customFormat="1" ht="24.75" customHeight="1" thickBot="1" x14ac:dyDescent="0.3">
      <c r="A81" s="1986"/>
      <c r="B81" s="1987" t="s">
        <v>385</v>
      </c>
      <c r="C81" s="1988"/>
      <c r="D81" s="1988"/>
      <c r="E81" s="1989"/>
      <c r="F81" s="1990">
        <f>+SUM(F67:F76)</f>
        <v>6038147.7099999962</v>
      </c>
      <c r="G81" s="1990">
        <f>+SUM(G67:G76)</f>
        <v>2803495.1900000004</v>
      </c>
      <c r="H81" s="2053">
        <f>+SUM(H67:H76)</f>
        <v>1627724.1900000004</v>
      </c>
      <c r="I81" s="1991">
        <f>+SUM(I67:I76)</f>
        <v>7204.3700000001118</v>
      </c>
      <c r="J81" s="1991">
        <f>+SUM(J67:J76)</f>
        <v>165587.79999999981</v>
      </c>
      <c r="K81" s="1992" t="e">
        <f t="shared" ref="K81:L81" si="41">+SUM(K67:K76)</f>
        <v>#REF!</v>
      </c>
      <c r="L81" s="1992" t="e">
        <f t="shared" si="41"/>
        <v>#REF!</v>
      </c>
      <c r="M81" s="1993"/>
      <c r="N81" s="1994"/>
      <c r="O81" s="1993"/>
      <c r="P81" s="1995"/>
      <c r="Q81" s="1731"/>
      <c r="R81" s="1703"/>
      <c r="U81" s="1607"/>
      <c r="V81" s="1607"/>
      <c r="W81" s="1607"/>
      <c r="X81" s="1607"/>
    </row>
    <row r="82" spans="1:25" s="1140" customFormat="1" ht="8.25" customHeight="1" thickTop="1" thickBot="1" x14ac:dyDescent="0.3">
      <c r="A82" s="1985"/>
      <c r="B82" s="1979"/>
      <c r="C82" s="1979"/>
      <c r="D82" s="1979"/>
      <c r="E82" s="1980"/>
      <c r="F82" s="1981"/>
      <c r="G82" s="1981"/>
      <c r="H82" s="1982"/>
      <c r="I82" s="1983"/>
      <c r="J82" s="1984"/>
      <c r="K82" s="679"/>
      <c r="L82" s="679"/>
      <c r="M82" s="1735"/>
      <c r="N82" s="1698"/>
      <c r="O82" s="1735"/>
      <c r="P82" s="1603"/>
      <c r="Q82" s="1732"/>
      <c r="R82" s="1703"/>
      <c r="S82" s="1603"/>
      <c r="T82" s="1603"/>
      <c r="U82" s="1653"/>
      <c r="V82" s="1653"/>
      <c r="W82" s="1624"/>
      <c r="X82" s="1625"/>
      <c r="Y82" s="1605"/>
    </row>
    <row r="83" spans="1:25" ht="8.1" customHeight="1" thickTop="1" thickBot="1" x14ac:dyDescent="0.3">
      <c r="A83" s="1211"/>
      <c r="B83" s="1212"/>
      <c r="C83" s="1211"/>
      <c r="D83" s="1211"/>
      <c r="H83" s="2054"/>
      <c r="M83" s="1740"/>
      <c r="N83" s="1715"/>
      <c r="O83" s="1740"/>
      <c r="P83" s="1714"/>
      <c r="R83" s="1713"/>
    </row>
    <row r="84" spans="1:25" ht="8.1" customHeight="1" thickTop="1" x14ac:dyDescent="0.25">
      <c r="A84" s="1211"/>
      <c r="B84" s="1212"/>
      <c r="C84" s="1211"/>
      <c r="D84" s="1211"/>
      <c r="M84" s="1740"/>
      <c r="N84" s="1715"/>
      <c r="O84" s="1740"/>
      <c r="P84" s="1714"/>
      <c r="R84" s="1713"/>
    </row>
    <row r="85" spans="1:25" hidden="1" x14ac:dyDescent="0.25">
      <c r="A85" s="1211"/>
      <c r="B85" s="1212"/>
      <c r="C85" s="1211"/>
      <c r="D85" s="1211"/>
      <c r="M85" s="1741"/>
      <c r="N85" s="1718"/>
      <c r="O85" s="1741"/>
      <c r="P85" s="1717"/>
      <c r="Q85" s="1722"/>
      <c r="R85" s="1716"/>
    </row>
    <row r="86" spans="1:25" hidden="1" x14ac:dyDescent="0.25">
      <c r="A86" s="1211"/>
      <c r="B86" s="1212"/>
      <c r="C86" s="1211"/>
      <c r="D86" s="1211"/>
      <c r="M86" s="1741"/>
      <c r="N86" s="1718"/>
      <c r="O86" s="1741"/>
      <c r="P86" s="1717"/>
      <c r="Q86" s="1722"/>
      <c r="R86" s="1716"/>
    </row>
    <row r="87" spans="1:25" hidden="1" x14ac:dyDescent="0.25">
      <c r="A87" s="1211"/>
      <c r="B87" s="1212"/>
      <c r="C87" s="1211"/>
      <c r="D87" s="1211"/>
      <c r="M87" s="1741"/>
      <c r="N87" s="1718"/>
      <c r="O87" s="1741"/>
      <c r="P87" s="1717"/>
      <c r="Q87" s="1722"/>
      <c r="R87" s="1716"/>
    </row>
    <row r="88" spans="1:25" hidden="1" x14ac:dyDescent="0.25">
      <c r="M88" s="1741"/>
      <c r="N88" s="1718"/>
      <c r="O88" s="1741"/>
      <c r="P88" s="1717"/>
      <c r="Q88" s="1722"/>
      <c r="R88" s="1716"/>
    </row>
    <row r="89" spans="1:25" hidden="1" x14ac:dyDescent="0.25">
      <c r="M89" s="1741"/>
      <c r="N89" s="1718"/>
      <c r="O89" s="1741"/>
      <c r="P89" s="1717"/>
      <c r="Q89" s="1722"/>
      <c r="R89" s="1716"/>
    </row>
    <row r="90" spans="1:25" hidden="1" x14ac:dyDescent="0.25">
      <c r="M90" s="1741"/>
      <c r="N90" s="1718"/>
      <c r="O90" s="1741"/>
      <c r="P90" s="1717"/>
      <c r="Q90" s="1722"/>
      <c r="R90" s="1716"/>
    </row>
    <row r="91" spans="1:25" hidden="1" x14ac:dyDescent="0.25">
      <c r="M91" s="1741"/>
      <c r="N91" s="1718"/>
      <c r="O91" s="1741"/>
      <c r="P91" s="1717"/>
      <c r="Q91" s="1722"/>
      <c r="R91" s="1716"/>
    </row>
    <row r="92" spans="1:25" hidden="1" x14ac:dyDescent="0.25">
      <c r="M92" s="1741"/>
      <c r="N92" s="1718"/>
      <c r="O92" s="1741"/>
      <c r="P92" s="1717"/>
      <c r="Q92" s="1722"/>
      <c r="R92" s="1716"/>
    </row>
    <row r="93" spans="1:25" hidden="1" x14ac:dyDescent="0.25">
      <c r="M93" s="1741"/>
      <c r="N93" s="1718"/>
      <c r="O93" s="1741"/>
      <c r="P93" s="1717"/>
      <c r="Q93" s="1722"/>
      <c r="R93" s="1716"/>
    </row>
    <row r="94" spans="1:25" hidden="1" x14ac:dyDescent="0.25">
      <c r="M94" s="1741"/>
      <c r="N94" s="1718"/>
      <c r="O94" s="1741"/>
      <c r="P94" s="1717"/>
      <c r="Q94" s="1722"/>
      <c r="R94" s="1716"/>
    </row>
  </sheetData>
  <sheetProtection password="E247" sheet="1" objects="1" scenarios="1"/>
  <mergeCells count="1">
    <mergeCell ref="A2:D3"/>
  </mergeCells>
  <printOptions horizontalCentered="1"/>
  <pageMargins left="0.17" right="0.17" top="0.56000000000000005" bottom="0.44" header="0.23" footer="0.17"/>
  <pageSetup paperSize="5" scale="41" pageOrder="overThenDown" orientation="portrait" r:id="rId1"/>
  <headerFooter>
    <oddHeader>&amp;C&amp;"Cambria,Bold"&amp;14Sylvan Union School District
2017-18 Budget</oddHeader>
    <oddFooter>&amp;L2017-18 2nd Interim Updated for SEA TA
March. 15, 2018</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pageSetUpPr fitToPage="1"/>
  </sheetPr>
  <dimension ref="A1:AC131"/>
  <sheetViews>
    <sheetView zoomScaleNormal="100" workbookViewId="0">
      <pane xSplit="3" ySplit="6" topLeftCell="H7" activePane="bottomRight" state="frozen"/>
      <selection activeCell="H7" sqref="H7"/>
      <selection pane="topRight" activeCell="H7" sqref="H7"/>
      <selection pane="bottomLeft" activeCell="H7" sqref="H7"/>
      <selection pane="bottomRight" activeCell="H7" sqref="H7"/>
    </sheetView>
  </sheetViews>
  <sheetFormatPr defaultRowHeight="15" x14ac:dyDescent="0.25"/>
  <cols>
    <col min="1" max="1" width="1.7109375" style="2213" customWidth="1"/>
    <col min="2" max="2" width="8.5703125" style="2172" customWidth="1"/>
    <col min="3" max="3" width="18.42578125" style="2176" customWidth="1"/>
    <col min="4" max="4" width="16" style="2" hidden="1" customWidth="1"/>
    <col min="5" max="5" width="17.7109375" style="844" hidden="1" customWidth="1"/>
    <col min="6" max="6" width="6" style="39" hidden="1" customWidth="1"/>
    <col min="7" max="7" width="9.42578125" style="52" hidden="1" customWidth="1"/>
    <col min="8" max="8" width="13.85546875" style="121" bestFit="1" customWidth="1"/>
    <col min="9" max="9" width="26" style="853" hidden="1" customWidth="1"/>
    <col min="10" max="10" width="5.7109375" style="59" hidden="1" customWidth="1"/>
    <col min="11" max="11" width="11.85546875" style="333" hidden="1" customWidth="1"/>
    <col min="12" max="12" width="14" style="122" bestFit="1" customWidth="1"/>
    <col min="13" max="13" width="26" style="844" hidden="1" customWidth="1"/>
    <col min="14" max="14" width="5.7109375" style="39" hidden="1" customWidth="1"/>
    <col min="15" max="15" width="9.42578125" style="333" hidden="1" customWidth="1"/>
    <col min="16" max="16" width="14" style="2" bestFit="1" customWidth="1"/>
    <col min="17" max="17" width="24.85546875" style="844" hidden="1" customWidth="1"/>
    <col min="18" max="18" width="5.28515625" style="51" hidden="1" customWidth="1"/>
    <col min="19" max="19" width="9.42578125" style="338" hidden="1" customWidth="1"/>
    <col min="20" max="20" width="14" style="39" customWidth="1"/>
    <col min="21" max="21" width="24.85546875" style="39" hidden="1" customWidth="1"/>
    <col min="22" max="22" width="5.7109375" style="109" customWidth="1"/>
    <col min="23" max="23" width="9.42578125" style="2244" hidden="1" customWidth="1"/>
    <col min="24" max="24" width="14" style="39" hidden="1" customWidth="1"/>
    <col min="25" max="25" width="24.85546875" style="39" hidden="1" customWidth="1"/>
    <col min="26" max="26" width="5.7109375" style="39" hidden="1" customWidth="1"/>
    <col min="27" max="27" width="9.42578125" style="333" hidden="1" customWidth="1"/>
    <col min="28" max="28" width="14" style="39" hidden="1" customWidth="1"/>
    <col min="29" max="29" width="24.85546875" style="39" hidden="1" customWidth="1"/>
    <col min="30" max="16384" width="9.140625" style="39"/>
  </cols>
  <sheetData>
    <row r="1" spans="1:29" x14ac:dyDescent="0.25">
      <c r="B1" s="2172" t="s">
        <v>61</v>
      </c>
      <c r="C1" s="2178" t="s">
        <v>835</v>
      </c>
      <c r="D1" s="933"/>
      <c r="E1" s="842"/>
      <c r="F1" s="98"/>
      <c r="G1" s="325"/>
      <c r="H1" s="934"/>
      <c r="I1" s="842"/>
      <c r="K1" s="338"/>
      <c r="L1" s="121"/>
      <c r="M1" s="842"/>
      <c r="N1" s="51"/>
      <c r="O1" s="338"/>
      <c r="P1" s="121"/>
      <c r="Q1" s="842"/>
      <c r="T1" s="86">
        <v>0</v>
      </c>
      <c r="U1" s="98"/>
      <c r="X1" s="86">
        <v>0</v>
      </c>
      <c r="Y1" s="98"/>
      <c r="AB1" s="86">
        <v>0</v>
      </c>
      <c r="AC1" s="98"/>
    </row>
    <row r="2" spans="1:29" ht="17.25" x14ac:dyDescent="0.4">
      <c r="B2" s="2173" t="s">
        <v>59</v>
      </c>
      <c r="C2" s="2177">
        <v>9222</v>
      </c>
      <c r="D2" s="934"/>
      <c r="E2" s="842"/>
      <c r="F2" s="98"/>
      <c r="G2" s="1663"/>
      <c r="H2" s="934"/>
      <c r="I2" s="842"/>
      <c r="K2" s="338"/>
      <c r="L2" s="87"/>
      <c r="M2" s="842"/>
      <c r="N2" s="51"/>
      <c r="O2" s="338"/>
      <c r="P2" s="87"/>
      <c r="Q2" s="842"/>
      <c r="T2" s="87">
        <v>0</v>
      </c>
      <c r="U2" s="98"/>
      <c r="X2" s="87">
        <v>0</v>
      </c>
      <c r="Y2" s="98"/>
      <c r="AB2" s="87">
        <v>0</v>
      </c>
      <c r="AC2" s="98"/>
    </row>
    <row r="3" spans="1:29" x14ac:dyDescent="0.25">
      <c r="D3" s="935"/>
      <c r="E3" s="852"/>
      <c r="F3" s="936"/>
      <c r="G3" s="1664"/>
      <c r="H3" s="935"/>
      <c r="I3" s="852"/>
      <c r="K3" s="338"/>
      <c r="L3" s="121"/>
      <c r="M3" s="853"/>
      <c r="N3" s="51"/>
      <c r="O3" s="338"/>
      <c r="P3" s="121"/>
      <c r="Q3" s="853"/>
      <c r="T3" s="86">
        <f>SUM(T1:T2)</f>
        <v>0</v>
      </c>
      <c r="U3" s="51"/>
      <c r="X3" s="86">
        <f>SUM(X1:X2)</f>
        <v>0</v>
      </c>
      <c r="Y3" s="51"/>
      <c r="AB3" s="86">
        <f>SUM(AB1:AB2)</f>
        <v>0</v>
      </c>
      <c r="AC3" s="51"/>
    </row>
    <row r="4" spans="1:29" x14ac:dyDescent="0.25">
      <c r="D4" s="36"/>
      <c r="E4" s="853"/>
      <c r="F4" s="51"/>
      <c r="G4" s="330"/>
      <c r="K4" s="338"/>
      <c r="L4" s="121"/>
      <c r="M4" s="853"/>
      <c r="N4" s="51"/>
      <c r="O4" s="338"/>
      <c r="P4" s="121"/>
      <c r="Q4" s="853"/>
      <c r="T4" s="86"/>
      <c r="U4" s="51"/>
      <c r="X4" s="86"/>
      <c r="Y4" s="51"/>
      <c r="AB4" s="86"/>
      <c r="AC4" s="51"/>
    </row>
    <row r="5" spans="1:29" ht="15.75" x14ac:dyDescent="0.25">
      <c r="B5" s="2174" t="s">
        <v>56</v>
      </c>
      <c r="P5" s="122"/>
      <c r="T5" s="73"/>
      <c r="X5" s="73"/>
      <c r="AB5" s="73"/>
    </row>
    <row r="6" spans="1:29" s="89" customFormat="1" ht="15.75" x14ac:dyDescent="0.25">
      <c r="A6" s="2214"/>
      <c r="B6" s="2175"/>
      <c r="C6" s="2175"/>
      <c r="D6" s="925" t="s">
        <v>55</v>
      </c>
      <c r="E6" s="845"/>
      <c r="G6" s="327"/>
      <c r="H6" s="282" t="str">
        <f>LEFT(D6,4)+1&amp;"-"&amp;RIGHT(D6,4)+1</f>
        <v>2017-2018</v>
      </c>
      <c r="I6" s="854"/>
      <c r="J6" s="93"/>
      <c r="K6" s="334"/>
      <c r="L6" s="123" t="str">
        <f>LEFT(H6,4)+1&amp;"-"&amp;RIGHT(H6,4)+1</f>
        <v>2018-2019</v>
      </c>
      <c r="M6" s="888"/>
      <c r="N6" s="96"/>
      <c r="O6" s="337"/>
      <c r="P6" s="123" t="str">
        <f>LEFT(L6,4)+1&amp;"-"&amp;RIGHT(L6,4)+1</f>
        <v>2019-2020</v>
      </c>
      <c r="Q6" s="888"/>
      <c r="R6" s="2237"/>
      <c r="S6" s="2242"/>
      <c r="T6" s="95" t="str">
        <f>LEFT(P6,4)+1&amp;"-"&amp;RIGHT(P6,4)+1</f>
        <v>2020-2021</v>
      </c>
      <c r="U6" s="95"/>
      <c r="V6" s="110"/>
      <c r="W6" s="2245"/>
      <c r="X6" s="95" t="str">
        <f>LEFT(T6,4)+1&amp;"-"&amp;RIGHT(T6,4)+1</f>
        <v>2021-2022</v>
      </c>
      <c r="Y6" s="95"/>
      <c r="Z6" s="96"/>
      <c r="AA6" s="337"/>
      <c r="AB6" s="95" t="str">
        <f>LEFT(X6,4)+1&amp;"-"&amp;RIGHT(X6,4)+1</f>
        <v>2022-2023</v>
      </c>
      <c r="AC6" s="95"/>
    </row>
    <row r="7" spans="1:29" s="457" customFormat="1" x14ac:dyDescent="0.25">
      <c r="A7" s="2215"/>
      <c r="B7" s="2337" t="s">
        <v>54</v>
      </c>
      <c r="C7" s="2215"/>
      <c r="D7" s="340">
        <v>0</v>
      </c>
      <c r="E7" s="1656"/>
      <c r="G7" s="2338"/>
      <c r="H7" s="340">
        <f>D89</f>
        <v>0</v>
      </c>
      <c r="I7" s="1656"/>
      <c r="J7" s="599"/>
      <c r="K7" s="1668"/>
      <c r="L7" s="340">
        <f>H89</f>
        <v>0</v>
      </c>
      <c r="M7" s="1656"/>
      <c r="O7" s="1668"/>
      <c r="P7" s="340">
        <f>L89</f>
        <v>0</v>
      </c>
      <c r="Q7" s="1656"/>
      <c r="R7" s="592"/>
      <c r="S7" s="2341"/>
      <c r="T7" s="340">
        <f>P89</f>
        <v>0</v>
      </c>
      <c r="V7" s="952"/>
      <c r="W7" s="2343"/>
      <c r="X7" s="340">
        <f>T89</f>
        <v>0</v>
      </c>
      <c r="AA7" s="1668"/>
      <c r="AB7" s="340">
        <f>X89</f>
        <v>0</v>
      </c>
    </row>
    <row r="8" spans="1:29" s="457" customFormat="1" x14ac:dyDescent="0.25">
      <c r="A8" s="2215"/>
      <c r="B8" s="2345"/>
      <c r="C8" s="2215"/>
      <c r="D8" s="340"/>
      <c r="E8" s="1656"/>
      <c r="G8" s="2338"/>
      <c r="H8" s="340"/>
      <c r="I8" s="1656"/>
      <c r="J8" s="592"/>
      <c r="K8" s="1668"/>
      <c r="L8" s="340"/>
      <c r="M8" s="1656"/>
      <c r="O8" s="1668"/>
      <c r="P8" s="340"/>
      <c r="Q8" s="1656"/>
      <c r="R8" s="592"/>
      <c r="S8" s="2341"/>
      <c r="V8" s="952"/>
      <c r="W8" s="2343"/>
      <c r="AA8" s="1668"/>
    </row>
    <row r="9" spans="1:29" s="457" customFormat="1" x14ac:dyDescent="0.25">
      <c r="A9" s="2215"/>
      <c r="B9" s="2345" t="s">
        <v>52</v>
      </c>
      <c r="C9" s="2215" t="s">
        <v>679</v>
      </c>
      <c r="D9" s="340">
        <v>0</v>
      </c>
      <c r="E9" s="1656"/>
      <c r="G9" s="456" t="str">
        <f>IF(D9=0,"0.00%",(H9-D9)/D9)</f>
        <v>0.00%</v>
      </c>
      <c r="H9" s="833">
        <v>8623</v>
      </c>
      <c r="I9" s="1656" t="s">
        <v>173</v>
      </c>
      <c r="J9" s="342"/>
      <c r="K9" s="456">
        <f>IF(H9=0,"0.00%",(L9-H9)/H9)</f>
        <v>-1</v>
      </c>
      <c r="L9" s="833">
        <v>0</v>
      </c>
      <c r="M9" s="1656" t="s">
        <v>173</v>
      </c>
      <c r="O9" s="456" t="str">
        <f>IF(L9=0,"0.00%",(P9-L9)/L9)</f>
        <v>0.00%</v>
      </c>
      <c r="P9" s="833">
        <f>+L9</f>
        <v>0</v>
      </c>
      <c r="Q9" s="1656" t="s">
        <v>173</v>
      </c>
      <c r="R9" s="592"/>
      <c r="S9" s="2238" t="str">
        <f>IF(P9=0,"0.00%",(T9-P9)/P9)</f>
        <v>0.00%</v>
      </c>
      <c r="T9" s="833">
        <f>+P9</f>
        <v>0</v>
      </c>
      <c r="U9" s="457" t="s">
        <v>173</v>
      </c>
      <c r="V9" s="952"/>
      <c r="W9" s="2241" t="str">
        <f>IF(T9=0,"0.00%",(X9-T9)/T9)</f>
        <v>0.00%</v>
      </c>
      <c r="X9" s="833">
        <f>X3</f>
        <v>0</v>
      </c>
      <c r="AA9" s="456" t="str">
        <f>IF(X9=0,"0.00%",(AB9-X9)/X9)</f>
        <v>0.00%</v>
      </c>
      <c r="AB9" s="833">
        <f>AB3</f>
        <v>0</v>
      </c>
    </row>
    <row r="10" spans="1:29" s="457" customFormat="1" x14ac:dyDescent="0.25">
      <c r="A10" s="2215"/>
      <c r="B10" s="2345"/>
      <c r="C10" s="2215"/>
      <c r="D10" s="340">
        <v>0</v>
      </c>
      <c r="E10" s="1656"/>
      <c r="G10" s="456" t="str">
        <f t="shared" ref="G10:G15" si="0">IF(D10=0,"0.00%",(H10-D10)/D10)</f>
        <v>0.00%</v>
      </c>
      <c r="H10" s="833">
        <v>0</v>
      </c>
      <c r="I10" s="1656"/>
      <c r="J10" s="342"/>
      <c r="K10" s="456" t="str">
        <f>IF(H10=0,"0.00%",(L10-H10)/H10)</f>
        <v>0.00%</v>
      </c>
      <c r="L10" s="833">
        <f>-H2</f>
        <v>0</v>
      </c>
      <c r="M10" s="1656"/>
      <c r="O10" s="456" t="str">
        <f>IF(L10=0,"0.00%",(P10-L10)/L10)</f>
        <v>0.00%</v>
      </c>
      <c r="P10" s="833">
        <f>-L2</f>
        <v>0</v>
      </c>
      <c r="Q10" s="1656"/>
      <c r="R10" s="592"/>
      <c r="S10" s="2238" t="str">
        <f>IF(P10=0,"0.00%",(T10-P10)/P10)</f>
        <v>0.00%</v>
      </c>
      <c r="T10" s="833">
        <f>-P2</f>
        <v>0</v>
      </c>
      <c r="V10" s="952"/>
      <c r="W10" s="2241" t="str">
        <f>IF(T10=0,"0.00%",(X10-T10)/T10)</f>
        <v>0.00%</v>
      </c>
      <c r="X10" s="833">
        <f>-T2</f>
        <v>0</v>
      </c>
      <c r="AA10" s="456" t="str">
        <f>IF(X10=0,"0.00%",(AB10-X10)/X10)</f>
        <v>0.00%</v>
      </c>
      <c r="AB10" s="833">
        <f>-X2</f>
        <v>0</v>
      </c>
    </row>
    <row r="11" spans="1:29" s="457" customFormat="1" x14ac:dyDescent="0.25">
      <c r="A11" s="2215"/>
      <c r="B11" s="2337" t="s">
        <v>137</v>
      </c>
      <c r="C11" s="2215"/>
      <c r="D11" s="458">
        <f>SUM(D9:D10)</f>
        <v>0</v>
      </c>
      <c r="E11" s="1656"/>
      <c r="G11" s="456" t="str">
        <f t="shared" si="0"/>
        <v>0.00%</v>
      </c>
      <c r="H11" s="458">
        <f>SUM(H9:H10)</f>
        <v>8623</v>
      </c>
      <c r="I11" s="1656"/>
      <c r="J11" s="601"/>
      <c r="K11" s="456">
        <f>IF(H11=0,"0.00%",(L11-H11)/H11)</f>
        <v>-1</v>
      </c>
      <c r="L11" s="458">
        <f>SUM(L9:L10)</f>
        <v>0</v>
      </c>
      <c r="M11" s="1656"/>
      <c r="O11" s="456" t="str">
        <f>IF(L11=0,"0.00%",(P11-L11)/L11)</f>
        <v>0.00%</v>
      </c>
      <c r="P11" s="458">
        <f>SUM(P9:P10)</f>
        <v>0</v>
      </c>
      <c r="Q11" s="1656"/>
      <c r="R11" s="592"/>
      <c r="S11" s="2238" t="str">
        <f>IF(P11=0,"0.00%",(T11-P11)/P11)</f>
        <v>0.00%</v>
      </c>
      <c r="T11" s="2353">
        <f>SUM(T9:T10)</f>
        <v>0</v>
      </c>
      <c r="V11" s="952"/>
      <c r="W11" s="2241" t="str">
        <f>IF(T11=0,"0.00%",(X11-T11)/T11)</f>
        <v>0.00%</v>
      </c>
      <c r="X11" s="2353">
        <f>SUM(X9:X10)</f>
        <v>0</v>
      </c>
      <c r="AA11" s="456" t="str">
        <f>IF(X11=0,"0.00%",(AB11-X11)/X11)</f>
        <v>0.00%</v>
      </c>
      <c r="AB11" s="2353">
        <f>SUM(AB9:AB10)</f>
        <v>0</v>
      </c>
    </row>
    <row r="12" spans="1:29" s="457" customFormat="1" x14ac:dyDescent="0.25">
      <c r="A12" s="2215"/>
      <c r="B12" s="2345"/>
      <c r="C12" s="2215"/>
      <c r="D12" s="340"/>
      <c r="E12" s="1656"/>
      <c r="G12" s="2338"/>
      <c r="H12" s="833"/>
      <c r="I12" s="1656"/>
      <c r="J12" s="602"/>
      <c r="K12" s="2338"/>
      <c r="L12" s="833"/>
      <c r="M12" s="1656"/>
      <c r="O12" s="2338"/>
      <c r="P12" s="833"/>
      <c r="Q12" s="1656"/>
      <c r="R12" s="592"/>
      <c r="S12" s="2355"/>
      <c r="T12" s="2356"/>
      <c r="V12" s="952"/>
      <c r="W12" s="2357"/>
      <c r="X12" s="2356"/>
      <c r="AA12" s="2338"/>
      <c r="AB12" s="2356"/>
    </row>
    <row r="13" spans="1:29" s="457" customFormat="1" x14ac:dyDescent="0.25">
      <c r="A13" s="2215"/>
      <c r="B13" s="2449"/>
      <c r="C13" s="2358" t="s">
        <v>64</v>
      </c>
      <c r="D13" s="2359">
        <f>ROUND(D11-(D11/(1+B13)),0)</f>
        <v>0</v>
      </c>
      <c r="E13" s="1656"/>
      <c r="G13" s="456" t="str">
        <f t="shared" si="0"/>
        <v>0.00%</v>
      </c>
      <c r="H13" s="2359">
        <f>ROUND(H11-(H11/(1+B13)),0)</f>
        <v>0</v>
      </c>
      <c r="I13" s="1656"/>
      <c r="J13" s="603"/>
      <c r="K13" s="456" t="str">
        <f>IF(H13=0,"0.00%",(L13-H13)/H13)</f>
        <v>0.00%</v>
      </c>
      <c r="L13" s="2359">
        <f>ROUND(L11-(L11/(1+B13)),0)</f>
        <v>0</v>
      </c>
      <c r="M13" s="1656"/>
      <c r="O13" s="456" t="str">
        <f>IF(L13=0,"0.00%",(P13-L13)/L13)</f>
        <v>0.00%</v>
      </c>
      <c r="P13" s="2359">
        <f>ROUND(P11-(P11/(1+B13)),0)</f>
        <v>0</v>
      </c>
      <c r="Q13" s="1656"/>
      <c r="R13" s="592"/>
      <c r="S13" s="2238" t="str">
        <f>IF(P13=0,"0.00%",(T13-P13)/P13)</f>
        <v>0.00%</v>
      </c>
      <c r="T13" s="2362">
        <f>ROUND(T11-(T11/(1+B13)),0)</f>
        <v>0</v>
      </c>
      <c r="V13" s="952"/>
      <c r="W13" s="2241" t="str">
        <f>IF(T13=0,"0.00%",(X13-T13)/T13)</f>
        <v>0.00%</v>
      </c>
      <c r="X13" s="2362">
        <f>ROUND(X11-(X11/(1+B13)),0)</f>
        <v>0</v>
      </c>
      <c r="AA13" s="456" t="str">
        <f>IF(X13=0,"0.00%",(AB13-X13)/X13)</f>
        <v>0.00%</v>
      </c>
      <c r="AB13" s="2362">
        <f>ROUND(AB11-(AB11/(1+G13)),0)</f>
        <v>0</v>
      </c>
    </row>
    <row r="14" spans="1:29" s="457" customFormat="1" x14ac:dyDescent="0.25">
      <c r="A14" s="2215"/>
      <c r="B14" s="2345"/>
      <c r="C14" s="2215"/>
      <c r="D14" s="340"/>
      <c r="E14" s="1656"/>
      <c r="G14" s="2338"/>
      <c r="H14" s="833"/>
      <c r="I14" s="1656"/>
      <c r="J14" s="602"/>
      <c r="K14" s="2338"/>
      <c r="L14" s="833"/>
      <c r="M14" s="1656"/>
      <c r="O14" s="2338"/>
      <c r="P14" s="833"/>
      <c r="Q14" s="1656"/>
      <c r="R14" s="592"/>
      <c r="S14" s="2355"/>
      <c r="T14" s="2356"/>
      <c r="V14" s="952"/>
      <c r="W14" s="2357"/>
      <c r="X14" s="2356"/>
      <c r="AA14" s="2338"/>
      <c r="AB14" s="2356"/>
    </row>
    <row r="15" spans="1:29" s="457" customFormat="1" x14ac:dyDescent="0.25">
      <c r="A15" s="2215"/>
      <c r="B15" s="2337" t="s">
        <v>50</v>
      </c>
      <c r="C15" s="2215"/>
      <c r="D15" s="1866">
        <f>D11-D13</f>
        <v>0</v>
      </c>
      <c r="E15" s="1656"/>
      <c r="G15" s="456" t="str">
        <f t="shared" si="0"/>
        <v>0.00%</v>
      </c>
      <c r="H15" s="2359">
        <f>H11-H13</f>
        <v>8623</v>
      </c>
      <c r="I15" s="1656"/>
      <c r="J15" s="601"/>
      <c r="K15" s="456">
        <f>IF(H15=0,"0.00%",(L15-H15)/H15)</f>
        <v>-1</v>
      </c>
      <c r="L15" s="2359">
        <f>L11-L13</f>
        <v>0</v>
      </c>
      <c r="M15" s="1656"/>
      <c r="O15" s="456" t="str">
        <f>IF(L15=0,"0.00%",(P15-L15)/L15)</f>
        <v>0.00%</v>
      </c>
      <c r="P15" s="2359">
        <f>P11-P13</f>
        <v>0</v>
      </c>
      <c r="Q15" s="1656"/>
      <c r="R15" s="592"/>
      <c r="S15" s="2238" t="str">
        <f>IF(P15=0,"0.00%",(T15-P15)/P15)</f>
        <v>0.00%</v>
      </c>
      <c r="T15" s="2366">
        <f>T11-T13</f>
        <v>0</v>
      </c>
      <c r="V15" s="952"/>
      <c r="W15" s="2241" t="str">
        <f>IF(T15=0,"0.00%",(X15-T15)/T15)</f>
        <v>0.00%</v>
      </c>
      <c r="X15" s="2366">
        <f>X11-X13</f>
        <v>0</v>
      </c>
      <c r="AA15" s="456" t="str">
        <f>IF(X15=0,"0.00%",(AB15-X15)/X15)</f>
        <v>0.00%</v>
      </c>
      <c r="AB15" s="2366">
        <f>AB11-AB13</f>
        <v>0</v>
      </c>
    </row>
    <row r="16" spans="1:29" s="457" customFormat="1" x14ac:dyDescent="0.25">
      <c r="A16" s="2215"/>
      <c r="B16" s="2345"/>
      <c r="C16" s="2215"/>
      <c r="D16" s="340"/>
      <c r="E16" s="1656"/>
      <c r="G16" s="2338"/>
      <c r="H16" s="833"/>
      <c r="I16" s="1656"/>
      <c r="J16" s="601"/>
      <c r="K16" s="1668"/>
      <c r="L16" s="833"/>
      <c r="M16" s="1656"/>
      <c r="O16" s="1668"/>
      <c r="P16" s="833"/>
      <c r="Q16" s="1656"/>
      <c r="R16" s="592"/>
      <c r="S16" s="2341"/>
      <c r="T16" s="2367"/>
      <c r="V16" s="952"/>
      <c r="W16" s="2343"/>
      <c r="X16" s="2367"/>
      <c r="AA16" s="1668"/>
      <c r="AB16" s="2367"/>
    </row>
    <row r="17" spans="1:29" s="457" customFormat="1" x14ac:dyDescent="0.25">
      <c r="A17" s="2215"/>
      <c r="B17" s="2345"/>
      <c r="C17" s="2345"/>
      <c r="D17" s="340"/>
      <c r="E17" s="1656"/>
      <c r="G17" s="2338"/>
      <c r="H17" s="833"/>
      <c r="I17" s="1656"/>
      <c r="J17" s="602"/>
      <c r="K17" s="1668"/>
      <c r="L17" s="833"/>
      <c r="M17" s="1656"/>
      <c r="O17" s="1668"/>
      <c r="P17" s="833"/>
      <c r="Q17" s="1656"/>
      <c r="R17" s="592"/>
      <c r="S17" s="2341"/>
      <c r="T17" s="2356"/>
      <c r="V17" s="952"/>
      <c r="W17" s="2343"/>
      <c r="X17" s="2356"/>
      <c r="AA17" s="1668"/>
      <c r="AB17" s="2356"/>
    </row>
    <row r="18" spans="1:29" s="457" customFormat="1" x14ac:dyDescent="0.25">
      <c r="A18" s="2223"/>
      <c r="B18" s="2345"/>
      <c r="C18" s="2215"/>
      <c r="D18" s="459" t="s">
        <v>807</v>
      </c>
      <c r="E18" s="1867"/>
      <c r="F18" s="2433"/>
      <c r="G18" s="2338"/>
      <c r="H18" s="459" t="s">
        <v>176</v>
      </c>
      <c r="I18" s="1867"/>
      <c r="J18" s="604"/>
      <c r="K18" s="1668"/>
      <c r="L18" s="2370"/>
      <c r="M18" s="1867"/>
      <c r="O18" s="1668"/>
      <c r="P18" s="340"/>
      <c r="Q18" s="1867"/>
      <c r="R18" s="592"/>
      <c r="S18" s="2341"/>
      <c r="U18" s="2433"/>
      <c r="V18" s="952"/>
      <c r="W18" s="2343"/>
      <c r="Y18" s="2433"/>
      <c r="AA18" s="1668"/>
      <c r="AC18" s="2433"/>
    </row>
    <row r="19" spans="1:29" s="457" customFormat="1" ht="17.25" x14ac:dyDescent="0.4">
      <c r="A19" s="2224"/>
      <c r="B19" s="2345"/>
      <c r="C19" s="2215"/>
      <c r="D19" s="2435" t="s">
        <v>808</v>
      </c>
      <c r="E19" s="2434"/>
      <c r="F19" s="2436"/>
      <c r="G19" s="2338"/>
      <c r="H19" s="2435" t="s">
        <v>48</v>
      </c>
      <c r="I19" s="2371">
        <v>0.02</v>
      </c>
      <c r="J19" s="459"/>
      <c r="K19" s="1668"/>
      <c r="L19" s="2372" t="s">
        <v>48</v>
      </c>
      <c r="M19" s="2371">
        <v>0.02</v>
      </c>
      <c r="O19" s="1668"/>
      <c r="P19" s="2372" t="s">
        <v>48</v>
      </c>
      <c r="Q19" s="2374">
        <v>0.02</v>
      </c>
      <c r="R19" s="592"/>
      <c r="S19" s="2341"/>
      <c r="T19" s="2372" t="s">
        <v>48</v>
      </c>
      <c r="U19" s="2374">
        <v>0.02</v>
      </c>
      <c r="V19" s="952"/>
      <c r="W19" s="2343"/>
      <c r="X19" s="2372" t="s">
        <v>48</v>
      </c>
      <c r="Y19" s="2374">
        <v>0.02</v>
      </c>
      <c r="AA19" s="1668"/>
      <c r="AB19" s="2372" t="s">
        <v>48</v>
      </c>
      <c r="AC19" s="2374">
        <v>0.02</v>
      </c>
    </row>
    <row r="20" spans="1:29" s="2378" customFormat="1" hidden="1" x14ac:dyDescent="0.25">
      <c r="A20" s="2225"/>
      <c r="B20" s="2337" t="s">
        <v>46</v>
      </c>
      <c r="C20" s="2358"/>
      <c r="D20" s="1866"/>
      <c r="E20" s="2375"/>
      <c r="F20" s="1866"/>
      <c r="G20" s="2376"/>
      <c r="H20" s="1866"/>
      <c r="I20" s="868"/>
      <c r="J20" s="460"/>
      <c r="K20" s="606"/>
      <c r="L20" s="1866"/>
      <c r="M20" s="2379"/>
      <c r="O20" s="606"/>
      <c r="P20" s="1866"/>
      <c r="Q20" s="2379"/>
      <c r="R20" s="461"/>
      <c r="S20" s="1669"/>
      <c r="T20" s="1866"/>
      <c r="U20" s="2383"/>
      <c r="V20" s="2381"/>
      <c r="W20" s="2382"/>
      <c r="X20" s="1866"/>
      <c r="Y20" s="2383"/>
      <c r="AA20" s="606"/>
      <c r="AB20" s="1866"/>
      <c r="AC20" s="2383"/>
    </row>
    <row r="21" spans="1:29" s="457" customFormat="1" hidden="1" x14ac:dyDescent="0.25">
      <c r="A21" s="2226"/>
      <c r="B21" s="2385"/>
      <c r="C21" s="2215"/>
      <c r="D21" s="340">
        <v>0</v>
      </c>
      <c r="E21" s="2386"/>
      <c r="F21" s="340"/>
      <c r="G21" s="456" t="str">
        <f t="shared" ref="G21:G30" si="1">IF(D21=0,"0.00%",(H21-D21)/D21)</f>
        <v>0.00%</v>
      </c>
      <c r="H21" s="340">
        <f t="shared" ref="H21:H27" si="2">ROUND(D21*(1+$I$19),0)</f>
        <v>0</v>
      </c>
      <c r="I21" s="899" t="str">
        <f t="shared" ref="I21:I28" si="3">TEXT($I$19,"0.0%")&amp;" = Est. S &amp; C"</f>
        <v>2.0% = Est. S &amp; C</v>
      </c>
      <c r="J21" s="455"/>
      <c r="K21" s="456" t="str">
        <f t="shared" ref="K21:K27" si="4">IF(H21=0,"0.00%",(L21-H21)/H21)</f>
        <v>0.00%</v>
      </c>
      <c r="L21" s="340">
        <f>ROUND(H21*(1+M19),0)</f>
        <v>0</v>
      </c>
      <c r="M21" s="897" t="str">
        <f>TEXT(M19,"0.0%")&amp;" = Est. S &amp; C"</f>
        <v>2.0% = Est. S &amp; C</v>
      </c>
      <c r="O21" s="456" t="str">
        <f t="shared" ref="O21:O27" si="5">IF(L21=0,"0.00%",(P21-L21)/L21)</f>
        <v>0.00%</v>
      </c>
      <c r="P21" s="340">
        <f>ROUND(L21*(1+Q19),0)</f>
        <v>0</v>
      </c>
      <c r="Q21" s="897" t="str">
        <f>TEXT(Q19,"0.0%")&amp;" = Est. S &amp; C"</f>
        <v>2.0% = Est. S &amp; C</v>
      </c>
      <c r="R21" s="592"/>
      <c r="S21" s="2238" t="str">
        <f t="shared" ref="S21:S27" si="6">IF(P21=0,"0.00%",(T21-P21)/P21)</f>
        <v>0.00%</v>
      </c>
      <c r="T21" s="340">
        <f>ROUND(P21*(1+U19),0)</f>
        <v>0</v>
      </c>
      <c r="U21" s="455" t="str">
        <f>TEXT(U19,"0.0%")&amp;" = Est. S &amp; C"</f>
        <v>2.0% = Est. S &amp; C</v>
      </c>
      <c r="V21" s="952"/>
      <c r="W21" s="2241" t="str">
        <f t="shared" ref="W21:W27" si="7">IF(T21=0,"0.00%",(X21-T21)/T21)</f>
        <v>0.00%</v>
      </c>
      <c r="X21" s="340">
        <f>ROUND(T21*(1+Y19),0)</f>
        <v>0</v>
      </c>
      <c r="Y21" s="455" t="str">
        <f>TEXT(Y19,"0.0%")&amp;" = Est. S &amp; C"</f>
        <v>2.0% = Est. S &amp; C</v>
      </c>
      <c r="AA21" s="456" t="str">
        <f t="shared" ref="AA21:AA27" si="8">IF(X21=0,"0.00%",(AB21-X21)/X21)</f>
        <v>0.00%</v>
      </c>
      <c r="AB21" s="340">
        <f>ROUND(X21*(1+AC19),0)</f>
        <v>0</v>
      </c>
      <c r="AC21" s="455" t="str">
        <f>TEXT(AC19,"0.0%")&amp;" = Est. S &amp; C"</f>
        <v>2.0% = Est. S &amp; C</v>
      </c>
    </row>
    <row r="22" spans="1:29" s="457" customFormat="1" hidden="1" x14ac:dyDescent="0.25">
      <c r="A22" s="2227"/>
      <c r="B22" s="2385"/>
      <c r="C22" s="2215"/>
      <c r="D22" s="340">
        <v>0</v>
      </c>
      <c r="E22" s="2386"/>
      <c r="F22" s="340"/>
      <c r="G22" s="456" t="str">
        <f t="shared" si="1"/>
        <v>0.00%</v>
      </c>
      <c r="H22" s="340">
        <f t="shared" si="2"/>
        <v>0</v>
      </c>
      <c r="I22" s="897" t="str">
        <f t="shared" si="3"/>
        <v>2.0% = Est. S &amp; C</v>
      </c>
      <c r="J22" s="455"/>
      <c r="K22" s="456" t="str">
        <f t="shared" si="4"/>
        <v>0.00%</v>
      </c>
      <c r="L22" s="340">
        <f>ROUND(H22*(1+M19),0)</f>
        <v>0</v>
      </c>
      <c r="M22" s="897" t="str">
        <f>TEXT(M19,"0.0%")&amp;" = Est. S &amp; C"</f>
        <v>2.0% = Est. S &amp; C</v>
      </c>
      <c r="O22" s="456" t="str">
        <f t="shared" si="5"/>
        <v>0.00%</v>
      </c>
      <c r="P22" s="340">
        <f>ROUND(L22*(1+Q19),0)</f>
        <v>0</v>
      </c>
      <c r="Q22" s="897" t="str">
        <f>TEXT(Q19,"0.0%")&amp;" = Est. S &amp; C"</f>
        <v>2.0% = Est. S &amp; C</v>
      </c>
      <c r="R22" s="592"/>
      <c r="S22" s="2238" t="str">
        <f t="shared" si="6"/>
        <v>0.00%</v>
      </c>
      <c r="T22" s="340">
        <f>ROUND(P22*(1+U19),0)</f>
        <v>0</v>
      </c>
      <c r="U22" s="455" t="str">
        <f>TEXT(U19,"0.0%")&amp;" = Est. S &amp; C"</f>
        <v>2.0% = Est. S &amp; C</v>
      </c>
      <c r="V22" s="952"/>
      <c r="W22" s="2241" t="str">
        <f t="shared" si="7"/>
        <v>0.00%</v>
      </c>
      <c r="X22" s="340">
        <f>ROUND(T22*(1+Y19),0)</f>
        <v>0</v>
      </c>
      <c r="Y22" s="455" t="str">
        <f>TEXT(Y19,"0.0%")&amp;" = Est. S &amp; C"</f>
        <v>2.0% = Est. S &amp; C</v>
      </c>
      <c r="AA22" s="456" t="str">
        <f t="shared" si="8"/>
        <v>0.00%</v>
      </c>
      <c r="AB22" s="340">
        <f>ROUND(X22*(1+AC19),0)</f>
        <v>0</v>
      </c>
      <c r="AC22" s="455" t="str">
        <f>TEXT(AC19,"0.0%")&amp;" = Est. S &amp; C"</f>
        <v>2.0% = Est. S &amp; C</v>
      </c>
    </row>
    <row r="23" spans="1:29" s="457" customFormat="1" hidden="1" x14ac:dyDescent="0.25">
      <c r="A23" s="2227"/>
      <c r="B23" s="2385"/>
      <c r="C23" s="2215"/>
      <c r="D23" s="340">
        <v>0</v>
      </c>
      <c r="E23" s="2386"/>
      <c r="F23" s="340"/>
      <c r="G23" s="456" t="str">
        <f t="shared" si="1"/>
        <v>0.00%</v>
      </c>
      <c r="H23" s="340">
        <f t="shared" si="2"/>
        <v>0</v>
      </c>
      <c r="I23" s="897" t="str">
        <f t="shared" si="3"/>
        <v>2.0% = Est. S &amp; C</v>
      </c>
      <c r="J23" s="455"/>
      <c r="K23" s="456" t="str">
        <f t="shared" si="4"/>
        <v>0.00%</v>
      </c>
      <c r="L23" s="340">
        <f>ROUND(H23*(1+M19),0)</f>
        <v>0</v>
      </c>
      <c r="M23" s="897" t="str">
        <f>TEXT(M19,"0.0%")&amp;" = Est. S &amp; C"</f>
        <v>2.0% = Est. S &amp; C</v>
      </c>
      <c r="O23" s="456" t="str">
        <f t="shared" si="5"/>
        <v>0.00%</v>
      </c>
      <c r="P23" s="340">
        <f>ROUND(L23*(1+Q19),0)</f>
        <v>0</v>
      </c>
      <c r="Q23" s="897" t="str">
        <f>TEXT(Q19,"0.0%")&amp;" = Est. S &amp; C"</f>
        <v>2.0% = Est. S &amp; C</v>
      </c>
      <c r="R23" s="592"/>
      <c r="S23" s="2238" t="str">
        <f t="shared" si="6"/>
        <v>0.00%</v>
      </c>
      <c r="T23" s="340">
        <f>ROUND(P23*(1+U19),0)</f>
        <v>0</v>
      </c>
      <c r="U23" s="455" t="str">
        <f>TEXT(U19,"0.0%")&amp;" = Est. S &amp; C"</f>
        <v>2.0% = Est. S &amp; C</v>
      </c>
      <c r="V23" s="952"/>
      <c r="W23" s="2241" t="str">
        <f t="shared" si="7"/>
        <v>0.00%</v>
      </c>
      <c r="X23" s="340">
        <f>ROUND(T23*(1+Y19),0)</f>
        <v>0</v>
      </c>
      <c r="Y23" s="455" t="str">
        <f>TEXT(Y19,"0.0%")&amp;" = Est. S &amp; C"</f>
        <v>2.0% = Est. S &amp; C</v>
      </c>
      <c r="AA23" s="456" t="str">
        <f t="shared" si="8"/>
        <v>0.00%</v>
      </c>
      <c r="AB23" s="340">
        <f>ROUND(X23*(1+AC19),0)</f>
        <v>0</v>
      </c>
      <c r="AC23" s="455" t="str">
        <f>TEXT(AC19,"0.0%")&amp;" = Est. S &amp; C"</f>
        <v>2.0% = Est. S &amp; C</v>
      </c>
    </row>
    <row r="24" spans="1:29" s="457" customFormat="1" hidden="1" x14ac:dyDescent="0.25">
      <c r="A24" s="2227"/>
      <c r="B24" s="2385"/>
      <c r="C24" s="2215"/>
      <c r="D24" s="340">
        <v>0</v>
      </c>
      <c r="E24" s="2386"/>
      <c r="F24" s="340"/>
      <c r="G24" s="456" t="str">
        <f t="shared" si="1"/>
        <v>0.00%</v>
      </c>
      <c r="H24" s="340">
        <f t="shared" si="2"/>
        <v>0</v>
      </c>
      <c r="I24" s="897" t="str">
        <f t="shared" si="3"/>
        <v>2.0% = Est. S &amp; C</v>
      </c>
      <c r="J24" s="455"/>
      <c r="K24" s="456" t="str">
        <f t="shared" si="4"/>
        <v>0.00%</v>
      </c>
      <c r="L24" s="340">
        <f>ROUND(H24*(1+M19),0)</f>
        <v>0</v>
      </c>
      <c r="M24" s="897" t="str">
        <f>TEXT(M19,"0.0%")&amp;" = Est. S &amp; C"</f>
        <v>2.0% = Est. S &amp; C</v>
      </c>
      <c r="O24" s="456" t="str">
        <f t="shared" si="5"/>
        <v>0.00%</v>
      </c>
      <c r="P24" s="340">
        <f>ROUND(L24*(1+Q19),0)</f>
        <v>0</v>
      </c>
      <c r="Q24" s="897" t="str">
        <f>TEXT(Q19,"0.0%")&amp;" = Est. S &amp; C"</f>
        <v>2.0% = Est. S &amp; C</v>
      </c>
      <c r="R24" s="592"/>
      <c r="S24" s="2238" t="str">
        <f t="shared" si="6"/>
        <v>0.00%</v>
      </c>
      <c r="T24" s="340">
        <f>ROUND(P24*(1+U19),0)</f>
        <v>0</v>
      </c>
      <c r="U24" s="455" t="str">
        <f>TEXT(U19,"0.0%")&amp;" = Est. S &amp; C"</f>
        <v>2.0% = Est. S &amp; C</v>
      </c>
      <c r="V24" s="952"/>
      <c r="W24" s="2241" t="str">
        <f t="shared" si="7"/>
        <v>0.00%</v>
      </c>
      <c r="X24" s="340">
        <f>ROUND(T24*(1+Y19),0)</f>
        <v>0</v>
      </c>
      <c r="Y24" s="455" t="str">
        <f>TEXT(Y19,"0.0%")&amp;" = Est. S &amp; C"</f>
        <v>2.0% = Est. S &amp; C</v>
      </c>
      <c r="AA24" s="456" t="str">
        <f t="shared" si="8"/>
        <v>0.00%</v>
      </c>
      <c r="AB24" s="340">
        <f>ROUND(X24*(1+AC19),0)</f>
        <v>0</v>
      </c>
      <c r="AC24" s="455" t="str">
        <f>TEXT(AC19,"0.0%")&amp;" = Est. S &amp; C"</f>
        <v>2.0% = Est. S &amp; C</v>
      </c>
    </row>
    <row r="25" spans="1:29" s="457" customFormat="1" hidden="1" x14ac:dyDescent="0.25">
      <c r="A25" s="2227"/>
      <c r="B25" s="2385"/>
      <c r="C25" s="2215"/>
      <c r="D25" s="340">
        <v>0</v>
      </c>
      <c r="E25" s="2386"/>
      <c r="F25" s="340"/>
      <c r="G25" s="456" t="str">
        <f t="shared" si="1"/>
        <v>0.00%</v>
      </c>
      <c r="H25" s="340">
        <f t="shared" si="2"/>
        <v>0</v>
      </c>
      <c r="I25" s="897" t="str">
        <f t="shared" si="3"/>
        <v>2.0% = Est. S &amp; C</v>
      </c>
      <c r="J25" s="455"/>
      <c r="K25" s="456" t="str">
        <f t="shared" si="4"/>
        <v>0.00%</v>
      </c>
      <c r="L25" s="340">
        <f>ROUND(H25*(1+M19),0)</f>
        <v>0</v>
      </c>
      <c r="M25" s="897" t="str">
        <f>TEXT(M19,"0.0%")&amp;" = Est. S &amp; C"</f>
        <v>2.0% = Est. S &amp; C</v>
      </c>
      <c r="O25" s="456" t="str">
        <f t="shared" si="5"/>
        <v>0.00%</v>
      </c>
      <c r="P25" s="340">
        <f>ROUND(L25*(1+Q19),0)</f>
        <v>0</v>
      </c>
      <c r="Q25" s="897" t="str">
        <f>TEXT(Q19,"0.0%")&amp;" = Est. S &amp; C"</f>
        <v>2.0% = Est. S &amp; C</v>
      </c>
      <c r="R25" s="592"/>
      <c r="S25" s="2238" t="str">
        <f t="shared" si="6"/>
        <v>0.00%</v>
      </c>
      <c r="T25" s="340">
        <f>ROUND(P25*(1+U19),0)</f>
        <v>0</v>
      </c>
      <c r="U25" s="455" t="str">
        <f>TEXT(U19,"0.0%")&amp;" = Est. S &amp; C"</f>
        <v>2.0% = Est. S &amp; C</v>
      </c>
      <c r="V25" s="952"/>
      <c r="W25" s="2241" t="str">
        <f t="shared" si="7"/>
        <v>0.00%</v>
      </c>
      <c r="X25" s="340">
        <f>ROUND(T25*(1+Y19),0)</f>
        <v>0</v>
      </c>
      <c r="Y25" s="455" t="str">
        <f>TEXT(Y19,"0.0%")&amp;" = Est. S &amp; C"</f>
        <v>2.0% = Est. S &amp; C</v>
      </c>
      <c r="AA25" s="456" t="str">
        <f t="shared" si="8"/>
        <v>0.00%</v>
      </c>
      <c r="AB25" s="340">
        <f>ROUND(X25*(1+AC19),0)</f>
        <v>0</v>
      </c>
      <c r="AC25" s="455" t="str">
        <f>TEXT(AC19,"0.0%")&amp;" = Est. S &amp; C"</f>
        <v>2.0% = Est. S &amp; C</v>
      </c>
    </row>
    <row r="26" spans="1:29" s="457" customFormat="1" hidden="1" x14ac:dyDescent="0.25">
      <c r="A26" s="2227"/>
      <c r="B26" s="2385"/>
      <c r="C26" s="2215"/>
      <c r="D26" s="340">
        <v>0</v>
      </c>
      <c r="E26" s="2386"/>
      <c r="F26" s="340"/>
      <c r="G26" s="456" t="str">
        <f t="shared" si="1"/>
        <v>0.00%</v>
      </c>
      <c r="H26" s="340">
        <f t="shared" si="2"/>
        <v>0</v>
      </c>
      <c r="I26" s="897" t="str">
        <f t="shared" si="3"/>
        <v>2.0% = Est. S &amp; C</v>
      </c>
      <c r="J26" s="455"/>
      <c r="K26" s="456" t="str">
        <f t="shared" si="4"/>
        <v>0.00%</v>
      </c>
      <c r="L26" s="340">
        <f>ROUND(H26*(1+M19),0)</f>
        <v>0</v>
      </c>
      <c r="M26" s="2341" t="str">
        <f>TEXT(M19,"0.0%")&amp;" = Est. S &amp; C"</f>
        <v>2.0% = Est. S &amp; C</v>
      </c>
      <c r="O26" s="456" t="str">
        <f t="shared" si="5"/>
        <v>0.00%</v>
      </c>
      <c r="P26" s="340">
        <f>ROUND(L26*(1+Q19),0)</f>
        <v>0</v>
      </c>
      <c r="Q26" s="897" t="str">
        <f>TEXT(Q19,"0.0%")&amp;" = Est. S &amp; C"</f>
        <v>2.0% = Est. S &amp; C</v>
      </c>
      <c r="R26" s="592"/>
      <c r="S26" s="2238" t="str">
        <f t="shared" si="6"/>
        <v>0.00%</v>
      </c>
      <c r="T26" s="340">
        <f>ROUND(P26*(1+U19),0)</f>
        <v>0</v>
      </c>
      <c r="U26" s="455" t="str">
        <f>TEXT(U19,"0.0%")&amp;" = Est. S &amp; C"</f>
        <v>2.0% = Est. S &amp; C</v>
      </c>
      <c r="V26" s="952"/>
      <c r="W26" s="2241" t="str">
        <f t="shared" si="7"/>
        <v>0.00%</v>
      </c>
      <c r="X26" s="340">
        <f>ROUND(T26*(1+Y19),0)</f>
        <v>0</v>
      </c>
      <c r="Y26" s="455" t="str">
        <f>TEXT(Y19,"0.0%")&amp;" = Est. S &amp; C"</f>
        <v>2.0% = Est. S &amp; C</v>
      </c>
      <c r="AA26" s="456" t="str">
        <f t="shared" si="8"/>
        <v>0.00%</v>
      </c>
      <c r="AB26" s="340">
        <f>ROUND(X26*(1+AC19),0)</f>
        <v>0</v>
      </c>
      <c r="AC26" s="455" t="str">
        <f>TEXT(AC19,"0.0%")&amp;" = Est. S &amp; C"</f>
        <v>2.0% = Est. S &amp; C</v>
      </c>
    </row>
    <row r="27" spans="1:29" s="457" customFormat="1" hidden="1" x14ac:dyDescent="0.25">
      <c r="A27" s="2227"/>
      <c r="B27" s="2385"/>
      <c r="C27" s="2215"/>
      <c r="D27" s="340">
        <v>0</v>
      </c>
      <c r="E27" s="2386"/>
      <c r="F27" s="340"/>
      <c r="G27" s="456" t="str">
        <f t="shared" si="1"/>
        <v>0.00%</v>
      </c>
      <c r="H27" s="340">
        <f t="shared" si="2"/>
        <v>0</v>
      </c>
      <c r="I27" s="897" t="str">
        <f t="shared" si="3"/>
        <v>2.0% = Est. S &amp; C</v>
      </c>
      <c r="J27" s="455"/>
      <c r="K27" s="456" t="str">
        <f t="shared" si="4"/>
        <v>0.00%</v>
      </c>
      <c r="L27" s="340">
        <f>ROUND(H27*(1+M19),0)</f>
        <v>0</v>
      </c>
      <c r="M27" s="897" t="str">
        <f>TEXT(M19,"0.0%")&amp;" = Est. S &amp; C"</f>
        <v>2.0% = Est. S &amp; C</v>
      </c>
      <c r="O27" s="456" t="str">
        <f t="shared" si="5"/>
        <v>0.00%</v>
      </c>
      <c r="P27" s="340">
        <f>ROUND(L27*(1+Q19),0)</f>
        <v>0</v>
      </c>
      <c r="Q27" s="897" t="str">
        <f>TEXT(Q19,"0.0%")&amp;" = Est. S &amp; C"</f>
        <v>2.0% = Est. S &amp; C</v>
      </c>
      <c r="R27" s="592"/>
      <c r="S27" s="2238" t="str">
        <f t="shared" si="6"/>
        <v>0.00%</v>
      </c>
      <c r="T27" s="340">
        <f>ROUND(P27*(1+U19),0)</f>
        <v>0</v>
      </c>
      <c r="U27" s="455" t="str">
        <f>TEXT(U19,"0.0%")&amp;" = Est. S &amp; C"</f>
        <v>2.0% = Est. S &amp; C</v>
      </c>
      <c r="V27" s="952"/>
      <c r="W27" s="2241" t="str">
        <f t="shared" si="7"/>
        <v>0.00%</v>
      </c>
      <c r="X27" s="340">
        <f>ROUND(T27*(1+Y19),0)</f>
        <v>0</v>
      </c>
      <c r="Y27" s="455" t="str">
        <f>TEXT(Y19,"0.0%")&amp;" = Est. S &amp; C"</f>
        <v>2.0% = Est. S &amp; C</v>
      </c>
      <c r="AA27" s="456" t="str">
        <f t="shared" si="8"/>
        <v>0.00%</v>
      </c>
      <c r="AB27" s="340">
        <f>ROUND(X27*(1+AC19),0)</f>
        <v>0</v>
      </c>
      <c r="AC27" s="455" t="str">
        <f>TEXT(AC19,"0.0%")&amp;" = Est. S &amp; C"</f>
        <v>2.0% = Est. S &amp; C</v>
      </c>
    </row>
    <row r="28" spans="1:29" s="457" customFormat="1" hidden="1" x14ac:dyDescent="0.25">
      <c r="A28" s="2227"/>
      <c r="B28" s="2385"/>
      <c r="C28" s="2215"/>
      <c r="D28" s="340">
        <v>0</v>
      </c>
      <c r="E28" s="2386"/>
      <c r="F28" s="340"/>
      <c r="G28" s="456" t="str">
        <f>IF(D28=0,"0.00%",(H28-D28)/D28)</f>
        <v>0.00%</v>
      </c>
      <c r="H28" s="340">
        <f>ROUND(D28*(1+$I$19),0)</f>
        <v>0</v>
      </c>
      <c r="I28" s="897" t="str">
        <f t="shared" si="3"/>
        <v>2.0% = Est. S &amp; C</v>
      </c>
      <c r="J28" s="455"/>
      <c r="K28" s="456" t="str">
        <f>IF(H28=0,"0.00%",(L28-H28)/H28)</f>
        <v>0.00%</v>
      </c>
      <c r="L28" s="340">
        <f>ROUND(H28*(1+M20),0)</f>
        <v>0</v>
      </c>
      <c r="M28" s="897" t="str">
        <f>TEXT(M20,"0.0%")&amp;" = Est. S &amp; C"</f>
        <v>0.0% = Est. S &amp; C</v>
      </c>
      <c r="O28" s="456" t="str">
        <f>IF(L28=0,"0.00%",(P28-L28)/L28)</f>
        <v>0.00%</v>
      </c>
      <c r="P28" s="340">
        <f>ROUND(L28*(1+Q20),0)</f>
        <v>0</v>
      </c>
      <c r="Q28" s="897" t="str">
        <f>TEXT(Q20,"0.0%")&amp;" = Est. S &amp; C"</f>
        <v>0.0% = Est. S &amp; C</v>
      </c>
      <c r="R28" s="592"/>
      <c r="S28" s="2238" t="str">
        <f>IF(P28=0,"0.00%",(T28-P28)/P28)</f>
        <v>0.00%</v>
      </c>
      <c r="T28" s="340">
        <f>ROUND(P28*(1+U20),0)</f>
        <v>0</v>
      </c>
      <c r="U28" s="455" t="str">
        <f>TEXT(U20,"0.0%")&amp;" = Est. S &amp; C"</f>
        <v>0.0% = Est. S &amp; C</v>
      </c>
      <c r="V28" s="952"/>
      <c r="W28" s="2241" t="str">
        <f>IF(T28=0,"0.00%",(X28-T28)/T28)</f>
        <v>0.00%</v>
      </c>
      <c r="X28" s="340">
        <f>ROUND(T28*(1+Y20),0)</f>
        <v>0</v>
      </c>
      <c r="Y28" s="455" t="str">
        <f>TEXT(Y20,"0.0%")&amp;" = Est. S &amp; C"</f>
        <v>0.0% = Est. S &amp; C</v>
      </c>
      <c r="AA28" s="456" t="str">
        <f>IF(X28=0,"0.00%",(AB28-X28)/X28)</f>
        <v>0.00%</v>
      </c>
      <c r="AB28" s="340">
        <f>ROUND(X28*(1+AC20),0)</f>
        <v>0</v>
      </c>
      <c r="AC28" s="455" t="str">
        <f>TEXT(AC20,"0.0%")&amp;" = Est. S &amp; C"</f>
        <v>0.0% = Est. S &amp; C</v>
      </c>
    </row>
    <row r="29" spans="1:29" s="457" customFormat="1" ht="6" hidden="1" customHeight="1" x14ac:dyDescent="0.25">
      <c r="A29" s="2227"/>
      <c r="B29" s="2385"/>
      <c r="C29" s="2215"/>
      <c r="D29" s="340"/>
      <c r="E29" s="2386"/>
      <c r="F29" s="340"/>
      <c r="G29" s="456"/>
      <c r="H29" s="340"/>
      <c r="I29" s="897"/>
      <c r="J29" s="455"/>
      <c r="K29" s="1668"/>
      <c r="L29" s="340"/>
      <c r="M29" s="901"/>
      <c r="O29" s="1668"/>
      <c r="P29" s="340"/>
      <c r="Q29" s="901"/>
      <c r="R29" s="592"/>
      <c r="S29" s="2341"/>
      <c r="T29" s="340"/>
      <c r="U29" s="2344"/>
      <c r="V29" s="952"/>
      <c r="W29" s="2343"/>
      <c r="X29" s="340"/>
      <c r="Y29" s="2344"/>
      <c r="AA29" s="1668"/>
      <c r="AB29" s="340"/>
      <c r="AC29" s="2344"/>
    </row>
    <row r="30" spans="1:29" s="457" customFormat="1" hidden="1" x14ac:dyDescent="0.25">
      <c r="A30" s="2228"/>
      <c r="B30" s="2385"/>
      <c r="C30" s="2215"/>
      <c r="D30" s="458">
        <f>SUM(D21:D29)</f>
        <v>0</v>
      </c>
      <c r="E30" s="2386"/>
      <c r="F30" s="340"/>
      <c r="G30" s="456" t="str">
        <f t="shared" si="1"/>
        <v>0.00%</v>
      </c>
      <c r="H30" s="458">
        <f>SUM(H21:H29)</f>
        <v>0</v>
      </c>
      <c r="I30" s="898"/>
      <c r="J30" s="459"/>
      <c r="K30" s="456" t="str">
        <f>IF(H30=0,"0.00%",(L30-H30)/H30)</f>
        <v>0.00%</v>
      </c>
      <c r="L30" s="458">
        <f>SUM(L21:L29)</f>
        <v>0</v>
      </c>
      <c r="M30" s="901"/>
      <c r="O30" s="456" t="str">
        <f>IF(L30=0,"0.00%",(P30-L30)/L30)</f>
        <v>0.00%</v>
      </c>
      <c r="P30" s="458">
        <f>SUM(P21:P29)</f>
        <v>0</v>
      </c>
      <c r="Q30" s="901"/>
      <c r="R30" s="592"/>
      <c r="S30" s="2238" t="str">
        <f>IF(P30=0,"0.00%",(T30-P30)/P30)</f>
        <v>0.00%</v>
      </c>
      <c r="T30" s="458">
        <f>SUM(T21:T29)</f>
        <v>0</v>
      </c>
      <c r="U30" s="2344"/>
      <c r="V30" s="952"/>
      <c r="W30" s="2241" t="str">
        <f>IF(T30=0,"0.00%",(X30-T30)/T30)</f>
        <v>0.00%</v>
      </c>
      <c r="X30" s="458">
        <f>SUM(X21:X29)</f>
        <v>0</v>
      </c>
      <c r="Y30" s="2344"/>
      <c r="AA30" s="456" t="str">
        <f>IF(X30=0,"0.00%",(AB30-X30)/X30)</f>
        <v>0.00%</v>
      </c>
      <c r="AB30" s="458">
        <f>SUM(AB21:AB29)</f>
        <v>0</v>
      </c>
      <c r="AC30" s="2344"/>
    </row>
    <row r="31" spans="1:29" s="457" customFormat="1" hidden="1" x14ac:dyDescent="0.25">
      <c r="A31" s="2227"/>
      <c r="B31" s="2345"/>
      <c r="C31" s="2215"/>
      <c r="D31" s="340"/>
      <c r="E31" s="2386"/>
      <c r="F31" s="340"/>
      <c r="G31" s="2338"/>
      <c r="H31" s="340"/>
      <c r="I31" s="899"/>
      <c r="J31" s="455"/>
      <c r="K31" s="1668"/>
      <c r="L31" s="340"/>
      <c r="M31" s="2388"/>
      <c r="O31" s="1668"/>
      <c r="P31" s="340"/>
      <c r="Q31" s="2388"/>
      <c r="R31" s="592"/>
      <c r="S31" s="2341"/>
      <c r="T31" s="340"/>
      <c r="U31" s="2344"/>
      <c r="V31" s="952"/>
      <c r="W31" s="2343"/>
      <c r="X31" s="340"/>
      <c r="Y31" s="2344"/>
      <c r="AA31" s="1668"/>
      <c r="AB31" s="340"/>
      <c r="AC31" s="2344"/>
    </row>
    <row r="32" spans="1:29" s="461" customFormat="1" hidden="1" x14ac:dyDescent="0.25">
      <c r="A32" s="2225"/>
      <c r="B32" s="2440" t="s">
        <v>35</v>
      </c>
      <c r="C32" s="2225"/>
      <c r="D32" s="460"/>
      <c r="E32" s="868"/>
      <c r="F32" s="460"/>
      <c r="G32" s="2389"/>
      <c r="H32" s="460"/>
      <c r="I32" s="868"/>
      <c r="J32" s="460"/>
      <c r="K32" s="1669"/>
      <c r="L32" s="460"/>
      <c r="M32" s="902"/>
      <c r="O32" s="1669"/>
      <c r="P32" s="460"/>
      <c r="Q32" s="902"/>
      <c r="S32" s="1669"/>
      <c r="T32" s="460"/>
      <c r="U32" s="2392"/>
      <c r="V32" s="2381"/>
      <c r="W32" s="2382"/>
      <c r="X32" s="460"/>
      <c r="Y32" s="2392"/>
      <c r="AA32" s="1669"/>
      <c r="AB32" s="460"/>
      <c r="AC32" s="2392"/>
    </row>
    <row r="33" spans="1:29" s="457" customFormat="1" hidden="1" x14ac:dyDescent="0.25">
      <c r="A33" s="2227"/>
      <c r="B33" s="2385"/>
      <c r="C33" s="2215"/>
      <c r="D33" s="340">
        <v>0</v>
      </c>
      <c r="E33" s="2386"/>
      <c r="F33" s="340"/>
      <c r="G33" s="456" t="str">
        <f t="shared" ref="G33:G39" si="9">IF(D33=0,"0.00%",(H33-D33)/D33)</f>
        <v>0.00%</v>
      </c>
      <c r="H33" s="340">
        <f t="shared" ref="H33:H39" si="10">ROUND(D33*(1+$I$19),0)</f>
        <v>0</v>
      </c>
      <c r="I33" s="897" t="str">
        <f t="shared" ref="I33:I39" si="11">TEXT($I$19,"0.0%")&amp;" = Est. S &amp; C"</f>
        <v>2.0% = Est. S &amp; C</v>
      </c>
      <c r="J33" s="455"/>
      <c r="K33" s="456" t="str">
        <f t="shared" ref="K33:K39" si="12">IF(H33=0,"0.00%",(L33-H33)/H33)</f>
        <v>0.00%</v>
      </c>
      <c r="L33" s="340">
        <f>ROUND(H33*(1+M19),0)</f>
        <v>0</v>
      </c>
      <c r="M33" s="897" t="str">
        <f>TEXT(M19,"0.0%")&amp;" = Est. S &amp; C"</f>
        <v>2.0% = Est. S &amp; C</v>
      </c>
      <c r="O33" s="456" t="str">
        <f t="shared" ref="O33:O39" si="13">IF(L33=0,"0.00%",(P33-L33)/L33)</f>
        <v>0.00%</v>
      </c>
      <c r="P33" s="340">
        <f>ROUND(L33*(1+Q19),0)</f>
        <v>0</v>
      </c>
      <c r="Q33" s="897" t="str">
        <f>TEXT(Q19,"0.0%")&amp;" = Est. S &amp; C"</f>
        <v>2.0% = Est. S &amp; C</v>
      </c>
      <c r="R33" s="592"/>
      <c r="S33" s="2238" t="str">
        <f t="shared" ref="S33:S39" si="14">IF(P33=0,"0.00%",(T33-P33)/P33)</f>
        <v>0.00%</v>
      </c>
      <c r="T33" s="340">
        <f>ROUND(P33*(1+U19),0)</f>
        <v>0</v>
      </c>
      <c r="U33" s="455" t="str">
        <f>TEXT(U19,"0.0%")&amp;" = Est. S &amp; C"</f>
        <v>2.0% = Est. S &amp; C</v>
      </c>
      <c r="V33" s="952"/>
      <c r="W33" s="2241" t="str">
        <f t="shared" ref="W33:W39" si="15">IF(T33=0,"0.00%",(X33-T33)/T33)</f>
        <v>0.00%</v>
      </c>
      <c r="X33" s="340">
        <f>ROUND(T33*(1+Y19),0)</f>
        <v>0</v>
      </c>
      <c r="Y33" s="455" t="str">
        <f>TEXT(Y19,"0.0%")&amp;" = Est. S &amp; C"</f>
        <v>2.0% = Est. S &amp; C</v>
      </c>
      <c r="AA33" s="456" t="str">
        <f t="shared" ref="AA33:AA39" si="16">IF(X33=0,"0.00%",(AB33-X33)/X33)</f>
        <v>0.00%</v>
      </c>
      <c r="AB33" s="340">
        <f>ROUND(X33*(1+AC19),0)</f>
        <v>0</v>
      </c>
      <c r="AC33" s="455" t="str">
        <f>TEXT(AC19,"0.0%")&amp;" = Est. S &amp; C"</f>
        <v>2.0% = Est. S &amp; C</v>
      </c>
    </row>
    <row r="34" spans="1:29" s="457" customFormat="1" hidden="1" x14ac:dyDescent="0.25">
      <c r="A34" s="2227"/>
      <c r="B34" s="2385"/>
      <c r="C34" s="2215"/>
      <c r="D34" s="340">
        <v>0</v>
      </c>
      <c r="E34" s="2386"/>
      <c r="F34" s="340"/>
      <c r="G34" s="456" t="str">
        <f t="shared" si="9"/>
        <v>0.00%</v>
      </c>
      <c r="H34" s="340">
        <f t="shared" si="10"/>
        <v>0</v>
      </c>
      <c r="I34" s="897" t="str">
        <f t="shared" si="11"/>
        <v>2.0% = Est. S &amp; C</v>
      </c>
      <c r="J34" s="455"/>
      <c r="K34" s="456" t="str">
        <f t="shared" si="12"/>
        <v>0.00%</v>
      </c>
      <c r="L34" s="340">
        <f>ROUND(H34*(1+M19),0)</f>
        <v>0</v>
      </c>
      <c r="M34" s="897" t="str">
        <f>TEXT(M19,"0.0%")&amp;" = Est. S &amp; C"</f>
        <v>2.0% = Est. S &amp; C</v>
      </c>
      <c r="O34" s="456" t="str">
        <f t="shared" si="13"/>
        <v>0.00%</v>
      </c>
      <c r="P34" s="340">
        <f>ROUND(L34*(1+Q19),0)</f>
        <v>0</v>
      </c>
      <c r="Q34" s="897" t="str">
        <f>TEXT(Q19,"0.0%")&amp;" = Est. S &amp; C"</f>
        <v>2.0% = Est. S &amp; C</v>
      </c>
      <c r="R34" s="592"/>
      <c r="S34" s="2238" t="str">
        <f t="shared" si="14"/>
        <v>0.00%</v>
      </c>
      <c r="T34" s="340">
        <f>ROUND(P34*(1+U19),0)</f>
        <v>0</v>
      </c>
      <c r="U34" s="455" t="str">
        <f>TEXT(U19,"0.0%")&amp;" = Est. S &amp; C"</f>
        <v>2.0% = Est. S &amp; C</v>
      </c>
      <c r="V34" s="952"/>
      <c r="W34" s="2241" t="str">
        <f t="shared" si="15"/>
        <v>0.00%</v>
      </c>
      <c r="X34" s="340">
        <f>ROUND(T34*(1+Y19),0)</f>
        <v>0</v>
      </c>
      <c r="Y34" s="455" t="str">
        <f>TEXT(Y19,"0.0%")&amp;" = Est. S &amp; C"</f>
        <v>2.0% = Est. S &amp; C</v>
      </c>
      <c r="AA34" s="456" t="str">
        <f t="shared" si="16"/>
        <v>0.00%</v>
      </c>
      <c r="AB34" s="340">
        <f>ROUND(X34*(1+AC19),0)</f>
        <v>0</v>
      </c>
      <c r="AC34" s="455" t="str">
        <f>TEXT(AC19,"0.0%")&amp;" = Est. S &amp; C"</f>
        <v>2.0% = Est. S &amp; C</v>
      </c>
    </row>
    <row r="35" spans="1:29" s="457" customFormat="1" hidden="1" x14ac:dyDescent="0.25">
      <c r="A35" s="2227"/>
      <c r="B35" s="2385"/>
      <c r="C35" s="2215"/>
      <c r="D35" s="340">
        <v>0</v>
      </c>
      <c r="E35" s="2386"/>
      <c r="F35" s="340"/>
      <c r="G35" s="456" t="str">
        <f t="shared" si="9"/>
        <v>0.00%</v>
      </c>
      <c r="H35" s="340">
        <f t="shared" si="10"/>
        <v>0</v>
      </c>
      <c r="I35" s="897" t="str">
        <f t="shared" si="11"/>
        <v>2.0% = Est. S &amp; C</v>
      </c>
      <c r="J35" s="455"/>
      <c r="K35" s="456" t="str">
        <f t="shared" si="12"/>
        <v>0.00%</v>
      </c>
      <c r="L35" s="340">
        <f>ROUND(H35*(1+M19),0)</f>
        <v>0</v>
      </c>
      <c r="M35" s="897" t="str">
        <f>TEXT(M19,"0.0%")&amp;" = Est. S &amp; C"</f>
        <v>2.0% = Est. S &amp; C</v>
      </c>
      <c r="O35" s="456" t="str">
        <f t="shared" si="13"/>
        <v>0.00%</v>
      </c>
      <c r="P35" s="340">
        <f>ROUND(L35*(1+Q19),0)</f>
        <v>0</v>
      </c>
      <c r="Q35" s="897" t="str">
        <f>TEXT(Q19,"0.0%")&amp;" = Est. S &amp; C"</f>
        <v>2.0% = Est. S &amp; C</v>
      </c>
      <c r="R35" s="592"/>
      <c r="S35" s="2238" t="str">
        <f t="shared" si="14"/>
        <v>0.00%</v>
      </c>
      <c r="T35" s="340">
        <f>ROUND(P35*(1+U19),0)</f>
        <v>0</v>
      </c>
      <c r="U35" s="455" t="str">
        <f>TEXT(U19,"0.0%")&amp;" = Est. S &amp; C"</f>
        <v>2.0% = Est. S &amp; C</v>
      </c>
      <c r="V35" s="952"/>
      <c r="W35" s="2241" t="str">
        <f t="shared" si="15"/>
        <v>0.00%</v>
      </c>
      <c r="X35" s="340">
        <f>ROUND(T35*(1+Y19),0)</f>
        <v>0</v>
      </c>
      <c r="Y35" s="455" t="str">
        <f>TEXT(Y19,"0.0%")&amp;" = Est. S &amp; C"</f>
        <v>2.0% = Est. S &amp; C</v>
      </c>
      <c r="AA35" s="456" t="str">
        <f t="shared" si="16"/>
        <v>0.00%</v>
      </c>
      <c r="AB35" s="340">
        <f>ROUND(X35*(1+AC19),0)</f>
        <v>0</v>
      </c>
      <c r="AC35" s="455" t="str">
        <f>TEXT(AC19,"0.0%")&amp;" = Est. S &amp; C"</f>
        <v>2.0% = Est. S &amp; C</v>
      </c>
    </row>
    <row r="36" spans="1:29" s="457" customFormat="1" hidden="1" x14ac:dyDescent="0.25">
      <c r="A36" s="2227"/>
      <c r="B36" s="2385"/>
      <c r="C36" s="2215"/>
      <c r="D36" s="340">
        <v>0</v>
      </c>
      <c r="E36" s="2386"/>
      <c r="F36" s="340"/>
      <c r="G36" s="456" t="str">
        <f t="shared" si="9"/>
        <v>0.00%</v>
      </c>
      <c r="H36" s="340">
        <f t="shared" si="10"/>
        <v>0</v>
      </c>
      <c r="I36" s="897" t="str">
        <f t="shared" si="11"/>
        <v>2.0% = Est. S &amp; C</v>
      </c>
      <c r="J36" s="455"/>
      <c r="K36" s="456" t="str">
        <f t="shared" si="12"/>
        <v>0.00%</v>
      </c>
      <c r="L36" s="340">
        <f>ROUND(H36*(1+M19),0)</f>
        <v>0</v>
      </c>
      <c r="M36" s="897" t="str">
        <f>TEXT(M19,"0.0%")&amp;" = Est. S &amp; C"</f>
        <v>2.0% = Est. S &amp; C</v>
      </c>
      <c r="O36" s="456" t="str">
        <f t="shared" si="13"/>
        <v>0.00%</v>
      </c>
      <c r="P36" s="340">
        <f>ROUND(L36*(1+Q19),0)</f>
        <v>0</v>
      </c>
      <c r="Q36" s="897" t="str">
        <f>TEXT(Q19,"0.0%")&amp;" = Est. S &amp; C"</f>
        <v>2.0% = Est. S &amp; C</v>
      </c>
      <c r="R36" s="592"/>
      <c r="S36" s="2238" t="str">
        <f t="shared" si="14"/>
        <v>0.00%</v>
      </c>
      <c r="T36" s="340">
        <f>ROUND(P36*(1+U19),0)</f>
        <v>0</v>
      </c>
      <c r="U36" s="455" t="str">
        <f>TEXT(U19,"0.0%")&amp;" = Est. S &amp; C"</f>
        <v>2.0% = Est. S &amp; C</v>
      </c>
      <c r="V36" s="952"/>
      <c r="W36" s="2241" t="str">
        <f t="shared" si="15"/>
        <v>0.00%</v>
      </c>
      <c r="X36" s="340">
        <f>ROUND(T36*(1+Y19),0)</f>
        <v>0</v>
      </c>
      <c r="Y36" s="455" t="str">
        <f>TEXT(Y19,"0.0%")&amp;" = Est. S &amp; C"</f>
        <v>2.0% = Est. S &amp; C</v>
      </c>
      <c r="AA36" s="456" t="str">
        <f t="shared" si="16"/>
        <v>0.00%</v>
      </c>
      <c r="AB36" s="340">
        <f>ROUND(X36*(1+AC19),0)</f>
        <v>0</v>
      </c>
      <c r="AC36" s="455" t="str">
        <f>TEXT(AC19,"0.0%")&amp;" = Est. S &amp; C"</f>
        <v>2.0% = Est. S &amp; C</v>
      </c>
    </row>
    <row r="37" spans="1:29" s="457" customFormat="1" hidden="1" x14ac:dyDescent="0.25">
      <c r="A37" s="2227"/>
      <c r="B37" s="2385"/>
      <c r="C37" s="2215"/>
      <c r="D37" s="340">
        <v>0</v>
      </c>
      <c r="E37" s="2386"/>
      <c r="F37" s="340"/>
      <c r="G37" s="456" t="str">
        <f t="shared" si="9"/>
        <v>0.00%</v>
      </c>
      <c r="H37" s="340">
        <f t="shared" si="10"/>
        <v>0</v>
      </c>
      <c r="I37" s="897" t="str">
        <f t="shared" si="11"/>
        <v>2.0% = Est. S &amp; C</v>
      </c>
      <c r="J37" s="455"/>
      <c r="K37" s="456" t="str">
        <f t="shared" si="12"/>
        <v>0.00%</v>
      </c>
      <c r="L37" s="340">
        <f>ROUND(H37*(1+M19),0)</f>
        <v>0</v>
      </c>
      <c r="M37" s="897" t="str">
        <f>TEXT(M19,"0.0%")&amp;" = Est. S &amp; C"</f>
        <v>2.0% = Est. S &amp; C</v>
      </c>
      <c r="O37" s="456" t="str">
        <f t="shared" si="13"/>
        <v>0.00%</v>
      </c>
      <c r="P37" s="340">
        <f>ROUND(L37*(1+Q19),0)</f>
        <v>0</v>
      </c>
      <c r="Q37" s="897" t="str">
        <f>TEXT(Q19,"0.0%")&amp;" = Est. S &amp; C"</f>
        <v>2.0% = Est. S &amp; C</v>
      </c>
      <c r="R37" s="592"/>
      <c r="S37" s="2238" t="str">
        <f t="shared" si="14"/>
        <v>0.00%</v>
      </c>
      <c r="T37" s="340">
        <f>ROUND(P37*(1+U19),0)</f>
        <v>0</v>
      </c>
      <c r="U37" s="455" t="str">
        <f>TEXT(U19,"0.0%")&amp;" = Est. S &amp; C"</f>
        <v>2.0% = Est. S &amp; C</v>
      </c>
      <c r="V37" s="952"/>
      <c r="W37" s="2241" t="str">
        <f t="shared" si="15"/>
        <v>0.00%</v>
      </c>
      <c r="X37" s="340">
        <f>ROUND(T37*(1+Y19),0)</f>
        <v>0</v>
      </c>
      <c r="Y37" s="455" t="str">
        <f>TEXT(Y19,"0.0%")&amp;" = Est. S &amp; C"</f>
        <v>2.0% = Est. S &amp; C</v>
      </c>
      <c r="AA37" s="456" t="str">
        <f t="shared" si="16"/>
        <v>0.00%</v>
      </c>
      <c r="AB37" s="340">
        <f>ROUND(X37*(1+AC19),0)</f>
        <v>0</v>
      </c>
      <c r="AC37" s="455" t="str">
        <f>TEXT(AC19,"0.0%")&amp;" = Est. S &amp; C"</f>
        <v>2.0% = Est. S &amp; C</v>
      </c>
    </row>
    <row r="38" spans="1:29" s="457" customFormat="1" hidden="1" x14ac:dyDescent="0.25">
      <c r="A38" s="2227"/>
      <c r="B38" s="2385"/>
      <c r="C38" s="2215"/>
      <c r="D38" s="340">
        <v>0</v>
      </c>
      <c r="E38" s="2386"/>
      <c r="F38" s="340"/>
      <c r="G38" s="456" t="str">
        <f t="shared" si="9"/>
        <v>0.00%</v>
      </c>
      <c r="H38" s="340">
        <f t="shared" si="10"/>
        <v>0</v>
      </c>
      <c r="I38" s="897" t="str">
        <f t="shared" si="11"/>
        <v>2.0% = Est. S &amp; C</v>
      </c>
      <c r="J38" s="455"/>
      <c r="K38" s="456" t="str">
        <f t="shared" si="12"/>
        <v>0.00%</v>
      </c>
      <c r="L38" s="340">
        <f>ROUND(H38*(1+M19),0)</f>
        <v>0</v>
      </c>
      <c r="M38" s="897" t="str">
        <f>TEXT(M19,"0.0%")&amp;" = Est. S &amp; C"</f>
        <v>2.0% = Est. S &amp; C</v>
      </c>
      <c r="O38" s="456" t="str">
        <f t="shared" si="13"/>
        <v>0.00%</v>
      </c>
      <c r="P38" s="340">
        <f>ROUND(L38*(1+Q19),0)</f>
        <v>0</v>
      </c>
      <c r="Q38" s="897" t="str">
        <f>TEXT(Q19,"0.0%")&amp;" = Est. S &amp; C"</f>
        <v>2.0% = Est. S &amp; C</v>
      </c>
      <c r="R38" s="592"/>
      <c r="S38" s="2238" t="str">
        <f t="shared" si="14"/>
        <v>0.00%</v>
      </c>
      <c r="T38" s="340">
        <f>ROUND(P38*(1+U19),0)</f>
        <v>0</v>
      </c>
      <c r="U38" s="455" t="str">
        <f>TEXT(U19,"0.0%")&amp;" = Est. S &amp; C"</f>
        <v>2.0% = Est. S &amp; C</v>
      </c>
      <c r="V38" s="952"/>
      <c r="W38" s="2241" t="str">
        <f t="shared" si="15"/>
        <v>0.00%</v>
      </c>
      <c r="X38" s="340">
        <f>ROUND(T38*(1+Y19),0)</f>
        <v>0</v>
      </c>
      <c r="Y38" s="455" t="str">
        <f>TEXT(Y19,"0.0%")&amp;" = Est. S &amp; C"</f>
        <v>2.0% = Est. S &amp; C</v>
      </c>
      <c r="AA38" s="456" t="str">
        <f t="shared" si="16"/>
        <v>0.00%</v>
      </c>
      <c r="AB38" s="340">
        <f>ROUND(X38*(1+AC19),0)</f>
        <v>0</v>
      </c>
      <c r="AC38" s="455" t="str">
        <f>TEXT(AC19,"0.0%")&amp;" = Est. S &amp; C"</f>
        <v>2.0% = Est. S &amp; C</v>
      </c>
    </row>
    <row r="39" spans="1:29" s="457" customFormat="1" hidden="1" x14ac:dyDescent="0.25">
      <c r="A39" s="2227"/>
      <c r="B39" s="2385"/>
      <c r="C39" s="2215"/>
      <c r="D39" s="340">
        <v>0</v>
      </c>
      <c r="E39" s="2386"/>
      <c r="F39" s="340"/>
      <c r="G39" s="456" t="str">
        <f t="shared" si="9"/>
        <v>0.00%</v>
      </c>
      <c r="H39" s="340">
        <f t="shared" si="10"/>
        <v>0</v>
      </c>
      <c r="I39" s="897" t="str">
        <f t="shared" si="11"/>
        <v>2.0% = Est. S &amp; C</v>
      </c>
      <c r="J39" s="455"/>
      <c r="K39" s="456" t="str">
        <f t="shared" si="12"/>
        <v>0.00%</v>
      </c>
      <c r="L39" s="340">
        <f>ROUND(H39*(1+M19),0)</f>
        <v>0</v>
      </c>
      <c r="M39" s="897" t="str">
        <f>TEXT(M19,"0.0%")&amp;" = Est. S &amp; C"</f>
        <v>2.0% = Est. S &amp; C</v>
      </c>
      <c r="O39" s="456" t="str">
        <f t="shared" si="13"/>
        <v>0.00%</v>
      </c>
      <c r="P39" s="340">
        <f>ROUND(L39*(1+Q19),0)</f>
        <v>0</v>
      </c>
      <c r="Q39" s="897" t="str">
        <f>TEXT(Q19,"0.0%")&amp;" = Est. S &amp; C"</f>
        <v>2.0% = Est. S &amp; C</v>
      </c>
      <c r="R39" s="592"/>
      <c r="S39" s="2238" t="str">
        <f t="shared" si="14"/>
        <v>0.00%</v>
      </c>
      <c r="T39" s="340">
        <f>ROUND(P39*(1+U19),0)</f>
        <v>0</v>
      </c>
      <c r="U39" s="455" t="str">
        <f>TEXT(U19,"0.0%")&amp;" = Est. S &amp; C"</f>
        <v>2.0% = Est. S &amp; C</v>
      </c>
      <c r="V39" s="952"/>
      <c r="W39" s="2241" t="str">
        <f t="shared" si="15"/>
        <v>0.00%</v>
      </c>
      <c r="X39" s="340">
        <f>ROUND(T39*(1+Y19),0)</f>
        <v>0</v>
      </c>
      <c r="Y39" s="455" t="str">
        <f>TEXT(Y19,"0.0%")&amp;" = Est. S &amp; C"</f>
        <v>2.0% = Est. S &amp; C</v>
      </c>
      <c r="AA39" s="456" t="str">
        <f t="shared" si="16"/>
        <v>0.00%</v>
      </c>
      <c r="AB39" s="340">
        <f>ROUND(X39*(1+AC19),0)</f>
        <v>0</v>
      </c>
      <c r="AC39" s="455" t="str">
        <f>TEXT(AC19,"0.0%")&amp;" = Est. S &amp; C"</f>
        <v>2.0% = Est. S &amp; C</v>
      </c>
    </row>
    <row r="40" spans="1:29" s="457" customFormat="1" ht="6" hidden="1" customHeight="1" x14ac:dyDescent="0.25">
      <c r="A40" s="2227"/>
      <c r="B40" s="2385"/>
      <c r="C40" s="2215"/>
      <c r="D40" s="340"/>
      <c r="E40" s="2386"/>
      <c r="F40" s="340"/>
      <c r="G40" s="2338"/>
      <c r="H40" s="340"/>
      <c r="I40" s="897"/>
      <c r="J40" s="455"/>
      <c r="K40" s="1668"/>
      <c r="L40" s="340"/>
      <c r="M40" s="901"/>
      <c r="O40" s="1668"/>
      <c r="P40" s="340"/>
      <c r="Q40" s="901"/>
      <c r="R40" s="592"/>
      <c r="S40" s="2341"/>
      <c r="T40" s="340"/>
      <c r="U40" s="2344"/>
      <c r="V40" s="952"/>
      <c r="W40" s="2343"/>
      <c r="X40" s="340"/>
      <c r="Y40" s="2344"/>
      <c r="AA40" s="1668"/>
      <c r="AB40" s="340"/>
      <c r="AC40" s="2344"/>
    </row>
    <row r="41" spans="1:29" s="457" customFormat="1" hidden="1" x14ac:dyDescent="0.25">
      <c r="A41" s="2228"/>
      <c r="B41" s="2385"/>
      <c r="C41" s="2215"/>
      <c r="D41" s="458">
        <f>SUM(D33:D40)</f>
        <v>0</v>
      </c>
      <c r="E41" s="2386"/>
      <c r="F41" s="340"/>
      <c r="G41" s="456" t="str">
        <f>IF(D41=0,"0.00%",(H41-D41)/D41)</f>
        <v>0.00%</v>
      </c>
      <c r="H41" s="458">
        <f>SUM(H33:H40)</f>
        <v>0</v>
      </c>
      <c r="I41" s="898"/>
      <c r="J41" s="459"/>
      <c r="K41" s="456" t="str">
        <f>IF(H41=0,"0.00%",(L41-H41)/H41)</f>
        <v>0.00%</v>
      </c>
      <c r="L41" s="458">
        <f>SUM(L33:L40)</f>
        <v>0</v>
      </c>
      <c r="M41" s="901"/>
      <c r="O41" s="456" t="str">
        <f>IF(L41=0,"0.00%",(P41-L41)/L41)</f>
        <v>0.00%</v>
      </c>
      <c r="P41" s="458">
        <f>SUM(P33:P40)</f>
        <v>0</v>
      </c>
      <c r="Q41" s="901"/>
      <c r="R41" s="592"/>
      <c r="S41" s="2238" t="str">
        <f>IF(P41=0,"0.00%",(T41-P41)/P41)</f>
        <v>0.00%</v>
      </c>
      <c r="T41" s="458">
        <f>SUM(T33:T40)</f>
        <v>0</v>
      </c>
      <c r="U41" s="2344"/>
      <c r="V41" s="952"/>
      <c r="W41" s="2241" t="str">
        <f>IF(T41=0,"0.00%",(X41-T41)/T41)</f>
        <v>0.00%</v>
      </c>
      <c r="X41" s="458">
        <f>SUM(X33:X40)</f>
        <v>0</v>
      </c>
      <c r="Y41" s="2344"/>
      <c r="AA41" s="456" t="str">
        <f>IF(X41=0,"0.00%",(AB41-X41)/X41)</f>
        <v>0.00%</v>
      </c>
      <c r="AB41" s="458">
        <f>SUM(AB33:AB40)</f>
        <v>0</v>
      </c>
      <c r="AC41" s="2344"/>
    </row>
    <row r="42" spans="1:29" s="457" customFormat="1" hidden="1" x14ac:dyDescent="0.25">
      <c r="A42" s="2227"/>
      <c r="B42" s="2345" t="s">
        <v>28</v>
      </c>
      <c r="C42" s="2215"/>
      <c r="D42" s="340"/>
      <c r="E42" s="2386"/>
      <c r="F42" s="340"/>
      <c r="G42" s="2338"/>
      <c r="H42" s="340"/>
      <c r="I42" s="897"/>
      <c r="J42" s="455"/>
      <c r="K42" s="1668"/>
      <c r="L42" s="340"/>
      <c r="M42" s="901"/>
      <c r="O42" s="1668"/>
      <c r="P42" s="340"/>
      <c r="Q42" s="901"/>
      <c r="R42" s="592"/>
      <c r="S42" s="2341"/>
      <c r="T42" s="340"/>
      <c r="U42" s="2344"/>
      <c r="V42" s="952"/>
      <c r="W42" s="2343"/>
      <c r="X42" s="340"/>
      <c r="Y42" s="2344"/>
      <c r="AA42" s="1668"/>
      <c r="AB42" s="340"/>
      <c r="AC42" s="2344"/>
    </row>
    <row r="43" spans="1:29" s="457" customFormat="1" hidden="1" x14ac:dyDescent="0.25">
      <c r="A43" s="2229"/>
      <c r="B43" s="2337" t="s">
        <v>27</v>
      </c>
      <c r="C43" s="2215"/>
      <c r="D43" s="340"/>
      <c r="E43" s="2386"/>
      <c r="F43" s="340"/>
      <c r="G43" s="2338"/>
      <c r="H43" s="340"/>
      <c r="I43" s="897"/>
      <c r="J43" s="455"/>
      <c r="K43" s="1668"/>
      <c r="L43" s="340"/>
      <c r="M43" s="901"/>
      <c r="O43" s="1668"/>
      <c r="P43" s="340"/>
      <c r="Q43" s="901"/>
      <c r="R43" s="592"/>
      <c r="S43" s="2341"/>
      <c r="T43" s="340"/>
      <c r="U43" s="2344"/>
      <c r="V43" s="952"/>
      <c r="W43" s="2343"/>
      <c r="X43" s="340"/>
      <c r="Y43" s="2344"/>
      <c r="AA43" s="1668"/>
      <c r="AB43" s="340"/>
      <c r="AC43" s="2344"/>
    </row>
    <row r="44" spans="1:29" s="457" customFormat="1" hidden="1" x14ac:dyDescent="0.25">
      <c r="A44" s="2227"/>
      <c r="B44" s="2385" t="s">
        <v>83</v>
      </c>
      <c r="C44" s="2215" t="s">
        <v>76</v>
      </c>
      <c r="D44" s="340">
        <v>0</v>
      </c>
      <c r="E44" s="899" t="str">
        <f>TEXT('MYP Assumptions'!$D$57,"0.00%")&amp;", STRS rate"</f>
        <v>12.58%, STRS rate</v>
      </c>
      <c r="F44" s="340"/>
      <c r="G44" s="456" t="str">
        <f t="shared" ref="G44:G53" si="17">IF(D44=0,"0.00%",(H44-D44)/D44)</f>
        <v>0.00%</v>
      </c>
      <c r="H44" s="340">
        <f>ROUND(H30*LEFT(I44,6),0)</f>
        <v>0</v>
      </c>
      <c r="I44" s="899" t="str">
        <f>TEXT('MYP Assumptions'!E57,"0.00%")&amp;", projected STRS rate"</f>
        <v>14.43%, projected STRS rate</v>
      </c>
      <c r="J44" s="455"/>
      <c r="K44" s="456" t="str">
        <f t="shared" ref="K44:K53" si="18">IF(H44=0,"0.00%",(L44-H44)/H44)</f>
        <v>0.00%</v>
      </c>
      <c r="L44" s="340">
        <f>ROUND(L30*LEFT(M44,6),0)</f>
        <v>0</v>
      </c>
      <c r="M44" s="899" t="str">
        <f>TEXT('MYP Assumptions'!F57,"0.00%")&amp;", projected STRS rate"</f>
        <v>16.28%, projected STRS rate</v>
      </c>
      <c r="O44" s="456" t="str">
        <f t="shared" ref="O44:O53" si="19">IF(L44=0,"0.00%",(P44-L44)/L44)</f>
        <v>0.00%</v>
      </c>
      <c r="P44" s="340">
        <f>ROUND(P30*LEFT(Q44,6),0)</f>
        <v>0</v>
      </c>
      <c r="Q44" s="899" t="str">
        <f>TEXT('MYP Assumptions'!G57,"0.00%")&amp;", projected STRS rate"</f>
        <v>18.13%, projected STRS rate</v>
      </c>
      <c r="R44" s="592"/>
      <c r="S44" s="2238" t="str">
        <f t="shared" ref="S44:S53" si="20">IF(P44=0,"0.00%",(T44-P44)/P44)</f>
        <v>0.00%</v>
      </c>
      <c r="T44" s="340">
        <f>ROUND(T30*LEFT(U44,6),0)</f>
        <v>0</v>
      </c>
      <c r="U44" s="953" t="str">
        <f>TEXT('MYP Assumptions'!H57,"0.00%")&amp;", projected STRS rate"</f>
        <v>19.10%, projected STRS rate</v>
      </c>
      <c r="V44" s="952"/>
      <c r="W44" s="2241" t="str">
        <f t="shared" ref="W44:W53" si="21">IF(T44=0,"0.00%",(X44-T44)/T44)</f>
        <v>0.00%</v>
      </c>
      <c r="X44" s="340">
        <f>ROUND(X30*LEFT(Y44,6),0)</f>
        <v>0</v>
      </c>
      <c r="Y44" s="953" t="str">
        <f>TEXT('MYP Assumptions'!I57,"0.00%")&amp;", projected STRS rate"</f>
        <v>19.10%, projected STRS rate</v>
      </c>
      <c r="AA44" s="456" t="str">
        <f t="shared" ref="AA44:AA53" si="22">IF(X44=0,"0.00%",(AB44-X44)/X44)</f>
        <v>0.00%</v>
      </c>
      <c r="AB44" s="340" t="e">
        <f>ROUND(AB30*LEFT(AC44,6),0)</f>
        <v>#VALUE!</v>
      </c>
      <c r="AC44" s="953" t="str">
        <f>TEXT('MYP Assumptions'!J57,"0.00%")&amp;", projected STRS rate"</f>
        <v>0.00%, projected STRS rate</v>
      </c>
    </row>
    <row r="45" spans="1:29" s="457" customFormat="1" hidden="1" x14ac:dyDescent="0.25">
      <c r="A45" s="2227"/>
      <c r="B45" s="2385" t="s">
        <v>84</v>
      </c>
      <c r="C45" s="2215" t="s">
        <v>77</v>
      </c>
      <c r="D45" s="340">
        <v>0</v>
      </c>
      <c r="E45" s="899" t="str">
        <f>TEXT('MYP Assumptions'!$D$58,"0.00%")&amp;", PERS rate"</f>
        <v>13.89%, PERS rate</v>
      </c>
      <c r="F45" s="340"/>
      <c r="G45" s="456" t="str">
        <f t="shared" si="17"/>
        <v>0.00%</v>
      </c>
      <c r="H45" s="340">
        <f>ROUND(H41*LEFT(I45,6),0)</f>
        <v>0</v>
      </c>
      <c r="I45" s="899" t="str">
        <f>TEXT('MYP Assumptions'!E58,"0.00%")&amp;", projected PERS rate"</f>
        <v>15.53%, projected PERS rate</v>
      </c>
      <c r="J45" s="455"/>
      <c r="K45" s="456" t="str">
        <f t="shared" si="18"/>
        <v>0.00%</v>
      </c>
      <c r="L45" s="340">
        <f>ROUND(L41*LEFT(M45,6),0)</f>
        <v>0</v>
      </c>
      <c r="M45" s="899" t="str">
        <f>TEXT('MYP Assumptions'!F58,"0.00%")&amp;", projected PERS rate"</f>
        <v>18.06%, projected PERS rate</v>
      </c>
      <c r="O45" s="456" t="str">
        <f t="shared" si="19"/>
        <v>0.00%</v>
      </c>
      <c r="P45" s="340">
        <f>ROUND(P41*LEFT(Q45,6),0)</f>
        <v>0</v>
      </c>
      <c r="Q45" s="899" t="str">
        <f>TEXT('MYP Assumptions'!G58,"0.00%")&amp;", projected PERS rate"</f>
        <v>20.80%, projected PERS rate</v>
      </c>
      <c r="R45" s="592"/>
      <c r="S45" s="2238" t="str">
        <f t="shared" si="20"/>
        <v>0.00%</v>
      </c>
      <c r="T45" s="340">
        <f>ROUND(T41*LEFT(U45,6),0)</f>
        <v>0</v>
      </c>
      <c r="U45" s="953" t="str">
        <f>TEXT('MYP Assumptions'!H58,"0.00%")&amp;", projected PERS rate"</f>
        <v>23.50%, projected PERS rate</v>
      </c>
      <c r="V45" s="952"/>
      <c r="W45" s="2241" t="str">
        <f t="shared" si="21"/>
        <v>0.00%</v>
      </c>
      <c r="X45" s="340">
        <f>ROUND(X41*LEFT(Y45,6),0)</f>
        <v>0</v>
      </c>
      <c r="Y45" s="953" t="str">
        <f>TEXT('MYP Assumptions'!I58,"0.00%")&amp;", projected PERS rate"</f>
        <v>24.60%, projected PERS rate</v>
      </c>
      <c r="AA45" s="456" t="str">
        <f t="shared" si="22"/>
        <v>0.00%</v>
      </c>
      <c r="AB45" s="340" t="e">
        <f>ROUND(AB41*LEFT(AC45,6),0)</f>
        <v>#VALUE!</v>
      </c>
      <c r="AC45" s="953" t="str">
        <f>TEXT('MYP Assumptions'!J58,"0.00%")&amp;", projected PERS rate"</f>
        <v>0.00%, projected PERS rate</v>
      </c>
    </row>
    <row r="46" spans="1:29" s="457" customFormat="1" hidden="1" x14ac:dyDescent="0.25">
      <c r="A46" s="2227"/>
      <c r="B46" s="2385" t="s">
        <v>85</v>
      </c>
      <c r="C46" s="2215" t="s">
        <v>78</v>
      </c>
      <c r="D46" s="340">
        <v>0</v>
      </c>
      <c r="E46" s="899" t="str">
        <f>TEXT('MYP Assumptions'!$D$60,"0.00%")&amp;", SS rate"</f>
        <v>6.20%, SS rate</v>
      </c>
      <c r="F46" s="340"/>
      <c r="G46" s="456" t="str">
        <f t="shared" si="17"/>
        <v>0.00%</v>
      </c>
      <c r="H46" s="340">
        <f>ROUND(H41*LEFT(I46,5),0)</f>
        <v>0</v>
      </c>
      <c r="I46" s="899" t="str">
        <f>TEXT('MYP Assumptions'!E60,"0.00%")&amp;", no rate change"</f>
        <v>6.20%, no rate change</v>
      </c>
      <c r="J46" s="455"/>
      <c r="K46" s="456" t="str">
        <f t="shared" si="18"/>
        <v>0.00%</v>
      </c>
      <c r="L46" s="340">
        <f>ROUND(L41*LEFT(M46,5),0)</f>
        <v>0</v>
      </c>
      <c r="M46" s="899" t="str">
        <f>TEXT('MYP Assumptions'!F60,"0.00%")&amp;", no rate change"</f>
        <v>6.20%, no rate change</v>
      </c>
      <c r="O46" s="456" t="str">
        <f t="shared" si="19"/>
        <v>0.00%</v>
      </c>
      <c r="P46" s="340">
        <f>ROUND(P41*LEFT(Q46,5),0)</f>
        <v>0</v>
      </c>
      <c r="Q46" s="899" t="str">
        <f>TEXT('MYP Assumptions'!G60,"0.00%")&amp;", no rate change"</f>
        <v>6.20%, no rate change</v>
      </c>
      <c r="R46" s="592"/>
      <c r="S46" s="2238" t="str">
        <f t="shared" si="20"/>
        <v>0.00%</v>
      </c>
      <c r="T46" s="340">
        <f>ROUND(T41*LEFT(U46,5),0)</f>
        <v>0</v>
      </c>
      <c r="U46" s="953" t="str">
        <f>TEXT('MYP Assumptions'!H60,"0.00%")&amp;", no rate change"</f>
        <v>6.20%, no rate change</v>
      </c>
      <c r="V46" s="952"/>
      <c r="W46" s="2241" t="str">
        <f t="shared" si="21"/>
        <v>0.00%</v>
      </c>
      <c r="X46" s="340">
        <f>ROUND(X41*LEFT(Y46,5),0)</f>
        <v>0</v>
      </c>
      <c r="Y46" s="953" t="str">
        <f>TEXT('MYP Assumptions'!I60,"0.00%")&amp;", no rate change"</f>
        <v>6.20%, no rate change</v>
      </c>
      <c r="AA46" s="456" t="str">
        <f t="shared" si="22"/>
        <v>0.00%</v>
      </c>
      <c r="AB46" s="340">
        <f>ROUND(AB41*LEFT(AC46,5),0)</f>
        <v>0</v>
      </c>
      <c r="AC46" s="953" t="str">
        <f>TEXT('MYP Assumptions'!J60,"0.00%")&amp;", no rate change"</f>
        <v>0.00%, no rate change</v>
      </c>
    </row>
    <row r="47" spans="1:29" s="457" customFormat="1" hidden="1" x14ac:dyDescent="0.25">
      <c r="A47" s="2227"/>
      <c r="B47" s="2385" t="s">
        <v>86</v>
      </c>
      <c r="C47" s="2215" t="s">
        <v>79</v>
      </c>
      <c r="D47" s="340">
        <v>0</v>
      </c>
      <c r="E47" s="899" t="str">
        <f>TEXT('MYP Assumptions'!$D$61,"0.00%")&amp;", Medicare rate"</f>
        <v>1.45%, Medicare rate</v>
      </c>
      <c r="F47" s="340"/>
      <c r="G47" s="456" t="str">
        <f t="shared" si="17"/>
        <v>0.00%</v>
      </c>
      <c r="H47" s="340">
        <f>ROUND((H41+H30)*LEFT(I47,5),0)</f>
        <v>0</v>
      </c>
      <c r="I47" s="899" t="str">
        <f>TEXT('MYP Assumptions'!E61,"0.00%")&amp;", no rate change"</f>
        <v>1.45%, no rate change</v>
      </c>
      <c r="J47" s="455"/>
      <c r="K47" s="456" t="str">
        <f t="shared" si="18"/>
        <v>0.00%</v>
      </c>
      <c r="L47" s="340">
        <f>ROUND((L41+L30)*LEFT(M47,5),0)</f>
        <v>0</v>
      </c>
      <c r="M47" s="899" t="str">
        <f>TEXT('MYP Assumptions'!F61,"0.00%")&amp;", no rate change"</f>
        <v>1.45%, no rate change</v>
      </c>
      <c r="O47" s="456" t="str">
        <f t="shared" si="19"/>
        <v>0.00%</v>
      </c>
      <c r="P47" s="340">
        <f>ROUND((P41+P30)*LEFT(Q47,5),0)</f>
        <v>0</v>
      </c>
      <c r="Q47" s="899" t="str">
        <f>TEXT('MYP Assumptions'!G61,"0.00%")&amp;", no rate change"</f>
        <v>1.45%, no rate change</v>
      </c>
      <c r="R47" s="592"/>
      <c r="S47" s="2238" t="str">
        <f t="shared" si="20"/>
        <v>0.00%</v>
      </c>
      <c r="T47" s="340">
        <f>ROUND((T41+T30)*LEFT(U47,5),0)</f>
        <v>0</v>
      </c>
      <c r="U47" s="953" t="str">
        <f>TEXT('MYP Assumptions'!H61,"0.00%")&amp;", no rate change"</f>
        <v>1.45%, no rate change</v>
      </c>
      <c r="V47" s="952"/>
      <c r="W47" s="2241" t="str">
        <f t="shared" si="21"/>
        <v>0.00%</v>
      </c>
      <c r="X47" s="340">
        <f>ROUND((X41+X30)*LEFT(Y47,5),0)</f>
        <v>0</v>
      </c>
      <c r="Y47" s="953" t="str">
        <f>TEXT('MYP Assumptions'!I61,"0.00%")&amp;", no rate change"</f>
        <v>1.45%, no rate change</v>
      </c>
      <c r="AA47" s="456" t="str">
        <f t="shared" si="22"/>
        <v>0.00%</v>
      </c>
      <c r="AB47" s="340">
        <f>ROUND((AB41+AB30)*LEFT(AC47,5),0)</f>
        <v>0</v>
      </c>
      <c r="AC47" s="953" t="str">
        <f>TEXT('MYP Assumptions'!J61,"0.00%")&amp;", no rate change"</f>
        <v>0.00%, no rate change</v>
      </c>
    </row>
    <row r="48" spans="1:29" s="457" customFormat="1" hidden="1" x14ac:dyDescent="0.25">
      <c r="A48" s="2227"/>
      <c r="B48" s="2385" t="s">
        <v>87</v>
      </c>
      <c r="C48" s="2215" t="s">
        <v>80</v>
      </c>
      <c r="D48" s="340">
        <v>0</v>
      </c>
      <c r="E48" s="899"/>
      <c r="F48" s="340"/>
      <c r="G48" s="456" t="str">
        <f t="shared" si="17"/>
        <v>0.00%</v>
      </c>
      <c r="H48" s="340">
        <f>ROUND((D48)*(LEFT(I48,5)+1),0)</f>
        <v>0</v>
      </c>
      <c r="I48" s="899" t="str">
        <f>TEXT('MYP Assumptions'!$I$68,"0.00%")&amp;", projected increase"</f>
        <v>5.00%, projected increase</v>
      </c>
      <c r="J48" s="455"/>
      <c r="K48" s="456" t="str">
        <f t="shared" si="18"/>
        <v>0.00%</v>
      </c>
      <c r="L48" s="340">
        <f>ROUND((H48)*(LEFT(M48,5)+1),0)</f>
        <v>0</v>
      </c>
      <c r="M48" s="899" t="str">
        <f>TEXT('MYP Assumptions'!$I$68,"0.00%")&amp;", projected increase"</f>
        <v>5.00%, projected increase</v>
      </c>
      <c r="O48" s="456" t="str">
        <f t="shared" si="19"/>
        <v>0.00%</v>
      </c>
      <c r="P48" s="340">
        <f>ROUND((L48)*(LEFT(Q48,5)+1),0)</f>
        <v>0</v>
      </c>
      <c r="Q48" s="899" t="str">
        <f>TEXT('MYP Assumptions'!$I$68,"0.00%")&amp;", projected increase"</f>
        <v>5.00%, projected increase</v>
      </c>
      <c r="R48" s="592"/>
      <c r="S48" s="2238" t="str">
        <f t="shared" si="20"/>
        <v>0.00%</v>
      </c>
      <c r="T48" s="340">
        <f>ROUND((P48)*(LEFT(U48,5)+1),0)</f>
        <v>0</v>
      </c>
      <c r="U48" s="953" t="str">
        <f>TEXT('MYP Assumptions'!$I$68,"0.00%")&amp;", projected increase"</f>
        <v>5.00%, projected increase</v>
      </c>
      <c r="V48" s="952"/>
      <c r="W48" s="2241" t="str">
        <f t="shared" si="21"/>
        <v>0.00%</v>
      </c>
      <c r="X48" s="340">
        <f>ROUND((T48)*(LEFT(Y48,5)+1),0)</f>
        <v>0</v>
      </c>
      <c r="Y48" s="953" t="str">
        <f>TEXT('MYP Assumptions'!$I$68,"0.00%")&amp;", projected increase"</f>
        <v>5.00%, projected increase</v>
      </c>
      <c r="AA48" s="456" t="str">
        <f t="shared" si="22"/>
        <v>0.00%</v>
      </c>
      <c r="AB48" s="340">
        <f>ROUND((X48)*(LEFT(AC48,5)+1),0)</f>
        <v>0</v>
      </c>
      <c r="AC48" s="953" t="str">
        <f>TEXT('MYP Assumptions'!$I$68,"0.00%")&amp;", projected increase"</f>
        <v>5.00%, projected increase</v>
      </c>
    </row>
    <row r="49" spans="1:29" s="457" customFormat="1" hidden="1" x14ac:dyDescent="0.25">
      <c r="A49" s="2227"/>
      <c r="B49" s="2385" t="s">
        <v>88</v>
      </c>
      <c r="C49" s="2215" t="s">
        <v>81</v>
      </c>
      <c r="D49" s="340">
        <v>0</v>
      </c>
      <c r="E49" s="899" t="str">
        <f>TEXT('MYP Assumptions'!$D$62,"0.00%")&amp;", SUI rate"</f>
        <v>0.05%, SUI rate</v>
      </c>
      <c r="F49" s="340"/>
      <c r="G49" s="456" t="str">
        <f t="shared" si="17"/>
        <v>0.00%</v>
      </c>
      <c r="H49" s="340">
        <f>ROUND((H41+H30)*LEFT(I49,5),0)</f>
        <v>0</v>
      </c>
      <c r="I49" s="899" t="str">
        <f>TEXT('MYP Assumptions'!E62,"0.00%")&amp;", no rate change"</f>
        <v>0.05%, no rate change</v>
      </c>
      <c r="J49" s="455"/>
      <c r="K49" s="456" t="str">
        <f t="shared" si="18"/>
        <v>0.00%</v>
      </c>
      <c r="L49" s="340">
        <f>ROUND((L41+L30)*LEFT(M49,5),0)</f>
        <v>0</v>
      </c>
      <c r="M49" s="899" t="str">
        <f>TEXT('MYP Assumptions'!F62,"0.00%")&amp;", no rate change"</f>
        <v>0.05%, no rate change</v>
      </c>
      <c r="O49" s="456" t="str">
        <f t="shared" si="19"/>
        <v>0.00%</v>
      </c>
      <c r="P49" s="340">
        <f>ROUND((P41+P30)*LEFT(Q49,5),0)</f>
        <v>0</v>
      </c>
      <c r="Q49" s="899" t="str">
        <f>TEXT('MYP Assumptions'!G62,"0.00%")&amp;", no rate change"</f>
        <v>0.05%, no rate change</v>
      </c>
      <c r="R49" s="592"/>
      <c r="S49" s="2238" t="str">
        <f t="shared" si="20"/>
        <v>0.00%</v>
      </c>
      <c r="T49" s="340">
        <f>ROUND((T41+T30)*LEFT(U49,5),0)</f>
        <v>0</v>
      </c>
      <c r="U49" s="953" t="str">
        <f>TEXT('MYP Assumptions'!H62,"0.00%")&amp;", no rate change"</f>
        <v>0.05%, no rate change</v>
      </c>
      <c r="V49" s="952"/>
      <c r="W49" s="2241" t="str">
        <f t="shared" si="21"/>
        <v>0.00%</v>
      </c>
      <c r="X49" s="340">
        <f>ROUND((X41+X30)*LEFT(Y49,5),0)</f>
        <v>0</v>
      </c>
      <c r="Y49" s="953" t="str">
        <f>TEXT('MYP Assumptions'!I62,"0.00%")&amp;", no rate change"</f>
        <v>0.05%, no rate change</v>
      </c>
      <c r="AA49" s="456" t="str">
        <f t="shared" si="22"/>
        <v>0.00%</v>
      </c>
      <c r="AB49" s="340">
        <f>ROUND((AB41+AB30)*LEFT(AC49,5),0)</f>
        <v>0</v>
      </c>
      <c r="AC49" s="953" t="str">
        <f>TEXT('MYP Assumptions'!J62,"0.00%")&amp;", no rate change"</f>
        <v>0.00%, no rate change</v>
      </c>
    </row>
    <row r="50" spans="1:29" s="457" customFormat="1" hidden="1" x14ac:dyDescent="0.25">
      <c r="A50" s="2227"/>
      <c r="B50" s="2385" t="s">
        <v>89</v>
      </c>
      <c r="C50" s="2215" t="s">
        <v>82</v>
      </c>
      <c r="D50" s="340">
        <v>0</v>
      </c>
      <c r="E50" s="899" t="str">
        <f>TEXT('MYP Assumptions'!$D$63,"0.00%")&amp;", W/C rate"</f>
        <v>1.10%, W/C rate</v>
      </c>
      <c r="F50" s="340"/>
      <c r="G50" s="456" t="str">
        <f t="shared" si="17"/>
        <v>0.00%</v>
      </c>
      <c r="H50" s="340">
        <f>ROUND((H41+H30)*LEFT(I50,5),0)</f>
        <v>0</v>
      </c>
      <c r="I50" s="899" t="str">
        <f>TEXT('MYP Assumptions'!E63,"0.00%")&amp;", no rate change"</f>
        <v>0.80%, no rate change</v>
      </c>
      <c r="J50" s="455"/>
      <c r="K50" s="456" t="str">
        <f t="shared" si="18"/>
        <v>0.00%</v>
      </c>
      <c r="L50" s="340">
        <f>ROUND((L41+L30)*LEFT(M50,5),0)</f>
        <v>0</v>
      </c>
      <c r="M50" s="899" t="str">
        <f>TEXT('MYP Assumptions'!F63,"0.00%")&amp;", no rate change"</f>
        <v>0.80%, no rate change</v>
      </c>
      <c r="O50" s="456" t="str">
        <f t="shared" si="19"/>
        <v>0.00%</v>
      </c>
      <c r="P50" s="340">
        <f>ROUND((P41+P30)*LEFT(Q50,5),0)</f>
        <v>0</v>
      </c>
      <c r="Q50" s="899" t="str">
        <f>TEXT('MYP Assumptions'!G63,"0.00%")&amp;", no rate change"</f>
        <v>0.80%, no rate change</v>
      </c>
      <c r="R50" s="592"/>
      <c r="S50" s="2238" t="str">
        <f t="shared" si="20"/>
        <v>0.00%</v>
      </c>
      <c r="T50" s="340">
        <f>ROUND((T41+T30)*LEFT(U50,5),0)</f>
        <v>0</v>
      </c>
      <c r="U50" s="953" t="str">
        <f>TEXT('MYP Assumptions'!H63,"0.00%")&amp;", no rate change"</f>
        <v>0.80%, no rate change</v>
      </c>
      <c r="V50" s="952"/>
      <c r="W50" s="2241" t="str">
        <f t="shared" si="21"/>
        <v>0.00%</v>
      </c>
      <c r="X50" s="340">
        <f>ROUND((X41+X30)*LEFT(Y50,5),0)</f>
        <v>0</v>
      </c>
      <c r="Y50" s="953" t="str">
        <f>TEXT('MYP Assumptions'!I63,"0.00%")&amp;", no rate change"</f>
        <v>0.80%, no rate change</v>
      </c>
      <c r="AA50" s="456" t="str">
        <f t="shared" si="22"/>
        <v>0.00%</v>
      </c>
      <c r="AB50" s="340">
        <f>ROUND((AB41+AB30)*LEFT(AC50,5),0)</f>
        <v>0</v>
      </c>
      <c r="AC50" s="953" t="str">
        <f>TEXT('MYP Assumptions'!J63,"0.00%")&amp;", no rate change"</f>
        <v>0.00%, no rate change</v>
      </c>
    </row>
    <row r="51" spans="1:29" s="457" customFormat="1" hidden="1" x14ac:dyDescent="0.25">
      <c r="A51" s="2227"/>
      <c r="B51" s="2385" t="s">
        <v>90</v>
      </c>
      <c r="C51" s="2215" t="s">
        <v>92</v>
      </c>
      <c r="D51" s="340">
        <v>0</v>
      </c>
      <c r="E51" s="2386"/>
      <c r="F51" s="340"/>
      <c r="G51" s="456" t="str">
        <f t="shared" si="17"/>
        <v>0.00%</v>
      </c>
      <c r="H51" s="340">
        <f>D51</f>
        <v>0</v>
      </c>
      <c r="I51" s="899" t="s">
        <v>165</v>
      </c>
      <c r="J51" s="455"/>
      <c r="K51" s="456" t="str">
        <f t="shared" si="18"/>
        <v>0.00%</v>
      </c>
      <c r="L51" s="340">
        <f>H51</f>
        <v>0</v>
      </c>
      <c r="M51" s="899" t="s">
        <v>165</v>
      </c>
      <c r="O51" s="456" t="str">
        <f t="shared" si="19"/>
        <v>0.00%</v>
      </c>
      <c r="P51" s="340">
        <f>L51</f>
        <v>0</v>
      </c>
      <c r="Q51" s="899" t="s">
        <v>165</v>
      </c>
      <c r="R51" s="592"/>
      <c r="S51" s="2238" t="str">
        <f t="shared" si="20"/>
        <v>0.00%</v>
      </c>
      <c r="T51" s="340">
        <f>P51</f>
        <v>0</v>
      </c>
      <c r="U51" s="953" t="s">
        <v>165</v>
      </c>
      <c r="V51" s="952"/>
      <c r="W51" s="2241" t="str">
        <f t="shared" si="21"/>
        <v>0.00%</v>
      </c>
      <c r="X51" s="340">
        <f>T51</f>
        <v>0</v>
      </c>
      <c r="Y51" s="953" t="s">
        <v>165</v>
      </c>
      <c r="AA51" s="456" t="str">
        <f t="shared" si="22"/>
        <v>0.00%</v>
      </c>
      <c r="AB51" s="340">
        <f>X51</f>
        <v>0</v>
      </c>
      <c r="AC51" s="953" t="s">
        <v>165</v>
      </c>
    </row>
    <row r="52" spans="1:29" s="457" customFormat="1" hidden="1" x14ac:dyDescent="0.25">
      <c r="A52" s="2227"/>
      <c r="B52" s="2385" t="s">
        <v>91</v>
      </c>
      <c r="C52" s="2215" t="s">
        <v>93</v>
      </c>
      <c r="D52" s="340">
        <v>0</v>
      </c>
      <c r="E52" s="2386"/>
      <c r="F52" s="340"/>
      <c r="G52" s="456" t="str">
        <f t="shared" si="17"/>
        <v>0.00%</v>
      </c>
      <c r="H52" s="340">
        <f>D52</f>
        <v>0</v>
      </c>
      <c r="I52" s="899" t="s">
        <v>165</v>
      </c>
      <c r="J52" s="455"/>
      <c r="K52" s="456" t="str">
        <f t="shared" si="18"/>
        <v>0.00%</v>
      </c>
      <c r="L52" s="340">
        <f>H52</f>
        <v>0</v>
      </c>
      <c r="M52" s="899" t="s">
        <v>165</v>
      </c>
      <c r="O52" s="456" t="str">
        <f t="shared" si="19"/>
        <v>0.00%</v>
      </c>
      <c r="P52" s="340">
        <f>L52</f>
        <v>0</v>
      </c>
      <c r="Q52" s="899" t="s">
        <v>165</v>
      </c>
      <c r="R52" s="592"/>
      <c r="S52" s="2238" t="str">
        <f t="shared" si="20"/>
        <v>0.00%</v>
      </c>
      <c r="T52" s="340">
        <f>P52</f>
        <v>0</v>
      </c>
      <c r="U52" s="953" t="s">
        <v>165</v>
      </c>
      <c r="V52" s="952"/>
      <c r="W52" s="2241" t="str">
        <f t="shared" si="21"/>
        <v>0.00%</v>
      </c>
      <c r="X52" s="340">
        <f>T52</f>
        <v>0</v>
      </c>
      <c r="Y52" s="953" t="s">
        <v>165</v>
      </c>
      <c r="AA52" s="456" t="str">
        <f t="shared" si="22"/>
        <v>0.00%</v>
      </c>
      <c r="AB52" s="340">
        <f>X52</f>
        <v>0</v>
      </c>
      <c r="AC52" s="953" t="s">
        <v>165</v>
      </c>
    </row>
    <row r="53" spans="1:29" s="457" customFormat="1" hidden="1" x14ac:dyDescent="0.25">
      <c r="A53" s="2228"/>
      <c r="B53" s="2385"/>
      <c r="C53" s="2215"/>
      <c r="D53" s="458">
        <f>SUM(D44:D52)</f>
        <v>0</v>
      </c>
      <c r="E53" s="2386"/>
      <c r="F53" s="340"/>
      <c r="G53" s="456" t="str">
        <f t="shared" si="17"/>
        <v>0.00%</v>
      </c>
      <c r="H53" s="458">
        <f>SUM(H44:H52)</f>
        <v>0</v>
      </c>
      <c r="I53" s="898"/>
      <c r="J53" s="459"/>
      <c r="K53" s="456" t="str">
        <f t="shared" si="18"/>
        <v>0.00%</v>
      </c>
      <c r="L53" s="458">
        <f>SUM(L44:L52)</f>
        <v>0</v>
      </c>
      <c r="M53" s="901"/>
      <c r="O53" s="456" t="str">
        <f t="shared" si="19"/>
        <v>0.00%</v>
      </c>
      <c r="P53" s="458">
        <f>SUM(P44:P52)</f>
        <v>0</v>
      </c>
      <c r="Q53" s="901"/>
      <c r="R53" s="592"/>
      <c r="S53" s="2238" t="str">
        <f t="shared" si="20"/>
        <v>0.00%</v>
      </c>
      <c r="T53" s="458">
        <f>SUM(T44:T52)</f>
        <v>0</v>
      </c>
      <c r="U53" s="2344"/>
      <c r="V53" s="952"/>
      <c r="W53" s="2241" t="str">
        <f t="shared" si="21"/>
        <v>0.00%</v>
      </c>
      <c r="X53" s="458">
        <f>SUM(X44:X52)</f>
        <v>0</v>
      </c>
      <c r="Y53" s="2344"/>
      <c r="AA53" s="456" t="str">
        <f t="shared" si="22"/>
        <v>0.00%</v>
      </c>
      <c r="AB53" s="458" t="e">
        <f>SUM(AB44:AB52)</f>
        <v>#VALUE!</v>
      </c>
      <c r="AC53" s="2344"/>
    </row>
    <row r="54" spans="1:29" s="457" customFormat="1" hidden="1" x14ac:dyDescent="0.25">
      <c r="A54" s="2229"/>
      <c r="B54" s="2385"/>
      <c r="C54" s="2215"/>
      <c r="D54" s="340"/>
      <c r="E54" s="2386"/>
      <c r="F54" s="340"/>
      <c r="G54" s="2338"/>
      <c r="H54" s="340"/>
      <c r="I54" s="897"/>
      <c r="J54" s="455"/>
      <c r="K54" s="1668"/>
      <c r="L54" s="340"/>
      <c r="M54" s="901"/>
      <c r="O54" s="1668"/>
      <c r="P54" s="340"/>
      <c r="Q54" s="901"/>
      <c r="R54" s="592"/>
      <c r="S54" s="2341"/>
      <c r="T54" s="340"/>
      <c r="U54" s="2344"/>
      <c r="V54" s="952"/>
      <c r="W54" s="2343"/>
      <c r="X54" s="340"/>
      <c r="Y54" s="2344"/>
      <c r="AA54" s="1668"/>
      <c r="AB54" s="340"/>
      <c r="AC54" s="2344"/>
    </row>
    <row r="55" spans="1:29" s="457" customFormat="1" hidden="1" x14ac:dyDescent="0.25">
      <c r="A55" s="2228"/>
      <c r="B55" s="2337" t="s">
        <v>26</v>
      </c>
      <c r="C55" s="2215"/>
      <c r="D55" s="458">
        <f>SUM(D53,D41,D30)</f>
        <v>0</v>
      </c>
      <c r="E55" s="2386"/>
      <c r="F55" s="340"/>
      <c r="G55" s="456" t="str">
        <f>IF(D55=0,"0.00%",(H55-D55)/D55)</f>
        <v>0.00%</v>
      </c>
      <c r="H55" s="458">
        <f>SUM(H53,H41,H30)</f>
        <v>0</v>
      </c>
      <c r="I55" s="898"/>
      <c r="J55" s="459"/>
      <c r="K55" s="456" t="str">
        <f>IF(H55=0,"0.00%",(L55-H55)/H55)</f>
        <v>0.00%</v>
      </c>
      <c r="L55" s="458">
        <f>SUM(L53,L41,L30)</f>
        <v>0</v>
      </c>
      <c r="M55" s="901"/>
      <c r="O55" s="456" t="str">
        <f>IF(L55=0,"0.00%",(P55-L55)/L55)</f>
        <v>0.00%</v>
      </c>
      <c r="P55" s="458">
        <f>SUM(P53,P41,P30)</f>
        <v>0</v>
      </c>
      <c r="Q55" s="901"/>
      <c r="R55" s="592"/>
      <c r="S55" s="2238" t="str">
        <f>IF(P55=0,"0.00%",(T55-P55)/P55)</f>
        <v>0.00%</v>
      </c>
      <c r="T55" s="458">
        <f>SUM(T53,T41,T30)</f>
        <v>0</v>
      </c>
      <c r="U55" s="2344"/>
      <c r="V55" s="952"/>
      <c r="W55" s="2241" t="str">
        <f>IF(T55=0,"0.00%",(X55-T55)/T55)</f>
        <v>0.00%</v>
      </c>
      <c r="X55" s="458">
        <f>SUM(X53,X41,X30)</f>
        <v>0</v>
      </c>
      <c r="Y55" s="2344"/>
      <c r="AA55" s="456" t="str">
        <f>IF(X55=0,"0.00%",(AB55-X55)/X55)</f>
        <v>0.00%</v>
      </c>
      <c r="AB55" s="458" t="e">
        <f>SUM(AB53,AB41,AB30)</f>
        <v>#VALUE!</v>
      </c>
      <c r="AC55" s="2344"/>
    </row>
    <row r="56" spans="1:29" s="457" customFormat="1" hidden="1" x14ac:dyDescent="0.25">
      <c r="A56" s="2230"/>
      <c r="B56" s="2345"/>
      <c r="C56" s="2215"/>
      <c r="D56" s="340"/>
      <c r="E56" s="2386"/>
      <c r="F56" s="340"/>
      <c r="G56" s="2338"/>
      <c r="H56" s="340"/>
      <c r="I56" s="897"/>
      <c r="J56" s="455"/>
      <c r="K56" s="1668"/>
      <c r="L56" s="340"/>
      <c r="M56" s="901"/>
      <c r="O56" s="1668"/>
      <c r="P56" s="340"/>
      <c r="Q56" s="901"/>
      <c r="R56" s="592"/>
      <c r="S56" s="2341"/>
      <c r="T56" s="340"/>
      <c r="U56" s="2344"/>
      <c r="V56" s="952"/>
      <c r="W56" s="2343"/>
      <c r="X56" s="340"/>
      <c r="Y56" s="2344"/>
      <c r="AA56" s="1668"/>
      <c r="AB56" s="340"/>
      <c r="AC56" s="2344"/>
    </row>
    <row r="57" spans="1:29" s="457" customFormat="1" hidden="1" x14ac:dyDescent="0.25">
      <c r="A57" s="2227"/>
      <c r="B57" s="2345"/>
      <c r="C57" s="2215"/>
      <c r="D57" s="340"/>
      <c r="E57" s="2386"/>
      <c r="F57" s="340"/>
      <c r="G57" s="2338"/>
      <c r="H57" s="340"/>
      <c r="I57" s="897"/>
      <c r="J57" s="455"/>
      <c r="K57" s="1668"/>
      <c r="L57" s="340"/>
      <c r="M57" s="901"/>
      <c r="O57" s="1668"/>
      <c r="P57" s="340"/>
      <c r="Q57" s="901"/>
      <c r="R57" s="592"/>
      <c r="S57" s="2341"/>
      <c r="T57" s="340"/>
      <c r="U57" s="2344"/>
      <c r="V57" s="952"/>
      <c r="W57" s="2343"/>
      <c r="X57" s="340"/>
      <c r="Y57" s="2344"/>
      <c r="AA57" s="1668"/>
      <c r="AB57" s="340"/>
      <c r="AC57" s="2344"/>
    </row>
    <row r="58" spans="1:29" s="457" customFormat="1" x14ac:dyDescent="0.25">
      <c r="A58" s="2230"/>
      <c r="B58" s="2440" t="s">
        <v>25</v>
      </c>
      <c r="C58" s="2225"/>
      <c r="D58" s="340"/>
      <c r="E58" s="2386"/>
      <c r="F58" s="340"/>
      <c r="G58" s="2338"/>
      <c r="H58" s="340"/>
      <c r="I58" s="897"/>
      <c r="J58" s="455"/>
      <c r="K58" s="1668"/>
      <c r="L58" s="340"/>
      <c r="M58" s="901"/>
      <c r="O58" s="1668"/>
      <c r="P58" s="340"/>
      <c r="Q58" s="901"/>
      <c r="R58" s="592"/>
      <c r="S58" s="2341"/>
      <c r="T58" s="340"/>
      <c r="U58" s="2344"/>
      <c r="V58" s="952"/>
      <c r="W58" s="2343"/>
      <c r="X58" s="340"/>
      <c r="Y58" s="2344"/>
      <c r="AA58" s="1668"/>
      <c r="AB58" s="340"/>
      <c r="AC58" s="2344"/>
    </row>
    <row r="59" spans="1:29" s="457" customFormat="1" x14ac:dyDescent="0.25">
      <c r="A59" s="2227"/>
      <c r="B59" s="2385">
        <v>4310</v>
      </c>
      <c r="C59" s="2215" t="s">
        <v>315</v>
      </c>
      <c r="D59" s="340">
        <v>0</v>
      </c>
      <c r="E59" s="2386"/>
      <c r="F59" s="340"/>
      <c r="G59" s="456" t="str">
        <f t="shared" ref="G59:G66" si="23">IF(D59=0,"0.00%",(H59-D59)/D59)</f>
        <v>0.00%</v>
      </c>
      <c r="H59" s="833">
        <v>0</v>
      </c>
      <c r="I59" s="1656" t="s">
        <v>173</v>
      </c>
      <c r="J59" s="342"/>
      <c r="K59" s="456" t="str">
        <f>IF(H59=0,"0.00%",(L59-H59)/H59)</f>
        <v>0.00%</v>
      </c>
      <c r="L59" s="833">
        <v>0</v>
      </c>
      <c r="M59" s="1656" t="s">
        <v>173</v>
      </c>
      <c r="O59" s="456" t="str">
        <f>IF(L59=0,"0.00%",(P59-L59)/L59)</f>
        <v>0.00%</v>
      </c>
      <c r="P59" s="833">
        <f>+L59</f>
        <v>0</v>
      </c>
      <c r="Q59" s="1656" t="s">
        <v>173</v>
      </c>
      <c r="R59" s="592"/>
      <c r="S59" s="2238" t="str">
        <f>IF(P59=0,"0.00%",(T59-P59)/P59)</f>
        <v>0.00%</v>
      </c>
      <c r="T59" s="833">
        <f>+P59</f>
        <v>0</v>
      </c>
      <c r="U59" s="457" t="s">
        <v>173</v>
      </c>
      <c r="V59" s="952"/>
      <c r="W59" s="2241" t="str">
        <f t="shared" ref="W59:W66" si="24">IF(T59=0,"0.00%",(X59-T59)/T59)</f>
        <v>0.00%</v>
      </c>
      <c r="X59" s="340">
        <f>ROUND(T59*(LEFT(Y59,5)+1),0)</f>
        <v>0</v>
      </c>
      <c r="Y59" s="953" t="str">
        <f>TEXT('MYP Assumptions'!I78,"0.00%")&amp;", CPI"</f>
        <v>2.73%, CPI</v>
      </c>
      <c r="AA59" s="456" t="str">
        <f t="shared" ref="AA59:AA66" si="25">IF(X59=0,"0.00%",(AB59-X59)/X59)</f>
        <v>0.00%</v>
      </c>
      <c r="AB59" s="340">
        <f>ROUND(X59*(LEFT(AC59,5)+1),0)</f>
        <v>0</v>
      </c>
      <c r="AC59" s="953" t="str">
        <f>TEXT('MYP Assumptions'!J78,"0.00%")&amp;", CPI"</f>
        <v>2.73%, CPI</v>
      </c>
    </row>
    <row r="60" spans="1:29" s="457" customFormat="1" hidden="1" x14ac:dyDescent="0.25">
      <c r="A60" s="2227"/>
      <c r="B60" s="2385"/>
      <c r="C60" s="2215"/>
      <c r="D60" s="340">
        <v>0</v>
      </c>
      <c r="E60" s="2386"/>
      <c r="F60" s="340"/>
      <c r="G60" s="456" t="str">
        <f t="shared" si="23"/>
        <v>0.00%</v>
      </c>
      <c r="H60" s="340">
        <f t="shared" ref="H60:H65" si="26">ROUND(D60*(LEFT(I60,5)+1),0)</f>
        <v>0</v>
      </c>
      <c r="I60" s="899" t="str">
        <f>TEXT('MYP Assumptions'!E78,"0.00%")&amp;", CPI"</f>
        <v>3.37%, CPI</v>
      </c>
      <c r="J60" s="455"/>
      <c r="K60" s="456" t="str">
        <f t="shared" ref="K60:K66" si="27">IF(H60=0,"0.00%",(L60-H60)/H60)</f>
        <v>0.00%</v>
      </c>
      <c r="L60" s="340">
        <f t="shared" ref="L60:L65" si="28">ROUND(H60*(LEFT(M60,5)+1),0)</f>
        <v>0</v>
      </c>
      <c r="M60" s="899" t="str">
        <f>TEXT('MYP Assumptions'!F78,"0.00%")&amp;", CPI"</f>
        <v>3.58%, CPI</v>
      </c>
      <c r="O60" s="456" t="str">
        <f t="shared" ref="O60:O66" si="29">IF(L60=0,"0.00%",(P60-L60)/L60)</f>
        <v>0.00%</v>
      </c>
      <c r="P60" s="340">
        <f t="shared" ref="P60:P65" si="30">ROUND(L60*(LEFT(Q60,5)+1),0)</f>
        <v>0</v>
      </c>
      <c r="Q60" s="899" t="str">
        <f>TEXT('MYP Assumptions'!G78,"0.00%")&amp;", CPI"</f>
        <v>3.36%, CPI</v>
      </c>
      <c r="R60" s="592"/>
      <c r="S60" s="2238" t="str">
        <f t="shared" ref="S60:S66" si="31">IF(P60=0,"0.00%",(T60-P60)/P60)</f>
        <v>0.00%</v>
      </c>
      <c r="T60" s="340">
        <f t="shared" ref="T60:T65" si="32">ROUND(P60*(LEFT(U60,5)+1),0)</f>
        <v>0</v>
      </c>
      <c r="U60" s="953" t="str">
        <f>TEXT('MYP Assumptions'!H78,"0.00%")&amp;", CPI"</f>
        <v>3.23%, CPI</v>
      </c>
      <c r="V60" s="952"/>
      <c r="W60" s="2241" t="str">
        <f t="shared" si="24"/>
        <v>0.00%</v>
      </c>
      <c r="X60" s="340">
        <f t="shared" ref="X60:X65" si="33">ROUND(T60*(LEFT(Y60,5)+1),0)</f>
        <v>0</v>
      </c>
      <c r="Y60" s="953" t="str">
        <f>TEXT('MYP Assumptions'!I78,"0.00%")&amp;", CPI"</f>
        <v>2.73%, CPI</v>
      </c>
      <c r="AA60" s="456" t="str">
        <f t="shared" si="25"/>
        <v>0.00%</v>
      </c>
      <c r="AB60" s="340">
        <f t="shared" ref="AB60:AB65" si="34">ROUND(X60*(LEFT(AC60,5)+1),0)</f>
        <v>0</v>
      </c>
      <c r="AC60" s="953" t="str">
        <f>TEXT('MYP Assumptions'!J78,"0.00%")&amp;", CPI"</f>
        <v>2.73%, CPI</v>
      </c>
    </row>
    <row r="61" spans="1:29" s="457" customFormat="1" hidden="1" x14ac:dyDescent="0.25">
      <c r="A61" s="2227"/>
      <c r="B61" s="2385"/>
      <c r="C61" s="2215"/>
      <c r="D61" s="340">
        <v>0</v>
      </c>
      <c r="E61" s="2386"/>
      <c r="F61" s="340"/>
      <c r="G61" s="456" t="str">
        <f t="shared" si="23"/>
        <v>0.00%</v>
      </c>
      <c r="H61" s="340">
        <f t="shared" si="26"/>
        <v>0</v>
      </c>
      <c r="I61" s="899" t="str">
        <f>TEXT('MYP Assumptions'!E78,"0.00%")&amp;", CPI"</f>
        <v>3.37%, CPI</v>
      </c>
      <c r="J61" s="455"/>
      <c r="K61" s="456" t="str">
        <f t="shared" si="27"/>
        <v>0.00%</v>
      </c>
      <c r="L61" s="340">
        <f t="shared" si="28"/>
        <v>0</v>
      </c>
      <c r="M61" s="899" t="str">
        <f>TEXT('MYP Assumptions'!F78,"0.00%")&amp;", CPI"</f>
        <v>3.58%, CPI</v>
      </c>
      <c r="O61" s="456" t="str">
        <f t="shared" si="29"/>
        <v>0.00%</v>
      </c>
      <c r="P61" s="340">
        <f t="shared" si="30"/>
        <v>0</v>
      </c>
      <c r="Q61" s="899" t="str">
        <f>TEXT('MYP Assumptions'!G78,"0.00%")&amp;", CPI"</f>
        <v>3.36%, CPI</v>
      </c>
      <c r="R61" s="592"/>
      <c r="S61" s="2238" t="str">
        <f t="shared" si="31"/>
        <v>0.00%</v>
      </c>
      <c r="T61" s="340">
        <f t="shared" si="32"/>
        <v>0</v>
      </c>
      <c r="U61" s="953" t="str">
        <f>TEXT('MYP Assumptions'!H78,"0.00%")&amp;", CPI"</f>
        <v>3.23%, CPI</v>
      </c>
      <c r="V61" s="952"/>
      <c r="W61" s="2241" t="str">
        <f t="shared" si="24"/>
        <v>0.00%</v>
      </c>
      <c r="X61" s="340">
        <f t="shared" si="33"/>
        <v>0</v>
      </c>
      <c r="Y61" s="953" t="str">
        <f>TEXT('MYP Assumptions'!I78,"0.00%")&amp;", CPI"</f>
        <v>2.73%, CPI</v>
      </c>
      <c r="AA61" s="456" t="str">
        <f t="shared" si="25"/>
        <v>0.00%</v>
      </c>
      <c r="AB61" s="340">
        <f t="shared" si="34"/>
        <v>0</v>
      </c>
      <c r="AC61" s="953" t="str">
        <f>TEXT('MYP Assumptions'!J78,"0.00%")&amp;", CPI"</f>
        <v>2.73%, CPI</v>
      </c>
    </row>
    <row r="62" spans="1:29" s="457" customFormat="1" hidden="1" x14ac:dyDescent="0.25">
      <c r="A62" s="2227"/>
      <c r="B62" s="2385"/>
      <c r="C62" s="2215"/>
      <c r="D62" s="340">
        <v>0</v>
      </c>
      <c r="E62" s="2386"/>
      <c r="F62" s="340"/>
      <c r="G62" s="456" t="str">
        <f t="shared" si="23"/>
        <v>0.00%</v>
      </c>
      <c r="H62" s="340">
        <f t="shared" si="26"/>
        <v>0</v>
      </c>
      <c r="I62" s="899" t="str">
        <f>TEXT('MYP Assumptions'!E78,"0.00%")&amp;", CPI"</f>
        <v>3.37%, CPI</v>
      </c>
      <c r="J62" s="455"/>
      <c r="K62" s="456" t="str">
        <f t="shared" si="27"/>
        <v>0.00%</v>
      </c>
      <c r="L62" s="340">
        <f t="shared" si="28"/>
        <v>0</v>
      </c>
      <c r="M62" s="899" t="str">
        <f>TEXT('MYP Assumptions'!F78,"0.00%")&amp;", CPI"</f>
        <v>3.58%, CPI</v>
      </c>
      <c r="O62" s="456" t="str">
        <f t="shared" si="29"/>
        <v>0.00%</v>
      </c>
      <c r="P62" s="340">
        <f t="shared" si="30"/>
        <v>0</v>
      </c>
      <c r="Q62" s="899" t="str">
        <f>TEXT('MYP Assumptions'!G78,"0.00%")&amp;", CPI"</f>
        <v>3.36%, CPI</v>
      </c>
      <c r="R62" s="592"/>
      <c r="S62" s="2238" t="str">
        <f t="shared" si="31"/>
        <v>0.00%</v>
      </c>
      <c r="T62" s="340">
        <f t="shared" si="32"/>
        <v>0</v>
      </c>
      <c r="U62" s="953" t="str">
        <f>TEXT('MYP Assumptions'!H78,"0.00%")&amp;", CPI"</f>
        <v>3.23%, CPI</v>
      </c>
      <c r="V62" s="952"/>
      <c r="W62" s="2241" t="str">
        <f t="shared" si="24"/>
        <v>0.00%</v>
      </c>
      <c r="X62" s="340">
        <f t="shared" si="33"/>
        <v>0</v>
      </c>
      <c r="Y62" s="953" t="str">
        <f>TEXT('MYP Assumptions'!I78,"0.00%")&amp;", CPI"</f>
        <v>2.73%, CPI</v>
      </c>
      <c r="AA62" s="456" t="str">
        <f t="shared" si="25"/>
        <v>0.00%</v>
      </c>
      <c r="AB62" s="340">
        <f t="shared" si="34"/>
        <v>0</v>
      </c>
      <c r="AC62" s="953" t="str">
        <f>TEXT('MYP Assumptions'!J78,"0.00%")&amp;", CPI"</f>
        <v>2.73%, CPI</v>
      </c>
    </row>
    <row r="63" spans="1:29" s="457" customFormat="1" hidden="1" x14ac:dyDescent="0.25">
      <c r="A63" s="2227"/>
      <c r="B63" s="2385"/>
      <c r="C63" s="2215"/>
      <c r="D63" s="340">
        <v>0</v>
      </c>
      <c r="E63" s="2386"/>
      <c r="F63" s="340"/>
      <c r="G63" s="456" t="str">
        <f t="shared" si="23"/>
        <v>0.00%</v>
      </c>
      <c r="H63" s="340">
        <f t="shared" si="26"/>
        <v>0</v>
      </c>
      <c r="I63" s="899" t="str">
        <f>TEXT('MYP Assumptions'!E78,"0.00%")&amp;", CPI"</f>
        <v>3.37%, CPI</v>
      </c>
      <c r="J63" s="455"/>
      <c r="K63" s="456" t="str">
        <f t="shared" si="27"/>
        <v>0.00%</v>
      </c>
      <c r="L63" s="340">
        <f t="shared" si="28"/>
        <v>0</v>
      </c>
      <c r="M63" s="899" t="str">
        <f>TEXT('MYP Assumptions'!F78,"0.00%")&amp;", CPI"</f>
        <v>3.58%, CPI</v>
      </c>
      <c r="O63" s="456" t="str">
        <f t="shared" si="29"/>
        <v>0.00%</v>
      </c>
      <c r="P63" s="340">
        <f t="shared" si="30"/>
        <v>0</v>
      </c>
      <c r="Q63" s="899" t="str">
        <f>TEXT('MYP Assumptions'!G78,"0.00%")&amp;", CPI"</f>
        <v>3.36%, CPI</v>
      </c>
      <c r="R63" s="592"/>
      <c r="S63" s="2238" t="str">
        <f t="shared" si="31"/>
        <v>0.00%</v>
      </c>
      <c r="T63" s="340">
        <f t="shared" si="32"/>
        <v>0</v>
      </c>
      <c r="U63" s="953" t="str">
        <f>TEXT('MYP Assumptions'!H78,"0.00%")&amp;", CPI"</f>
        <v>3.23%, CPI</v>
      </c>
      <c r="V63" s="952"/>
      <c r="W63" s="2241" t="str">
        <f t="shared" si="24"/>
        <v>0.00%</v>
      </c>
      <c r="X63" s="340">
        <f t="shared" si="33"/>
        <v>0</v>
      </c>
      <c r="Y63" s="953" t="str">
        <f>TEXT('MYP Assumptions'!I78,"0.00%")&amp;", CPI"</f>
        <v>2.73%, CPI</v>
      </c>
      <c r="AA63" s="456" t="str">
        <f t="shared" si="25"/>
        <v>0.00%</v>
      </c>
      <c r="AB63" s="340">
        <f t="shared" si="34"/>
        <v>0</v>
      </c>
      <c r="AC63" s="953" t="str">
        <f>TEXT('MYP Assumptions'!J78,"0.00%")&amp;", CPI"</f>
        <v>2.73%, CPI</v>
      </c>
    </row>
    <row r="64" spans="1:29" s="457" customFormat="1" hidden="1" x14ac:dyDescent="0.25">
      <c r="A64" s="2227"/>
      <c r="B64" s="2385"/>
      <c r="C64" s="2215"/>
      <c r="D64" s="340">
        <v>0</v>
      </c>
      <c r="E64" s="2386"/>
      <c r="F64" s="340"/>
      <c r="G64" s="456" t="str">
        <f t="shared" si="23"/>
        <v>0.00%</v>
      </c>
      <c r="H64" s="340">
        <f t="shared" si="26"/>
        <v>0</v>
      </c>
      <c r="I64" s="899" t="str">
        <f>TEXT('MYP Assumptions'!E78,"0.00%")&amp;", CPI"</f>
        <v>3.37%, CPI</v>
      </c>
      <c r="J64" s="455"/>
      <c r="K64" s="456" t="str">
        <f t="shared" si="27"/>
        <v>0.00%</v>
      </c>
      <c r="L64" s="340">
        <f t="shared" si="28"/>
        <v>0</v>
      </c>
      <c r="M64" s="899" t="str">
        <f>TEXT('MYP Assumptions'!F78,"0.00%")&amp;", CPI"</f>
        <v>3.58%, CPI</v>
      </c>
      <c r="O64" s="456" t="str">
        <f t="shared" si="29"/>
        <v>0.00%</v>
      </c>
      <c r="P64" s="340">
        <f t="shared" si="30"/>
        <v>0</v>
      </c>
      <c r="Q64" s="899" t="str">
        <f>TEXT('MYP Assumptions'!G78,"0.00%")&amp;", CPI"</f>
        <v>3.36%, CPI</v>
      </c>
      <c r="R64" s="592"/>
      <c r="S64" s="2238" t="str">
        <f t="shared" si="31"/>
        <v>0.00%</v>
      </c>
      <c r="T64" s="340">
        <f t="shared" si="32"/>
        <v>0</v>
      </c>
      <c r="U64" s="953" t="str">
        <f>TEXT('MYP Assumptions'!H78,"0.00%")&amp;", CPI"</f>
        <v>3.23%, CPI</v>
      </c>
      <c r="V64" s="952"/>
      <c r="W64" s="2241" t="str">
        <f t="shared" si="24"/>
        <v>0.00%</v>
      </c>
      <c r="X64" s="340">
        <f t="shared" si="33"/>
        <v>0</v>
      </c>
      <c r="Y64" s="953" t="str">
        <f>TEXT('MYP Assumptions'!I78,"0.00%")&amp;", CPI"</f>
        <v>2.73%, CPI</v>
      </c>
      <c r="AA64" s="456" t="str">
        <f t="shared" si="25"/>
        <v>0.00%</v>
      </c>
      <c r="AB64" s="340">
        <f t="shared" si="34"/>
        <v>0</v>
      </c>
      <c r="AC64" s="953" t="str">
        <f>TEXT('MYP Assumptions'!J78,"0.00%")&amp;", CPI"</f>
        <v>2.73%, CPI</v>
      </c>
    </row>
    <row r="65" spans="1:29" s="457" customFormat="1" hidden="1" x14ac:dyDescent="0.25">
      <c r="A65" s="2227"/>
      <c r="B65" s="2385"/>
      <c r="C65" s="2349"/>
      <c r="D65" s="340">
        <v>0</v>
      </c>
      <c r="E65" s="2386"/>
      <c r="F65" s="340"/>
      <c r="G65" s="456" t="str">
        <f t="shared" si="23"/>
        <v>0.00%</v>
      </c>
      <c r="H65" s="340">
        <f t="shared" si="26"/>
        <v>0</v>
      </c>
      <c r="I65" s="899" t="str">
        <f>TEXT('MYP Assumptions'!E78,"0.00%")&amp;", CPI"</f>
        <v>3.37%, CPI</v>
      </c>
      <c r="J65" s="455"/>
      <c r="K65" s="456" t="str">
        <f t="shared" si="27"/>
        <v>0.00%</v>
      </c>
      <c r="L65" s="340">
        <f t="shared" si="28"/>
        <v>0</v>
      </c>
      <c r="M65" s="899" t="str">
        <f>TEXT('MYP Assumptions'!F78,"0.00%")&amp;", CPI"</f>
        <v>3.58%, CPI</v>
      </c>
      <c r="O65" s="456" t="str">
        <f t="shared" si="29"/>
        <v>0.00%</v>
      </c>
      <c r="P65" s="340">
        <f t="shared" si="30"/>
        <v>0</v>
      </c>
      <c r="Q65" s="899" t="str">
        <f>TEXT('MYP Assumptions'!G78,"0.00%")&amp;", CPI"</f>
        <v>3.36%, CPI</v>
      </c>
      <c r="R65" s="592"/>
      <c r="S65" s="2238" t="str">
        <f t="shared" si="31"/>
        <v>0.00%</v>
      </c>
      <c r="T65" s="340">
        <f t="shared" si="32"/>
        <v>0</v>
      </c>
      <c r="U65" s="953" t="str">
        <f>TEXT('MYP Assumptions'!H78,"0.00%")&amp;", CPI"</f>
        <v>3.23%, CPI</v>
      </c>
      <c r="V65" s="952"/>
      <c r="W65" s="2241" t="str">
        <f t="shared" si="24"/>
        <v>0.00%</v>
      </c>
      <c r="X65" s="340">
        <f t="shared" si="33"/>
        <v>0</v>
      </c>
      <c r="Y65" s="953" t="str">
        <f>TEXT('MYP Assumptions'!I78,"0.00%")&amp;", CPI"</f>
        <v>2.73%, CPI</v>
      </c>
      <c r="AA65" s="456" t="str">
        <f t="shared" si="25"/>
        <v>0.00%</v>
      </c>
      <c r="AB65" s="340">
        <f t="shared" si="34"/>
        <v>0</v>
      </c>
      <c r="AC65" s="953" t="str">
        <f>TEXT('MYP Assumptions'!J78,"0.00%")&amp;", CPI"</f>
        <v>2.73%, CPI</v>
      </c>
    </row>
    <row r="66" spans="1:29" s="457" customFormat="1" x14ac:dyDescent="0.25">
      <c r="A66" s="2228"/>
      <c r="B66" s="2215"/>
      <c r="C66" s="2215"/>
      <c r="D66" s="458">
        <f>SUM(D59:D65)</f>
        <v>0</v>
      </c>
      <c r="E66" s="2386"/>
      <c r="F66" s="340"/>
      <c r="G66" s="456" t="str">
        <f t="shared" si="23"/>
        <v>0.00%</v>
      </c>
      <c r="H66" s="458">
        <f>SUM(H59:H65)</f>
        <v>0</v>
      </c>
      <c r="I66" s="898"/>
      <c r="J66" s="459"/>
      <c r="K66" s="456" t="str">
        <f t="shared" si="27"/>
        <v>0.00%</v>
      </c>
      <c r="L66" s="458">
        <f>SUM(L59:L65)</f>
        <v>0</v>
      </c>
      <c r="M66" s="901"/>
      <c r="O66" s="456" t="str">
        <f t="shared" si="29"/>
        <v>0.00%</v>
      </c>
      <c r="P66" s="458">
        <f>SUM(P59:P65)</f>
        <v>0</v>
      </c>
      <c r="Q66" s="901"/>
      <c r="R66" s="592"/>
      <c r="S66" s="2238" t="str">
        <f t="shared" si="31"/>
        <v>0.00%</v>
      </c>
      <c r="T66" s="458">
        <f>SUM(T59:T65)</f>
        <v>0</v>
      </c>
      <c r="U66" s="2344"/>
      <c r="V66" s="952"/>
      <c r="W66" s="2241" t="str">
        <f t="shared" si="24"/>
        <v>0.00%</v>
      </c>
      <c r="X66" s="458">
        <f>SUM(X59:X65)</f>
        <v>0</v>
      </c>
      <c r="Y66" s="2344"/>
      <c r="AA66" s="456" t="str">
        <f t="shared" si="25"/>
        <v>0.00%</v>
      </c>
      <c r="AB66" s="458">
        <f>SUM(AB59:AB65)</f>
        <v>0</v>
      </c>
      <c r="AC66" s="2344"/>
    </row>
    <row r="67" spans="1:29" s="457" customFormat="1" x14ac:dyDescent="0.25">
      <c r="A67" s="2227"/>
      <c r="B67" s="2345"/>
      <c r="C67" s="2215"/>
      <c r="D67" s="340"/>
      <c r="E67" s="2386"/>
      <c r="F67" s="340"/>
      <c r="G67" s="2338"/>
      <c r="H67" s="340"/>
      <c r="I67" s="897"/>
      <c r="J67" s="455"/>
      <c r="K67" s="1668"/>
      <c r="L67" s="340"/>
      <c r="M67" s="901"/>
      <c r="O67" s="1668"/>
      <c r="P67" s="340"/>
      <c r="Q67" s="901"/>
      <c r="R67" s="592"/>
      <c r="S67" s="2341"/>
      <c r="T67" s="340"/>
      <c r="U67" s="2344"/>
      <c r="V67" s="952"/>
      <c r="W67" s="2343"/>
      <c r="X67" s="340"/>
      <c r="Y67" s="2344"/>
      <c r="AA67" s="1668"/>
      <c r="AB67" s="340"/>
      <c r="AC67" s="2344"/>
    </row>
    <row r="68" spans="1:29" s="461" customFormat="1" x14ac:dyDescent="0.25">
      <c r="A68" s="2225"/>
      <c r="B68" s="2337" t="s">
        <v>16</v>
      </c>
      <c r="C68" s="2225"/>
      <c r="D68" s="460"/>
      <c r="E68" s="868"/>
      <c r="F68" s="460"/>
      <c r="G68" s="2389"/>
      <c r="H68" s="460"/>
      <c r="I68" s="900"/>
      <c r="K68" s="1669"/>
      <c r="L68" s="460"/>
      <c r="M68" s="902"/>
      <c r="O68" s="1669"/>
      <c r="P68" s="460"/>
      <c r="Q68" s="902"/>
      <c r="S68" s="1669"/>
      <c r="U68" s="2392"/>
      <c r="V68" s="2381"/>
      <c r="W68" s="2382"/>
      <c r="Y68" s="2392"/>
      <c r="AA68" s="1669"/>
      <c r="AC68" s="2392"/>
    </row>
    <row r="69" spans="1:29" s="457" customFormat="1" x14ac:dyDescent="0.25">
      <c r="A69" s="2227"/>
      <c r="B69" s="2385">
        <v>5814</v>
      </c>
      <c r="C69" s="2215" t="s">
        <v>4</v>
      </c>
      <c r="D69" s="340">
        <v>0</v>
      </c>
      <c r="E69" s="2386"/>
      <c r="F69" s="340"/>
      <c r="G69" s="456" t="str">
        <f t="shared" ref="G69:G74" si="35">IF(D69=0,"0.00%",(H69-D69)/D69)</f>
        <v>0.00%</v>
      </c>
      <c r="H69" s="833">
        <v>8623</v>
      </c>
      <c r="I69" s="1656" t="s">
        <v>173</v>
      </c>
      <c r="J69" s="342"/>
      <c r="K69" s="456">
        <f>IF(H69=0,"0.00%",(L69-H69)/H69)</f>
        <v>-1</v>
      </c>
      <c r="L69" s="833">
        <v>0</v>
      </c>
      <c r="M69" s="1656" t="s">
        <v>173</v>
      </c>
      <c r="O69" s="456" t="str">
        <f>IF(L69=0,"0.00%",(P69-L69)/L69)</f>
        <v>0.00%</v>
      </c>
      <c r="P69" s="833">
        <f>+L69</f>
        <v>0</v>
      </c>
      <c r="Q69" s="1656" t="s">
        <v>173</v>
      </c>
      <c r="R69" s="592"/>
      <c r="S69" s="2238" t="str">
        <f>IF(P69=0,"0.00%",(T69-P69)/P69)</f>
        <v>0.00%</v>
      </c>
      <c r="T69" s="833">
        <f>+P69</f>
        <v>0</v>
      </c>
      <c r="U69" s="457" t="s">
        <v>173</v>
      </c>
      <c r="V69" s="952"/>
      <c r="W69" s="2241" t="str">
        <f t="shared" ref="W69:W82" si="36">IF(T69=0,"0.00%",(X69-T69)/T69)</f>
        <v>0.00%</v>
      </c>
      <c r="X69" s="340">
        <f>ROUND(T69*(LEFT(Y69,5)+1),0)</f>
        <v>0</v>
      </c>
      <c r="Y69" s="953" t="str">
        <f>TEXT('MYP Assumptions'!I78,"0.00%")&amp;", CPI"</f>
        <v>2.73%, CPI</v>
      </c>
      <c r="AA69" s="456" t="str">
        <f t="shared" ref="AA69:AA82" si="37">IF(X69=0,"0.00%",(AB69-X69)/X69)</f>
        <v>0.00%</v>
      </c>
      <c r="AB69" s="340">
        <f>ROUND(X69*(LEFT(AC69,5)+1),0)</f>
        <v>0</v>
      </c>
      <c r="AC69" s="953" t="str">
        <f>TEXT('MYP Assumptions'!J78,"0.00%")&amp;", CPI"</f>
        <v>2.73%, CPI</v>
      </c>
    </row>
    <row r="70" spans="1:29" s="457" customFormat="1" hidden="1" x14ac:dyDescent="0.25">
      <c r="A70" s="2227"/>
      <c r="B70" s="2385"/>
      <c r="C70" s="2215"/>
      <c r="D70" s="340">
        <v>0</v>
      </c>
      <c r="E70" s="2386"/>
      <c r="F70" s="340"/>
      <c r="G70" s="456" t="str">
        <f t="shared" si="35"/>
        <v>0.00%</v>
      </c>
      <c r="H70" s="340">
        <f>ROUND(D70*(LEFT(I70,5)+1),0)</f>
        <v>0</v>
      </c>
      <c r="I70" s="899" t="str">
        <f>TEXT('MYP Assumptions'!E78,"0.00%")&amp;", CPI"</f>
        <v>3.37%, CPI</v>
      </c>
      <c r="J70" s="455"/>
      <c r="K70" s="456" t="str">
        <f t="shared" ref="K70:K82" si="38">IF(H70=0,"0.00%",(L70-H70)/H70)</f>
        <v>0.00%</v>
      </c>
      <c r="L70" s="340">
        <f t="shared" ref="L70:L81" si="39">ROUND(H70*(LEFT(M70,5)+1),0)</f>
        <v>0</v>
      </c>
      <c r="M70" s="899" t="str">
        <f>TEXT('MYP Assumptions'!F78,"0.00%")&amp;", CPI"</f>
        <v>3.58%, CPI</v>
      </c>
      <c r="O70" s="456" t="str">
        <f t="shared" ref="O70:O82" si="40">IF(L70=0,"0.00%",(P70-L70)/L70)</f>
        <v>0.00%</v>
      </c>
      <c r="P70" s="340">
        <f t="shared" ref="P70:P81" si="41">ROUND(L70*(LEFT(Q70,5)+1),0)</f>
        <v>0</v>
      </c>
      <c r="Q70" s="899" t="str">
        <f>TEXT('MYP Assumptions'!G78,"0.00%")&amp;", CPI"</f>
        <v>3.36%, CPI</v>
      </c>
      <c r="R70" s="592"/>
      <c r="S70" s="2238" t="str">
        <f t="shared" ref="S70:S82" si="42">IF(P70=0,"0.00%",(T70-P70)/P70)</f>
        <v>0.00%</v>
      </c>
      <c r="T70" s="340">
        <f t="shared" ref="T70:T81" si="43">ROUND(P70*(LEFT(U70,5)+1),0)</f>
        <v>0</v>
      </c>
      <c r="U70" s="953" t="str">
        <f>TEXT('MYP Assumptions'!H78,"0.00%")&amp;", CPI"</f>
        <v>3.23%, CPI</v>
      </c>
      <c r="V70" s="952"/>
      <c r="W70" s="2241" t="str">
        <f t="shared" si="36"/>
        <v>0.00%</v>
      </c>
      <c r="X70" s="340">
        <f t="shared" ref="X70:X81" si="44">ROUND(T70*(LEFT(Y70,5)+1),0)</f>
        <v>0</v>
      </c>
      <c r="Y70" s="953" t="str">
        <f>TEXT('MYP Assumptions'!I78,"0.00%")&amp;", CPI"</f>
        <v>2.73%, CPI</v>
      </c>
      <c r="AA70" s="456" t="str">
        <f t="shared" si="37"/>
        <v>0.00%</v>
      </c>
      <c r="AB70" s="340">
        <f t="shared" ref="AB70:AB81" si="45">ROUND(X70*(LEFT(AC70,5)+1),0)</f>
        <v>0</v>
      </c>
      <c r="AC70" s="953" t="str">
        <f>TEXT('MYP Assumptions'!J78,"0.00%")&amp;", CPI"</f>
        <v>2.73%, CPI</v>
      </c>
    </row>
    <row r="71" spans="1:29" s="457" customFormat="1" hidden="1" x14ac:dyDescent="0.25">
      <c r="A71" s="2227"/>
      <c r="B71" s="2385"/>
      <c r="C71" s="2215"/>
      <c r="D71" s="340">
        <v>0</v>
      </c>
      <c r="E71" s="2386"/>
      <c r="F71" s="340"/>
      <c r="G71" s="456" t="str">
        <f t="shared" si="35"/>
        <v>0.00%</v>
      </c>
      <c r="H71" s="340">
        <f t="shared" ref="H71:H76" si="46">ROUND(D71*(LEFT(I71,5)+1),0)</f>
        <v>0</v>
      </c>
      <c r="I71" s="899" t="str">
        <f>TEXT('MYP Assumptions'!E78,"0.00%")&amp;", CPI"</f>
        <v>3.37%, CPI</v>
      </c>
      <c r="J71" s="455"/>
      <c r="K71" s="456" t="str">
        <f t="shared" si="38"/>
        <v>0.00%</v>
      </c>
      <c r="L71" s="340">
        <f t="shared" si="39"/>
        <v>0</v>
      </c>
      <c r="M71" s="899" t="str">
        <f>TEXT('MYP Assumptions'!F78,"0.00%")&amp;", CPI"</f>
        <v>3.58%, CPI</v>
      </c>
      <c r="O71" s="456" t="str">
        <f t="shared" si="40"/>
        <v>0.00%</v>
      </c>
      <c r="P71" s="340">
        <f t="shared" si="41"/>
        <v>0</v>
      </c>
      <c r="Q71" s="899" t="str">
        <f>TEXT('MYP Assumptions'!G78,"0.00%")&amp;", CPI"</f>
        <v>3.36%, CPI</v>
      </c>
      <c r="R71" s="592"/>
      <c r="S71" s="2238" t="str">
        <f t="shared" si="42"/>
        <v>0.00%</v>
      </c>
      <c r="T71" s="340">
        <f t="shared" si="43"/>
        <v>0</v>
      </c>
      <c r="U71" s="953" t="str">
        <f>TEXT('MYP Assumptions'!H78,"0.00%")&amp;", CPI"</f>
        <v>3.23%, CPI</v>
      </c>
      <c r="V71" s="952"/>
      <c r="W71" s="2241" t="str">
        <f t="shared" si="36"/>
        <v>0.00%</v>
      </c>
      <c r="X71" s="340">
        <f t="shared" si="44"/>
        <v>0</v>
      </c>
      <c r="Y71" s="953" t="str">
        <f>TEXT('MYP Assumptions'!I78,"0.00%")&amp;", CPI"</f>
        <v>2.73%, CPI</v>
      </c>
      <c r="AA71" s="456" t="str">
        <f t="shared" si="37"/>
        <v>0.00%</v>
      </c>
      <c r="AB71" s="340">
        <f t="shared" si="45"/>
        <v>0</v>
      </c>
      <c r="AC71" s="953" t="str">
        <f>TEXT('MYP Assumptions'!J78,"0.00%")&amp;", CPI"</f>
        <v>2.73%, CPI</v>
      </c>
    </row>
    <row r="72" spans="1:29" s="457" customFormat="1" hidden="1" x14ac:dyDescent="0.25">
      <c r="A72" s="2227"/>
      <c r="B72" s="2385"/>
      <c r="C72" s="2215"/>
      <c r="D72" s="340">
        <v>0</v>
      </c>
      <c r="E72" s="2386"/>
      <c r="F72" s="340"/>
      <c r="G72" s="456" t="str">
        <f t="shared" si="35"/>
        <v>0.00%</v>
      </c>
      <c r="H72" s="340">
        <f t="shared" si="46"/>
        <v>0</v>
      </c>
      <c r="I72" s="899" t="str">
        <f>TEXT('MYP Assumptions'!E78,"0.00%")&amp;", CPI"</f>
        <v>3.37%, CPI</v>
      </c>
      <c r="J72" s="455"/>
      <c r="K72" s="456" t="str">
        <f t="shared" si="38"/>
        <v>0.00%</v>
      </c>
      <c r="L72" s="340">
        <f t="shared" si="39"/>
        <v>0</v>
      </c>
      <c r="M72" s="899" t="str">
        <f>TEXT('MYP Assumptions'!F78,"0.00%")&amp;", CPI"</f>
        <v>3.58%, CPI</v>
      </c>
      <c r="O72" s="456" t="str">
        <f t="shared" si="40"/>
        <v>0.00%</v>
      </c>
      <c r="P72" s="340">
        <f t="shared" si="41"/>
        <v>0</v>
      </c>
      <c r="Q72" s="899" t="str">
        <f>TEXT('MYP Assumptions'!G78,"0.00%")&amp;", CPI"</f>
        <v>3.36%, CPI</v>
      </c>
      <c r="R72" s="592"/>
      <c r="S72" s="2238" t="str">
        <f t="shared" si="42"/>
        <v>0.00%</v>
      </c>
      <c r="T72" s="340">
        <f t="shared" si="43"/>
        <v>0</v>
      </c>
      <c r="U72" s="953" t="str">
        <f>TEXT('MYP Assumptions'!H78,"0.00%")&amp;", CPI"</f>
        <v>3.23%, CPI</v>
      </c>
      <c r="V72" s="952"/>
      <c r="W72" s="2241" t="str">
        <f t="shared" si="36"/>
        <v>0.00%</v>
      </c>
      <c r="X72" s="340">
        <f t="shared" si="44"/>
        <v>0</v>
      </c>
      <c r="Y72" s="953" t="str">
        <f>TEXT('MYP Assumptions'!I78,"0.00%")&amp;", CPI"</f>
        <v>2.73%, CPI</v>
      </c>
      <c r="AA72" s="456" t="str">
        <f t="shared" si="37"/>
        <v>0.00%</v>
      </c>
      <c r="AB72" s="340">
        <f t="shared" si="45"/>
        <v>0</v>
      </c>
      <c r="AC72" s="953" t="str">
        <f>TEXT('MYP Assumptions'!J78,"0.00%")&amp;", CPI"</f>
        <v>2.73%, CPI</v>
      </c>
    </row>
    <row r="73" spans="1:29" s="457" customFormat="1" hidden="1" x14ac:dyDescent="0.25">
      <c r="A73" s="2227"/>
      <c r="B73" s="2385"/>
      <c r="C73" s="2215"/>
      <c r="D73" s="340">
        <v>0</v>
      </c>
      <c r="E73" s="2386"/>
      <c r="F73" s="340"/>
      <c r="G73" s="456" t="str">
        <f t="shared" si="35"/>
        <v>0.00%</v>
      </c>
      <c r="H73" s="340">
        <f t="shared" si="46"/>
        <v>0</v>
      </c>
      <c r="I73" s="899" t="str">
        <f>TEXT('MYP Assumptions'!E78,"0.00%")&amp;", CPI"</f>
        <v>3.37%, CPI</v>
      </c>
      <c r="J73" s="455"/>
      <c r="K73" s="456" t="str">
        <f t="shared" si="38"/>
        <v>0.00%</v>
      </c>
      <c r="L73" s="340">
        <f t="shared" si="39"/>
        <v>0</v>
      </c>
      <c r="M73" s="899" t="str">
        <f>TEXT('MYP Assumptions'!F78,"0.00%")&amp;", CPI"</f>
        <v>3.58%, CPI</v>
      </c>
      <c r="O73" s="456" t="str">
        <f t="shared" si="40"/>
        <v>0.00%</v>
      </c>
      <c r="P73" s="340">
        <f t="shared" si="41"/>
        <v>0</v>
      </c>
      <c r="Q73" s="899" t="str">
        <f>TEXT('MYP Assumptions'!G78,"0.00%")&amp;", CPI"</f>
        <v>3.36%, CPI</v>
      </c>
      <c r="R73" s="592"/>
      <c r="S73" s="2238" t="str">
        <f t="shared" si="42"/>
        <v>0.00%</v>
      </c>
      <c r="T73" s="340">
        <f t="shared" si="43"/>
        <v>0</v>
      </c>
      <c r="U73" s="953" t="str">
        <f>TEXT('MYP Assumptions'!H78,"0.00%")&amp;", CPI"</f>
        <v>3.23%, CPI</v>
      </c>
      <c r="V73" s="952"/>
      <c r="W73" s="2241" t="str">
        <f t="shared" si="36"/>
        <v>0.00%</v>
      </c>
      <c r="X73" s="340">
        <f t="shared" si="44"/>
        <v>0</v>
      </c>
      <c r="Y73" s="953" t="str">
        <f>TEXT('MYP Assumptions'!I78,"0.00%")&amp;", CPI"</f>
        <v>2.73%, CPI</v>
      </c>
      <c r="AA73" s="456" t="str">
        <f t="shared" si="37"/>
        <v>0.00%</v>
      </c>
      <c r="AB73" s="340">
        <f t="shared" si="45"/>
        <v>0</v>
      </c>
      <c r="AC73" s="953" t="str">
        <f>TEXT('MYP Assumptions'!J78,"0.00%")&amp;", CPI"</f>
        <v>2.73%, CPI</v>
      </c>
    </row>
    <row r="74" spans="1:29" s="457" customFormat="1" hidden="1" x14ac:dyDescent="0.25">
      <c r="A74" s="2227"/>
      <c r="B74" s="2385"/>
      <c r="C74" s="2215"/>
      <c r="D74" s="340">
        <v>0</v>
      </c>
      <c r="E74" s="2386"/>
      <c r="F74" s="340"/>
      <c r="G74" s="456" t="str">
        <f t="shared" si="35"/>
        <v>0.00%</v>
      </c>
      <c r="H74" s="340">
        <f t="shared" si="46"/>
        <v>0</v>
      </c>
      <c r="I74" s="899" t="str">
        <f>TEXT('MYP Assumptions'!E78,"0.00%")&amp;", CPI"</f>
        <v>3.37%, CPI</v>
      </c>
      <c r="J74" s="455"/>
      <c r="K74" s="456" t="str">
        <f t="shared" si="38"/>
        <v>0.00%</v>
      </c>
      <c r="L74" s="340">
        <f t="shared" si="39"/>
        <v>0</v>
      </c>
      <c r="M74" s="899" t="str">
        <f>TEXT('MYP Assumptions'!F78,"0.00%")&amp;", CPI"</f>
        <v>3.58%, CPI</v>
      </c>
      <c r="O74" s="456" t="str">
        <f t="shared" si="40"/>
        <v>0.00%</v>
      </c>
      <c r="P74" s="340">
        <f t="shared" si="41"/>
        <v>0</v>
      </c>
      <c r="Q74" s="899" t="str">
        <f>TEXT('MYP Assumptions'!G78,"0.00%")&amp;", CPI"</f>
        <v>3.36%, CPI</v>
      </c>
      <c r="R74" s="592"/>
      <c r="S74" s="2238" t="str">
        <f t="shared" si="42"/>
        <v>0.00%</v>
      </c>
      <c r="T74" s="340">
        <f t="shared" si="43"/>
        <v>0</v>
      </c>
      <c r="U74" s="953" t="str">
        <f>TEXT('MYP Assumptions'!H78,"0.00%")&amp;", CPI"</f>
        <v>3.23%, CPI</v>
      </c>
      <c r="V74" s="952"/>
      <c r="W74" s="2241" t="str">
        <f t="shared" si="36"/>
        <v>0.00%</v>
      </c>
      <c r="X74" s="340">
        <f t="shared" si="44"/>
        <v>0</v>
      </c>
      <c r="Y74" s="953" t="str">
        <f>TEXT('MYP Assumptions'!I78,"0.00%")&amp;", CPI"</f>
        <v>2.73%, CPI</v>
      </c>
      <c r="AA74" s="456" t="str">
        <f t="shared" si="37"/>
        <v>0.00%</v>
      </c>
      <c r="AB74" s="340">
        <f t="shared" si="45"/>
        <v>0</v>
      </c>
      <c r="AC74" s="953" t="str">
        <f>TEXT('MYP Assumptions'!J78,"0.00%")&amp;", CPI"</f>
        <v>2.73%, CPI</v>
      </c>
    </row>
    <row r="75" spans="1:29" s="457" customFormat="1" hidden="1" x14ac:dyDescent="0.25">
      <c r="A75" s="2227"/>
      <c r="B75" s="2385"/>
      <c r="C75" s="2215"/>
      <c r="D75" s="340">
        <v>0</v>
      </c>
      <c r="E75" s="2386"/>
      <c r="F75" s="340"/>
      <c r="G75" s="456" t="str">
        <f>IF(D75=0,"0.00%",(H75-D75)/D75)</f>
        <v>0.00%</v>
      </c>
      <c r="H75" s="340">
        <f t="shared" si="46"/>
        <v>0</v>
      </c>
      <c r="I75" s="899" t="str">
        <f>TEXT('MYP Assumptions'!E78,"0.00%")&amp;", CPI"</f>
        <v>3.37%, CPI</v>
      </c>
      <c r="J75" s="455"/>
      <c r="K75" s="456" t="str">
        <f t="shared" si="38"/>
        <v>0.00%</v>
      </c>
      <c r="L75" s="340">
        <f t="shared" si="39"/>
        <v>0</v>
      </c>
      <c r="M75" s="899" t="str">
        <f>TEXT('MYP Assumptions'!F78,"0.00%")&amp;", CPI"</f>
        <v>3.58%, CPI</v>
      </c>
      <c r="O75" s="456" t="str">
        <f t="shared" si="40"/>
        <v>0.00%</v>
      </c>
      <c r="P75" s="340">
        <f t="shared" si="41"/>
        <v>0</v>
      </c>
      <c r="Q75" s="899" t="str">
        <f>TEXT('MYP Assumptions'!G78,"0.00%")&amp;", CPI"</f>
        <v>3.36%, CPI</v>
      </c>
      <c r="R75" s="592"/>
      <c r="S75" s="2238" t="str">
        <f t="shared" si="42"/>
        <v>0.00%</v>
      </c>
      <c r="T75" s="340">
        <f t="shared" si="43"/>
        <v>0</v>
      </c>
      <c r="U75" s="953" t="str">
        <f>TEXT('MYP Assumptions'!H78,"0.00%")&amp;", CPI"</f>
        <v>3.23%, CPI</v>
      </c>
      <c r="V75" s="952"/>
      <c r="W75" s="2241" t="str">
        <f t="shared" si="36"/>
        <v>0.00%</v>
      </c>
      <c r="X75" s="340">
        <f t="shared" si="44"/>
        <v>0</v>
      </c>
      <c r="Y75" s="953" t="str">
        <f>TEXT('MYP Assumptions'!I78,"0.00%")&amp;", CPI"</f>
        <v>2.73%, CPI</v>
      </c>
      <c r="AA75" s="456" t="str">
        <f t="shared" si="37"/>
        <v>0.00%</v>
      </c>
      <c r="AB75" s="340">
        <f t="shared" si="45"/>
        <v>0</v>
      </c>
      <c r="AC75" s="953" t="str">
        <f>TEXT('MYP Assumptions'!J78,"0.00%")&amp;", CPI"</f>
        <v>2.73%, CPI</v>
      </c>
    </row>
    <row r="76" spans="1:29" s="457" customFormat="1" hidden="1" x14ac:dyDescent="0.25">
      <c r="A76" s="2227"/>
      <c r="B76" s="2385"/>
      <c r="C76" s="2215"/>
      <c r="D76" s="340">
        <v>0</v>
      </c>
      <c r="E76" s="2386"/>
      <c r="F76" s="340"/>
      <c r="G76" s="456" t="str">
        <f t="shared" ref="G76:G82" si="47">IF(D76=0,"0.00%",(H76-D76)/D76)</f>
        <v>0.00%</v>
      </c>
      <c r="H76" s="340">
        <f t="shared" si="46"/>
        <v>0</v>
      </c>
      <c r="I76" s="899" t="str">
        <f>TEXT('MYP Assumptions'!E78,"0.00%")&amp;", CPI"</f>
        <v>3.37%, CPI</v>
      </c>
      <c r="J76" s="455"/>
      <c r="K76" s="456" t="str">
        <f t="shared" si="38"/>
        <v>0.00%</v>
      </c>
      <c r="L76" s="340">
        <f t="shared" si="39"/>
        <v>0</v>
      </c>
      <c r="M76" s="899" t="str">
        <f>TEXT('MYP Assumptions'!F78,"0.00%")&amp;", CPI"</f>
        <v>3.58%, CPI</v>
      </c>
      <c r="O76" s="456" t="str">
        <f t="shared" si="40"/>
        <v>0.00%</v>
      </c>
      <c r="P76" s="340">
        <f t="shared" si="41"/>
        <v>0</v>
      </c>
      <c r="Q76" s="899" t="str">
        <f>TEXT('MYP Assumptions'!G78,"0.00%")&amp;", CPI"</f>
        <v>3.36%, CPI</v>
      </c>
      <c r="R76" s="592"/>
      <c r="S76" s="2238" t="str">
        <f t="shared" si="42"/>
        <v>0.00%</v>
      </c>
      <c r="T76" s="340">
        <f t="shared" si="43"/>
        <v>0</v>
      </c>
      <c r="U76" s="953" t="str">
        <f>TEXT('MYP Assumptions'!H78,"0.00%")&amp;", CPI"</f>
        <v>3.23%, CPI</v>
      </c>
      <c r="V76" s="952"/>
      <c r="W76" s="2241" t="str">
        <f t="shared" si="36"/>
        <v>0.00%</v>
      </c>
      <c r="X76" s="340">
        <f t="shared" si="44"/>
        <v>0</v>
      </c>
      <c r="Y76" s="953" t="str">
        <f>TEXT('MYP Assumptions'!I78,"0.00%")&amp;", CPI"</f>
        <v>2.73%, CPI</v>
      </c>
      <c r="AA76" s="456" t="str">
        <f t="shared" si="37"/>
        <v>0.00%</v>
      </c>
      <c r="AB76" s="340">
        <f t="shared" si="45"/>
        <v>0</v>
      </c>
      <c r="AC76" s="953" t="str">
        <f>TEXT('MYP Assumptions'!J78,"0.00%")&amp;", CPI"</f>
        <v>2.73%, CPI</v>
      </c>
    </row>
    <row r="77" spans="1:29" s="457" customFormat="1" hidden="1" x14ac:dyDescent="0.25">
      <c r="A77" s="2227"/>
      <c r="B77" s="2385"/>
      <c r="C77" s="2215"/>
      <c r="D77" s="340">
        <v>0</v>
      </c>
      <c r="E77" s="2386"/>
      <c r="F77" s="340"/>
      <c r="G77" s="456" t="str">
        <f t="shared" si="47"/>
        <v>0.00%</v>
      </c>
      <c r="H77" s="340">
        <f>ROUND(D77*(LEFT(I77,5)+1),0)</f>
        <v>0</v>
      </c>
      <c r="I77" s="899" t="str">
        <f>TEXT('MYP Assumptions'!E78,"0.00%")&amp;", CPI"</f>
        <v>3.37%, CPI</v>
      </c>
      <c r="J77" s="455"/>
      <c r="K77" s="456" t="str">
        <f t="shared" si="38"/>
        <v>0.00%</v>
      </c>
      <c r="L77" s="340">
        <f t="shared" si="39"/>
        <v>0</v>
      </c>
      <c r="M77" s="899" t="str">
        <f>TEXT('MYP Assumptions'!F78,"0.00%")&amp;", CPI"</f>
        <v>3.58%, CPI</v>
      </c>
      <c r="O77" s="456" t="str">
        <f t="shared" si="40"/>
        <v>0.00%</v>
      </c>
      <c r="P77" s="340">
        <f t="shared" si="41"/>
        <v>0</v>
      </c>
      <c r="Q77" s="899" t="str">
        <f>TEXT('MYP Assumptions'!G78,"0.00%")&amp;", CPI"</f>
        <v>3.36%, CPI</v>
      </c>
      <c r="R77" s="592"/>
      <c r="S77" s="2238" t="str">
        <f t="shared" si="42"/>
        <v>0.00%</v>
      </c>
      <c r="T77" s="340">
        <f t="shared" si="43"/>
        <v>0</v>
      </c>
      <c r="U77" s="953" t="str">
        <f>TEXT('MYP Assumptions'!H78,"0.00%")&amp;", CPI"</f>
        <v>3.23%, CPI</v>
      </c>
      <c r="V77" s="952"/>
      <c r="W77" s="2241" t="str">
        <f t="shared" si="36"/>
        <v>0.00%</v>
      </c>
      <c r="X77" s="340">
        <f t="shared" si="44"/>
        <v>0</v>
      </c>
      <c r="Y77" s="953" t="str">
        <f>TEXT('MYP Assumptions'!I78,"0.00%")&amp;", CPI"</f>
        <v>2.73%, CPI</v>
      </c>
      <c r="AA77" s="456" t="str">
        <f t="shared" si="37"/>
        <v>0.00%</v>
      </c>
      <c r="AB77" s="340">
        <f t="shared" si="45"/>
        <v>0</v>
      </c>
      <c r="AC77" s="953" t="str">
        <f>TEXT('MYP Assumptions'!J78,"0.00%")&amp;", CPI"</f>
        <v>2.73%, CPI</v>
      </c>
    </row>
    <row r="78" spans="1:29" s="457" customFormat="1" hidden="1" x14ac:dyDescent="0.25">
      <c r="A78" s="2227"/>
      <c r="B78" s="2385"/>
      <c r="C78" s="2215"/>
      <c r="D78" s="340">
        <v>0</v>
      </c>
      <c r="E78" s="2386"/>
      <c r="F78" s="340"/>
      <c r="G78" s="456" t="str">
        <f t="shared" si="47"/>
        <v>0.00%</v>
      </c>
      <c r="H78" s="340">
        <f>ROUND(D78*(LEFT(I78,5)+1),0)</f>
        <v>0</v>
      </c>
      <c r="I78" s="899" t="str">
        <f>TEXT('MYP Assumptions'!E78,"0.00%")&amp;", CPI"</f>
        <v>3.37%, CPI</v>
      </c>
      <c r="J78" s="455"/>
      <c r="K78" s="456" t="str">
        <f t="shared" si="38"/>
        <v>0.00%</v>
      </c>
      <c r="L78" s="340">
        <f t="shared" si="39"/>
        <v>0</v>
      </c>
      <c r="M78" s="899" t="str">
        <f>TEXT('MYP Assumptions'!F78,"0.00%")&amp;", CPI"</f>
        <v>3.58%, CPI</v>
      </c>
      <c r="O78" s="456" t="str">
        <f t="shared" si="40"/>
        <v>0.00%</v>
      </c>
      <c r="P78" s="340">
        <f t="shared" si="41"/>
        <v>0</v>
      </c>
      <c r="Q78" s="899" t="str">
        <f>TEXT('MYP Assumptions'!G78,"0.00%")&amp;", CPI"</f>
        <v>3.36%, CPI</v>
      </c>
      <c r="R78" s="592"/>
      <c r="S78" s="2238" t="str">
        <f t="shared" si="42"/>
        <v>0.00%</v>
      </c>
      <c r="T78" s="340">
        <f t="shared" si="43"/>
        <v>0</v>
      </c>
      <c r="U78" s="953" t="str">
        <f>TEXT('MYP Assumptions'!H78,"0.00%")&amp;", CPI"</f>
        <v>3.23%, CPI</v>
      </c>
      <c r="V78" s="952"/>
      <c r="W78" s="2241" t="str">
        <f t="shared" si="36"/>
        <v>0.00%</v>
      </c>
      <c r="X78" s="340">
        <f t="shared" si="44"/>
        <v>0</v>
      </c>
      <c r="Y78" s="953" t="str">
        <f>TEXT('MYP Assumptions'!I78,"0.00%")&amp;", CPI"</f>
        <v>2.73%, CPI</v>
      </c>
      <c r="AA78" s="456" t="str">
        <f t="shared" si="37"/>
        <v>0.00%</v>
      </c>
      <c r="AB78" s="340">
        <f t="shared" si="45"/>
        <v>0</v>
      </c>
      <c r="AC78" s="953" t="str">
        <f>TEXT('MYP Assumptions'!J78,"0.00%")&amp;", CPI"</f>
        <v>2.73%, CPI</v>
      </c>
    </row>
    <row r="79" spans="1:29" s="457" customFormat="1" hidden="1" x14ac:dyDescent="0.25">
      <c r="A79" s="2227"/>
      <c r="B79" s="2385"/>
      <c r="C79" s="2215"/>
      <c r="D79" s="340">
        <v>0</v>
      </c>
      <c r="E79" s="2386"/>
      <c r="F79" s="340"/>
      <c r="G79" s="456" t="str">
        <f t="shared" si="47"/>
        <v>0.00%</v>
      </c>
      <c r="H79" s="340">
        <f>ROUND(D79*(LEFT(I79,5)+1),0)</f>
        <v>0</v>
      </c>
      <c r="I79" s="899" t="str">
        <f>TEXT('MYP Assumptions'!E78,"0.00%")&amp;", CPI"</f>
        <v>3.37%, CPI</v>
      </c>
      <c r="J79" s="455"/>
      <c r="K79" s="456" t="str">
        <f t="shared" si="38"/>
        <v>0.00%</v>
      </c>
      <c r="L79" s="340">
        <f t="shared" si="39"/>
        <v>0</v>
      </c>
      <c r="M79" s="899" t="str">
        <f>TEXT('MYP Assumptions'!F78,"0.00%")&amp;", CPI"</f>
        <v>3.58%, CPI</v>
      </c>
      <c r="O79" s="456" t="str">
        <f t="shared" si="40"/>
        <v>0.00%</v>
      </c>
      <c r="P79" s="340">
        <f t="shared" si="41"/>
        <v>0</v>
      </c>
      <c r="Q79" s="899" t="str">
        <f>TEXT('MYP Assumptions'!G78,"0.00%")&amp;", CPI"</f>
        <v>3.36%, CPI</v>
      </c>
      <c r="R79" s="592"/>
      <c r="S79" s="2238" t="str">
        <f t="shared" si="42"/>
        <v>0.00%</v>
      </c>
      <c r="T79" s="340">
        <f t="shared" si="43"/>
        <v>0</v>
      </c>
      <c r="U79" s="953" t="str">
        <f>TEXT('MYP Assumptions'!H78,"0.00%")&amp;", CPI"</f>
        <v>3.23%, CPI</v>
      </c>
      <c r="V79" s="952"/>
      <c r="W79" s="2241" t="str">
        <f t="shared" si="36"/>
        <v>0.00%</v>
      </c>
      <c r="X79" s="340">
        <f t="shared" si="44"/>
        <v>0</v>
      </c>
      <c r="Y79" s="953" t="str">
        <f>TEXT('MYP Assumptions'!I78,"0.00%")&amp;", CPI"</f>
        <v>2.73%, CPI</v>
      </c>
      <c r="AA79" s="456" t="str">
        <f t="shared" si="37"/>
        <v>0.00%</v>
      </c>
      <c r="AB79" s="340">
        <f t="shared" si="45"/>
        <v>0</v>
      </c>
      <c r="AC79" s="953" t="str">
        <f>TEXT('MYP Assumptions'!J78,"0.00%")&amp;", CPI"</f>
        <v>2.73%, CPI</v>
      </c>
    </row>
    <row r="80" spans="1:29" s="457" customFormat="1" hidden="1" x14ac:dyDescent="0.25">
      <c r="A80" s="2227"/>
      <c r="B80" s="2385"/>
      <c r="C80" s="2215"/>
      <c r="D80" s="340">
        <v>0</v>
      </c>
      <c r="E80" s="2386"/>
      <c r="F80" s="340"/>
      <c r="G80" s="456" t="str">
        <f t="shared" si="47"/>
        <v>0.00%</v>
      </c>
      <c r="H80" s="340">
        <f>ROUND(D80*(LEFT(I80,5)+1),0)</f>
        <v>0</v>
      </c>
      <c r="I80" s="899" t="str">
        <f>TEXT('MYP Assumptions'!E78,"0.00%")&amp;", CPI"</f>
        <v>3.37%, CPI</v>
      </c>
      <c r="J80" s="455"/>
      <c r="K80" s="456" t="str">
        <f t="shared" si="38"/>
        <v>0.00%</v>
      </c>
      <c r="L80" s="340">
        <f t="shared" si="39"/>
        <v>0</v>
      </c>
      <c r="M80" s="899" t="str">
        <f>TEXT('MYP Assumptions'!F78,"0.00%")&amp;", CPI"</f>
        <v>3.58%, CPI</v>
      </c>
      <c r="O80" s="456" t="str">
        <f t="shared" si="40"/>
        <v>0.00%</v>
      </c>
      <c r="P80" s="340">
        <f t="shared" si="41"/>
        <v>0</v>
      </c>
      <c r="Q80" s="899" t="str">
        <f>TEXT('MYP Assumptions'!G78,"0.00%")&amp;", CPI"</f>
        <v>3.36%, CPI</v>
      </c>
      <c r="R80" s="592"/>
      <c r="S80" s="2238" t="str">
        <f t="shared" si="42"/>
        <v>0.00%</v>
      </c>
      <c r="T80" s="340">
        <f t="shared" si="43"/>
        <v>0</v>
      </c>
      <c r="U80" s="953" t="str">
        <f>TEXT('MYP Assumptions'!H78,"0.00%")&amp;", CPI"</f>
        <v>3.23%, CPI</v>
      </c>
      <c r="V80" s="952"/>
      <c r="W80" s="2241" t="str">
        <f t="shared" si="36"/>
        <v>0.00%</v>
      </c>
      <c r="X80" s="340">
        <f t="shared" si="44"/>
        <v>0</v>
      </c>
      <c r="Y80" s="953" t="str">
        <f>TEXT('MYP Assumptions'!I78,"0.00%")&amp;", CPI"</f>
        <v>2.73%, CPI</v>
      </c>
      <c r="AA80" s="456" t="str">
        <f t="shared" si="37"/>
        <v>0.00%</v>
      </c>
      <c r="AB80" s="340">
        <f t="shared" si="45"/>
        <v>0</v>
      </c>
      <c r="AC80" s="953" t="str">
        <f>TEXT('MYP Assumptions'!J78,"0.00%")&amp;", CPI"</f>
        <v>2.73%, CPI</v>
      </c>
    </row>
    <row r="81" spans="1:29" s="457" customFormat="1" hidden="1" x14ac:dyDescent="0.25">
      <c r="A81" s="2227"/>
      <c r="B81" s="2385"/>
      <c r="C81" s="2215"/>
      <c r="D81" s="340">
        <f>'18-19 Budget RS 3010-ALL'!AF80</f>
        <v>0</v>
      </c>
      <c r="E81" s="2386"/>
      <c r="F81" s="340"/>
      <c r="G81" s="456" t="str">
        <f t="shared" si="47"/>
        <v>0.00%</v>
      </c>
      <c r="H81" s="340">
        <f>ROUND(D81*(LEFT(I81,5)+1),0)</f>
        <v>0</v>
      </c>
      <c r="I81" s="899" t="str">
        <f>TEXT('MYP Assumptions'!E78,"0.00%")&amp;", CPI"</f>
        <v>3.37%, CPI</v>
      </c>
      <c r="J81" s="455"/>
      <c r="K81" s="456" t="str">
        <f t="shared" si="38"/>
        <v>0.00%</v>
      </c>
      <c r="L81" s="340">
        <f t="shared" si="39"/>
        <v>0</v>
      </c>
      <c r="M81" s="899" t="str">
        <f>TEXT('MYP Assumptions'!F78,"0.00%")&amp;", CPI"</f>
        <v>3.58%, CPI</v>
      </c>
      <c r="O81" s="456" t="str">
        <f t="shared" si="40"/>
        <v>0.00%</v>
      </c>
      <c r="P81" s="340">
        <f t="shared" si="41"/>
        <v>0</v>
      </c>
      <c r="Q81" s="899" t="str">
        <f>TEXT('MYP Assumptions'!G78,"0.00%")&amp;", CPI"</f>
        <v>3.36%, CPI</v>
      </c>
      <c r="R81" s="592"/>
      <c r="S81" s="2238" t="str">
        <f t="shared" si="42"/>
        <v>0.00%</v>
      </c>
      <c r="T81" s="340">
        <f t="shared" si="43"/>
        <v>0</v>
      </c>
      <c r="U81" s="953" t="str">
        <f>TEXT('MYP Assumptions'!H78,"0.00%")&amp;", CPI"</f>
        <v>3.23%, CPI</v>
      </c>
      <c r="V81" s="952"/>
      <c r="W81" s="2241" t="str">
        <f t="shared" si="36"/>
        <v>0.00%</v>
      </c>
      <c r="X81" s="340">
        <f t="shared" si="44"/>
        <v>0</v>
      </c>
      <c r="Y81" s="953" t="str">
        <f>TEXT('MYP Assumptions'!I78,"0.00%")&amp;", CPI"</f>
        <v>2.73%, CPI</v>
      </c>
      <c r="AA81" s="456" t="str">
        <f t="shared" si="37"/>
        <v>0.00%</v>
      </c>
      <c r="AB81" s="340">
        <f t="shared" si="45"/>
        <v>0</v>
      </c>
      <c r="AC81" s="953" t="str">
        <f>TEXT('MYP Assumptions'!J78,"0.00%")&amp;", CPI"</f>
        <v>2.73%, CPI</v>
      </c>
    </row>
    <row r="82" spans="1:29" s="457" customFormat="1" x14ac:dyDescent="0.25">
      <c r="A82" s="2228"/>
      <c r="B82" s="2345"/>
      <c r="C82" s="2215"/>
      <c r="D82" s="458">
        <f>SUM(D69:D81)</f>
        <v>0</v>
      </c>
      <c r="E82" s="2386"/>
      <c r="F82" s="340"/>
      <c r="G82" s="456" t="str">
        <f t="shared" si="47"/>
        <v>0.00%</v>
      </c>
      <c r="H82" s="458">
        <f>SUM(H69:H81)</f>
        <v>8623</v>
      </c>
      <c r="I82" s="898"/>
      <c r="J82" s="459"/>
      <c r="K82" s="456">
        <f t="shared" si="38"/>
        <v>-1</v>
      </c>
      <c r="L82" s="458">
        <f>SUM(L69:L81)</f>
        <v>0</v>
      </c>
      <c r="M82" s="901"/>
      <c r="O82" s="456" t="str">
        <f t="shared" si="40"/>
        <v>0.00%</v>
      </c>
      <c r="P82" s="458">
        <f>SUM(P69:P81)</f>
        <v>0</v>
      </c>
      <c r="Q82" s="901"/>
      <c r="R82" s="592"/>
      <c r="S82" s="2238" t="str">
        <f t="shared" si="42"/>
        <v>0.00%</v>
      </c>
      <c r="T82" s="458">
        <f>SUM(T69:T81)</f>
        <v>0</v>
      </c>
      <c r="U82" s="2344"/>
      <c r="V82" s="952"/>
      <c r="W82" s="2241" t="str">
        <f t="shared" si="36"/>
        <v>0.00%</v>
      </c>
      <c r="X82" s="458">
        <f>SUM(X69:X81)</f>
        <v>0</v>
      </c>
      <c r="Y82" s="2344"/>
      <c r="AA82" s="456" t="str">
        <f t="shared" si="37"/>
        <v>0.00%</v>
      </c>
      <c r="AB82" s="458">
        <f>SUM(AB69:AB81)</f>
        <v>0</v>
      </c>
      <c r="AC82" s="2344"/>
    </row>
    <row r="83" spans="1:29" s="457" customFormat="1" x14ac:dyDescent="0.25">
      <c r="A83" s="2227"/>
      <c r="B83" s="2337"/>
      <c r="C83" s="2215"/>
      <c r="D83" s="340"/>
      <c r="E83" s="2386"/>
      <c r="F83" s="340"/>
      <c r="G83" s="456"/>
      <c r="H83" s="340"/>
      <c r="I83" s="897"/>
      <c r="J83" s="455"/>
      <c r="K83" s="1668"/>
      <c r="L83" s="340"/>
      <c r="M83" s="901"/>
      <c r="O83" s="1668"/>
      <c r="P83" s="340"/>
      <c r="Q83" s="901"/>
      <c r="R83" s="592"/>
      <c r="S83" s="2341"/>
      <c r="T83" s="340"/>
      <c r="U83" s="2344"/>
      <c r="V83" s="952"/>
      <c r="W83" s="2343"/>
      <c r="X83" s="340"/>
      <c r="Y83" s="2344"/>
      <c r="AA83" s="1668"/>
      <c r="AB83" s="340"/>
      <c r="AC83" s="2344"/>
    </row>
    <row r="84" spans="1:29" s="457" customFormat="1" x14ac:dyDescent="0.25">
      <c r="A84" s="2227"/>
      <c r="B84" s="2345"/>
      <c r="C84" s="2215"/>
      <c r="D84" s="340"/>
      <c r="E84" s="2386"/>
      <c r="F84" s="340"/>
      <c r="G84" s="2338"/>
      <c r="H84" s="340"/>
      <c r="I84" s="897"/>
      <c r="J84" s="455"/>
      <c r="K84" s="1668"/>
      <c r="L84" s="340"/>
      <c r="M84" s="901"/>
      <c r="O84" s="1668"/>
      <c r="P84" s="340"/>
      <c r="Q84" s="901"/>
      <c r="R84" s="592"/>
      <c r="S84" s="2341"/>
      <c r="T84" s="340"/>
      <c r="U84" s="2344"/>
      <c r="V84" s="952"/>
      <c r="W84" s="2343"/>
      <c r="X84" s="340"/>
      <c r="Y84" s="2344"/>
      <c r="AA84" s="1668"/>
      <c r="AB84" s="340"/>
      <c r="AC84" s="2344"/>
    </row>
    <row r="85" spans="1:29" s="457" customFormat="1" x14ac:dyDescent="0.25">
      <c r="A85" s="2228"/>
      <c r="B85" s="2337" t="s">
        <v>0</v>
      </c>
      <c r="C85" s="2215"/>
      <c r="D85" s="458">
        <f>SUM(D82,D66,D55,D13)</f>
        <v>0</v>
      </c>
      <c r="E85" s="2386"/>
      <c r="F85" s="340"/>
      <c r="G85" s="456" t="str">
        <f>IF(D85=0,"0.00%",(H85-D85)/D85)</f>
        <v>0.00%</v>
      </c>
      <c r="H85" s="458">
        <f>SUM(H82,H66,H55,H13)</f>
        <v>8623</v>
      </c>
      <c r="I85" s="898"/>
      <c r="J85" s="459"/>
      <c r="K85" s="456">
        <f>IF(H85=0,"0.00%",(L85-H85)/H85)</f>
        <v>-1</v>
      </c>
      <c r="L85" s="458">
        <f>SUM(L82,L66,L55,L13)</f>
        <v>0</v>
      </c>
      <c r="M85" s="901"/>
      <c r="O85" s="456" t="str">
        <f>IF(L85=0,"0.00%",(P85-L85)/L85)</f>
        <v>0.00%</v>
      </c>
      <c r="P85" s="458">
        <f>SUM(P82,P66,P55,P13)</f>
        <v>0</v>
      </c>
      <c r="Q85" s="901"/>
      <c r="R85" s="592"/>
      <c r="S85" s="2238" t="str">
        <f>IF(P85=0,"0.00%",(T85-P85)/P85)</f>
        <v>0.00%</v>
      </c>
      <c r="T85" s="458">
        <f>SUM(T82,T66,T55,T13)</f>
        <v>0</v>
      </c>
      <c r="U85" s="2344"/>
      <c r="V85" s="952"/>
      <c r="W85" s="2241" t="str">
        <f>IF(T85=0,"0.00%",(X85-T85)/T85)</f>
        <v>0.00%</v>
      </c>
      <c r="X85" s="458">
        <f>SUM(X82,X66,X55,X13)</f>
        <v>0</v>
      </c>
      <c r="Y85" s="2344"/>
      <c r="AA85" s="456" t="str">
        <f>IF(X85=0,"0.00%",(AB85-X85)/X85)</f>
        <v>0.00%</v>
      </c>
      <c r="AB85" s="458" t="e">
        <f>SUM(AB82,AB66,AB55,AB13)</f>
        <v>#VALUE!</v>
      </c>
      <c r="AC85" s="2344"/>
    </row>
    <row r="86" spans="1:29" s="457" customFormat="1" x14ac:dyDescent="0.25">
      <c r="A86" s="2227"/>
      <c r="B86" s="2345"/>
      <c r="C86" s="2215"/>
      <c r="D86" s="340"/>
      <c r="E86" s="2386"/>
      <c r="F86" s="340"/>
      <c r="G86" s="2338"/>
      <c r="H86" s="340"/>
      <c r="I86" s="897"/>
      <c r="J86" s="455"/>
      <c r="K86" s="1668"/>
      <c r="L86" s="340"/>
      <c r="M86" s="901"/>
      <c r="O86" s="1668"/>
      <c r="P86" s="340"/>
      <c r="Q86" s="901"/>
      <c r="R86" s="592"/>
      <c r="S86" s="2341"/>
      <c r="T86" s="340"/>
      <c r="U86" s="2344"/>
      <c r="V86" s="952"/>
      <c r="W86" s="2343"/>
      <c r="X86" s="340"/>
      <c r="Y86" s="2344"/>
      <c r="AA86" s="1668"/>
      <c r="AB86" s="340"/>
      <c r="AC86" s="2344"/>
    </row>
    <row r="87" spans="1:29" s="457" customFormat="1" x14ac:dyDescent="0.25">
      <c r="A87" s="2227"/>
      <c r="B87" s="2337" t="s">
        <v>138</v>
      </c>
      <c r="C87" s="2215"/>
      <c r="D87" s="833">
        <f>D11-D85</f>
        <v>0</v>
      </c>
      <c r="E87" s="1656"/>
      <c r="G87" s="456" t="str">
        <f>IF(D87=0,"0.00%",(H87-D87)/D87)</f>
        <v>0.00%</v>
      </c>
      <c r="H87" s="833">
        <f>H11-H85</f>
        <v>0</v>
      </c>
      <c r="I87" s="897"/>
      <c r="J87" s="455"/>
      <c r="K87" s="456" t="str">
        <f>IF(H87=0,"0.00%",(L87-H87)/H87)</f>
        <v>0.00%</v>
      </c>
      <c r="L87" s="833">
        <f>L11-L85</f>
        <v>0</v>
      </c>
      <c r="M87" s="901"/>
      <c r="O87" s="456" t="str">
        <f>IF(L87=0,"0.00%",(P87-L87)/L87)</f>
        <v>0.00%</v>
      </c>
      <c r="P87" s="833">
        <f>P11-P85</f>
        <v>0</v>
      </c>
      <c r="Q87" s="901"/>
      <c r="R87" s="592"/>
      <c r="S87" s="2238" t="str">
        <f>IF(P87=0,"0.00%",(T87-P87)/P87)</f>
        <v>0.00%</v>
      </c>
      <c r="T87" s="833">
        <f>T11-T85</f>
        <v>0</v>
      </c>
      <c r="U87" s="2344"/>
      <c r="V87" s="952"/>
      <c r="W87" s="2241" t="str">
        <f>IF(T87=0,"0.00%",(X87-T87)/T87)</f>
        <v>0.00%</v>
      </c>
      <c r="X87" s="833">
        <f>X11-X85</f>
        <v>0</v>
      </c>
      <c r="Y87" s="2344"/>
      <c r="AA87" s="456" t="str">
        <f>IF(X87=0,"0.00%",(AB87-X87)/X87)</f>
        <v>0.00%</v>
      </c>
      <c r="AB87" s="833" t="e">
        <f>AB11-AB85</f>
        <v>#VALUE!</v>
      </c>
      <c r="AC87" s="2344"/>
    </row>
    <row r="88" spans="1:29" s="457" customFormat="1" x14ac:dyDescent="0.25">
      <c r="A88" s="2215"/>
      <c r="B88" s="2337"/>
      <c r="C88" s="2345"/>
      <c r="D88" s="833"/>
      <c r="E88" s="1656"/>
      <c r="G88" s="2338"/>
      <c r="H88" s="833"/>
      <c r="I88" s="897"/>
      <c r="J88" s="455"/>
      <c r="K88" s="1668"/>
      <c r="L88" s="833"/>
      <c r="M88" s="901"/>
      <c r="O88" s="1668"/>
      <c r="P88" s="833"/>
      <c r="Q88" s="901"/>
      <c r="R88" s="592"/>
      <c r="S88" s="2341"/>
      <c r="T88" s="2356"/>
      <c r="U88" s="2344"/>
      <c r="V88" s="952"/>
      <c r="W88" s="2343"/>
      <c r="X88" s="2356"/>
      <c r="Y88" s="2344"/>
      <c r="AA88" s="1668"/>
      <c r="AB88" s="2356"/>
      <c r="AC88" s="2344"/>
    </row>
    <row r="89" spans="1:29" s="457" customFormat="1" x14ac:dyDescent="0.25">
      <c r="A89" s="2215"/>
      <c r="B89" s="2337" t="s">
        <v>136</v>
      </c>
      <c r="C89" s="2394"/>
      <c r="D89" s="833">
        <f>D7+D87</f>
        <v>0</v>
      </c>
      <c r="E89" s="1656"/>
      <c r="G89" s="456" t="str">
        <f>IF(D89=0,"0.00%",(H89-D89)/D89)</f>
        <v>0.00%</v>
      </c>
      <c r="H89" s="833">
        <f>H7+H87</f>
        <v>0</v>
      </c>
      <c r="I89" s="897"/>
      <c r="J89" s="455"/>
      <c r="K89" s="456" t="str">
        <f>IF(H89=0,"0.00%",(L89-H89)/H89)</f>
        <v>0.00%</v>
      </c>
      <c r="L89" s="833">
        <f>L7+L87</f>
        <v>0</v>
      </c>
      <c r="M89" s="901"/>
      <c r="O89" s="456" t="str">
        <f>IF(L89=0,"0.00%",(P89-L89)/L89)</f>
        <v>0.00%</v>
      </c>
      <c r="P89" s="833">
        <f>P7+P87</f>
        <v>0</v>
      </c>
      <c r="Q89" s="901"/>
      <c r="R89" s="592"/>
      <c r="S89" s="2238" t="str">
        <f>IF(P89=0,"0.00%",(T89-P89)/P89)</f>
        <v>0.00%</v>
      </c>
      <c r="T89" s="2367">
        <f>T7+T87</f>
        <v>0</v>
      </c>
      <c r="U89" s="2344"/>
      <c r="V89" s="952"/>
      <c r="W89" s="2241" t="str">
        <f>IF(T89=0,"0.00%",(X89-T89)/T89)</f>
        <v>0.00%</v>
      </c>
      <c r="X89" s="2367">
        <f>X7+X87</f>
        <v>0</v>
      </c>
      <c r="Y89" s="2344"/>
      <c r="AA89" s="456" t="str">
        <f>IF(X89=0,"0.00%",(AB89-X89)/X89)</f>
        <v>0.00%</v>
      </c>
      <c r="AB89" s="2367" t="e">
        <f>AB7+AB87</f>
        <v>#VALUE!</v>
      </c>
      <c r="AC89" s="2344"/>
    </row>
    <row r="90" spans="1:29" s="457" customFormat="1" x14ac:dyDescent="0.25">
      <c r="A90" s="2215"/>
      <c r="B90" s="2345"/>
      <c r="C90" s="2225"/>
      <c r="D90" s="340"/>
      <c r="E90" s="1656"/>
      <c r="G90" s="2355"/>
      <c r="H90" s="459"/>
      <c r="I90" s="898"/>
      <c r="J90" s="459"/>
      <c r="K90" s="1668"/>
      <c r="L90" s="459"/>
      <c r="M90" s="901"/>
      <c r="O90" s="1668"/>
      <c r="P90" s="459"/>
      <c r="Q90" s="901"/>
      <c r="R90" s="592"/>
      <c r="S90" s="2341"/>
      <c r="T90" s="459"/>
      <c r="U90" s="2344"/>
      <c r="V90" s="952"/>
      <c r="W90" s="2343"/>
      <c r="X90" s="459"/>
      <c r="Y90" s="2344"/>
      <c r="AA90" s="1668"/>
      <c r="AB90" s="459"/>
      <c r="AC90" s="2344"/>
    </row>
    <row r="91" spans="1:29" s="457" customFormat="1" x14ac:dyDescent="0.25">
      <c r="A91" s="2215"/>
      <c r="B91" s="2345"/>
      <c r="C91" s="2230"/>
      <c r="D91" s="340"/>
      <c r="E91" s="1656"/>
      <c r="G91" s="2355"/>
      <c r="H91" s="455"/>
      <c r="I91" s="897"/>
      <c r="J91" s="455"/>
      <c r="K91" s="1668"/>
      <c r="L91" s="340"/>
      <c r="M91" s="901"/>
      <c r="O91" s="1668"/>
      <c r="P91" s="340"/>
      <c r="Q91" s="901"/>
      <c r="R91" s="592"/>
      <c r="S91" s="2341"/>
      <c r="T91" s="340"/>
      <c r="U91" s="2344"/>
      <c r="V91" s="952"/>
      <c r="W91" s="2343"/>
      <c r="X91" s="340"/>
      <c r="Y91" s="2344"/>
      <c r="AA91" s="1668"/>
      <c r="AB91" s="340"/>
      <c r="AC91" s="2344"/>
    </row>
    <row r="92" spans="1:29" s="457" customFormat="1" x14ac:dyDescent="0.25">
      <c r="A92" s="2215"/>
      <c r="B92" s="2345"/>
      <c r="C92" s="2230"/>
      <c r="D92" s="340"/>
      <c r="E92" s="1656"/>
      <c r="G92" s="2355"/>
      <c r="H92" s="455"/>
      <c r="I92" s="897"/>
      <c r="J92" s="455"/>
      <c r="K92" s="1668"/>
      <c r="L92" s="340"/>
      <c r="M92" s="901"/>
      <c r="O92" s="1668"/>
      <c r="P92" s="340"/>
      <c r="Q92" s="901"/>
      <c r="R92" s="592"/>
      <c r="S92" s="2341"/>
      <c r="T92" s="340"/>
      <c r="U92" s="2344"/>
      <c r="V92" s="952"/>
      <c r="W92" s="2343"/>
      <c r="X92" s="340"/>
      <c r="Y92" s="2344"/>
      <c r="AA92" s="1668"/>
      <c r="AB92" s="340"/>
      <c r="AC92" s="2344"/>
    </row>
    <row r="93" spans="1:29" s="457" customFormat="1" x14ac:dyDescent="0.25">
      <c r="A93" s="2215"/>
      <c r="B93" s="2345"/>
      <c r="C93" s="2230"/>
      <c r="D93" s="340"/>
      <c r="E93" s="1656"/>
      <c r="G93" s="2355"/>
      <c r="H93" s="455"/>
      <c r="I93" s="897"/>
      <c r="J93" s="455"/>
      <c r="K93" s="1668"/>
      <c r="L93" s="340"/>
      <c r="M93" s="901"/>
      <c r="O93" s="1668"/>
      <c r="P93" s="340"/>
      <c r="Q93" s="901"/>
      <c r="R93" s="592"/>
      <c r="S93" s="2341"/>
      <c r="T93" s="340"/>
      <c r="U93" s="2344"/>
      <c r="V93" s="952"/>
      <c r="W93" s="2343"/>
      <c r="X93" s="340"/>
      <c r="Y93" s="2344"/>
      <c r="AA93" s="1668"/>
      <c r="AB93" s="340"/>
      <c r="AC93" s="2344"/>
    </row>
    <row r="94" spans="1:29" s="457" customFormat="1" x14ac:dyDescent="0.25">
      <c r="A94" s="2215"/>
      <c r="B94" s="2345"/>
      <c r="C94" s="2230"/>
      <c r="D94" s="340"/>
      <c r="E94" s="1656"/>
      <c r="G94" s="2355"/>
      <c r="H94" s="455"/>
      <c r="I94" s="897"/>
      <c r="J94" s="455"/>
      <c r="K94" s="1668"/>
      <c r="L94" s="340"/>
      <c r="M94" s="901"/>
      <c r="O94" s="1668"/>
      <c r="P94" s="340"/>
      <c r="Q94" s="901"/>
      <c r="R94" s="592"/>
      <c r="S94" s="2341"/>
      <c r="T94" s="340"/>
      <c r="U94" s="2344"/>
      <c r="V94" s="952"/>
      <c r="W94" s="2343"/>
      <c r="X94" s="340"/>
      <c r="Y94" s="2344"/>
      <c r="AA94" s="1668"/>
      <c r="AB94" s="340"/>
      <c r="AC94" s="2344"/>
    </row>
    <row r="95" spans="1:29" s="2402" customFormat="1" ht="11.25" x14ac:dyDescent="0.2">
      <c r="A95" s="2232"/>
      <c r="B95" s="2395"/>
      <c r="C95" s="2396" t="s">
        <v>221</v>
      </c>
      <c r="D95" s="2397">
        <f>+D82+D66+D53+D41+D30</f>
        <v>0</v>
      </c>
      <c r="E95" s="2363"/>
      <c r="G95" s="2399" t="s">
        <v>221</v>
      </c>
      <c r="H95" s="2397">
        <f>+H82+H66+H53+H41+H30</f>
        <v>8623</v>
      </c>
      <c r="I95" s="2400"/>
      <c r="J95" s="607"/>
      <c r="K95" s="2399" t="s">
        <v>221</v>
      </c>
      <c r="L95" s="2397">
        <f>+L82+L66+L53+L41+L30</f>
        <v>0</v>
      </c>
      <c r="M95" s="2404"/>
      <c r="O95" s="2399" t="s">
        <v>221</v>
      </c>
      <c r="P95" s="2397">
        <f>+P82+P66+P53+P41+P30</f>
        <v>0</v>
      </c>
      <c r="Q95" s="2404"/>
      <c r="R95" s="608"/>
      <c r="S95" s="2405" t="s">
        <v>221</v>
      </c>
      <c r="T95" s="2397">
        <f>+T82+T66+T53+T41+T30</f>
        <v>0</v>
      </c>
      <c r="U95" s="2409"/>
      <c r="V95" s="2407"/>
      <c r="W95" s="2408" t="s">
        <v>221</v>
      </c>
      <c r="X95" s="2397">
        <f>+X82+X66+X53+X41+X30</f>
        <v>0</v>
      </c>
      <c r="Y95" s="2409"/>
      <c r="AA95" s="2399" t="s">
        <v>221</v>
      </c>
      <c r="AB95" s="2397" t="e">
        <f>+AB82+AB66+AB53+AB41+AB30</f>
        <v>#VALUE!</v>
      </c>
      <c r="AC95" s="2409"/>
    </row>
    <row r="96" spans="1:29" s="2402" customFormat="1" ht="11.25" x14ac:dyDescent="0.2">
      <c r="A96" s="2233"/>
      <c r="B96" s="2395"/>
      <c r="C96" s="2411" t="s">
        <v>222</v>
      </c>
      <c r="D96" s="2412">
        <f>+D13</f>
        <v>0</v>
      </c>
      <c r="E96" s="2419"/>
      <c r="F96" s="2410"/>
      <c r="G96" s="2415" t="s">
        <v>222</v>
      </c>
      <c r="H96" s="2412">
        <f>+H13</f>
        <v>0</v>
      </c>
      <c r="I96" s="2398"/>
      <c r="J96" s="608"/>
      <c r="K96" s="2415" t="s">
        <v>222</v>
      </c>
      <c r="L96" s="2412">
        <f>+L13</f>
        <v>0</v>
      </c>
      <c r="M96" s="2404"/>
      <c r="O96" s="2415" t="s">
        <v>222</v>
      </c>
      <c r="P96" s="2412">
        <f>+P13</f>
        <v>0</v>
      </c>
      <c r="Q96" s="2363"/>
      <c r="R96" s="608"/>
      <c r="S96" s="2416" t="s">
        <v>222</v>
      </c>
      <c r="T96" s="2412">
        <f>+T13</f>
        <v>0</v>
      </c>
      <c r="V96" s="2407"/>
      <c r="W96" s="2417" t="s">
        <v>222</v>
      </c>
      <c r="X96" s="2412">
        <f>+X13</f>
        <v>0</v>
      </c>
      <c r="AA96" s="2415" t="s">
        <v>222</v>
      </c>
      <c r="AB96" s="2412">
        <f>+AB13</f>
        <v>0</v>
      </c>
    </row>
    <row r="97" spans="1:28" s="2402" customFormat="1" ht="11.25" x14ac:dyDescent="0.2">
      <c r="A97" s="2233"/>
      <c r="B97" s="2395"/>
      <c r="C97" s="2411"/>
      <c r="D97" s="2418">
        <f>+D95+D96</f>
        <v>0</v>
      </c>
      <c r="E97" s="2419"/>
      <c r="F97" s="2410"/>
      <c r="G97" s="2415"/>
      <c r="H97" s="2418">
        <f>+H95+H96</f>
        <v>8623</v>
      </c>
      <c r="I97" s="2398"/>
      <c r="J97" s="608"/>
      <c r="K97" s="2415"/>
      <c r="L97" s="2418">
        <f>+L95+L96</f>
        <v>0</v>
      </c>
      <c r="M97" s="2363"/>
      <c r="O97" s="2415"/>
      <c r="P97" s="2418">
        <f>+P95+P96</f>
        <v>0</v>
      </c>
      <c r="Q97" s="2363"/>
      <c r="R97" s="608"/>
      <c r="S97" s="2416"/>
      <c r="T97" s="2418">
        <f>+T95+T96</f>
        <v>0</v>
      </c>
      <c r="V97" s="2407"/>
      <c r="W97" s="2417"/>
      <c r="X97" s="2418">
        <f>+X95+X96</f>
        <v>0</v>
      </c>
      <c r="AA97" s="2415"/>
      <c r="AB97" s="2418" t="e">
        <f>+AB95+AB96</f>
        <v>#VALUE!</v>
      </c>
    </row>
    <row r="98" spans="1:28" s="457" customFormat="1" ht="15" customHeight="1" x14ac:dyDescent="0.25">
      <c r="A98" s="2227"/>
      <c r="B98" s="2422"/>
      <c r="C98" s="2422"/>
      <c r="D98" s="459">
        <f>+D85-D97</f>
        <v>0</v>
      </c>
      <c r="E98" s="2386"/>
      <c r="F98" s="340"/>
      <c r="G98" s="2447"/>
      <c r="H98" s="459">
        <f>+H85-H97</f>
        <v>0</v>
      </c>
      <c r="I98" s="2339"/>
      <c r="J98" s="592"/>
      <c r="K98" s="2447"/>
      <c r="L98" s="459">
        <f>+L85-L97</f>
        <v>0</v>
      </c>
      <c r="M98" s="1656"/>
      <c r="O98" s="2447"/>
      <c r="P98" s="459">
        <f>+P85-P97</f>
        <v>0</v>
      </c>
      <c r="Q98" s="1656"/>
      <c r="R98" s="592"/>
      <c r="S98" s="2447"/>
      <c r="T98" s="459">
        <f>+T85-T97</f>
        <v>0</v>
      </c>
      <c r="V98" s="952"/>
      <c r="W98" s="2448"/>
      <c r="X98" s="459">
        <f>+X85-X97</f>
        <v>0</v>
      </c>
      <c r="AA98" s="2447"/>
      <c r="AB98" s="459" t="e">
        <f>+AB85-AB97</f>
        <v>#VALUE!</v>
      </c>
    </row>
    <row r="99" spans="1:28" s="457" customFormat="1" x14ac:dyDescent="0.25">
      <c r="A99" s="2227"/>
      <c r="B99" s="2422"/>
      <c r="C99" s="2422"/>
      <c r="D99" s="455"/>
      <c r="E99" s="2386"/>
      <c r="F99" s="340"/>
      <c r="G99" s="2338"/>
      <c r="H99" s="2424"/>
      <c r="I99" s="2339"/>
      <c r="J99" s="592"/>
      <c r="K99" s="1668"/>
      <c r="L99" s="2370"/>
      <c r="M99" s="1656"/>
      <c r="O99" s="1668"/>
      <c r="P99" s="340"/>
      <c r="Q99" s="1656"/>
      <c r="R99" s="592"/>
      <c r="S99" s="2341"/>
      <c r="V99" s="952"/>
      <c r="W99" s="2343"/>
      <c r="AA99" s="1668"/>
    </row>
    <row r="100" spans="1:28" s="457" customFormat="1" x14ac:dyDescent="0.25">
      <c r="A100" s="2227"/>
      <c r="B100" s="2394"/>
      <c r="C100" s="2230"/>
      <c r="D100" s="342"/>
      <c r="E100" s="2386"/>
      <c r="F100" s="340"/>
      <c r="G100" s="2338"/>
      <c r="H100" s="2424"/>
      <c r="I100" s="2339"/>
      <c r="J100" s="592"/>
      <c r="K100" s="1668"/>
      <c r="L100" s="2370"/>
      <c r="M100" s="1656"/>
      <c r="O100" s="1668"/>
      <c r="P100" s="340"/>
      <c r="Q100" s="1656"/>
      <c r="R100" s="592"/>
      <c r="S100" s="2341"/>
      <c r="V100" s="952"/>
      <c r="W100" s="2343"/>
      <c r="AA100" s="1668"/>
    </row>
    <row r="101" spans="1:28" s="457" customFormat="1" x14ac:dyDescent="0.25">
      <c r="A101" s="2215"/>
      <c r="B101" s="2394"/>
      <c r="C101" s="2230"/>
      <c r="D101" s="455"/>
      <c r="E101" s="1656"/>
      <c r="G101" s="2338"/>
      <c r="H101" s="2424"/>
      <c r="I101" s="2339"/>
      <c r="J101" s="592"/>
      <c r="K101" s="1668"/>
      <c r="L101" s="2370"/>
      <c r="M101" s="1656"/>
      <c r="O101" s="1668"/>
      <c r="P101" s="340"/>
      <c r="Q101" s="1656"/>
      <c r="R101" s="592"/>
      <c r="S101" s="2341"/>
      <c r="V101" s="952"/>
      <c r="W101" s="2343"/>
      <c r="AA101" s="1668"/>
    </row>
    <row r="102" spans="1:28" s="457" customFormat="1" x14ac:dyDescent="0.25">
      <c r="A102" s="2215"/>
      <c r="B102" s="2394"/>
      <c r="C102" s="2230"/>
      <c r="D102" s="455"/>
      <c r="E102" s="1656"/>
      <c r="G102" s="2338"/>
      <c r="H102" s="2424"/>
      <c r="I102" s="2339"/>
      <c r="J102" s="592"/>
      <c r="K102" s="1668"/>
      <c r="L102" s="2370"/>
      <c r="M102" s="1656"/>
      <c r="O102" s="1668"/>
      <c r="P102" s="340"/>
      <c r="Q102" s="1656"/>
      <c r="R102" s="592"/>
      <c r="S102" s="2341"/>
      <c r="V102" s="952"/>
      <c r="W102" s="2343"/>
      <c r="AA102" s="1668"/>
    </row>
    <row r="103" spans="1:28" s="457" customFormat="1" ht="15" customHeight="1" x14ac:dyDescent="0.25">
      <c r="A103" s="2215"/>
      <c r="B103" s="2394"/>
      <c r="C103" s="2230"/>
      <c r="D103" s="455"/>
      <c r="E103" s="1656"/>
      <c r="G103" s="2338"/>
      <c r="H103" s="2424"/>
      <c r="I103" s="2339"/>
      <c r="J103" s="592"/>
      <c r="K103" s="1668"/>
      <c r="L103" s="2370"/>
      <c r="M103" s="1656"/>
      <c r="O103" s="1668"/>
      <c r="P103" s="340"/>
      <c r="Q103" s="1656"/>
      <c r="R103" s="592"/>
      <c r="S103" s="2341"/>
      <c r="V103" s="952"/>
      <c r="W103" s="2343"/>
      <c r="AA103" s="1668"/>
    </row>
    <row r="104" spans="1:28" s="457" customFormat="1" x14ac:dyDescent="0.25">
      <c r="A104" s="2215"/>
      <c r="B104" s="2394"/>
      <c r="C104" s="2230"/>
      <c r="D104" s="455"/>
      <c r="E104" s="1656"/>
      <c r="G104" s="2338"/>
      <c r="H104" s="2424"/>
      <c r="I104" s="2339"/>
      <c r="J104" s="592"/>
      <c r="K104" s="1668"/>
      <c r="L104" s="2370"/>
      <c r="M104" s="1656"/>
      <c r="O104" s="1668"/>
      <c r="P104" s="340"/>
      <c r="Q104" s="1656"/>
      <c r="R104" s="592"/>
      <c r="S104" s="2341"/>
      <c r="V104" s="952"/>
      <c r="W104" s="2343"/>
      <c r="AA104" s="1668"/>
    </row>
    <row r="105" spans="1:28" s="457" customFormat="1" x14ac:dyDescent="0.25">
      <c r="A105" s="2215"/>
      <c r="B105" s="2394"/>
      <c r="C105" s="2230"/>
      <c r="D105" s="455"/>
      <c r="E105" s="1656"/>
      <c r="G105" s="2338"/>
      <c r="H105" s="2424"/>
      <c r="I105" s="2339"/>
      <c r="J105" s="592"/>
      <c r="K105" s="1668"/>
      <c r="L105" s="2370"/>
      <c r="M105" s="1656"/>
      <c r="O105" s="1668"/>
      <c r="P105" s="340"/>
      <c r="Q105" s="1656"/>
      <c r="R105" s="592"/>
      <c r="S105" s="2341"/>
      <c r="V105" s="952"/>
      <c r="W105" s="2343"/>
      <c r="AA105" s="1668"/>
    </row>
    <row r="106" spans="1:28" s="457" customFormat="1" ht="15" customHeight="1" x14ac:dyDescent="0.25">
      <c r="A106" s="2215"/>
      <c r="B106" s="2570"/>
      <c r="C106" s="2570"/>
      <c r="D106" s="455"/>
      <c r="E106" s="1656"/>
      <c r="G106" s="2338"/>
      <c r="H106" s="2424"/>
      <c r="I106" s="2339"/>
      <c r="J106" s="592"/>
      <c r="K106" s="1668"/>
      <c r="L106" s="2370"/>
      <c r="M106" s="1656"/>
      <c r="O106" s="1668"/>
      <c r="P106" s="340"/>
      <c r="Q106" s="1656"/>
      <c r="R106" s="592"/>
      <c r="S106" s="2341"/>
      <c r="V106" s="952"/>
      <c r="W106" s="2343"/>
      <c r="AA106" s="1668"/>
    </row>
    <row r="107" spans="1:28" s="457" customFormat="1" x14ac:dyDescent="0.25">
      <c r="A107" s="2215"/>
      <c r="B107" s="2570"/>
      <c r="C107" s="2570"/>
      <c r="D107" s="455"/>
      <c r="E107" s="1656"/>
      <c r="G107" s="2338"/>
      <c r="H107" s="2424"/>
      <c r="I107" s="2339"/>
      <c r="J107" s="592"/>
      <c r="K107" s="1668"/>
      <c r="L107" s="2370"/>
      <c r="M107" s="1656"/>
      <c r="O107" s="1668"/>
      <c r="P107" s="340"/>
      <c r="Q107" s="1656"/>
      <c r="R107" s="592"/>
      <c r="S107" s="2341"/>
      <c r="V107" s="952"/>
      <c r="W107" s="2343"/>
      <c r="AA107" s="1668"/>
    </row>
    <row r="108" spans="1:28" s="457" customFormat="1" x14ac:dyDescent="0.25">
      <c r="A108" s="2215"/>
      <c r="B108" s="2394"/>
      <c r="C108" s="2230"/>
      <c r="D108" s="460"/>
      <c r="E108" s="1656"/>
      <c r="G108" s="2338"/>
      <c r="H108" s="2424"/>
      <c r="I108" s="2339"/>
      <c r="J108" s="592"/>
      <c r="K108" s="1668"/>
      <c r="L108" s="2370"/>
      <c r="M108" s="1656"/>
      <c r="O108" s="1668"/>
      <c r="P108" s="340"/>
      <c r="Q108" s="1656"/>
      <c r="R108" s="592"/>
      <c r="S108" s="2341"/>
      <c r="V108" s="952"/>
      <c r="W108" s="2343"/>
      <c r="AA108" s="1668"/>
    </row>
    <row r="109" spans="1:28" s="457" customFormat="1" x14ac:dyDescent="0.25">
      <c r="A109" s="2215"/>
      <c r="B109" s="2394"/>
      <c r="C109" s="2230"/>
      <c r="D109" s="455"/>
      <c r="E109" s="1656"/>
      <c r="G109" s="2338"/>
      <c r="H109" s="2424"/>
      <c r="I109" s="2339"/>
      <c r="J109" s="592"/>
      <c r="K109" s="1668"/>
      <c r="L109" s="2370"/>
      <c r="M109" s="1656"/>
      <c r="O109" s="1668"/>
      <c r="P109" s="340"/>
      <c r="Q109" s="1656"/>
      <c r="R109" s="592"/>
      <c r="S109" s="2341"/>
      <c r="V109" s="952"/>
      <c r="W109" s="2343"/>
      <c r="AA109" s="1668"/>
    </row>
    <row r="110" spans="1:28" s="457" customFormat="1" x14ac:dyDescent="0.25">
      <c r="A110" s="2215"/>
      <c r="B110" s="2394"/>
      <c r="C110" s="2230"/>
      <c r="D110" s="455"/>
      <c r="E110" s="1656"/>
      <c r="G110" s="2338"/>
      <c r="H110" s="2424"/>
      <c r="I110" s="2339"/>
      <c r="J110" s="592"/>
      <c r="K110" s="1668"/>
      <c r="L110" s="2370"/>
      <c r="M110" s="1656"/>
      <c r="O110" s="1668"/>
      <c r="P110" s="340"/>
      <c r="Q110" s="1656"/>
      <c r="R110" s="592"/>
      <c r="S110" s="2341"/>
      <c r="V110" s="952"/>
      <c r="W110" s="2343"/>
      <c r="AA110" s="1668"/>
    </row>
    <row r="111" spans="1:28" s="457" customFormat="1" ht="28.5" customHeight="1" x14ac:dyDescent="0.25">
      <c r="A111" s="2215"/>
      <c r="B111" s="2394"/>
      <c r="C111" s="2230"/>
      <c r="D111" s="342"/>
      <c r="E111" s="1656"/>
      <c r="G111" s="2338"/>
      <c r="H111" s="2424"/>
      <c r="I111" s="2339"/>
      <c r="J111" s="592"/>
      <c r="K111" s="1668"/>
      <c r="L111" s="2370"/>
      <c r="M111" s="1656"/>
      <c r="O111" s="1668"/>
      <c r="P111" s="340"/>
      <c r="Q111" s="1656"/>
      <c r="R111" s="592"/>
      <c r="S111" s="2341"/>
      <c r="V111" s="952"/>
      <c r="W111" s="2343"/>
      <c r="AA111" s="1668"/>
    </row>
    <row r="112" spans="1:28" s="457" customFormat="1" x14ac:dyDescent="0.25">
      <c r="A112" s="2215"/>
      <c r="B112" s="2394"/>
      <c r="C112" s="2230"/>
      <c r="D112" s="455"/>
      <c r="E112" s="1656"/>
      <c r="G112" s="2338"/>
      <c r="H112" s="2424"/>
      <c r="I112" s="2339"/>
      <c r="J112" s="592"/>
      <c r="K112" s="1668"/>
      <c r="L112" s="2370"/>
      <c r="M112" s="1656"/>
      <c r="O112" s="1668"/>
      <c r="P112" s="340"/>
      <c r="Q112" s="1656"/>
      <c r="R112" s="592"/>
      <c r="S112" s="2341"/>
      <c r="V112" s="952"/>
      <c r="W112" s="2343"/>
      <c r="AA112" s="1668"/>
    </row>
    <row r="113" spans="1:27" s="457" customFormat="1" x14ac:dyDescent="0.25">
      <c r="A113" s="2215"/>
      <c r="B113" s="2394"/>
      <c r="C113" s="2230"/>
      <c r="D113" s="455"/>
      <c r="E113" s="1656"/>
      <c r="G113" s="2338"/>
      <c r="H113" s="2424"/>
      <c r="I113" s="2339"/>
      <c r="J113" s="592"/>
      <c r="K113" s="1668"/>
      <c r="L113" s="2370"/>
      <c r="M113" s="1656"/>
      <c r="O113" s="1668"/>
      <c r="P113" s="340"/>
      <c r="Q113" s="1656"/>
      <c r="R113" s="592"/>
      <c r="S113" s="2341"/>
      <c r="V113" s="952"/>
      <c r="W113" s="2343"/>
      <c r="AA113" s="1668"/>
    </row>
    <row r="114" spans="1:27" s="457" customFormat="1" x14ac:dyDescent="0.25">
      <c r="A114" s="2215"/>
      <c r="B114" s="2394"/>
      <c r="C114" s="2230"/>
      <c r="D114" s="455"/>
      <c r="E114" s="1656"/>
      <c r="G114" s="2338"/>
      <c r="H114" s="2424"/>
      <c r="I114" s="2339"/>
      <c r="J114" s="592"/>
      <c r="K114" s="1668"/>
      <c r="L114" s="2370"/>
      <c r="M114" s="1656"/>
      <c r="O114" s="1668"/>
      <c r="P114" s="340"/>
      <c r="Q114" s="1656"/>
      <c r="R114" s="592"/>
      <c r="S114" s="2341"/>
      <c r="V114" s="952"/>
      <c r="W114" s="2343"/>
      <c r="AA114" s="1668"/>
    </row>
    <row r="115" spans="1:27" s="457" customFormat="1" x14ac:dyDescent="0.25">
      <c r="A115" s="2215"/>
      <c r="B115" s="2394"/>
      <c r="C115" s="2230"/>
      <c r="D115" s="455"/>
      <c r="E115" s="1656"/>
      <c r="G115" s="2338"/>
      <c r="H115" s="2424"/>
      <c r="I115" s="2339"/>
      <c r="J115" s="592"/>
      <c r="K115" s="1668"/>
      <c r="L115" s="2370"/>
      <c r="M115" s="1656"/>
      <c r="O115" s="1668"/>
      <c r="P115" s="340"/>
      <c r="Q115" s="1656"/>
      <c r="R115" s="592"/>
      <c r="S115" s="2341"/>
      <c r="V115" s="952"/>
      <c r="W115" s="2343"/>
      <c r="AA115" s="1668"/>
    </row>
    <row r="116" spans="1:27" s="457" customFormat="1" x14ac:dyDescent="0.25">
      <c r="A116" s="2215"/>
      <c r="B116" s="2394"/>
      <c r="C116" s="2230"/>
      <c r="D116" s="455"/>
      <c r="E116" s="1656"/>
      <c r="G116" s="2338"/>
      <c r="H116" s="2424"/>
      <c r="I116" s="2339"/>
      <c r="J116" s="592"/>
      <c r="K116" s="1668"/>
      <c r="L116" s="2370"/>
      <c r="M116" s="1656"/>
      <c r="O116" s="1668"/>
      <c r="P116" s="340"/>
      <c r="Q116" s="1656"/>
      <c r="R116" s="592"/>
      <c r="S116" s="2341"/>
      <c r="V116" s="952"/>
      <c r="W116" s="2343"/>
      <c r="AA116" s="1668"/>
    </row>
    <row r="117" spans="1:27" s="457" customFormat="1" x14ac:dyDescent="0.25">
      <c r="A117" s="2215"/>
      <c r="B117" s="2394"/>
      <c r="C117" s="2230"/>
      <c r="D117" s="455"/>
      <c r="E117" s="1656"/>
      <c r="G117" s="2338"/>
      <c r="H117" s="2424"/>
      <c r="I117" s="2339"/>
      <c r="J117" s="592"/>
      <c r="K117" s="1668"/>
      <c r="L117" s="2370"/>
      <c r="M117" s="1656"/>
      <c r="O117" s="1668"/>
      <c r="P117" s="340"/>
      <c r="Q117" s="1656"/>
      <c r="R117" s="592"/>
      <c r="S117" s="2341"/>
      <c r="V117" s="952"/>
      <c r="W117" s="2343"/>
      <c r="AA117" s="1668"/>
    </row>
    <row r="118" spans="1:27" s="457" customFormat="1" x14ac:dyDescent="0.25">
      <c r="A118" s="2215"/>
      <c r="B118" s="2394"/>
      <c r="C118" s="2230"/>
      <c r="D118" s="455"/>
      <c r="E118" s="1656"/>
      <c r="G118" s="2338"/>
      <c r="H118" s="2424"/>
      <c r="I118" s="2339"/>
      <c r="J118" s="592"/>
      <c r="K118" s="1668"/>
      <c r="L118" s="2370"/>
      <c r="M118" s="1656"/>
      <c r="O118" s="1668"/>
      <c r="P118" s="340"/>
      <c r="Q118" s="1656"/>
      <c r="R118" s="592"/>
      <c r="S118" s="2341"/>
      <c r="V118" s="952"/>
      <c r="W118" s="2343"/>
      <c r="AA118" s="1668"/>
    </row>
    <row r="119" spans="1:27" s="457" customFormat="1" x14ac:dyDescent="0.25">
      <c r="A119" s="2215"/>
      <c r="B119" s="2394"/>
      <c r="C119" s="2230"/>
      <c r="D119" s="455"/>
      <c r="E119" s="1656"/>
      <c r="G119" s="2338"/>
      <c r="H119" s="2424"/>
      <c r="I119" s="2339"/>
      <c r="J119" s="592"/>
      <c r="K119" s="1668"/>
      <c r="L119" s="2370"/>
      <c r="M119" s="1656"/>
      <c r="O119" s="1668"/>
      <c r="P119" s="340"/>
      <c r="Q119" s="1656"/>
      <c r="R119" s="592"/>
      <c r="S119" s="2341"/>
      <c r="V119" s="952"/>
      <c r="W119" s="2343"/>
      <c r="AA119" s="1668"/>
    </row>
    <row r="120" spans="1:27" s="457" customFormat="1" x14ac:dyDescent="0.25">
      <c r="A120" s="2215"/>
      <c r="B120" s="2394"/>
      <c r="C120" s="2230"/>
      <c r="D120" s="455"/>
      <c r="E120" s="1656"/>
      <c r="G120" s="2338"/>
      <c r="H120" s="2424"/>
      <c r="I120" s="2339"/>
      <c r="J120" s="592"/>
      <c r="K120" s="1668"/>
      <c r="L120" s="2370"/>
      <c r="M120" s="1656"/>
      <c r="O120" s="1668"/>
      <c r="P120" s="340"/>
      <c r="Q120" s="1656"/>
      <c r="R120" s="592"/>
      <c r="S120" s="2341"/>
      <c r="V120" s="952"/>
      <c r="W120" s="2343"/>
      <c r="AA120" s="1668"/>
    </row>
    <row r="121" spans="1:27" s="457" customFormat="1" x14ac:dyDescent="0.25">
      <c r="A121" s="2215"/>
      <c r="B121" s="2394"/>
      <c r="C121" s="2230"/>
      <c r="D121" s="455"/>
      <c r="E121" s="1656"/>
      <c r="G121" s="2338"/>
      <c r="H121" s="2424"/>
      <c r="I121" s="2339"/>
      <c r="J121" s="592"/>
      <c r="K121" s="1668"/>
      <c r="L121" s="2370"/>
      <c r="M121" s="1656"/>
      <c r="O121" s="1668"/>
      <c r="P121" s="340"/>
      <c r="Q121" s="1656"/>
      <c r="R121" s="592"/>
      <c r="S121" s="2341"/>
      <c r="V121" s="952"/>
      <c r="W121" s="2343"/>
      <c r="AA121" s="1668"/>
    </row>
    <row r="122" spans="1:27" s="457" customFormat="1" x14ac:dyDescent="0.25">
      <c r="A122" s="2215"/>
      <c r="B122" s="2394"/>
      <c r="C122" s="2230"/>
      <c r="D122" s="455"/>
      <c r="E122" s="1656"/>
      <c r="G122" s="2338"/>
      <c r="H122" s="2424"/>
      <c r="I122" s="2339"/>
      <c r="J122" s="592"/>
      <c r="K122" s="1668"/>
      <c r="L122" s="2370"/>
      <c r="M122" s="1656"/>
      <c r="O122" s="1668"/>
      <c r="P122" s="340"/>
      <c r="Q122" s="1656"/>
      <c r="R122" s="592"/>
      <c r="S122" s="2341"/>
      <c r="V122" s="952"/>
      <c r="W122" s="2343"/>
      <c r="AA122" s="1668"/>
    </row>
    <row r="123" spans="1:27" s="457" customFormat="1" x14ac:dyDescent="0.25">
      <c r="A123" s="2215"/>
      <c r="B123" s="2394"/>
      <c r="C123" s="2230"/>
      <c r="D123" s="455"/>
      <c r="E123" s="1656"/>
      <c r="G123" s="2338"/>
      <c r="H123" s="2424"/>
      <c r="I123" s="2339"/>
      <c r="J123" s="592"/>
      <c r="K123" s="1668"/>
      <c r="L123" s="2370"/>
      <c r="M123" s="1656"/>
      <c r="O123" s="1668"/>
      <c r="P123" s="340"/>
      <c r="Q123" s="1656"/>
      <c r="R123" s="592"/>
      <c r="S123" s="2341"/>
      <c r="V123" s="952"/>
      <c r="W123" s="2343"/>
      <c r="AA123" s="1668"/>
    </row>
    <row r="124" spans="1:27" s="457" customFormat="1" x14ac:dyDescent="0.25">
      <c r="A124" s="2215"/>
      <c r="B124" s="2394"/>
      <c r="C124" s="2230"/>
      <c r="D124" s="455"/>
      <c r="E124" s="1656"/>
      <c r="G124" s="2338"/>
      <c r="H124" s="2424"/>
      <c r="I124" s="2339"/>
      <c r="J124" s="592"/>
      <c r="K124" s="1668"/>
      <c r="L124" s="2370"/>
      <c r="M124" s="1656"/>
      <c r="O124" s="1668"/>
      <c r="P124" s="340"/>
      <c r="Q124" s="1656"/>
      <c r="R124" s="592"/>
      <c r="S124" s="2341"/>
      <c r="V124" s="952"/>
      <c r="W124" s="2343"/>
      <c r="AA124" s="1668"/>
    </row>
    <row r="125" spans="1:27" s="457" customFormat="1" x14ac:dyDescent="0.25">
      <c r="A125" s="2215"/>
      <c r="B125" s="2394"/>
      <c r="C125" s="2230"/>
      <c r="D125" s="455"/>
      <c r="E125" s="1656"/>
      <c r="G125" s="2338"/>
      <c r="H125" s="2424"/>
      <c r="I125" s="2339"/>
      <c r="J125" s="592"/>
      <c r="K125" s="1668"/>
      <c r="L125" s="2370"/>
      <c r="M125" s="1656"/>
      <c r="O125" s="1668"/>
      <c r="P125" s="340"/>
      <c r="Q125" s="1656"/>
      <c r="R125" s="592"/>
      <c r="S125" s="2341"/>
      <c r="V125" s="952"/>
      <c r="W125" s="2343"/>
      <c r="AA125" s="1668"/>
    </row>
    <row r="126" spans="1:27" s="457" customFormat="1" x14ac:dyDescent="0.25">
      <c r="A126" s="2215"/>
      <c r="B126" s="2394"/>
      <c r="C126" s="2230"/>
      <c r="D126" s="455"/>
      <c r="E126" s="1656"/>
      <c r="G126" s="2338"/>
      <c r="H126" s="2424"/>
      <c r="I126" s="2339"/>
      <c r="J126" s="592"/>
      <c r="K126" s="1668"/>
      <c r="L126" s="2370"/>
      <c r="M126" s="1656"/>
      <c r="O126" s="1668"/>
      <c r="P126" s="340"/>
      <c r="Q126" s="1656"/>
      <c r="R126" s="592"/>
      <c r="S126" s="2341"/>
      <c r="V126" s="952"/>
      <c r="W126" s="2343"/>
      <c r="AA126" s="1668"/>
    </row>
    <row r="127" spans="1:27" s="457" customFormat="1" x14ac:dyDescent="0.25">
      <c r="A127" s="2215"/>
      <c r="B127" s="2345"/>
      <c r="C127" s="2215"/>
      <c r="D127" s="340"/>
      <c r="E127" s="1656"/>
      <c r="G127" s="2338"/>
      <c r="H127" s="2424"/>
      <c r="I127" s="2339"/>
      <c r="J127" s="592"/>
      <c r="K127" s="1668"/>
      <c r="L127" s="2370"/>
      <c r="M127" s="1656"/>
      <c r="O127" s="1668"/>
      <c r="P127" s="340"/>
      <c r="Q127" s="1656"/>
      <c r="R127" s="592"/>
      <c r="S127" s="2341"/>
      <c r="V127" s="952"/>
      <c r="W127" s="2343"/>
      <c r="AA127" s="1668"/>
    </row>
    <row r="128" spans="1:27" s="457" customFormat="1" x14ac:dyDescent="0.25">
      <c r="A128" s="2215"/>
      <c r="B128" s="2345"/>
      <c r="C128" s="2215"/>
      <c r="D128" s="340"/>
      <c r="E128" s="1656"/>
      <c r="G128" s="2338"/>
      <c r="H128" s="2424"/>
      <c r="I128" s="2339"/>
      <c r="J128" s="592"/>
      <c r="K128" s="1668"/>
      <c r="L128" s="2370"/>
      <c r="M128" s="1656"/>
      <c r="O128" s="1668"/>
      <c r="P128" s="340"/>
      <c r="Q128" s="1656"/>
      <c r="R128" s="592"/>
      <c r="S128" s="2341"/>
      <c r="V128" s="952"/>
      <c r="W128" s="2343"/>
      <c r="AA128" s="1668"/>
    </row>
    <row r="129" spans="1:27" s="457" customFormat="1" x14ac:dyDescent="0.25">
      <c r="A129" s="2215"/>
      <c r="B129" s="2345"/>
      <c r="C129" s="2215"/>
      <c r="D129" s="340"/>
      <c r="E129" s="1656"/>
      <c r="G129" s="2338"/>
      <c r="H129" s="2424"/>
      <c r="I129" s="2339"/>
      <c r="J129" s="592"/>
      <c r="K129" s="1668"/>
      <c r="L129" s="2370"/>
      <c r="M129" s="1656"/>
      <c r="O129" s="1668"/>
      <c r="P129" s="340"/>
      <c r="Q129" s="1656"/>
      <c r="R129" s="592"/>
      <c r="S129" s="2341"/>
      <c r="V129" s="952"/>
      <c r="W129" s="2343"/>
      <c r="AA129" s="1668"/>
    </row>
    <row r="130" spans="1:27" s="457" customFormat="1" x14ac:dyDescent="0.25">
      <c r="A130" s="2215"/>
      <c r="B130" s="2345"/>
      <c r="C130" s="2215"/>
      <c r="D130" s="340"/>
      <c r="E130" s="1656"/>
      <c r="G130" s="2338"/>
      <c r="H130" s="2424"/>
      <c r="I130" s="2339"/>
      <c r="J130" s="592"/>
      <c r="K130" s="1668"/>
      <c r="L130" s="2370"/>
      <c r="M130" s="1656"/>
      <c r="O130" s="1668"/>
      <c r="P130" s="340"/>
      <c r="Q130" s="1656"/>
      <c r="R130" s="592"/>
      <c r="S130" s="2341"/>
      <c r="V130" s="952"/>
      <c r="W130" s="2343"/>
      <c r="AA130" s="1668"/>
    </row>
    <row r="131" spans="1:27" s="457" customFormat="1" x14ac:dyDescent="0.25">
      <c r="A131" s="2215"/>
      <c r="B131" s="2345"/>
      <c r="C131" s="2215"/>
      <c r="D131" s="340"/>
      <c r="E131" s="1656"/>
      <c r="G131" s="2338"/>
      <c r="H131" s="2424"/>
      <c r="I131" s="2339"/>
      <c r="J131" s="592"/>
      <c r="K131" s="1668"/>
      <c r="L131" s="2370"/>
      <c r="M131" s="1656"/>
      <c r="O131" s="1668"/>
      <c r="P131" s="340"/>
      <c r="Q131" s="1656"/>
      <c r="R131" s="592"/>
      <c r="S131" s="2341"/>
      <c r="V131" s="952"/>
      <c r="W131" s="2343"/>
      <c r="AA131" s="1668"/>
    </row>
  </sheetData>
  <sheetProtection password="E247" sheet="1" objects="1" scenarios="1"/>
  <mergeCells count="1">
    <mergeCell ref="B106:C107"/>
  </mergeCells>
  <pageMargins left="0.25" right="0.25" top="0.5" bottom="0.5" header="0.25" footer="0.25"/>
  <pageSetup paperSize="5" orientation="portrait" r:id="rId1"/>
  <headerFooter>
    <oddHeader>&amp;L&amp;F</oddHeader>
    <oddFooter>&amp;R&amp;A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C143"/>
  <sheetViews>
    <sheetView zoomScaleNormal="100" workbookViewId="0">
      <pane xSplit="3" ySplit="6" topLeftCell="H7" activePane="bottomRight" state="frozen"/>
      <selection activeCell="H7" sqref="H7"/>
      <selection pane="topRight" activeCell="H7" sqref="H7"/>
      <selection pane="bottomLeft" activeCell="H7" sqref="H7"/>
      <selection pane="bottomRight" activeCell="H7" sqref="H7"/>
    </sheetView>
  </sheetViews>
  <sheetFormatPr defaultRowHeight="15" x14ac:dyDescent="0.25"/>
  <cols>
    <col min="1" max="1" width="1.7109375" style="2213" customWidth="1"/>
    <col min="2" max="2" width="8.5703125" style="2172" customWidth="1"/>
    <col min="3" max="3" width="18.28515625" style="2176" customWidth="1"/>
    <col min="4" max="4" width="16" style="2" hidden="1" customWidth="1"/>
    <col min="5" max="5" width="17.7109375" style="844" hidden="1" customWidth="1"/>
    <col min="6" max="6" width="6" style="39" hidden="1" customWidth="1"/>
    <col min="7" max="7" width="11.85546875" style="52" hidden="1" customWidth="1"/>
    <col min="8" max="8" width="14.28515625" style="121" bestFit="1" customWidth="1"/>
    <col min="9" max="9" width="26" style="853" hidden="1" customWidth="1"/>
    <col min="10" max="10" width="5.7109375" style="59" hidden="1" customWidth="1"/>
    <col min="11" max="11" width="9.85546875" style="333" hidden="1" customWidth="1"/>
    <col min="12" max="12" width="14" style="122" bestFit="1" customWidth="1"/>
    <col min="13" max="13" width="26" style="844" hidden="1" customWidth="1"/>
    <col min="14" max="14" width="5.7109375" style="39" hidden="1" customWidth="1"/>
    <col min="15" max="15" width="9.42578125" style="333" hidden="1" customWidth="1"/>
    <col min="16" max="16" width="14" style="2" bestFit="1" customWidth="1"/>
    <col min="17" max="17" width="24.85546875" style="844" hidden="1" customWidth="1"/>
    <col min="18" max="18" width="5.28515625" style="51" hidden="1" customWidth="1"/>
    <col min="19" max="19" width="11.85546875" style="338" hidden="1" customWidth="1"/>
    <col min="20" max="20" width="14" style="39" customWidth="1"/>
    <col min="21" max="21" width="24.85546875" style="39" hidden="1" customWidth="1"/>
    <col min="22" max="22" width="5.7109375" style="109" customWidth="1"/>
    <col min="23" max="23" width="9.42578125" style="2244" hidden="1" customWidth="1"/>
    <col min="24" max="24" width="14" style="39" hidden="1" customWidth="1"/>
    <col min="25" max="25" width="24.85546875" style="39" hidden="1" customWidth="1"/>
    <col min="26" max="26" width="5.7109375" style="39" hidden="1" customWidth="1"/>
    <col min="27" max="27" width="9.42578125" style="333" hidden="1" customWidth="1"/>
    <col min="28" max="28" width="14" style="39" hidden="1" customWidth="1"/>
    <col min="29" max="29" width="24.85546875" style="39" hidden="1" customWidth="1"/>
    <col min="30" max="16384" width="9.140625" style="39"/>
  </cols>
  <sheetData>
    <row r="1" spans="1:29" x14ac:dyDescent="0.25">
      <c r="B1" s="2172" t="s">
        <v>61</v>
      </c>
      <c r="C1" s="2178" t="s">
        <v>334</v>
      </c>
      <c r="D1" s="937"/>
      <c r="E1" s="938"/>
      <c r="F1" s="43"/>
      <c r="G1" s="1661"/>
      <c r="H1" s="939"/>
      <c r="I1" s="938"/>
      <c r="K1" s="1660"/>
      <c r="L1" s="940"/>
      <c r="M1" s="938"/>
      <c r="N1" s="51"/>
      <c r="O1" s="1660"/>
      <c r="P1" s="940"/>
      <c r="Q1" s="842"/>
      <c r="T1" s="86">
        <v>0</v>
      </c>
      <c r="U1" s="98"/>
      <c r="X1" s="86">
        <v>0</v>
      </c>
      <c r="Y1" s="98"/>
      <c r="AB1" s="86">
        <v>0</v>
      </c>
      <c r="AC1" s="98"/>
    </row>
    <row r="2" spans="1:29" ht="17.25" x14ac:dyDescent="0.4">
      <c r="B2" s="2173" t="s">
        <v>59</v>
      </c>
      <c r="C2" s="2177">
        <v>9225</v>
      </c>
      <c r="D2" s="939"/>
      <c r="E2" s="938"/>
      <c r="F2" s="43"/>
      <c r="G2" s="1660"/>
      <c r="H2" s="939"/>
      <c r="I2" s="938"/>
      <c r="K2" s="1660"/>
      <c r="L2" s="941"/>
      <c r="M2" s="938"/>
      <c r="N2" s="51"/>
      <c r="O2" s="1660"/>
      <c r="P2" s="941"/>
      <c r="Q2" s="842"/>
      <c r="T2" s="87">
        <v>0</v>
      </c>
      <c r="U2" s="98"/>
      <c r="X2" s="87">
        <v>0</v>
      </c>
      <c r="Y2" s="98"/>
      <c r="AB2" s="87">
        <v>0</v>
      </c>
      <c r="AC2" s="98"/>
    </row>
    <row r="3" spans="1:29" x14ac:dyDescent="0.25">
      <c r="D3" s="6"/>
      <c r="E3" s="853"/>
      <c r="F3" s="51"/>
      <c r="G3" s="1662"/>
      <c r="H3" s="6"/>
      <c r="K3" s="1660"/>
      <c r="L3" s="940"/>
      <c r="M3" s="853"/>
      <c r="N3" s="51"/>
      <c r="O3" s="1660"/>
      <c r="P3" s="940"/>
      <c r="Q3" s="853"/>
      <c r="T3" s="86">
        <f>SUM(T1:T2)</f>
        <v>0</v>
      </c>
      <c r="U3" s="51"/>
      <c r="X3" s="86">
        <f>SUM(X1:X2)</f>
        <v>0</v>
      </c>
      <c r="Y3" s="51"/>
      <c r="AB3" s="86">
        <f>SUM(AB1:AB2)</f>
        <v>0</v>
      </c>
      <c r="AC3" s="51"/>
    </row>
    <row r="4" spans="1:29" x14ac:dyDescent="0.25">
      <c r="D4" s="939"/>
      <c r="E4" s="853"/>
      <c r="F4" s="51"/>
      <c r="G4" s="1662"/>
      <c r="H4" s="940"/>
      <c r="K4" s="1660"/>
      <c r="L4" s="940"/>
      <c r="M4" s="853"/>
      <c r="N4" s="51"/>
      <c r="O4" s="1660"/>
      <c r="P4" s="940"/>
      <c r="Q4" s="853"/>
      <c r="T4" s="86"/>
      <c r="U4" s="51"/>
      <c r="X4" s="86"/>
      <c r="Y4" s="51"/>
      <c r="AB4" s="86"/>
      <c r="AC4" s="51"/>
    </row>
    <row r="5" spans="1:29" ht="15.75" x14ac:dyDescent="0.25">
      <c r="B5" s="2174" t="s">
        <v>56</v>
      </c>
      <c r="P5" s="122"/>
      <c r="T5" s="73"/>
      <c r="X5" s="73"/>
      <c r="AB5" s="73"/>
    </row>
    <row r="6" spans="1:29" s="89" customFormat="1" ht="15.75" x14ac:dyDescent="0.25">
      <c r="A6" s="2214"/>
      <c r="B6" s="2175"/>
      <c r="C6" s="2175"/>
      <c r="D6" s="243" t="s">
        <v>55</v>
      </c>
      <c r="E6" s="845"/>
      <c r="G6" s="327"/>
      <c r="H6" s="282" t="str">
        <f>LEFT(D6,4)+1&amp;"-"&amp;RIGHT(D6,4)+1</f>
        <v>2017-2018</v>
      </c>
      <c r="I6" s="854"/>
      <c r="J6" s="93"/>
      <c r="K6" s="334"/>
      <c r="L6" s="123" t="str">
        <f>LEFT(H6,4)+1&amp;"-"&amp;RIGHT(H6,4)+1</f>
        <v>2018-2019</v>
      </c>
      <c r="M6" s="888"/>
      <c r="N6" s="96"/>
      <c r="O6" s="337"/>
      <c r="P6" s="123" t="str">
        <f>LEFT(L6,4)+1&amp;"-"&amp;RIGHT(L6,4)+1</f>
        <v>2019-2020</v>
      </c>
      <c r="Q6" s="888"/>
      <c r="R6" s="2237"/>
      <c r="S6" s="2242"/>
      <c r="T6" s="95" t="str">
        <f>LEFT(P6,4)+1&amp;"-"&amp;RIGHT(P6,4)+1</f>
        <v>2020-2021</v>
      </c>
      <c r="U6" s="95"/>
      <c r="V6" s="110"/>
      <c r="W6" s="2245"/>
      <c r="X6" s="95" t="str">
        <f>LEFT(T6,4)+1&amp;"-"&amp;RIGHT(T6,4)+1</f>
        <v>2021-2022</v>
      </c>
      <c r="Y6" s="95"/>
      <c r="Z6" s="96"/>
      <c r="AA6" s="337"/>
      <c r="AB6" s="95" t="str">
        <f>LEFT(X6,4)+1&amp;"-"&amp;RIGHT(X6,4)+1</f>
        <v>2022-2023</v>
      </c>
      <c r="AC6" s="95"/>
    </row>
    <row r="7" spans="1:29" s="457" customFormat="1" x14ac:dyDescent="0.25">
      <c r="A7" s="2215"/>
      <c r="B7" s="2337" t="s">
        <v>54</v>
      </c>
      <c r="C7" s="2215"/>
      <c r="D7" s="340">
        <v>3258094.43</v>
      </c>
      <c r="E7" s="1656"/>
      <c r="G7" s="2338"/>
      <c r="H7" s="340">
        <f>D106</f>
        <v>3646572.59</v>
      </c>
      <c r="I7" s="1656"/>
      <c r="J7" s="599"/>
      <c r="K7" s="1668"/>
      <c r="L7" s="340">
        <f>H106</f>
        <v>756000</v>
      </c>
      <c r="M7" s="1656"/>
      <c r="O7" s="1668"/>
      <c r="P7" s="340">
        <f>L106</f>
        <v>0</v>
      </c>
      <c r="Q7" s="1656"/>
      <c r="R7" s="592"/>
      <c r="S7" s="2341"/>
      <c r="T7" s="340">
        <f>P106</f>
        <v>0</v>
      </c>
      <c r="V7" s="952"/>
      <c r="W7" s="2343"/>
      <c r="X7" s="340">
        <f>T106</f>
        <v>0</v>
      </c>
      <c r="AA7" s="1668"/>
      <c r="AB7" s="340">
        <f>X106</f>
        <v>0</v>
      </c>
    </row>
    <row r="8" spans="1:29" s="457" customFormat="1" x14ac:dyDescent="0.25">
      <c r="A8" s="2215"/>
      <c r="B8" s="2345"/>
      <c r="C8" s="2215"/>
      <c r="D8" s="340"/>
      <c r="E8" s="1656"/>
      <c r="G8" s="2338"/>
      <c r="H8" s="340"/>
      <c r="I8" s="1656"/>
      <c r="J8" s="592"/>
      <c r="K8" s="1668"/>
      <c r="L8" s="340"/>
      <c r="M8" s="1656"/>
      <c r="O8" s="1668"/>
      <c r="P8" s="340"/>
      <c r="Q8" s="1656"/>
      <c r="R8" s="592"/>
      <c r="S8" s="2341"/>
      <c r="V8" s="952"/>
      <c r="W8" s="2343"/>
      <c r="AA8" s="1668"/>
    </row>
    <row r="9" spans="1:29" s="457" customFormat="1" x14ac:dyDescent="0.25">
      <c r="A9" s="2215"/>
      <c r="B9" s="2345" t="s">
        <v>52</v>
      </c>
      <c r="C9" s="2215" t="s">
        <v>240</v>
      </c>
      <c r="D9" s="340">
        <v>1961318</v>
      </c>
      <c r="E9" s="1656" t="s">
        <v>460</v>
      </c>
      <c r="G9" s="456">
        <f>IF(D9=0,"0.00%",(H9-D9)/D9)</f>
        <v>-0.84704163220854545</v>
      </c>
      <c r="H9" s="833">
        <v>300000</v>
      </c>
      <c r="I9" s="1656" t="s">
        <v>461</v>
      </c>
      <c r="J9" s="342"/>
      <c r="K9" s="456">
        <f>IF(H9=0,"0.00%",(L9-H9)/H9)</f>
        <v>-1</v>
      </c>
      <c r="L9" s="833">
        <v>0</v>
      </c>
      <c r="M9" s="1656"/>
      <c r="O9" s="456" t="str">
        <f>IF(L9=0,"0.00%",(P9-L9)/L9)</f>
        <v>0.00%</v>
      </c>
      <c r="P9" s="833">
        <f>+L9</f>
        <v>0</v>
      </c>
      <c r="Q9" s="1656"/>
      <c r="R9" s="592"/>
      <c r="S9" s="2238" t="str">
        <f>IF(P9=0,"0.00%",(T9-P9)/P9)</f>
        <v>0.00%</v>
      </c>
      <c r="T9" s="833">
        <f>+P9</f>
        <v>0</v>
      </c>
      <c r="V9" s="952"/>
      <c r="W9" s="2241" t="str">
        <f>IF(T9=0,"0.00%",(X9-T9)/T9)</f>
        <v>0.00%</v>
      </c>
      <c r="X9" s="833">
        <f>+T9</f>
        <v>0</v>
      </c>
      <c r="AA9" s="456" t="str">
        <f>IF(X9=0,"0.00%",(AB9-X9)/X9)</f>
        <v>0.00%</v>
      </c>
      <c r="AB9" s="833">
        <f>+X9</f>
        <v>0</v>
      </c>
    </row>
    <row r="10" spans="1:29" s="457" customFormat="1" x14ac:dyDescent="0.25">
      <c r="A10" s="2215"/>
      <c r="B10" s="2345">
        <v>8919</v>
      </c>
      <c r="C10" s="2215" t="s">
        <v>1061</v>
      </c>
      <c r="D10" s="340">
        <v>0</v>
      </c>
      <c r="E10" s="1656"/>
      <c r="G10" s="456" t="str">
        <f t="shared" ref="G10:G15" si="0">IF(D10=0,"0.00%",(H10-D10)/D10)</f>
        <v>0.00%</v>
      </c>
      <c r="H10" s="833">
        <v>2671070</v>
      </c>
      <c r="I10" s="1656"/>
      <c r="J10" s="342"/>
      <c r="K10" s="456">
        <f>IF(H10=0,"0.00%",(L10-H10)/H10)</f>
        <v>-1</v>
      </c>
      <c r="L10" s="833">
        <f>-H2</f>
        <v>0</v>
      </c>
      <c r="M10" s="1656"/>
      <c r="O10" s="456" t="str">
        <f>IF(L10=0,"0.00%",(P10-L10)/L10)</f>
        <v>0.00%</v>
      </c>
      <c r="P10" s="833">
        <f>-L2</f>
        <v>0</v>
      </c>
      <c r="Q10" s="1656"/>
      <c r="R10" s="592"/>
      <c r="S10" s="2238" t="str">
        <f>IF(P10=0,"0.00%",(T10-P10)/P10)</f>
        <v>0.00%</v>
      </c>
      <c r="T10" s="833">
        <f>-P2</f>
        <v>0</v>
      </c>
      <c r="V10" s="952"/>
      <c r="W10" s="2241" t="str">
        <f>IF(T10=0,"0.00%",(X10-T10)/T10)</f>
        <v>0.00%</v>
      </c>
      <c r="X10" s="833">
        <f>-T2</f>
        <v>0</v>
      </c>
      <c r="AA10" s="456" t="str">
        <f>IF(X10=0,"0.00%",(AB10-X10)/X10)</f>
        <v>0.00%</v>
      </c>
      <c r="AB10" s="833">
        <f>-X2</f>
        <v>0</v>
      </c>
    </row>
    <row r="11" spans="1:29" s="457" customFormat="1" x14ac:dyDescent="0.25">
      <c r="A11" s="2215"/>
      <c r="B11" s="2337" t="s">
        <v>137</v>
      </c>
      <c r="C11" s="2215"/>
      <c r="D11" s="458">
        <f>SUM(D9:D10)</f>
        <v>1961318</v>
      </c>
      <c r="E11" s="1656"/>
      <c r="G11" s="456">
        <f t="shared" si="0"/>
        <v>0.5148333926471893</v>
      </c>
      <c r="H11" s="458">
        <f>SUM(H9:H10)</f>
        <v>2971070</v>
      </c>
      <c r="I11" s="2316">
        <f>+H11-D11</f>
        <v>1009752</v>
      </c>
      <c r="J11" s="601"/>
      <c r="K11" s="456">
        <f>IF(H11=0,"0.00%",(L11-H11)/H11)</f>
        <v>-1</v>
      </c>
      <c r="L11" s="458">
        <f>SUM(L9:L10)</f>
        <v>0</v>
      </c>
      <c r="M11" s="2316">
        <f>+L11-H11</f>
        <v>-2971070</v>
      </c>
      <c r="O11" s="456" t="str">
        <f>IF(L11=0,"0.00%",(P11-L11)/L11)</f>
        <v>0.00%</v>
      </c>
      <c r="P11" s="458">
        <f>SUM(P9:P10)</f>
        <v>0</v>
      </c>
      <c r="Q11" s="2316">
        <f>+P11-L11</f>
        <v>0</v>
      </c>
      <c r="R11" s="592"/>
      <c r="S11" s="2238" t="str">
        <f>IF(P11=0,"0.00%",(T11-P11)/P11)</f>
        <v>0.00%</v>
      </c>
      <c r="T11" s="2353">
        <f>SUM(T9:T10)</f>
        <v>0</v>
      </c>
      <c r="V11" s="952"/>
      <c r="W11" s="2241" t="str">
        <f>IF(T11=0,"0.00%",(X11-T11)/T11)</f>
        <v>0.00%</v>
      </c>
      <c r="X11" s="2353">
        <f>SUM(X9:X10)</f>
        <v>0</v>
      </c>
      <c r="AA11" s="456" t="str">
        <f>IF(X11=0,"0.00%",(AB11-X11)/X11)</f>
        <v>0.00%</v>
      </c>
      <c r="AB11" s="2353">
        <f>SUM(AB9:AB10)</f>
        <v>0</v>
      </c>
    </row>
    <row r="12" spans="1:29" s="457" customFormat="1" x14ac:dyDescent="0.25">
      <c r="A12" s="2215"/>
      <c r="B12" s="2345"/>
      <c r="C12" s="2215"/>
      <c r="D12" s="340"/>
      <c r="E12" s="1656"/>
      <c r="G12" s="2338"/>
      <c r="H12" s="833"/>
      <c r="I12" s="1656"/>
      <c r="J12" s="602"/>
      <c r="K12" s="2338"/>
      <c r="L12" s="833"/>
      <c r="M12" s="1656"/>
      <c r="O12" s="2338"/>
      <c r="P12" s="833"/>
      <c r="Q12" s="1656"/>
      <c r="R12" s="592"/>
      <c r="S12" s="2355"/>
      <c r="T12" s="2356"/>
      <c r="V12" s="952"/>
      <c r="W12" s="2357"/>
      <c r="X12" s="2356"/>
      <c r="AA12" s="2338"/>
      <c r="AB12" s="2356"/>
    </row>
    <row r="13" spans="1:29" s="457" customFormat="1" x14ac:dyDescent="0.25">
      <c r="A13" s="2215"/>
      <c r="B13" s="2449"/>
      <c r="C13" s="2358" t="s">
        <v>64</v>
      </c>
      <c r="D13" s="2359">
        <f>ROUND(D11-(D11/(1+B13)),0)</f>
        <v>0</v>
      </c>
      <c r="E13" s="1656"/>
      <c r="G13" s="456" t="str">
        <f t="shared" si="0"/>
        <v>0.00%</v>
      </c>
      <c r="H13" s="2359">
        <f>ROUND(H11-(H11/(1+B13)),0)</f>
        <v>0</v>
      </c>
      <c r="I13" s="1656"/>
      <c r="J13" s="603"/>
      <c r="K13" s="456" t="str">
        <f>IF(H13=0,"0.00%",(L13-H13)/H13)</f>
        <v>0.00%</v>
      </c>
      <c r="L13" s="2359">
        <f>ROUND(L11-(L11/(1+B13)),0)</f>
        <v>0</v>
      </c>
      <c r="M13" s="1656"/>
      <c r="O13" s="456" t="str">
        <f>IF(L13=0,"0.00%",(P13-L13)/L13)</f>
        <v>0.00%</v>
      </c>
      <c r="P13" s="2359">
        <f>ROUND(P11-(P11/(1+B13)),0)</f>
        <v>0</v>
      </c>
      <c r="Q13" s="1656"/>
      <c r="R13" s="592"/>
      <c r="S13" s="2238" t="str">
        <f>IF(P13=0,"0.00%",(T13-P13)/P13)</f>
        <v>0.00%</v>
      </c>
      <c r="T13" s="2362">
        <f>ROUND(T11-(T11/(1+B13)),0)</f>
        <v>0</v>
      </c>
      <c r="V13" s="952"/>
      <c r="W13" s="2241" t="str">
        <f>IF(T13=0,"0.00%",(X13-T13)/T13)</f>
        <v>0.00%</v>
      </c>
      <c r="X13" s="2362">
        <f>ROUND(X11-(X11/(1+B13)),0)</f>
        <v>0</v>
      </c>
      <c r="AA13" s="456" t="str">
        <f>IF(X13=0,"0.00%",(AB13-X13)/X13)</f>
        <v>0.00%</v>
      </c>
      <c r="AB13" s="2362">
        <f>ROUND(AB11-(AB11/(1+G13)),0)</f>
        <v>0</v>
      </c>
    </row>
    <row r="14" spans="1:29" s="457" customFormat="1" x14ac:dyDescent="0.25">
      <c r="A14" s="2215"/>
      <c r="B14" s="2345"/>
      <c r="C14" s="2215"/>
      <c r="D14" s="340"/>
      <c r="E14" s="1656"/>
      <c r="G14" s="2338"/>
      <c r="H14" s="833"/>
      <c r="I14" s="1656"/>
      <c r="J14" s="602"/>
      <c r="K14" s="2338"/>
      <c r="L14" s="833"/>
      <c r="M14" s="1656"/>
      <c r="O14" s="2338"/>
      <c r="P14" s="833"/>
      <c r="Q14" s="1656"/>
      <c r="R14" s="592"/>
      <c r="S14" s="2355"/>
      <c r="T14" s="2356"/>
      <c r="V14" s="952"/>
      <c r="W14" s="2357"/>
      <c r="X14" s="2356"/>
      <c r="AA14" s="2338"/>
      <c r="AB14" s="2356"/>
    </row>
    <row r="15" spans="1:29" s="457" customFormat="1" x14ac:dyDescent="0.25">
      <c r="A15" s="2215"/>
      <c r="B15" s="2337" t="s">
        <v>50</v>
      </c>
      <c r="C15" s="2215"/>
      <c r="D15" s="1866">
        <f>+D7+D11</f>
        <v>5219412.43</v>
      </c>
      <c r="E15" s="1656"/>
      <c r="G15" s="456">
        <f t="shared" si="0"/>
        <v>0.26789033799346651</v>
      </c>
      <c r="H15" s="1866">
        <f>+H7+H11</f>
        <v>6617642.5899999999</v>
      </c>
      <c r="I15" s="2316">
        <f>+H15-D15</f>
        <v>1398230.1600000001</v>
      </c>
      <c r="J15" s="601"/>
      <c r="K15" s="456">
        <f>IF(H15=0,"0.00%",(L15-H15)/H15)</f>
        <v>-0.8857599228549452</v>
      </c>
      <c r="L15" s="1866">
        <f>+L7+L11</f>
        <v>756000</v>
      </c>
      <c r="M15" s="2316">
        <f>+L15-H15</f>
        <v>-5861642.5899999999</v>
      </c>
      <c r="O15" s="456">
        <f>IF(L15=0,"0.00%",(P15-L15)/L15)</f>
        <v>-1</v>
      </c>
      <c r="P15" s="1866">
        <f>+P7+P11</f>
        <v>0</v>
      </c>
      <c r="Q15" s="2316">
        <f>+P15-L15</f>
        <v>-756000</v>
      </c>
      <c r="R15" s="592"/>
      <c r="S15" s="2238" t="str">
        <f>IF(P15=0,"0.00%",(T15-P15)/P15)</f>
        <v>0.00%</v>
      </c>
      <c r="T15" s="2366">
        <f>T11-T13</f>
        <v>0</v>
      </c>
      <c r="V15" s="952"/>
      <c r="W15" s="2241" t="str">
        <f>IF(T15=0,"0.00%",(X15-T15)/T15)</f>
        <v>0.00%</v>
      </c>
      <c r="X15" s="2366">
        <f>X11-X13</f>
        <v>0</v>
      </c>
      <c r="AA15" s="456" t="str">
        <f>IF(X15=0,"0.00%",(AB15-X15)/X15)</f>
        <v>0.00%</v>
      </c>
      <c r="AB15" s="2366">
        <f>AB11-AB13</f>
        <v>0</v>
      </c>
    </row>
    <row r="16" spans="1:29" s="457" customFormat="1" x14ac:dyDescent="0.25">
      <c r="A16" s="2215"/>
      <c r="B16" s="2345"/>
      <c r="C16" s="2215"/>
      <c r="D16" s="340"/>
      <c r="E16" s="1656"/>
      <c r="G16" s="2338"/>
      <c r="H16" s="833"/>
      <c r="I16" s="1656"/>
      <c r="J16" s="601"/>
      <c r="K16" s="1668"/>
      <c r="L16" s="833"/>
      <c r="M16" s="1656"/>
      <c r="O16" s="1668"/>
      <c r="P16" s="833"/>
      <c r="Q16" s="1656"/>
      <c r="R16" s="592"/>
      <c r="S16" s="2341"/>
      <c r="T16" s="2367"/>
      <c r="V16" s="952"/>
      <c r="W16" s="2343"/>
      <c r="X16" s="2367"/>
      <c r="AA16" s="1668"/>
      <c r="AB16" s="2367"/>
    </row>
    <row r="17" spans="1:29" s="457" customFormat="1" x14ac:dyDescent="0.25">
      <c r="A17" s="2215"/>
      <c r="B17" s="2345"/>
      <c r="C17" s="2345"/>
      <c r="D17" s="340"/>
      <c r="E17" s="1656"/>
      <c r="G17" s="2338"/>
      <c r="H17" s="833"/>
      <c r="I17" s="1656"/>
      <c r="J17" s="602"/>
      <c r="K17" s="1668"/>
      <c r="L17" s="833"/>
      <c r="M17" s="1656"/>
      <c r="O17" s="1668"/>
      <c r="P17" s="833"/>
      <c r="Q17" s="1656"/>
      <c r="R17" s="592"/>
      <c r="S17" s="2341"/>
      <c r="T17" s="2356"/>
      <c r="V17" s="952"/>
      <c r="W17" s="2343"/>
      <c r="X17" s="2356"/>
      <c r="AA17" s="1668"/>
      <c r="AB17" s="2356"/>
    </row>
    <row r="18" spans="1:29" s="457" customFormat="1" x14ac:dyDescent="0.25">
      <c r="A18" s="2223"/>
      <c r="B18" s="2345"/>
      <c r="C18" s="2215"/>
      <c r="D18" s="459" t="s">
        <v>807</v>
      </c>
      <c r="E18" s="1867"/>
      <c r="F18" s="2433"/>
      <c r="G18" s="2338"/>
      <c r="H18" s="459" t="s">
        <v>176</v>
      </c>
      <c r="I18" s="1867"/>
      <c r="J18" s="604"/>
      <c r="K18" s="1668"/>
      <c r="L18" s="2370"/>
      <c r="M18" s="1867"/>
      <c r="O18" s="1668"/>
      <c r="P18" s="340"/>
      <c r="Q18" s="1867"/>
      <c r="R18" s="592"/>
      <c r="S18" s="2341"/>
      <c r="U18" s="2433"/>
      <c r="V18" s="952"/>
      <c r="W18" s="2343"/>
      <c r="Y18" s="2433"/>
      <c r="AA18" s="1668"/>
      <c r="AC18" s="2433"/>
    </row>
    <row r="19" spans="1:29" s="457" customFormat="1" ht="17.25" x14ac:dyDescent="0.4">
      <c r="A19" s="2224"/>
      <c r="B19" s="2345"/>
      <c r="C19" s="2215"/>
      <c r="D19" s="2435" t="s">
        <v>808</v>
      </c>
      <c r="E19" s="2434"/>
      <c r="F19" s="2436"/>
      <c r="G19" s="2338"/>
      <c r="H19" s="2435" t="s">
        <v>48</v>
      </c>
      <c r="I19" s="2374">
        <v>0.02</v>
      </c>
      <c r="J19" s="459"/>
      <c r="K19" s="1668"/>
      <c r="L19" s="2372" t="s">
        <v>48</v>
      </c>
      <c r="M19" s="2374">
        <v>0.02</v>
      </c>
      <c r="O19" s="1668"/>
      <c r="P19" s="2372" t="s">
        <v>48</v>
      </c>
      <c r="Q19" s="2374"/>
      <c r="R19" s="592"/>
      <c r="S19" s="2341"/>
      <c r="T19" s="2372" t="s">
        <v>48</v>
      </c>
      <c r="U19" s="2374"/>
      <c r="V19" s="952"/>
      <c r="W19" s="2343"/>
      <c r="X19" s="2372" t="s">
        <v>48</v>
      </c>
      <c r="Y19" s="2374">
        <v>0.02</v>
      </c>
      <c r="AA19" s="1668"/>
      <c r="AB19" s="2372" t="s">
        <v>48</v>
      </c>
      <c r="AC19" s="2374">
        <v>0.02</v>
      </c>
    </row>
    <row r="20" spans="1:29" s="2378" customFormat="1" hidden="1" x14ac:dyDescent="0.25">
      <c r="A20" s="2225"/>
      <c r="B20" s="2337" t="s">
        <v>46</v>
      </c>
      <c r="C20" s="2358"/>
      <c r="D20" s="1866"/>
      <c r="E20" s="2375"/>
      <c r="F20" s="1866"/>
      <c r="G20" s="2376"/>
      <c r="H20" s="1866"/>
      <c r="I20" s="868"/>
      <c r="J20" s="460"/>
      <c r="K20" s="606"/>
      <c r="L20" s="1866"/>
      <c r="M20" s="2379"/>
      <c r="O20" s="606"/>
      <c r="P20" s="1866"/>
      <c r="Q20" s="2379"/>
      <c r="R20" s="461"/>
      <c r="S20" s="1669"/>
      <c r="T20" s="1866"/>
      <c r="U20" s="2383"/>
      <c r="V20" s="2381"/>
      <c r="W20" s="2382"/>
      <c r="X20" s="1866"/>
      <c r="Y20" s="2383"/>
      <c r="AA20" s="606"/>
      <c r="AB20" s="1866"/>
      <c r="AC20" s="2383"/>
    </row>
    <row r="21" spans="1:29" s="457" customFormat="1" hidden="1" x14ac:dyDescent="0.25">
      <c r="A21" s="2226"/>
      <c r="B21" s="2385"/>
      <c r="C21" s="2215"/>
      <c r="D21" s="340">
        <v>0</v>
      </c>
      <c r="E21" s="2386"/>
      <c r="F21" s="340"/>
      <c r="G21" s="456" t="str">
        <f t="shared" ref="G21:G30" si="1">IF(D21=0,"0.00%",(H21-D21)/D21)</f>
        <v>0.00%</v>
      </c>
      <c r="H21" s="340">
        <f t="shared" ref="H21:H27" si="2">ROUND(D21*(1+$I$19),0)</f>
        <v>0</v>
      </c>
      <c r="I21" s="899" t="str">
        <f t="shared" ref="I21:I28" si="3">TEXT($I$19,"0.0%")&amp;" = Est. S &amp; C"</f>
        <v>2.0% = Est. S &amp; C</v>
      </c>
      <c r="J21" s="455"/>
      <c r="K21" s="456" t="str">
        <f t="shared" ref="K21:K27" si="4">IF(H21=0,"0.00%",(L21-H21)/H21)</f>
        <v>0.00%</v>
      </c>
      <c r="L21" s="340">
        <f>ROUND(H21*(1+M19),0)</f>
        <v>0</v>
      </c>
      <c r="M21" s="897" t="str">
        <f>TEXT(M19,"0.0%")&amp;" = Est. S &amp; C"</f>
        <v>2.0% = Est. S &amp; C</v>
      </c>
      <c r="O21" s="456" t="str">
        <f t="shared" ref="O21:O27" si="5">IF(L21=0,"0.00%",(P21-L21)/L21)</f>
        <v>0.00%</v>
      </c>
      <c r="P21" s="340">
        <f>ROUND(L21*(1+Q19),0)</f>
        <v>0</v>
      </c>
      <c r="Q21" s="897" t="str">
        <f>TEXT(Q19,"0.0%")&amp;" = Est. S &amp; C"</f>
        <v>0.0% = Est. S &amp; C</v>
      </c>
      <c r="R21" s="592"/>
      <c r="S21" s="2238" t="str">
        <f t="shared" ref="S21:S27" si="6">IF(P21=0,"0.00%",(T21-P21)/P21)</f>
        <v>0.00%</v>
      </c>
      <c r="T21" s="340">
        <f>ROUND(P21*(1+U19),0)</f>
        <v>0</v>
      </c>
      <c r="U21" s="455" t="str">
        <f>TEXT(U19,"0.0%")&amp;" = Est. S &amp; C"</f>
        <v>0.0% = Est. S &amp; C</v>
      </c>
      <c r="V21" s="952"/>
      <c r="W21" s="2241" t="str">
        <f t="shared" ref="W21:W27" si="7">IF(T21=0,"0.00%",(X21-T21)/T21)</f>
        <v>0.00%</v>
      </c>
      <c r="X21" s="340">
        <f>ROUND(T21*(1+Y19),0)</f>
        <v>0</v>
      </c>
      <c r="Y21" s="455" t="str">
        <f>TEXT(Y19,"0.0%")&amp;" = Est. S &amp; C"</f>
        <v>2.0% = Est. S &amp; C</v>
      </c>
      <c r="AA21" s="456" t="str">
        <f t="shared" ref="AA21:AA27" si="8">IF(X21=0,"0.00%",(AB21-X21)/X21)</f>
        <v>0.00%</v>
      </c>
      <c r="AB21" s="340">
        <f>ROUND(X21*(1+AC19),0)</f>
        <v>0</v>
      </c>
      <c r="AC21" s="455" t="str">
        <f>TEXT(AC19,"0.0%")&amp;" = Est. S &amp; C"</f>
        <v>2.0% = Est. S &amp; C</v>
      </c>
    </row>
    <row r="22" spans="1:29" s="457" customFormat="1" hidden="1" x14ac:dyDescent="0.25">
      <c r="A22" s="2227"/>
      <c r="B22" s="2385"/>
      <c r="C22" s="2215"/>
      <c r="D22" s="340">
        <v>0</v>
      </c>
      <c r="E22" s="2386"/>
      <c r="F22" s="340"/>
      <c r="G22" s="456" t="str">
        <f t="shared" si="1"/>
        <v>0.00%</v>
      </c>
      <c r="H22" s="340">
        <f t="shared" si="2"/>
        <v>0</v>
      </c>
      <c r="I22" s="897" t="str">
        <f t="shared" si="3"/>
        <v>2.0% = Est. S &amp; C</v>
      </c>
      <c r="J22" s="455"/>
      <c r="K22" s="456" t="str">
        <f t="shared" si="4"/>
        <v>0.00%</v>
      </c>
      <c r="L22" s="340">
        <f>ROUND(H22*(1+M19),0)</f>
        <v>0</v>
      </c>
      <c r="M22" s="897" t="str">
        <f>TEXT(M19,"0.0%")&amp;" = Est. S &amp; C"</f>
        <v>2.0% = Est. S &amp; C</v>
      </c>
      <c r="O22" s="456" t="str">
        <f t="shared" si="5"/>
        <v>0.00%</v>
      </c>
      <c r="P22" s="340">
        <f>ROUND(L22*(1+Q19),0)</f>
        <v>0</v>
      </c>
      <c r="Q22" s="897" t="str">
        <f>TEXT(Q19,"0.0%")&amp;" = Est. S &amp; C"</f>
        <v>0.0% = Est. S &amp; C</v>
      </c>
      <c r="R22" s="592"/>
      <c r="S22" s="2238" t="str">
        <f t="shared" si="6"/>
        <v>0.00%</v>
      </c>
      <c r="T22" s="340">
        <f>ROUND(P22*(1+U19),0)</f>
        <v>0</v>
      </c>
      <c r="U22" s="455" t="str">
        <f>TEXT(U19,"0.0%")&amp;" = Est. S &amp; C"</f>
        <v>0.0% = Est. S &amp; C</v>
      </c>
      <c r="V22" s="952"/>
      <c r="W22" s="2241" t="str">
        <f t="shared" si="7"/>
        <v>0.00%</v>
      </c>
      <c r="X22" s="340">
        <f>ROUND(T22*(1+Y19),0)</f>
        <v>0</v>
      </c>
      <c r="Y22" s="455" t="str">
        <f>TEXT(Y19,"0.0%")&amp;" = Est. S &amp; C"</f>
        <v>2.0% = Est. S &amp; C</v>
      </c>
      <c r="AA22" s="456" t="str">
        <f t="shared" si="8"/>
        <v>0.00%</v>
      </c>
      <c r="AB22" s="340">
        <f>ROUND(X22*(1+AC19),0)</f>
        <v>0</v>
      </c>
      <c r="AC22" s="455" t="str">
        <f>TEXT(AC19,"0.0%")&amp;" = Est. S &amp; C"</f>
        <v>2.0% = Est. S &amp; C</v>
      </c>
    </row>
    <row r="23" spans="1:29" s="457" customFormat="1" hidden="1" x14ac:dyDescent="0.25">
      <c r="A23" s="2227"/>
      <c r="B23" s="2385"/>
      <c r="C23" s="2215"/>
      <c r="D23" s="340">
        <v>0</v>
      </c>
      <c r="E23" s="2386"/>
      <c r="F23" s="340"/>
      <c r="G23" s="456" t="str">
        <f t="shared" si="1"/>
        <v>0.00%</v>
      </c>
      <c r="H23" s="340">
        <f t="shared" si="2"/>
        <v>0</v>
      </c>
      <c r="I23" s="897" t="str">
        <f t="shared" si="3"/>
        <v>2.0% = Est. S &amp; C</v>
      </c>
      <c r="J23" s="455"/>
      <c r="K23" s="456" t="str">
        <f t="shared" si="4"/>
        <v>0.00%</v>
      </c>
      <c r="L23" s="340">
        <f>ROUND(H23*(1+M19),0)</f>
        <v>0</v>
      </c>
      <c r="M23" s="897" t="str">
        <f>TEXT(M19,"0.0%")&amp;" = Est. S &amp; C"</f>
        <v>2.0% = Est. S &amp; C</v>
      </c>
      <c r="O23" s="456" t="str">
        <f t="shared" si="5"/>
        <v>0.00%</v>
      </c>
      <c r="P23" s="340">
        <f>ROUND(L23*(1+Q19),0)</f>
        <v>0</v>
      </c>
      <c r="Q23" s="897" t="str">
        <f>TEXT(Q19,"0.0%")&amp;" = Est. S &amp; C"</f>
        <v>0.0% = Est. S &amp; C</v>
      </c>
      <c r="R23" s="592"/>
      <c r="S23" s="2238" t="str">
        <f t="shared" si="6"/>
        <v>0.00%</v>
      </c>
      <c r="T23" s="340">
        <f>ROUND(P23*(1+U19),0)</f>
        <v>0</v>
      </c>
      <c r="U23" s="455" t="str">
        <f>TEXT(U19,"0.0%")&amp;" = Est. S &amp; C"</f>
        <v>0.0% = Est. S &amp; C</v>
      </c>
      <c r="V23" s="952"/>
      <c r="W23" s="2241" t="str">
        <f t="shared" si="7"/>
        <v>0.00%</v>
      </c>
      <c r="X23" s="340">
        <f>ROUND(T23*(1+Y19),0)</f>
        <v>0</v>
      </c>
      <c r="Y23" s="455" t="str">
        <f>TEXT(Y19,"0.0%")&amp;" = Est. S &amp; C"</f>
        <v>2.0% = Est. S &amp; C</v>
      </c>
      <c r="AA23" s="456" t="str">
        <f t="shared" si="8"/>
        <v>0.00%</v>
      </c>
      <c r="AB23" s="340">
        <f>ROUND(X23*(1+AC19),0)</f>
        <v>0</v>
      </c>
      <c r="AC23" s="455" t="str">
        <f>TEXT(AC19,"0.0%")&amp;" = Est. S &amp; C"</f>
        <v>2.0% = Est. S &amp; C</v>
      </c>
    </row>
    <row r="24" spans="1:29" s="457" customFormat="1" hidden="1" x14ac:dyDescent="0.25">
      <c r="A24" s="2227"/>
      <c r="B24" s="2385"/>
      <c r="C24" s="2215"/>
      <c r="D24" s="340">
        <v>0</v>
      </c>
      <c r="E24" s="2386"/>
      <c r="F24" s="340"/>
      <c r="G24" s="456" t="str">
        <f t="shared" si="1"/>
        <v>0.00%</v>
      </c>
      <c r="H24" s="340">
        <f t="shared" si="2"/>
        <v>0</v>
      </c>
      <c r="I24" s="897" t="str">
        <f t="shared" si="3"/>
        <v>2.0% = Est. S &amp; C</v>
      </c>
      <c r="J24" s="455"/>
      <c r="K24" s="456" t="str">
        <f t="shared" si="4"/>
        <v>0.00%</v>
      </c>
      <c r="L24" s="340">
        <f>ROUND(H24*(1+M19),0)</f>
        <v>0</v>
      </c>
      <c r="M24" s="897" t="str">
        <f>TEXT(M19,"0.0%")&amp;" = Est. S &amp; C"</f>
        <v>2.0% = Est. S &amp; C</v>
      </c>
      <c r="O24" s="456" t="str">
        <f t="shared" si="5"/>
        <v>0.00%</v>
      </c>
      <c r="P24" s="340">
        <f>ROUND(L24*(1+Q19),0)</f>
        <v>0</v>
      </c>
      <c r="Q24" s="897" t="str">
        <f>TEXT(Q19,"0.0%")&amp;" = Est. S &amp; C"</f>
        <v>0.0% = Est. S &amp; C</v>
      </c>
      <c r="R24" s="592"/>
      <c r="S24" s="2238" t="str">
        <f t="shared" si="6"/>
        <v>0.00%</v>
      </c>
      <c r="T24" s="340">
        <f>ROUND(P24*(1+U19),0)</f>
        <v>0</v>
      </c>
      <c r="U24" s="455" t="str">
        <f>TEXT(U19,"0.0%")&amp;" = Est. S &amp; C"</f>
        <v>0.0% = Est. S &amp; C</v>
      </c>
      <c r="V24" s="952"/>
      <c r="W24" s="2241" t="str">
        <f t="shared" si="7"/>
        <v>0.00%</v>
      </c>
      <c r="X24" s="340">
        <f>ROUND(T24*(1+Y19),0)</f>
        <v>0</v>
      </c>
      <c r="Y24" s="455" t="str">
        <f>TEXT(Y19,"0.0%")&amp;" = Est. S &amp; C"</f>
        <v>2.0% = Est. S &amp; C</v>
      </c>
      <c r="AA24" s="456" t="str">
        <f t="shared" si="8"/>
        <v>0.00%</v>
      </c>
      <c r="AB24" s="340">
        <f>ROUND(X24*(1+AC19),0)</f>
        <v>0</v>
      </c>
      <c r="AC24" s="455" t="str">
        <f>TEXT(AC19,"0.0%")&amp;" = Est. S &amp; C"</f>
        <v>2.0% = Est. S &amp; C</v>
      </c>
    </row>
    <row r="25" spans="1:29" s="457" customFormat="1" hidden="1" x14ac:dyDescent="0.25">
      <c r="A25" s="2227"/>
      <c r="B25" s="2385"/>
      <c r="C25" s="2215"/>
      <c r="D25" s="340">
        <v>0</v>
      </c>
      <c r="E25" s="2386"/>
      <c r="F25" s="340"/>
      <c r="G25" s="456" t="str">
        <f t="shared" si="1"/>
        <v>0.00%</v>
      </c>
      <c r="H25" s="340">
        <f t="shared" si="2"/>
        <v>0</v>
      </c>
      <c r="I25" s="897" t="str">
        <f t="shared" si="3"/>
        <v>2.0% = Est. S &amp; C</v>
      </c>
      <c r="J25" s="455"/>
      <c r="K25" s="456" t="str">
        <f t="shared" si="4"/>
        <v>0.00%</v>
      </c>
      <c r="L25" s="340">
        <f>ROUND(H25*(1+M19),0)</f>
        <v>0</v>
      </c>
      <c r="M25" s="897" t="str">
        <f>TEXT(M19,"0.0%")&amp;" = Est. S &amp; C"</f>
        <v>2.0% = Est. S &amp; C</v>
      </c>
      <c r="O25" s="456" t="str">
        <f t="shared" si="5"/>
        <v>0.00%</v>
      </c>
      <c r="P25" s="340">
        <f>ROUND(L25*(1+Q19),0)</f>
        <v>0</v>
      </c>
      <c r="Q25" s="897" t="str">
        <f>TEXT(Q19,"0.0%")&amp;" = Est. S &amp; C"</f>
        <v>0.0% = Est. S &amp; C</v>
      </c>
      <c r="R25" s="592"/>
      <c r="S25" s="2238" t="str">
        <f t="shared" si="6"/>
        <v>0.00%</v>
      </c>
      <c r="T25" s="340">
        <f>ROUND(P25*(1+U19),0)</f>
        <v>0</v>
      </c>
      <c r="U25" s="455" t="str">
        <f>TEXT(U19,"0.0%")&amp;" = Est. S &amp; C"</f>
        <v>0.0% = Est. S &amp; C</v>
      </c>
      <c r="V25" s="952"/>
      <c r="W25" s="2241" t="str">
        <f t="shared" si="7"/>
        <v>0.00%</v>
      </c>
      <c r="X25" s="340">
        <f>ROUND(T25*(1+Y19),0)</f>
        <v>0</v>
      </c>
      <c r="Y25" s="455" t="str">
        <f>TEXT(Y19,"0.0%")&amp;" = Est. S &amp; C"</f>
        <v>2.0% = Est. S &amp; C</v>
      </c>
      <c r="AA25" s="456" t="str">
        <f t="shared" si="8"/>
        <v>0.00%</v>
      </c>
      <c r="AB25" s="340">
        <f>ROUND(X25*(1+AC19),0)</f>
        <v>0</v>
      </c>
      <c r="AC25" s="455" t="str">
        <f>TEXT(AC19,"0.0%")&amp;" = Est. S &amp; C"</f>
        <v>2.0% = Est. S &amp; C</v>
      </c>
    </row>
    <row r="26" spans="1:29" s="457" customFormat="1" hidden="1" x14ac:dyDescent="0.25">
      <c r="A26" s="2227"/>
      <c r="B26" s="2385"/>
      <c r="C26" s="2215"/>
      <c r="D26" s="340">
        <v>0</v>
      </c>
      <c r="E26" s="2386"/>
      <c r="F26" s="340"/>
      <c r="G26" s="456" t="str">
        <f t="shared" si="1"/>
        <v>0.00%</v>
      </c>
      <c r="H26" s="340">
        <f t="shared" si="2"/>
        <v>0</v>
      </c>
      <c r="I26" s="897" t="str">
        <f t="shared" si="3"/>
        <v>2.0% = Est. S &amp; C</v>
      </c>
      <c r="J26" s="455"/>
      <c r="K26" s="456" t="str">
        <f t="shared" si="4"/>
        <v>0.00%</v>
      </c>
      <c r="L26" s="340">
        <f>ROUND(H26*(1+M19),0)</f>
        <v>0</v>
      </c>
      <c r="M26" s="2341" t="str">
        <f>TEXT(M19,"0.0%")&amp;" = Est. S &amp; C"</f>
        <v>2.0% = Est. S &amp; C</v>
      </c>
      <c r="O26" s="456" t="str">
        <f t="shared" si="5"/>
        <v>0.00%</v>
      </c>
      <c r="P26" s="340">
        <f>ROUND(L26*(1+Q19),0)</f>
        <v>0</v>
      </c>
      <c r="Q26" s="897" t="str">
        <f>TEXT(Q19,"0.0%")&amp;" = Est. S &amp; C"</f>
        <v>0.0% = Est. S &amp; C</v>
      </c>
      <c r="R26" s="592"/>
      <c r="S26" s="2238" t="str">
        <f t="shared" si="6"/>
        <v>0.00%</v>
      </c>
      <c r="T26" s="340">
        <f>ROUND(P26*(1+U19),0)</f>
        <v>0</v>
      </c>
      <c r="U26" s="455" t="str">
        <f>TEXT(U19,"0.0%")&amp;" = Est. S &amp; C"</f>
        <v>0.0% = Est. S &amp; C</v>
      </c>
      <c r="V26" s="952"/>
      <c r="W26" s="2241" t="str">
        <f t="shared" si="7"/>
        <v>0.00%</v>
      </c>
      <c r="X26" s="340">
        <f>ROUND(T26*(1+Y19),0)</f>
        <v>0</v>
      </c>
      <c r="Y26" s="455" t="str">
        <f>TEXT(Y19,"0.0%")&amp;" = Est. S &amp; C"</f>
        <v>2.0% = Est. S &amp; C</v>
      </c>
      <c r="AA26" s="456" t="str">
        <f t="shared" si="8"/>
        <v>0.00%</v>
      </c>
      <c r="AB26" s="340">
        <f>ROUND(X26*(1+AC19),0)</f>
        <v>0</v>
      </c>
      <c r="AC26" s="455" t="str">
        <f>TEXT(AC19,"0.0%")&amp;" = Est. S &amp; C"</f>
        <v>2.0% = Est. S &amp; C</v>
      </c>
    </row>
    <row r="27" spans="1:29" s="457" customFormat="1" hidden="1" x14ac:dyDescent="0.25">
      <c r="A27" s="2227"/>
      <c r="B27" s="2385"/>
      <c r="C27" s="2215"/>
      <c r="D27" s="340">
        <v>0</v>
      </c>
      <c r="E27" s="2386"/>
      <c r="F27" s="340"/>
      <c r="G27" s="456" t="str">
        <f t="shared" si="1"/>
        <v>0.00%</v>
      </c>
      <c r="H27" s="340">
        <f t="shared" si="2"/>
        <v>0</v>
      </c>
      <c r="I27" s="897" t="str">
        <f t="shared" si="3"/>
        <v>2.0% = Est. S &amp; C</v>
      </c>
      <c r="J27" s="455"/>
      <c r="K27" s="456" t="str">
        <f t="shared" si="4"/>
        <v>0.00%</v>
      </c>
      <c r="L27" s="340">
        <f>ROUND(H27*(1+M19),0)</f>
        <v>0</v>
      </c>
      <c r="M27" s="897" t="str">
        <f>TEXT(M19,"0.0%")&amp;" = Est. S &amp; C"</f>
        <v>2.0% = Est. S &amp; C</v>
      </c>
      <c r="O27" s="456" t="str">
        <f t="shared" si="5"/>
        <v>0.00%</v>
      </c>
      <c r="P27" s="340">
        <f>ROUND(L27*(1+Q19),0)</f>
        <v>0</v>
      </c>
      <c r="Q27" s="897" t="str">
        <f>TEXT(Q19,"0.0%")&amp;" = Est. S &amp; C"</f>
        <v>0.0% = Est. S &amp; C</v>
      </c>
      <c r="R27" s="592"/>
      <c r="S27" s="2238" t="str">
        <f t="shared" si="6"/>
        <v>0.00%</v>
      </c>
      <c r="T27" s="340">
        <f>ROUND(P27*(1+U19),0)</f>
        <v>0</v>
      </c>
      <c r="U27" s="455" t="str">
        <f>TEXT(U19,"0.0%")&amp;" = Est. S &amp; C"</f>
        <v>0.0% = Est. S &amp; C</v>
      </c>
      <c r="V27" s="952"/>
      <c r="W27" s="2241" t="str">
        <f t="shared" si="7"/>
        <v>0.00%</v>
      </c>
      <c r="X27" s="340">
        <f>ROUND(T27*(1+Y19),0)</f>
        <v>0</v>
      </c>
      <c r="Y27" s="455" t="str">
        <f>TEXT(Y19,"0.0%")&amp;" = Est. S &amp; C"</f>
        <v>2.0% = Est. S &amp; C</v>
      </c>
      <c r="AA27" s="456" t="str">
        <f t="shared" si="8"/>
        <v>0.00%</v>
      </c>
      <c r="AB27" s="340">
        <f>ROUND(X27*(1+AC19),0)</f>
        <v>0</v>
      </c>
      <c r="AC27" s="455" t="str">
        <f>TEXT(AC19,"0.0%")&amp;" = Est. S &amp; C"</f>
        <v>2.0% = Est. S &amp; C</v>
      </c>
    </row>
    <row r="28" spans="1:29" s="457" customFormat="1" hidden="1" x14ac:dyDescent="0.25">
      <c r="A28" s="2227"/>
      <c r="B28" s="2385"/>
      <c r="C28" s="2215"/>
      <c r="D28" s="340">
        <v>0</v>
      </c>
      <c r="E28" s="2386"/>
      <c r="F28" s="340"/>
      <c r="G28" s="456" t="str">
        <f>IF(D28=0,"0.00%",(H28-D28)/D28)</f>
        <v>0.00%</v>
      </c>
      <c r="H28" s="340">
        <f>ROUND(D28*(1+$I$19),0)</f>
        <v>0</v>
      </c>
      <c r="I28" s="897" t="str">
        <f t="shared" si="3"/>
        <v>2.0% = Est. S &amp; C</v>
      </c>
      <c r="J28" s="455"/>
      <c r="K28" s="456" t="str">
        <f>IF(H28=0,"0.00%",(L28-H28)/H28)</f>
        <v>0.00%</v>
      </c>
      <c r="L28" s="340">
        <f>ROUND(H28*(1+M20),0)</f>
        <v>0</v>
      </c>
      <c r="M28" s="897" t="str">
        <f>TEXT(M20,"0.0%")&amp;" = Est. S &amp; C"</f>
        <v>0.0% = Est. S &amp; C</v>
      </c>
      <c r="O28" s="456" t="str">
        <f>IF(L28=0,"0.00%",(P28-L28)/L28)</f>
        <v>0.00%</v>
      </c>
      <c r="P28" s="340">
        <f>ROUND(L28*(1+Q20),0)</f>
        <v>0</v>
      </c>
      <c r="Q28" s="897" t="str">
        <f>TEXT(Q20,"0.0%")&amp;" = Est. S &amp; C"</f>
        <v>0.0% = Est. S &amp; C</v>
      </c>
      <c r="R28" s="592"/>
      <c r="S28" s="2238" t="str">
        <f>IF(P28=0,"0.00%",(T28-P28)/P28)</f>
        <v>0.00%</v>
      </c>
      <c r="T28" s="340">
        <f>ROUND(P28*(1+U20),0)</f>
        <v>0</v>
      </c>
      <c r="U28" s="455" t="str">
        <f>TEXT(U20,"0.0%")&amp;" = Est. S &amp; C"</f>
        <v>0.0% = Est. S &amp; C</v>
      </c>
      <c r="V28" s="952"/>
      <c r="W28" s="2241" t="str">
        <f>IF(T28=0,"0.00%",(X28-T28)/T28)</f>
        <v>0.00%</v>
      </c>
      <c r="X28" s="340">
        <f>ROUND(T28*(1+Y20),0)</f>
        <v>0</v>
      </c>
      <c r="Y28" s="455" t="str">
        <f>TEXT(Y20,"0.0%")&amp;" = Est. S &amp; C"</f>
        <v>0.0% = Est. S &amp; C</v>
      </c>
      <c r="AA28" s="456" t="str">
        <f>IF(X28=0,"0.00%",(AB28-X28)/X28)</f>
        <v>0.00%</v>
      </c>
      <c r="AB28" s="340">
        <f>ROUND(X28*(1+AC20),0)</f>
        <v>0</v>
      </c>
      <c r="AC28" s="455" t="str">
        <f>TEXT(AC20,"0.0%")&amp;" = Est. S &amp; C"</f>
        <v>0.0% = Est. S &amp; C</v>
      </c>
    </row>
    <row r="29" spans="1:29" s="457" customFormat="1" ht="6" hidden="1" customHeight="1" x14ac:dyDescent="0.25">
      <c r="A29" s="2227"/>
      <c r="B29" s="2385"/>
      <c r="C29" s="2215"/>
      <c r="D29" s="340"/>
      <c r="E29" s="2386"/>
      <c r="F29" s="340"/>
      <c r="G29" s="456"/>
      <c r="H29" s="340"/>
      <c r="I29" s="897"/>
      <c r="J29" s="455"/>
      <c r="K29" s="1668"/>
      <c r="L29" s="340"/>
      <c r="M29" s="901"/>
      <c r="O29" s="1668"/>
      <c r="P29" s="340"/>
      <c r="Q29" s="901"/>
      <c r="R29" s="592"/>
      <c r="S29" s="2341"/>
      <c r="T29" s="340"/>
      <c r="U29" s="2344"/>
      <c r="V29" s="952"/>
      <c r="W29" s="2343"/>
      <c r="X29" s="340"/>
      <c r="Y29" s="2344"/>
      <c r="AA29" s="1668"/>
      <c r="AB29" s="340"/>
      <c r="AC29" s="2344"/>
    </row>
    <row r="30" spans="1:29" s="457" customFormat="1" hidden="1" x14ac:dyDescent="0.25">
      <c r="A30" s="2228"/>
      <c r="B30" s="2385"/>
      <c r="C30" s="2215"/>
      <c r="D30" s="458">
        <f>SUM(D21:D29)</f>
        <v>0</v>
      </c>
      <c r="E30" s="2386"/>
      <c r="F30" s="340"/>
      <c r="G30" s="456" t="str">
        <f t="shared" si="1"/>
        <v>0.00%</v>
      </c>
      <c r="H30" s="458">
        <f>SUM(H21:H29)</f>
        <v>0</v>
      </c>
      <c r="I30" s="898"/>
      <c r="J30" s="459"/>
      <c r="K30" s="456" t="str">
        <f>IF(H30=0,"0.00%",(L30-H30)/H30)</f>
        <v>0.00%</v>
      </c>
      <c r="L30" s="458">
        <f>SUM(L21:L29)</f>
        <v>0</v>
      </c>
      <c r="M30" s="901"/>
      <c r="O30" s="456" t="str">
        <f>IF(L30=0,"0.00%",(P30-L30)/L30)</f>
        <v>0.00%</v>
      </c>
      <c r="P30" s="458">
        <f>SUM(P21:P29)</f>
        <v>0</v>
      </c>
      <c r="Q30" s="901"/>
      <c r="R30" s="592"/>
      <c r="S30" s="2238" t="str">
        <f>IF(P30=0,"0.00%",(T30-P30)/P30)</f>
        <v>0.00%</v>
      </c>
      <c r="T30" s="458">
        <f>SUM(T21:T29)</f>
        <v>0</v>
      </c>
      <c r="U30" s="2344"/>
      <c r="V30" s="952"/>
      <c r="W30" s="2241" t="str">
        <f>IF(T30=0,"0.00%",(X30-T30)/T30)</f>
        <v>0.00%</v>
      </c>
      <c r="X30" s="458">
        <f>SUM(X21:X29)</f>
        <v>0</v>
      </c>
      <c r="Y30" s="2344"/>
      <c r="AA30" s="456" t="str">
        <f>IF(X30=0,"0.00%",(AB30-X30)/X30)</f>
        <v>0.00%</v>
      </c>
      <c r="AB30" s="458">
        <f>SUM(AB21:AB29)</f>
        <v>0</v>
      </c>
      <c r="AC30" s="2344"/>
    </row>
    <row r="31" spans="1:29" s="457" customFormat="1" hidden="1" x14ac:dyDescent="0.25">
      <c r="A31" s="2227"/>
      <c r="B31" s="2345"/>
      <c r="C31" s="2215"/>
      <c r="D31" s="340"/>
      <c r="E31" s="2386"/>
      <c r="F31" s="340"/>
      <c r="G31" s="2338"/>
      <c r="H31" s="340"/>
      <c r="I31" s="899"/>
      <c r="J31" s="455"/>
      <c r="K31" s="1668"/>
      <c r="L31" s="340"/>
      <c r="M31" s="2388"/>
      <c r="O31" s="1668"/>
      <c r="P31" s="340"/>
      <c r="Q31" s="2388"/>
      <c r="R31" s="592"/>
      <c r="S31" s="2341"/>
      <c r="T31" s="340"/>
      <c r="U31" s="2344"/>
      <c r="V31" s="952"/>
      <c r="W31" s="2343"/>
      <c r="X31" s="340"/>
      <c r="Y31" s="2344"/>
      <c r="AA31" s="1668"/>
      <c r="AB31" s="340"/>
      <c r="AC31" s="2344"/>
    </row>
    <row r="32" spans="1:29" s="461" customFormat="1" hidden="1" x14ac:dyDescent="0.25">
      <c r="A32" s="2225"/>
      <c r="B32" s="2440" t="s">
        <v>35</v>
      </c>
      <c r="C32" s="2225"/>
      <c r="D32" s="460"/>
      <c r="E32" s="868"/>
      <c r="F32" s="460"/>
      <c r="G32" s="2389"/>
      <c r="H32" s="460"/>
      <c r="I32" s="868"/>
      <c r="J32" s="460"/>
      <c r="K32" s="1669"/>
      <c r="L32" s="460"/>
      <c r="M32" s="902"/>
      <c r="O32" s="1669"/>
      <c r="P32" s="460"/>
      <c r="Q32" s="902"/>
      <c r="S32" s="1669"/>
      <c r="T32" s="460"/>
      <c r="U32" s="2392"/>
      <c r="V32" s="2381"/>
      <c r="W32" s="2382"/>
      <c r="X32" s="460"/>
      <c r="Y32" s="2392"/>
      <c r="AA32" s="1669"/>
      <c r="AB32" s="460"/>
      <c r="AC32" s="2392"/>
    </row>
    <row r="33" spans="1:29" s="457" customFormat="1" hidden="1" x14ac:dyDescent="0.25">
      <c r="A33" s="2227"/>
      <c r="B33" s="2385"/>
      <c r="C33" s="2215"/>
      <c r="D33" s="340">
        <v>0</v>
      </c>
      <c r="E33" s="2386"/>
      <c r="F33" s="340"/>
      <c r="G33" s="456" t="str">
        <f t="shared" ref="G33:G39" si="9">IF(D33=0,"0.00%",(H33-D33)/D33)</f>
        <v>0.00%</v>
      </c>
      <c r="H33" s="340">
        <f t="shared" ref="H33:H39" si="10">ROUND(D33*(1+$I$19),0)</f>
        <v>0</v>
      </c>
      <c r="I33" s="897" t="str">
        <f t="shared" ref="I33:I39" si="11">TEXT($I$19,"0.0%")&amp;" = Est. S &amp; C"</f>
        <v>2.0% = Est. S &amp; C</v>
      </c>
      <c r="J33" s="455"/>
      <c r="K33" s="456" t="str">
        <f t="shared" ref="K33:K39" si="12">IF(H33=0,"0.00%",(L33-H33)/H33)</f>
        <v>0.00%</v>
      </c>
      <c r="L33" s="340">
        <f>ROUND(H33*(1+M19),0)</f>
        <v>0</v>
      </c>
      <c r="M33" s="897" t="str">
        <f>TEXT(M19,"0.0%")&amp;" = Est. S &amp; C"</f>
        <v>2.0% = Est. S &amp; C</v>
      </c>
      <c r="O33" s="456" t="str">
        <f t="shared" ref="O33:O39" si="13">IF(L33=0,"0.00%",(P33-L33)/L33)</f>
        <v>0.00%</v>
      </c>
      <c r="P33" s="340">
        <f>ROUND(L33*(1+Q19),0)</f>
        <v>0</v>
      </c>
      <c r="Q33" s="897" t="str">
        <f>TEXT(Q19,"0.0%")&amp;" = Est. S &amp; C"</f>
        <v>0.0% = Est. S &amp; C</v>
      </c>
      <c r="R33" s="592"/>
      <c r="S33" s="2238" t="str">
        <f t="shared" ref="S33:S39" si="14">IF(P33=0,"0.00%",(T33-P33)/P33)</f>
        <v>0.00%</v>
      </c>
      <c r="T33" s="340">
        <f>ROUND(P33*(1+U19),0)</f>
        <v>0</v>
      </c>
      <c r="U33" s="455" t="str">
        <f>TEXT(U19,"0.0%")&amp;" = Est. S &amp; C"</f>
        <v>0.0% = Est. S &amp; C</v>
      </c>
      <c r="V33" s="952"/>
      <c r="W33" s="2241" t="str">
        <f t="shared" ref="W33:W39" si="15">IF(T33=0,"0.00%",(X33-T33)/T33)</f>
        <v>0.00%</v>
      </c>
      <c r="X33" s="340">
        <f>ROUND(T33*(1+Y19),0)</f>
        <v>0</v>
      </c>
      <c r="Y33" s="455" t="str">
        <f>TEXT(Y19,"0.0%")&amp;" = Est. S &amp; C"</f>
        <v>2.0% = Est. S &amp; C</v>
      </c>
      <c r="AA33" s="456" t="str">
        <f t="shared" ref="AA33:AA39" si="16">IF(X33=0,"0.00%",(AB33-X33)/X33)</f>
        <v>0.00%</v>
      </c>
      <c r="AB33" s="340">
        <f>ROUND(X33*(1+AC19),0)</f>
        <v>0</v>
      </c>
      <c r="AC33" s="455" t="str">
        <f>TEXT(AC19,"0.0%")&amp;" = Est. S &amp; C"</f>
        <v>2.0% = Est. S &amp; C</v>
      </c>
    </row>
    <row r="34" spans="1:29" s="457" customFormat="1" hidden="1" x14ac:dyDescent="0.25">
      <c r="A34" s="2227"/>
      <c r="B34" s="2385"/>
      <c r="C34" s="2215"/>
      <c r="D34" s="340">
        <v>0</v>
      </c>
      <c r="E34" s="2386"/>
      <c r="F34" s="340"/>
      <c r="G34" s="456" t="str">
        <f t="shared" si="9"/>
        <v>0.00%</v>
      </c>
      <c r="H34" s="340">
        <f t="shared" si="10"/>
        <v>0</v>
      </c>
      <c r="I34" s="897" t="str">
        <f t="shared" si="11"/>
        <v>2.0% = Est. S &amp; C</v>
      </c>
      <c r="J34" s="455"/>
      <c r="K34" s="456" t="str">
        <f t="shared" si="12"/>
        <v>0.00%</v>
      </c>
      <c r="L34" s="340">
        <f>ROUND(H34*(1+M19),0)</f>
        <v>0</v>
      </c>
      <c r="M34" s="897" t="str">
        <f>TEXT(M19,"0.0%")&amp;" = Est. S &amp; C"</f>
        <v>2.0% = Est. S &amp; C</v>
      </c>
      <c r="O34" s="456" t="str">
        <f t="shared" si="13"/>
        <v>0.00%</v>
      </c>
      <c r="P34" s="340">
        <f>ROUND(L34*(1+Q19),0)</f>
        <v>0</v>
      </c>
      <c r="Q34" s="897" t="str">
        <f>TEXT(Q19,"0.0%")&amp;" = Est. S &amp; C"</f>
        <v>0.0% = Est. S &amp; C</v>
      </c>
      <c r="R34" s="592"/>
      <c r="S34" s="2238" t="str">
        <f t="shared" si="14"/>
        <v>0.00%</v>
      </c>
      <c r="T34" s="340">
        <f>ROUND(P34*(1+U19),0)</f>
        <v>0</v>
      </c>
      <c r="U34" s="455" t="str">
        <f>TEXT(U19,"0.0%")&amp;" = Est. S &amp; C"</f>
        <v>0.0% = Est. S &amp; C</v>
      </c>
      <c r="V34" s="952"/>
      <c r="W34" s="2241" t="str">
        <f t="shared" si="15"/>
        <v>0.00%</v>
      </c>
      <c r="X34" s="340">
        <f>ROUND(T34*(1+Y19),0)</f>
        <v>0</v>
      </c>
      <c r="Y34" s="455" t="str">
        <f>TEXT(Y19,"0.0%")&amp;" = Est. S &amp; C"</f>
        <v>2.0% = Est. S &amp; C</v>
      </c>
      <c r="AA34" s="456" t="str">
        <f t="shared" si="16"/>
        <v>0.00%</v>
      </c>
      <c r="AB34" s="340">
        <f>ROUND(X34*(1+AC19),0)</f>
        <v>0</v>
      </c>
      <c r="AC34" s="455" t="str">
        <f>TEXT(AC19,"0.0%")&amp;" = Est. S &amp; C"</f>
        <v>2.0% = Est. S &amp; C</v>
      </c>
    </row>
    <row r="35" spans="1:29" s="457" customFormat="1" hidden="1" x14ac:dyDescent="0.25">
      <c r="A35" s="2227"/>
      <c r="B35" s="2385"/>
      <c r="C35" s="2215"/>
      <c r="D35" s="340">
        <v>0</v>
      </c>
      <c r="E35" s="2386"/>
      <c r="F35" s="340"/>
      <c r="G35" s="456" t="str">
        <f t="shared" si="9"/>
        <v>0.00%</v>
      </c>
      <c r="H35" s="340">
        <f t="shared" si="10"/>
        <v>0</v>
      </c>
      <c r="I35" s="897" t="str">
        <f t="shared" si="11"/>
        <v>2.0% = Est. S &amp; C</v>
      </c>
      <c r="J35" s="455"/>
      <c r="K35" s="456" t="str">
        <f t="shared" si="12"/>
        <v>0.00%</v>
      </c>
      <c r="L35" s="340">
        <f>ROUND(H35*(1+M19),0)</f>
        <v>0</v>
      </c>
      <c r="M35" s="897" t="str">
        <f>TEXT(M19,"0.0%")&amp;" = Est. S &amp; C"</f>
        <v>2.0% = Est. S &amp; C</v>
      </c>
      <c r="O35" s="456" t="str">
        <f t="shared" si="13"/>
        <v>0.00%</v>
      </c>
      <c r="P35" s="340">
        <f>ROUND(L35*(1+Q19),0)</f>
        <v>0</v>
      </c>
      <c r="Q35" s="897" t="str">
        <f>TEXT(Q19,"0.0%")&amp;" = Est. S &amp; C"</f>
        <v>0.0% = Est. S &amp; C</v>
      </c>
      <c r="R35" s="592"/>
      <c r="S35" s="2238" t="str">
        <f t="shared" si="14"/>
        <v>0.00%</v>
      </c>
      <c r="T35" s="340">
        <f>ROUND(P35*(1+U19),0)</f>
        <v>0</v>
      </c>
      <c r="U35" s="455" t="str">
        <f>TEXT(U19,"0.0%")&amp;" = Est. S &amp; C"</f>
        <v>0.0% = Est. S &amp; C</v>
      </c>
      <c r="V35" s="952"/>
      <c r="W35" s="2241" t="str">
        <f t="shared" si="15"/>
        <v>0.00%</v>
      </c>
      <c r="X35" s="340">
        <f>ROUND(T35*(1+Y19),0)</f>
        <v>0</v>
      </c>
      <c r="Y35" s="455" t="str">
        <f>TEXT(Y19,"0.0%")&amp;" = Est. S &amp; C"</f>
        <v>2.0% = Est. S &amp; C</v>
      </c>
      <c r="AA35" s="456" t="str">
        <f t="shared" si="16"/>
        <v>0.00%</v>
      </c>
      <c r="AB35" s="340">
        <f>ROUND(X35*(1+AC19),0)</f>
        <v>0</v>
      </c>
      <c r="AC35" s="455" t="str">
        <f>TEXT(AC19,"0.0%")&amp;" = Est. S &amp; C"</f>
        <v>2.0% = Est. S &amp; C</v>
      </c>
    </row>
    <row r="36" spans="1:29" s="457" customFormat="1" hidden="1" x14ac:dyDescent="0.25">
      <c r="A36" s="2227"/>
      <c r="B36" s="2385"/>
      <c r="C36" s="2215"/>
      <c r="D36" s="340">
        <v>0</v>
      </c>
      <c r="E36" s="2386"/>
      <c r="F36" s="340"/>
      <c r="G36" s="456" t="str">
        <f t="shared" si="9"/>
        <v>0.00%</v>
      </c>
      <c r="H36" s="340">
        <f t="shared" si="10"/>
        <v>0</v>
      </c>
      <c r="I36" s="897" t="str">
        <f t="shared" si="11"/>
        <v>2.0% = Est. S &amp; C</v>
      </c>
      <c r="J36" s="455"/>
      <c r="K36" s="456" t="str">
        <f t="shared" si="12"/>
        <v>0.00%</v>
      </c>
      <c r="L36" s="340">
        <f>ROUND(H36*(1+M19),0)</f>
        <v>0</v>
      </c>
      <c r="M36" s="897" t="str">
        <f>TEXT(M19,"0.0%")&amp;" = Est. S &amp; C"</f>
        <v>2.0% = Est. S &amp; C</v>
      </c>
      <c r="O36" s="456" t="str">
        <f t="shared" si="13"/>
        <v>0.00%</v>
      </c>
      <c r="P36" s="340">
        <f>ROUND(L36*(1+Q19),0)</f>
        <v>0</v>
      </c>
      <c r="Q36" s="897" t="str">
        <f>TEXT(Q19,"0.0%")&amp;" = Est. S &amp; C"</f>
        <v>0.0% = Est. S &amp; C</v>
      </c>
      <c r="R36" s="592"/>
      <c r="S36" s="2238" t="str">
        <f t="shared" si="14"/>
        <v>0.00%</v>
      </c>
      <c r="T36" s="340">
        <f>ROUND(P36*(1+U19),0)</f>
        <v>0</v>
      </c>
      <c r="U36" s="455" t="str">
        <f>TEXT(U19,"0.0%")&amp;" = Est. S &amp; C"</f>
        <v>0.0% = Est. S &amp; C</v>
      </c>
      <c r="V36" s="952"/>
      <c r="W36" s="2241" t="str">
        <f t="shared" si="15"/>
        <v>0.00%</v>
      </c>
      <c r="X36" s="340">
        <f>ROUND(T36*(1+Y19),0)</f>
        <v>0</v>
      </c>
      <c r="Y36" s="455" t="str">
        <f>TEXT(Y19,"0.0%")&amp;" = Est. S &amp; C"</f>
        <v>2.0% = Est. S &amp; C</v>
      </c>
      <c r="AA36" s="456" t="str">
        <f t="shared" si="16"/>
        <v>0.00%</v>
      </c>
      <c r="AB36" s="340">
        <f>ROUND(X36*(1+AC19),0)</f>
        <v>0</v>
      </c>
      <c r="AC36" s="455" t="str">
        <f>TEXT(AC19,"0.0%")&amp;" = Est. S &amp; C"</f>
        <v>2.0% = Est. S &amp; C</v>
      </c>
    </row>
    <row r="37" spans="1:29" s="457" customFormat="1" hidden="1" x14ac:dyDescent="0.25">
      <c r="A37" s="2227"/>
      <c r="B37" s="2385"/>
      <c r="C37" s="2215"/>
      <c r="D37" s="340">
        <v>0</v>
      </c>
      <c r="E37" s="2386"/>
      <c r="F37" s="340"/>
      <c r="G37" s="456" t="str">
        <f t="shared" si="9"/>
        <v>0.00%</v>
      </c>
      <c r="H37" s="340">
        <f t="shared" si="10"/>
        <v>0</v>
      </c>
      <c r="I37" s="897" t="str">
        <f t="shared" si="11"/>
        <v>2.0% = Est. S &amp; C</v>
      </c>
      <c r="J37" s="455"/>
      <c r="K37" s="456" t="str">
        <f t="shared" si="12"/>
        <v>0.00%</v>
      </c>
      <c r="L37" s="340">
        <f>ROUND(H37*(1+M19),0)</f>
        <v>0</v>
      </c>
      <c r="M37" s="897" t="str">
        <f>TEXT(M19,"0.0%")&amp;" = Est. S &amp; C"</f>
        <v>2.0% = Est. S &amp; C</v>
      </c>
      <c r="O37" s="456" t="str">
        <f t="shared" si="13"/>
        <v>0.00%</v>
      </c>
      <c r="P37" s="340">
        <f>ROUND(L37*(1+Q19),0)</f>
        <v>0</v>
      </c>
      <c r="Q37" s="897" t="str">
        <f>TEXT(Q19,"0.0%")&amp;" = Est. S &amp; C"</f>
        <v>0.0% = Est. S &amp; C</v>
      </c>
      <c r="R37" s="592"/>
      <c r="S37" s="2238" t="str">
        <f t="shared" si="14"/>
        <v>0.00%</v>
      </c>
      <c r="T37" s="340">
        <f>ROUND(P37*(1+U19),0)</f>
        <v>0</v>
      </c>
      <c r="U37" s="455" t="str">
        <f>TEXT(U19,"0.0%")&amp;" = Est. S &amp; C"</f>
        <v>0.0% = Est. S &amp; C</v>
      </c>
      <c r="V37" s="952"/>
      <c r="W37" s="2241" t="str">
        <f t="shared" si="15"/>
        <v>0.00%</v>
      </c>
      <c r="X37" s="340">
        <f>ROUND(T37*(1+Y19),0)</f>
        <v>0</v>
      </c>
      <c r="Y37" s="455" t="str">
        <f>TEXT(Y19,"0.0%")&amp;" = Est. S &amp; C"</f>
        <v>2.0% = Est. S &amp; C</v>
      </c>
      <c r="AA37" s="456" t="str">
        <f t="shared" si="16"/>
        <v>0.00%</v>
      </c>
      <c r="AB37" s="340">
        <f>ROUND(X37*(1+AC19),0)</f>
        <v>0</v>
      </c>
      <c r="AC37" s="455" t="str">
        <f>TEXT(AC19,"0.0%")&amp;" = Est. S &amp; C"</f>
        <v>2.0% = Est. S &amp; C</v>
      </c>
    </row>
    <row r="38" spans="1:29" s="457" customFormat="1" hidden="1" x14ac:dyDescent="0.25">
      <c r="A38" s="2227"/>
      <c r="B38" s="2385"/>
      <c r="C38" s="2215"/>
      <c r="D38" s="340">
        <v>0</v>
      </c>
      <c r="E38" s="2386"/>
      <c r="F38" s="340"/>
      <c r="G38" s="456" t="str">
        <f t="shared" si="9"/>
        <v>0.00%</v>
      </c>
      <c r="H38" s="340">
        <f t="shared" si="10"/>
        <v>0</v>
      </c>
      <c r="I38" s="897" t="str">
        <f t="shared" si="11"/>
        <v>2.0% = Est. S &amp; C</v>
      </c>
      <c r="J38" s="455"/>
      <c r="K38" s="456" t="str">
        <f t="shared" si="12"/>
        <v>0.00%</v>
      </c>
      <c r="L38" s="340">
        <f>ROUND(H38*(1+M19),0)</f>
        <v>0</v>
      </c>
      <c r="M38" s="897" t="str">
        <f>TEXT(M19,"0.0%")&amp;" = Est. S &amp; C"</f>
        <v>2.0% = Est. S &amp; C</v>
      </c>
      <c r="O38" s="456" t="str">
        <f t="shared" si="13"/>
        <v>0.00%</v>
      </c>
      <c r="P38" s="340">
        <f>ROUND(L38*(1+Q19),0)</f>
        <v>0</v>
      </c>
      <c r="Q38" s="897" t="str">
        <f>TEXT(Q19,"0.0%")&amp;" = Est. S &amp; C"</f>
        <v>0.0% = Est. S &amp; C</v>
      </c>
      <c r="R38" s="592"/>
      <c r="S38" s="2238" t="str">
        <f t="shared" si="14"/>
        <v>0.00%</v>
      </c>
      <c r="T38" s="340">
        <f>ROUND(P38*(1+U19),0)</f>
        <v>0</v>
      </c>
      <c r="U38" s="455" t="str">
        <f>TEXT(U19,"0.0%")&amp;" = Est. S &amp; C"</f>
        <v>0.0% = Est. S &amp; C</v>
      </c>
      <c r="V38" s="952"/>
      <c r="W38" s="2241" t="str">
        <f t="shared" si="15"/>
        <v>0.00%</v>
      </c>
      <c r="X38" s="340">
        <f>ROUND(T38*(1+Y19),0)</f>
        <v>0</v>
      </c>
      <c r="Y38" s="455" t="str">
        <f>TEXT(Y19,"0.0%")&amp;" = Est. S &amp; C"</f>
        <v>2.0% = Est. S &amp; C</v>
      </c>
      <c r="AA38" s="456" t="str">
        <f t="shared" si="16"/>
        <v>0.00%</v>
      </c>
      <c r="AB38" s="340">
        <f>ROUND(X38*(1+AC19),0)</f>
        <v>0</v>
      </c>
      <c r="AC38" s="455" t="str">
        <f>TEXT(AC19,"0.0%")&amp;" = Est. S &amp; C"</f>
        <v>2.0% = Est. S &amp; C</v>
      </c>
    </row>
    <row r="39" spans="1:29" s="457" customFormat="1" hidden="1" x14ac:dyDescent="0.25">
      <c r="A39" s="2227"/>
      <c r="B39" s="2385"/>
      <c r="C39" s="2215"/>
      <c r="D39" s="340">
        <v>0</v>
      </c>
      <c r="E39" s="2386"/>
      <c r="F39" s="340"/>
      <c r="G39" s="456" t="str">
        <f t="shared" si="9"/>
        <v>0.00%</v>
      </c>
      <c r="H39" s="340">
        <f t="shared" si="10"/>
        <v>0</v>
      </c>
      <c r="I39" s="897" t="str">
        <f t="shared" si="11"/>
        <v>2.0% = Est. S &amp; C</v>
      </c>
      <c r="J39" s="455"/>
      <c r="K39" s="456" t="str">
        <f t="shared" si="12"/>
        <v>0.00%</v>
      </c>
      <c r="L39" s="340">
        <f>ROUND(H39*(1+M19),0)</f>
        <v>0</v>
      </c>
      <c r="M39" s="897" t="str">
        <f>TEXT(M19,"0.0%")&amp;" = Est. S &amp; C"</f>
        <v>2.0% = Est. S &amp; C</v>
      </c>
      <c r="O39" s="456" t="str">
        <f t="shared" si="13"/>
        <v>0.00%</v>
      </c>
      <c r="P39" s="340">
        <f>ROUND(L39*(1+Q19),0)</f>
        <v>0</v>
      </c>
      <c r="Q39" s="897" t="str">
        <f>TEXT(Q19,"0.0%")&amp;" = Est. S &amp; C"</f>
        <v>0.0% = Est. S &amp; C</v>
      </c>
      <c r="R39" s="592"/>
      <c r="S39" s="2238" t="str">
        <f t="shared" si="14"/>
        <v>0.00%</v>
      </c>
      <c r="T39" s="340">
        <f>ROUND(P39*(1+U19),0)</f>
        <v>0</v>
      </c>
      <c r="U39" s="455" t="str">
        <f>TEXT(U19,"0.0%")&amp;" = Est. S &amp; C"</f>
        <v>0.0% = Est. S &amp; C</v>
      </c>
      <c r="V39" s="952"/>
      <c r="W39" s="2241" t="str">
        <f t="shared" si="15"/>
        <v>0.00%</v>
      </c>
      <c r="X39" s="340">
        <f>ROUND(T39*(1+Y19),0)</f>
        <v>0</v>
      </c>
      <c r="Y39" s="455" t="str">
        <f>TEXT(Y19,"0.0%")&amp;" = Est. S &amp; C"</f>
        <v>2.0% = Est. S &amp; C</v>
      </c>
      <c r="AA39" s="456" t="str">
        <f t="shared" si="16"/>
        <v>0.00%</v>
      </c>
      <c r="AB39" s="340">
        <f>ROUND(X39*(1+AC19),0)</f>
        <v>0</v>
      </c>
      <c r="AC39" s="455" t="str">
        <f>TEXT(AC19,"0.0%")&amp;" = Est. S &amp; C"</f>
        <v>2.0% = Est. S &amp; C</v>
      </c>
    </row>
    <row r="40" spans="1:29" s="457" customFormat="1" ht="6" hidden="1" customHeight="1" x14ac:dyDescent="0.25">
      <c r="A40" s="2227"/>
      <c r="B40" s="2385"/>
      <c r="C40" s="2215"/>
      <c r="D40" s="340"/>
      <c r="E40" s="2386"/>
      <c r="F40" s="340"/>
      <c r="G40" s="2338"/>
      <c r="H40" s="340"/>
      <c r="I40" s="897"/>
      <c r="J40" s="455"/>
      <c r="K40" s="1668"/>
      <c r="L40" s="340"/>
      <c r="M40" s="901"/>
      <c r="O40" s="1668"/>
      <c r="P40" s="340"/>
      <c r="Q40" s="901"/>
      <c r="R40" s="592"/>
      <c r="S40" s="2341"/>
      <c r="T40" s="340"/>
      <c r="U40" s="2344"/>
      <c r="V40" s="952"/>
      <c r="W40" s="2343"/>
      <c r="X40" s="340"/>
      <c r="Y40" s="2344"/>
      <c r="AA40" s="1668"/>
      <c r="AB40" s="340"/>
      <c r="AC40" s="2344"/>
    </row>
    <row r="41" spans="1:29" s="457" customFormat="1" hidden="1" x14ac:dyDescent="0.25">
      <c r="A41" s="2228"/>
      <c r="B41" s="2385"/>
      <c r="C41" s="2215"/>
      <c r="D41" s="458">
        <f>SUM(D33:D40)</f>
        <v>0</v>
      </c>
      <c r="E41" s="2386"/>
      <c r="F41" s="340"/>
      <c r="G41" s="456" t="str">
        <f>IF(D41=0,"0.00%",(H41-D41)/D41)</f>
        <v>0.00%</v>
      </c>
      <c r="H41" s="458">
        <f>SUM(H33:H40)</f>
        <v>0</v>
      </c>
      <c r="I41" s="898"/>
      <c r="J41" s="459"/>
      <c r="K41" s="456" t="str">
        <f>IF(H41=0,"0.00%",(L41-H41)/H41)</f>
        <v>0.00%</v>
      </c>
      <c r="L41" s="458">
        <f>SUM(L33:L40)</f>
        <v>0</v>
      </c>
      <c r="M41" s="901"/>
      <c r="O41" s="456" t="str">
        <f>IF(L41=0,"0.00%",(P41-L41)/L41)</f>
        <v>0.00%</v>
      </c>
      <c r="P41" s="458">
        <f>SUM(P33:P40)</f>
        <v>0</v>
      </c>
      <c r="Q41" s="901"/>
      <c r="R41" s="592"/>
      <c r="S41" s="2238" t="str">
        <f>IF(P41=0,"0.00%",(T41-P41)/P41)</f>
        <v>0.00%</v>
      </c>
      <c r="T41" s="458">
        <f>SUM(T33:T40)</f>
        <v>0</v>
      </c>
      <c r="U41" s="2344"/>
      <c r="V41" s="952"/>
      <c r="W41" s="2241" t="str">
        <f>IF(T41=0,"0.00%",(X41-T41)/T41)</f>
        <v>0.00%</v>
      </c>
      <c r="X41" s="458">
        <f>SUM(X33:X40)</f>
        <v>0</v>
      </c>
      <c r="Y41" s="2344"/>
      <c r="AA41" s="456" t="str">
        <f>IF(X41=0,"0.00%",(AB41-X41)/X41)</f>
        <v>0.00%</v>
      </c>
      <c r="AB41" s="458">
        <f>SUM(AB33:AB40)</f>
        <v>0</v>
      </c>
      <c r="AC41" s="2344"/>
    </row>
    <row r="42" spans="1:29" s="457" customFormat="1" hidden="1" x14ac:dyDescent="0.25">
      <c r="A42" s="2227"/>
      <c r="B42" s="2345" t="s">
        <v>28</v>
      </c>
      <c r="C42" s="2215"/>
      <c r="D42" s="340"/>
      <c r="E42" s="2386"/>
      <c r="F42" s="340"/>
      <c r="G42" s="2338"/>
      <c r="H42" s="340"/>
      <c r="I42" s="897"/>
      <c r="J42" s="455"/>
      <c r="K42" s="1668"/>
      <c r="L42" s="340"/>
      <c r="M42" s="901"/>
      <c r="O42" s="1668"/>
      <c r="P42" s="340"/>
      <c r="Q42" s="901"/>
      <c r="R42" s="592"/>
      <c r="S42" s="2341"/>
      <c r="T42" s="340"/>
      <c r="U42" s="2344"/>
      <c r="V42" s="952"/>
      <c r="W42" s="2343"/>
      <c r="X42" s="340"/>
      <c r="Y42" s="2344"/>
      <c r="AA42" s="1668"/>
      <c r="AB42" s="340"/>
      <c r="AC42" s="2344"/>
    </row>
    <row r="43" spans="1:29" s="457" customFormat="1" hidden="1" x14ac:dyDescent="0.25">
      <c r="A43" s="2229"/>
      <c r="B43" s="2337" t="s">
        <v>27</v>
      </c>
      <c r="C43" s="2215"/>
      <c r="D43" s="340"/>
      <c r="E43" s="2386"/>
      <c r="F43" s="340"/>
      <c r="G43" s="2338"/>
      <c r="H43" s="340"/>
      <c r="I43" s="897"/>
      <c r="J43" s="455"/>
      <c r="K43" s="1668"/>
      <c r="L43" s="340"/>
      <c r="M43" s="901"/>
      <c r="O43" s="1668"/>
      <c r="P43" s="340"/>
      <c r="Q43" s="901"/>
      <c r="R43" s="592"/>
      <c r="S43" s="2341"/>
      <c r="T43" s="340"/>
      <c r="U43" s="2344"/>
      <c r="V43" s="952"/>
      <c r="W43" s="2343"/>
      <c r="X43" s="340"/>
      <c r="Y43" s="2344"/>
      <c r="AA43" s="1668"/>
      <c r="AB43" s="340"/>
      <c r="AC43" s="2344"/>
    </row>
    <row r="44" spans="1:29" s="457" customFormat="1" hidden="1" x14ac:dyDescent="0.25">
      <c r="A44" s="2227"/>
      <c r="B44" s="2385" t="s">
        <v>83</v>
      </c>
      <c r="C44" s="2215" t="s">
        <v>76</v>
      </c>
      <c r="D44" s="340">
        <v>0</v>
      </c>
      <c r="E44" s="899" t="str">
        <f>TEXT('MYP Assumptions'!$D$57,"0.00%")&amp;", STRS rate"</f>
        <v>12.58%, STRS rate</v>
      </c>
      <c r="F44" s="340"/>
      <c r="G44" s="456" t="str">
        <f t="shared" ref="G44:G53" si="17">IF(D44=0,"0.00%",(H44-D44)/D44)</f>
        <v>0.00%</v>
      </c>
      <c r="H44" s="340">
        <f>ROUND(H30*LEFT(I44,6),0)</f>
        <v>0</v>
      </c>
      <c r="I44" s="899" t="str">
        <f>TEXT('MYP Assumptions'!E57,"0.00%")&amp;", projected STRS rate"</f>
        <v>14.43%, projected STRS rate</v>
      </c>
      <c r="J44" s="455"/>
      <c r="K44" s="456" t="str">
        <f t="shared" ref="K44:K53" si="18">IF(H44=0,"0.00%",(L44-H44)/H44)</f>
        <v>0.00%</v>
      </c>
      <c r="L44" s="340">
        <f>ROUND(L30*LEFT(M44,6),0)</f>
        <v>0</v>
      </c>
      <c r="M44" s="899" t="str">
        <f>TEXT('MYP Assumptions'!F57,"0.00%")&amp;", projected STRS rate"</f>
        <v>16.28%, projected STRS rate</v>
      </c>
      <c r="O44" s="456" t="str">
        <f t="shared" ref="O44:O53" si="19">IF(L44=0,"0.00%",(P44-L44)/L44)</f>
        <v>0.00%</v>
      </c>
      <c r="P44" s="340">
        <f>ROUND(P30*LEFT(Q44,6),0)</f>
        <v>0</v>
      </c>
      <c r="Q44" s="899" t="str">
        <f>TEXT('MYP Assumptions'!G57,"0.00%")&amp;", projected STRS rate"</f>
        <v>18.13%, projected STRS rate</v>
      </c>
      <c r="R44" s="592"/>
      <c r="S44" s="2238" t="str">
        <f t="shared" ref="S44:S53" si="20">IF(P44=0,"0.00%",(T44-P44)/P44)</f>
        <v>0.00%</v>
      </c>
      <c r="T44" s="340">
        <f>ROUND(T30*LEFT(U44,6),0)</f>
        <v>0</v>
      </c>
      <c r="U44" s="953" t="str">
        <f>TEXT('MYP Assumptions'!H57,"0.00%")&amp;", projected STRS rate"</f>
        <v>19.10%, projected STRS rate</v>
      </c>
      <c r="V44" s="952"/>
      <c r="W44" s="2241" t="str">
        <f t="shared" ref="W44:W53" si="21">IF(T44=0,"0.00%",(X44-T44)/T44)</f>
        <v>0.00%</v>
      </c>
      <c r="X44" s="340">
        <f>ROUND(X30*LEFT(Y44,6),0)</f>
        <v>0</v>
      </c>
      <c r="Y44" s="953" t="str">
        <f>TEXT('MYP Assumptions'!I57,"0.00%")&amp;", projected STRS rate"</f>
        <v>19.10%, projected STRS rate</v>
      </c>
      <c r="AA44" s="456" t="str">
        <f t="shared" ref="AA44:AA53" si="22">IF(X44=0,"0.00%",(AB44-X44)/X44)</f>
        <v>0.00%</v>
      </c>
      <c r="AB44" s="340" t="e">
        <f>ROUND(AB30*LEFT(AC44,6),0)</f>
        <v>#VALUE!</v>
      </c>
      <c r="AC44" s="953" t="str">
        <f>TEXT('MYP Assumptions'!J57,"0.00%")&amp;", projected STRS rate"</f>
        <v>0.00%, projected STRS rate</v>
      </c>
    </row>
    <row r="45" spans="1:29" s="457" customFormat="1" hidden="1" x14ac:dyDescent="0.25">
      <c r="A45" s="2227"/>
      <c r="B45" s="2385" t="s">
        <v>84</v>
      </c>
      <c r="C45" s="2215" t="s">
        <v>77</v>
      </c>
      <c r="D45" s="340">
        <v>0</v>
      </c>
      <c r="E45" s="899" t="str">
        <f>TEXT('MYP Assumptions'!$D$58,"0.00%")&amp;", PERS rate"</f>
        <v>13.89%, PERS rate</v>
      </c>
      <c r="F45" s="340"/>
      <c r="G45" s="456" t="str">
        <f t="shared" si="17"/>
        <v>0.00%</v>
      </c>
      <c r="H45" s="340">
        <f>ROUND(H41*LEFT(I45,6),0)</f>
        <v>0</v>
      </c>
      <c r="I45" s="899" t="str">
        <f>TEXT('MYP Assumptions'!E58,"0.00%")&amp;", projected PERS rate"</f>
        <v>15.53%, projected PERS rate</v>
      </c>
      <c r="J45" s="455"/>
      <c r="K45" s="456" t="str">
        <f t="shared" si="18"/>
        <v>0.00%</v>
      </c>
      <c r="L45" s="340">
        <f>ROUND(L41*LEFT(M45,6),0)</f>
        <v>0</v>
      </c>
      <c r="M45" s="899" t="str">
        <f>TEXT('MYP Assumptions'!F58,"0.00%")&amp;", projected PERS rate"</f>
        <v>18.06%, projected PERS rate</v>
      </c>
      <c r="O45" s="456" t="str">
        <f t="shared" si="19"/>
        <v>0.00%</v>
      </c>
      <c r="P45" s="340">
        <f>ROUND(P41*LEFT(Q45,6),0)</f>
        <v>0</v>
      </c>
      <c r="Q45" s="899" t="str">
        <f>TEXT('MYP Assumptions'!G58,"0.00%")&amp;", projected PERS rate"</f>
        <v>20.80%, projected PERS rate</v>
      </c>
      <c r="R45" s="592"/>
      <c r="S45" s="2238" t="str">
        <f t="shared" si="20"/>
        <v>0.00%</v>
      </c>
      <c r="T45" s="340">
        <f>ROUND(T41*LEFT(U45,6),0)</f>
        <v>0</v>
      </c>
      <c r="U45" s="953" t="str">
        <f>TEXT('MYP Assumptions'!H58,"0.00%")&amp;", projected PERS rate"</f>
        <v>23.50%, projected PERS rate</v>
      </c>
      <c r="V45" s="952"/>
      <c r="W45" s="2241" t="str">
        <f t="shared" si="21"/>
        <v>0.00%</v>
      </c>
      <c r="X45" s="340">
        <f>ROUND(X41*LEFT(Y45,6),0)</f>
        <v>0</v>
      </c>
      <c r="Y45" s="953" t="str">
        <f>TEXT('MYP Assumptions'!I58,"0.00%")&amp;", projected PERS rate"</f>
        <v>24.60%, projected PERS rate</v>
      </c>
      <c r="AA45" s="456" t="str">
        <f t="shared" si="22"/>
        <v>0.00%</v>
      </c>
      <c r="AB45" s="340" t="e">
        <f>ROUND(AB41*LEFT(AC45,6),0)</f>
        <v>#VALUE!</v>
      </c>
      <c r="AC45" s="953" t="str">
        <f>TEXT('MYP Assumptions'!J58,"0.00%")&amp;", projected PERS rate"</f>
        <v>0.00%, projected PERS rate</v>
      </c>
    </row>
    <row r="46" spans="1:29" s="457" customFormat="1" hidden="1" x14ac:dyDescent="0.25">
      <c r="A46" s="2227"/>
      <c r="B46" s="2385" t="s">
        <v>85</v>
      </c>
      <c r="C46" s="2215" t="s">
        <v>78</v>
      </c>
      <c r="D46" s="340">
        <v>0</v>
      </c>
      <c r="E46" s="899" t="str">
        <f>TEXT('MYP Assumptions'!$D$60,"0.00%")&amp;", SS rate"</f>
        <v>6.20%, SS rate</v>
      </c>
      <c r="F46" s="340"/>
      <c r="G46" s="456" t="str">
        <f t="shared" si="17"/>
        <v>0.00%</v>
      </c>
      <c r="H46" s="340">
        <f>ROUND(H41*LEFT(I46,5),0)</f>
        <v>0</v>
      </c>
      <c r="I46" s="899" t="str">
        <f>TEXT('MYP Assumptions'!E60,"0.00%")&amp;", no rate change"</f>
        <v>6.20%, no rate change</v>
      </c>
      <c r="J46" s="455"/>
      <c r="K46" s="456" t="str">
        <f t="shared" si="18"/>
        <v>0.00%</v>
      </c>
      <c r="L46" s="340">
        <f>ROUND(L41*LEFT(M46,5),0)</f>
        <v>0</v>
      </c>
      <c r="M46" s="899" t="str">
        <f>TEXT('MYP Assumptions'!F60,"0.00%")&amp;", no rate change"</f>
        <v>6.20%, no rate change</v>
      </c>
      <c r="O46" s="456" t="str">
        <f t="shared" si="19"/>
        <v>0.00%</v>
      </c>
      <c r="P46" s="340">
        <f>ROUND(P41*LEFT(Q46,5),0)</f>
        <v>0</v>
      </c>
      <c r="Q46" s="899" t="str">
        <f>TEXT('MYP Assumptions'!G60,"0.00%")&amp;", no rate change"</f>
        <v>6.20%, no rate change</v>
      </c>
      <c r="R46" s="592"/>
      <c r="S46" s="2238" t="str">
        <f t="shared" si="20"/>
        <v>0.00%</v>
      </c>
      <c r="T46" s="340">
        <f>ROUND(T41*LEFT(U46,5),0)</f>
        <v>0</v>
      </c>
      <c r="U46" s="953" t="str">
        <f>TEXT('MYP Assumptions'!H60,"0.00%")&amp;", no rate change"</f>
        <v>6.20%, no rate change</v>
      </c>
      <c r="V46" s="952"/>
      <c r="W46" s="2241" t="str">
        <f t="shared" si="21"/>
        <v>0.00%</v>
      </c>
      <c r="X46" s="340">
        <f>ROUND(X41*LEFT(Y46,5),0)</f>
        <v>0</v>
      </c>
      <c r="Y46" s="953" t="str">
        <f>TEXT('MYP Assumptions'!I60,"0.00%")&amp;", no rate change"</f>
        <v>6.20%, no rate change</v>
      </c>
      <c r="AA46" s="456" t="str">
        <f t="shared" si="22"/>
        <v>0.00%</v>
      </c>
      <c r="AB46" s="340">
        <f>ROUND(AB41*LEFT(AC46,5),0)</f>
        <v>0</v>
      </c>
      <c r="AC46" s="953" t="str">
        <f>TEXT('MYP Assumptions'!J60,"0.00%")&amp;", no rate change"</f>
        <v>0.00%, no rate change</v>
      </c>
    </row>
    <row r="47" spans="1:29" s="457" customFormat="1" hidden="1" x14ac:dyDescent="0.25">
      <c r="A47" s="2227"/>
      <c r="B47" s="2385" t="s">
        <v>86</v>
      </c>
      <c r="C47" s="2215" t="s">
        <v>79</v>
      </c>
      <c r="D47" s="340">
        <v>0</v>
      </c>
      <c r="E47" s="899" t="str">
        <f>TEXT('MYP Assumptions'!$D$61,"0.00%")&amp;", Medicare rate"</f>
        <v>1.45%, Medicare rate</v>
      </c>
      <c r="F47" s="340"/>
      <c r="G47" s="456" t="str">
        <f t="shared" si="17"/>
        <v>0.00%</v>
      </c>
      <c r="H47" s="340">
        <f>ROUND((H41+H30)*LEFT(I47,5),0)</f>
        <v>0</v>
      </c>
      <c r="I47" s="899" t="str">
        <f>TEXT('MYP Assumptions'!E61,"0.00%")&amp;", no rate change"</f>
        <v>1.45%, no rate change</v>
      </c>
      <c r="J47" s="455"/>
      <c r="K47" s="456" t="str">
        <f t="shared" si="18"/>
        <v>0.00%</v>
      </c>
      <c r="L47" s="340">
        <f>ROUND((L41+L30)*LEFT(M47,5),0)</f>
        <v>0</v>
      </c>
      <c r="M47" s="899" t="str">
        <f>TEXT('MYP Assumptions'!F61,"0.00%")&amp;", no rate change"</f>
        <v>1.45%, no rate change</v>
      </c>
      <c r="O47" s="456" t="str">
        <f t="shared" si="19"/>
        <v>0.00%</v>
      </c>
      <c r="P47" s="340">
        <f>ROUND((P41+P30)*LEFT(Q47,5),0)</f>
        <v>0</v>
      </c>
      <c r="Q47" s="899" t="str">
        <f>TEXT('MYP Assumptions'!G61,"0.00%")&amp;", no rate change"</f>
        <v>1.45%, no rate change</v>
      </c>
      <c r="R47" s="592"/>
      <c r="S47" s="2238" t="str">
        <f t="shared" si="20"/>
        <v>0.00%</v>
      </c>
      <c r="T47" s="340">
        <f>ROUND((T41+T30)*LEFT(U47,5),0)</f>
        <v>0</v>
      </c>
      <c r="U47" s="953" t="str">
        <f>TEXT('MYP Assumptions'!H61,"0.00%")&amp;", no rate change"</f>
        <v>1.45%, no rate change</v>
      </c>
      <c r="V47" s="952"/>
      <c r="W47" s="2241" t="str">
        <f t="shared" si="21"/>
        <v>0.00%</v>
      </c>
      <c r="X47" s="340">
        <f>ROUND((X41+X30)*LEFT(Y47,5),0)</f>
        <v>0</v>
      </c>
      <c r="Y47" s="953" t="str">
        <f>TEXT('MYP Assumptions'!I61,"0.00%")&amp;", no rate change"</f>
        <v>1.45%, no rate change</v>
      </c>
      <c r="AA47" s="456" t="str">
        <f t="shared" si="22"/>
        <v>0.00%</v>
      </c>
      <c r="AB47" s="340">
        <f>ROUND((AB41+AB30)*LEFT(AC47,5),0)</f>
        <v>0</v>
      </c>
      <c r="AC47" s="953" t="str">
        <f>TEXT('MYP Assumptions'!J61,"0.00%")&amp;", no rate change"</f>
        <v>0.00%, no rate change</v>
      </c>
    </row>
    <row r="48" spans="1:29" s="457" customFormat="1" hidden="1" x14ac:dyDescent="0.25">
      <c r="A48" s="2227"/>
      <c r="B48" s="2385" t="s">
        <v>87</v>
      </c>
      <c r="C48" s="2215" t="s">
        <v>80</v>
      </c>
      <c r="D48" s="340">
        <v>0</v>
      </c>
      <c r="E48" s="899"/>
      <c r="F48" s="340"/>
      <c r="G48" s="456" t="str">
        <f t="shared" si="17"/>
        <v>0.00%</v>
      </c>
      <c r="H48" s="340">
        <f>ROUND((D48)*(LEFT(I48,5)+1),0)</f>
        <v>0</v>
      </c>
      <c r="I48" s="899" t="str">
        <f>TEXT('MYP Assumptions'!$I$68,"0.00%")&amp;", projected increase"</f>
        <v>5.00%, projected increase</v>
      </c>
      <c r="J48" s="455"/>
      <c r="K48" s="456" t="str">
        <f t="shared" si="18"/>
        <v>0.00%</v>
      </c>
      <c r="L48" s="340">
        <f>ROUND((H48)*(LEFT(M48,5)+1),0)</f>
        <v>0</v>
      </c>
      <c r="M48" s="899" t="str">
        <f>TEXT('MYP Assumptions'!$I$68,"0.00%")&amp;", projected increase"</f>
        <v>5.00%, projected increase</v>
      </c>
      <c r="O48" s="456" t="str">
        <f t="shared" si="19"/>
        <v>0.00%</v>
      </c>
      <c r="P48" s="340">
        <f>ROUND((L48)*(LEFT(Q48,5)+1),0)</f>
        <v>0</v>
      </c>
      <c r="Q48" s="899" t="str">
        <f>TEXT('MYP Assumptions'!$I$68,"0.00%")&amp;", projected increase"</f>
        <v>5.00%, projected increase</v>
      </c>
      <c r="R48" s="592"/>
      <c r="S48" s="2238" t="str">
        <f t="shared" si="20"/>
        <v>0.00%</v>
      </c>
      <c r="T48" s="340">
        <f>ROUND((P48)*(LEFT(U48,5)+1),0)</f>
        <v>0</v>
      </c>
      <c r="U48" s="953" t="str">
        <f>TEXT('MYP Assumptions'!$I$68,"0.00%")&amp;", projected increase"</f>
        <v>5.00%, projected increase</v>
      </c>
      <c r="V48" s="952"/>
      <c r="W48" s="2241" t="str">
        <f t="shared" si="21"/>
        <v>0.00%</v>
      </c>
      <c r="X48" s="340">
        <f>ROUND((T48)*(LEFT(Y48,5)+1),0)</f>
        <v>0</v>
      </c>
      <c r="Y48" s="953" t="str">
        <f>TEXT('MYP Assumptions'!$I$68,"0.00%")&amp;", projected increase"</f>
        <v>5.00%, projected increase</v>
      </c>
      <c r="AA48" s="456" t="str">
        <f t="shared" si="22"/>
        <v>0.00%</v>
      </c>
      <c r="AB48" s="340">
        <f>ROUND((X48)*(LEFT(AC48,5)+1),0)</f>
        <v>0</v>
      </c>
      <c r="AC48" s="953" t="str">
        <f>TEXT('MYP Assumptions'!$I$68,"0.00%")&amp;", projected increase"</f>
        <v>5.00%, projected increase</v>
      </c>
    </row>
    <row r="49" spans="1:29" s="457" customFormat="1" hidden="1" x14ac:dyDescent="0.25">
      <c r="A49" s="2227"/>
      <c r="B49" s="2385" t="s">
        <v>88</v>
      </c>
      <c r="C49" s="2215" t="s">
        <v>81</v>
      </c>
      <c r="D49" s="340">
        <v>0</v>
      </c>
      <c r="E49" s="899" t="str">
        <f>TEXT('MYP Assumptions'!$D$62,"0.00%")&amp;", SUI rate"</f>
        <v>0.05%, SUI rate</v>
      </c>
      <c r="F49" s="340"/>
      <c r="G49" s="456" t="str">
        <f t="shared" si="17"/>
        <v>0.00%</v>
      </c>
      <c r="H49" s="340">
        <f>ROUND((H41+H30)*LEFT(I49,5),0)</f>
        <v>0</v>
      </c>
      <c r="I49" s="899" t="str">
        <f>TEXT('MYP Assumptions'!E62,"0.00%")&amp;", no rate change"</f>
        <v>0.05%, no rate change</v>
      </c>
      <c r="J49" s="455"/>
      <c r="K49" s="456" t="str">
        <f t="shared" si="18"/>
        <v>0.00%</v>
      </c>
      <c r="L49" s="340">
        <f>ROUND((L41+L30)*LEFT(M49,5),0)</f>
        <v>0</v>
      </c>
      <c r="M49" s="899" t="str">
        <f>TEXT('MYP Assumptions'!F62,"0.00%")&amp;", no rate change"</f>
        <v>0.05%, no rate change</v>
      </c>
      <c r="O49" s="456" t="str">
        <f t="shared" si="19"/>
        <v>0.00%</v>
      </c>
      <c r="P49" s="340">
        <f>ROUND((P41+P30)*LEFT(Q49,5),0)</f>
        <v>0</v>
      </c>
      <c r="Q49" s="899" t="str">
        <f>TEXT('MYP Assumptions'!G62,"0.00%")&amp;", no rate change"</f>
        <v>0.05%, no rate change</v>
      </c>
      <c r="R49" s="592"/>
      <c r="S49" s="2238" t="str">
        <f t="shared" si="20"/>
        <v>0.00%</v>
      </c>
      <c r="T49" s="340">
        <f>ROUND((T41+T30)*LEFT(U49,5),0)</f>
        <v>0</v>
      </c>
      <c r="U49" s="953" t="str">
        <f>TEXT('MYP Assumptions'!H62,"0.00%")&amp;", no rate change"</f>
        <v>0.05%, no rate change</v>
      </c>
      <c r="V49" s="952"/>
      <c r="W49" s="2241" t="str">
        <f t="shared" si="21"/>
        <v>0.00%</v>
      </c>
      <c r="X49" s="340">
        <f>ROUND((X41+X30)*LEFT(Y49,5),0)</f>
        <v>0</v>
      </c>
      <c r="Y49" s="953" t="str">
        <f>TEXT('MYP Assumptions'!I62,"0.00%")&amp;", no rate change"</f>
        <v>0.05%, no rate change</v>
      </c>
      <c r="AA49" s="456" t="str">
        <f t="shared" si="22"/>
        <v>0.00%</v>
      </c>
      <c r="AB49" s="340">
        <f>ROUND((AB41+AB30)*LEFT(AC49,5),0)</f>
        <v>0</v>
      </c>
      <c r="AC49" s="953" t="str">
        <f>TEXT('MYP Assumptions'!J62,"0.00%")&amp;", no rate change"</f>
        <v>0.00%, no rate change</v>
      </c>
    </row>
    <row r="50" spans="1:29" s="457" customFormat="1" hidden="1" x14ac:dyDescent="0.25">
      <c r="A50" s="2227"/>
      <c r="B50" s="2385" t="s">
        <v>89</v>
      </c>
      <c r="C50" s="2215" t="s">
        <v>82</v>
      </c>
      <c r="D50" s="340">
        <v>0</v>
      </c>
      <c r="E50" s="899" t="str">
        <f>TEXT('MYP Assumptions'!$D$63,"0.00%")&amp;", W/C rate"</f>
        <v>1.10%, W/C rate</v>
      </c>
      <c r="F50" s="340"/>
      <c r="G50" s="456" t="str">
        <f t="shared" si="17"/>
        <v>0.00%</v>
      </c>
      <c r="H50" s="340">
        <f>ROUND((H41+H30)*LEFT(I50,5),0)</f>
        <v>0</v>
      </c>
      <c r="I50" s="899" t="str">
        <f>TEXT('MYP Assumptions'!E63,"0.00%")&amp;", no rate change"</f>
        <v>0.80%, no rate change</v>
      </c>
      <c r="J50" s="455"/>
      <c r="K50" s="456" t="str">
        <f t="shared" si="18"/>
        <v>0.00%</v>
      </c>
      <c r="L50" s="340">
        <f>ROUND((L41+L30)*LEFT(M50,5),0)</f>
        <v>0</v>
      </c>
      <c r="M50" s="899" t="str">
        <f>TEXT('MYP Assumptions'!F63,"0.00%")&amp;", no rate change"</f>
        <v>0.80%, no rate change</v>
      </c>
      <c r="O50" s="456" t="str">
        <f t="shared" si="19"/>
        <v>0.00%</v>
      </c>
      <c r="P50" s="340">
        <f>ROUND((P41+P30)*LEFT(Q50,5),0)</f>
        <v>0</v>
      </c>
      <c r="Q50" s="899" t="str">
        <f>TEXT('MYP Assumptions'!G63,"0.00%")&amp;", no rate change"</f>
        <v>0.80%, no rate change</v>
      </c>
      <c r="R50" s="592"/>
      <c r="S50" s="2238" t="str">
        <f t="shared" si="20"/>
        <v>0.00%</v>
      </c>
      <c r="T50" s="340">
        <f>ROUND((T41+T30)*LEFT(U50,5),0)</f>
        <v>0</v>
      </c>
      <c r="U50" s="953" t="str">
        <f>TEXT('MYP Assumptions'!H63,"0.00%")&amp;", no rate change"</f>
        <v>0.80%, no rate change</v>
      </c>
      <c r="V50" s="952"/>
      <c r="W50" s="2241" t="str">
        <f t="shared" si="21"/>
        <v>0.00%</v>
      </c>
      <c r="X50" s="340">
        <f>ROUND((X41+X30)*LEFT(Y50,5),0)</f>
        <v>0</v>
      </c>
      <c r="Y50" s="953" t="str">
        <f>TEXT('MYP Assumptions'!I63,"0.00%")&amp;", no rate change"</f>
        <v>0.80%, no rate change</v>
      </c>
      <c r="AA50" s="456" t="str">
        <f t="shared" si="22"/>
        <v>0.00%</v>
      </c>
      <c r="AB50" s="340">
        <f>ROUND((AB41+AB30)*LEFT(AC50,5),0)</f>
        <v>0</v>
      </c>
      <c r="AC50" s="953" t="str">
        <f>TEXT('MYP Assumptions'!J63,"0.00%")&amp;", no rate change"</f>
        <v>0.00%, no rate change</v>
      </c>
    </row>
    <row r="51" spans="1:29" s="457" customFormat="1" hidden="1" x14ac:dyDescent="0.25">
      <c r="A51" s="2227"/>
      <c r="B51" s="2385" t="s">
        <v>90</v>
      </c>
      <c r="C51" s="2215" t="s">
        <v>92</v>
      </c>
      <c r="D51" s="340">
        <v>0</v>
      </c>
      <c r="E51" s="2386"/>
      <c r="F51" s="340"/>
      <c r="G51" s="456" t="str">
        <f t="shared" si="17"/>
        <v>0.00%</v>
      </c>
      <c r="H51" s="340">
        <f>D51</f>
        <v>0</v>
      </c>
      <c r="I51" s="899" t="s">
        <v>165</v>
      </c>
      <c r="J51" s="455"/>
      <c r="K51" s="456" t="str">
        <f t="shared" si="18"/>
        <v>0.00%</v>
      </c>
      <c r="L51" s="340">
        <f>H51</f>
        <v>0</v>
      </c>
      <c r="M51" s="899" t="s">
        <v>165</v>
      </c>
      <c r="O51" s="456" t="str">
        <f t="shared" si="19"/>
        <v>0.00%</v>
      </c>
      <c r="P51" s="340">
        <f>L51</f>
        <v>0</v>
      </c>
      <c r="Q51" s="899" t="s">
        <v>165</v>
      </c>
      <c r="R51" s="592"/>
      <c r="S51" s="2238" t="str">
        <f t="shared" si="20"/>
        <v>0.00%</v>
      </c>
      <c r="T51" s="340">
        <f>P51</f>
        <v>0</v>
      </c>
      <c r="U51" s="953" t="s">
        <v>165</v>
      </c>
      <c r="V51" s="952"/>
      <c r="W51" s="2241" t="str">
        <f t="shared" si="21"/>
        <v>0.00%</v>
      </c>
      <c r="X51" s="340">
        <f>T51</f>
        <v>0</v>
      </c>
      <c r="Y51" s="953" t="s">
        <v>165</v>
      </c>
      <c r="AA51" s="456" t="str">
        <f t="shared" si="22"/>
        <v>0.00%</v>
      </c>
      <c r="AB51" s="340">
        <f>X51</f>
        <v>0</v>
      </c>
      <c r="AC51" s="953" t="s">
        <v>165</v>
      </c>
    </row>
    <row r="52" spans="1:29" s="457" customFormat="1" hidden="1" x14ac:dyDescent="0.25">
      <c r="A52" s="2227"/>
      <c r="B52" s="2385" t="s">
        <v>91</v>
      </c>
      <c r="C52" s="2215" t="s">
        <v>93</v>
      </c>
      <c r="D52" s="340">
        <v>0</v>
      </c>
      <c r="E52" s="2386"/>
      <c r="F52" s="340"/>
      <c r="G52" s="456" t="str">
        <f t="shared" si="17"/>
        <v>0.00%</v>
      </c>
      <c r="H52" s="340">
        <f>D52</f>
        <v>0</v>
      </c>
      <c r="I52" s="899" t="s">
        <v>165</v>
      </c>
      <c r="J52" s="455"/>
      <c r="K52" s="456" t="str">
        <f t="shared" si="18"/>
        <v>0.00%</v>
      </c>
      <c r="L52" s="340">
        <f>H52</f>
        <v>0</v>
      </c>
      <c r="M52" s="899" t="s">
        <v>165</v>
      </c>
      <c r="O52" s="456" t="str">
        <f t="shared" si="19"/>
        <v>0.00%</v>
      </c>
      <c r="P52" s="340">
        <f>L52</f>
        <v>0</v>
      </c>
      <c r="Q52" s="899" t="s">
        <v>165</v>
      </c>
      <c r="R52" s="592"/>
      <c r="S52" s="2238" t="str">
        <f t="shared" si="20"/>
        <v>0.00%</v>
      </c>
      <c r="T52" s="340">
        <f>P52</f>
        <v>0</v>
      </c>
      <c r="U52" s="953" t="s">
        <v>165</v>
      </c>
      <c r="V52" s="952"/>
      <c r="W52" s="2241" t="str">
        <f t="shared" si="21"/>
        <v>0.00%</v>
      </c>
      <c r="X52" s="340">
        <f>T52</f>
        <v>0</v>
      </c>
      <c r="Y52" s="953" t="s">
        <v>165</v>
      </c>
      <c r="AA52" s="456" t="str">
        <f t="shared" si="22"/>
        <v>0.00%</v>
      </c>
      <c r="AB52" s="340">
        <f>X52</f>
        <v>0</v>
      </c>
      <c r="AC52" s="953" t="s">
        <v>165</v>
      </c>
    </row>
    <row r="53" spans="1:29" s="457" customFormat="1" hidden="1" x14ac:dyDescent="0.25">
      <c r="A53" s="2228"/>
      <c r="B53" s="2385"/>
      <c r="C53" s="2215"/>
      <c r="D53" s="458">
        <f>SUM(D44:D52)</f>
        <v>0</v>
      </c>
      <c r="E53" s="2386"/>
      <c r="F53" s="340"/>
      <c r="G53" s="456" t="str">
        <f t="shared" si="17"/>
        <v>0.00%</v>
      </c>
      <c r="H53" s="458">
        <f>SUM(H44:H52)</f>
        <v>0</v>
      </c>
      <c r="I53" s="898"/>
      <c r="J53" s="459"/>
      <c r="K53" s="456" t="str">
        <f t="shared" si="18"/>
        <v>0.00%</v>
      </c>
      <c r="L53" s="458">
        <f>SUM(L44:L52)</f>
        <v>0</v>
      </c>
      <c r="M53" s="901"/>
      <c r="O53" s="456" t="str">
        <f t="shared" si="19"/>
        <v>0.00%</v>
      </c>
      <c r="P53" s="458">
        <f>SUM(P44:P52)</f>
        <v>0</v>
      </c>
      <c r="Q53" s="901"/>
      <c r="R53" s="592"/>
      <c r="S53" s="2238" t="str">
        <f t="shared" si="20"/>
        <v>0.00%</v>
      </c>
      <c r="T53" s="458">
        <f>SUM(T44:T52)</f>
        <v>0</v>
      </c>
      <c r="U53" s="2344"/>
      <c r="V53" s="952"/>
      <c r="W53" s="2241" t="str">
        <f t="shared" si="21"/>
        <v>0.00%</v>
      </c>
      <c r="X53" s="458">
        <f>SUM(X44:X52)</f>
        <v>0</v>
      </c>
      <c r="Y53" s="2344"/>
      <c r="AA53" s="456" t="str">
        <f t="shared" si="22"/>
        <v>0.00%</v>
      </c>
      <c r="AB53" s="458" t="e">
        <f>SUM(AB44:AB52)</f>
        <v>#VALUE!</v>
      </c>
      <c r="AC53" s="2344"/>
    </row>
    <row r="54" spans="1:29" s="457" customFormat="1" x14ac:dyDescent="0.25">
      <c r="A54" s="2229"/>
      <c r="B54" s="2385"/>
      <c r="C54" s="2215"/>
      <c r="D54" s="340"/>
      <c r="E54" s="2386"/>
      <c r="F54" s="340"/>
      <c r="G54" s="2338"/>
      <c r="H54" s="340"/>
      <c r="I54" s="897"/>
      <c r="J54" s="455"/>
      <c r="K54" s="1668"/>
      <c r="L54" s="340"/>
      <c r="M54" s="901"/>
      <c r="O54" s="1668"/>
      <c r="P54" s="340"/>
      <c r="Q54" s="901"/>
      <c r="R54" s="592"/>
      <c r="S54" s="2341"/>
      <c r="T54" s="340"/>
      <c r="U54" s="2344"/>
      <c r="V54" s="952"/>
      <c r="W54" s="2343"/>
      <c r="X54" s="340"/>
      <c r="Y54" s="2344"/>
      <c r="AA54" s="1668"/>
      <c r="AB54" s="340"/>
      <c r="AC54" s="2344"/>
    </row>
    <row r="55" spans="1:29" s="457" customFormat="1" x14ac:dyDescent="0.25">
      <c r="A55" s="2228"/>
      <c r="B55" s="2337" t="s">
        <v>26</v>
      </c>
      <c r="C55" s="2215"/>
      <c r="D55" s="458">
        <f>SUM(D53,D41,D30)</f>
        <v>0</v>
      </c>
      <c r="E55" s="2386"/>
      <c r="F55" s="340"/>
      <c r="G55" s="456" t="str">
        <f>IF(D55=0,"0.00%",(H55-D55)/D55)</f>
        <v>0.00%</v>
      </c>
      <c r="H55" s="458">
        <f>SUM(H53,H41,H30)</f>
        <v>0</v>
      </c>
      <c r="I55" s="898"/>
      <c r="J55" s="459"/>
      <c r="K55" s="456" t="str">
        <f>IF(H55=0,"0.00%",(L55-H55)/H55)</f>
        <v>0.00%</v>
      </c>
      <c r="L55" s="458">
        <f>SUM(L53,L41,L30)</f>
        <v>0</v>
      </c>
      <c r="M55" s="901"/>
      <c r="O55" s="456" t="str">
        <f>IF(L55=0,"0.00%",(P55-L55)/L55)</f>
        <v>0.00%</v>
      </c>
      <c r="P55" s="458">
        <f>SUM(P53,P41,P30)</f>
        <v>0</v>
      </c>
      <c r="Q55" s="901"/>
      <c r="R55" s="592"/>
      <c r="S55" s="2238" t="str">
        <f>IF(P55=0,"0.00%",(T55-P55)/P55)</f>
        <v>0.00%</v>
      </c>
      <c r="T55" s="458">
        <f>SUM(T53,T41,T30)</f>
        <v>0</v>
      </c>
      <c r="U55" s="2344"/>
      <c r="V55" s="952"/>
      <c r="W55" s="2241" t="str">
        <f>IF(T55=0,"0.00%",(X55-T55)/T55)</f>
        <v>0.00%</v>
      </c>
      <c r="X55" s="458">
        <f>SUM(X53,X41,X30)</f>
        <v>0</v>
      </c>
      <c r="Y55" s="2344"/>
      <c r="AA55" s="456" t="str">
        <f>IF(X55=0,"0.00%",(AB55-X55)/X55)</f>
        <v>0.00%</v>
      </c>
      <c r="AB55" s="458" t="e">
        <f>SUM(AB53,AB41,AB30)</f>
        <v>#VALUE!</v>
      </c>
      <c r="AC55" s="2344"/>
    </row>
    <row r="56" spans="1:29" s="457" customFormat="1" x14ac:dyDescent="0.25">
      <c r="A56" s="2230"/>
      <c r="B56" s="2345"/>
      <c r="C56" s="2215"/>
      <c r="D56" s="340"/>
      <c r="E56" s="2386"/>
      <c r="F56" s="340"/>
      <c r="G56" s="2338"/>
      <c r="H56" s="340"/>
      <c r="I56" s="897"/>
      <c r="J56" s="455"/>
      <c r="K56" s="1668"/>
      <c r="L56" s="340"/>
      <c r="M56" s="901"/>
      <c r="O56" s="1668"/>
      <c r="P56" s="340"/>
      <c r="Q56" s="901"/>
      <c r="R56" s="592"/>
      <c r="S56" s="2341"/>
      <c r="T56" s="340"/>
      <c r="U56" s="2344"/>
      <c r="V56" s="952"/>
      <c r="W56" s="2343"/>
      <c r="X56" s="340"/>
      <c r="Y56" s="2344"/>
      <c r="AA56" s="1668"/>
      <c r="AB56" s="340"/>
      <c r="AC56" s="2344"/>
    </row>
    <row r="57" spans="1:29" s="457" customFormat="1" x14ac:dyDescent="0.25">
      <c r="A57" s="2227"/>
      <c r="B57" s="2345"/>
      <c r="C57" s="2215"/>
      <c r="D57" s="340"/>
      <c r="E57" s="2386"/>
      <c r="F57" s="340"/>
      <c r="G57" s="2338"/>
      <c r="H57" s="340"/>
      <c r="I57" s="897"/>
      <c r="J57" s="455"/>
      <c r="K57" s="1668"/>
      <c r="L57" s="340"/>
      <c r="M57" s="901"/>
      <c r="O57" s="1668"/>
      <c r="P57" s="340"/>
      <c r="Q57" s="901"/>
      <c r="R57" s="592"/>
      <c r="S57" s="2341"/>
      <c r="T57" s="340"/>
      <c r="U57" s="2344"/>
      <c r="V57" s="952"/>
      <c r="W57" s="2343"/>
      <c r="X57" s="340"/>
      <c r="Y57" s="2344"/>
      <c r="AA57" s="1668"/>
      <c r="AB57" s="340"/>
      <c r="AC57" s="2344"/>
    </row>
    <row r="58" spans="1:29" s="457" customFormat="1" x14ac:dyDescent="0.25">
      <c r="A58" s="2230"/>
      <c r="B58" s="2440" t="s">
        <v>25</v>
      </c>
      <c r="C58" s="2225"/>
      <c r="D58" s="340"/>
      <c r="E58" s="2386"/>
      <c r="F58" s="340"/>
      <c r="G58" s="2338"/>
      <c r="H58" s="340"/>
      <c r="I58" s="897"/>
      <c r="J58" s="455"/>
      <c r="K58" s="1668"/>
      <c r="L58" s="340"/>
      <c r="M58" s="901"/>
      <c r="O58" s="1668"/>
      <c r="P58" s="340"/>
      <c r="Q58" s="901"/>
      <c r="R58" s="592"/>
      <c r="S58" s="2341"/>
      <c r="T58" s="340"/>
      <c r="U58" s="2344"/>
      <c r="V58" s="952"/>
      <c r="W58" s="2343"/>
      <c r="X58" s="340"/>
      <c r="Y58" s="2344"/>
      <c r="AA58" s="1668"/>
      <c r="AB58" s="340"/>
      <c r="AC58" s="2344"/>
    </row>
    <row r="59" spans="1:29" s="457" customFormat="1" x14ac:dyDescent="0.25">
      <c r="A59" s="2227"/>
      <c r="B59" s="2385">
        <v>4400</v>
      </c>
      <c r="C59" s="2215" t="s">
        <v>1062</v>
      </c>
      <c r="D59" s="340">
        <v>0</v>
      </c>
      <c r="E59" s="2386"/>
      <c r="F59" s="340"/>
      <c r="G59" s="456" t="str">
        <f t="shared" ref="G59:G66" si="23">IF(D59=0,"0.00%",(H59-D59)/D59)</f>
        <v>0.00%</v>
      </c>
      <c r="H59" s="340">
        <v>1329.54</v>
      </c>
      <c r="I59" s="899" t="str">
        <f>TEXT('MYP Assumptions'!E78,"0.00%")&amp;", CPI"</f>
        <v>3.37%, CPI</v>
      </c>
      <c r="J59" s="455"/>
      <c r="K59" s="456">
        <f t="shared" ref="K59:K66" si="24">IF(H59=0,"0.00%",(L59-H59)/H59)</f>
        <v>-1</v>
      </c>
      <c r="L59" s="340">
        <v>0</v>
      </c>
      <c r="M59" s="899"/>
      <c r="O59" s="456" t="str">
        <f t="shared" ref="O59:O66" si="25">IF(L59=0,"0.00%",(P59-L59)/L59)</f>
        <v>0.00%</v>
      </c>
      <c r="P59" s="340">
        <v>0</v>
      </c>
      <c r="Q59" s="899"/>
      <c r="R59" s="592"/>
      <c r="S59" s="2238" t="str">
        <f t="shared" ref="S59:S66" si="26">IF(P59=0,"0.00%",(T59-P59)/P59)</f>
        <v>0.00%</v>
      </c>
      <c r="T59" s="340">
        <v>0</v>
      </c>
      <c r="U59" s="953"/>
      <c r="V59" s="952"/>
      <c r="W59" s="2241" t="str">
        <f t="shared" ref="W59:W66" si="27">IF(T59=0,"0.00%",(X59-T59)/T59)</f>
        <v>0.00%</v>
      </c>
      <c r="X59" s="340">
        <f>ROUND(T59*(LEFT(Y59,5)+1),0)</f>
        <v>0</v>
      </c>
      <c r="Y59" s="953" t="str">
        <f>TEXT('MYP Assumptions'!I78,"0.00%")&amp;", CPI"</f>
        <v>2.73%, CPI</v>
      </c>
      <c r="AA59" s="456" t="str">
        <f t="shared" ref="AA59:AA66" si="28">IF(X59=0,"0.00%",(AB59-X59)/X59)</f>
        <v>0.00%</v>
      </c>
      <c r="AB59" s="340">
        <f>ROUND(X59*(LEFT(AC59,5)+1),0)</f>
        <v>0</v>
      </c>
      <c r="AC59" s="953" t="str">
        <f>TEXT('MYP Assumptions'!J78,"0.00%")&amp;", CPI"</f>
        <v>2.73%, CPI</v>
      </c>
    </row>
    <row r="60" spans="1:29" s="457" customFormat="1" hidden="1" x14ac:dyDescent="0.25">
      <c r="A60" s="2227"/>
      <c r="B60" s="2385"/>
      <c r="C60" s="2215"/>
      <c r="D60" s="340">
        <v>0</v>
      </c>
      <c r="E60" s="2386"/>
      <c r="F60" s="340"/>
      <c r="G60" s="456" t="str">
        <f t="shared" si="23"/>
        <v>0.00%</v>
      </c>
      <c r="H60" s="340">
        <f t="shared" ref="H60:H65" si="29">ROUND(D60*(LEFT(I60,5)+1),0)</f>
        <v>0</v>
      </c>
      <c r="I60" s="899" t="str">
        <f>TEXT('MYP Assumptions'!E78,"0.00%")&amp;", CPI"</f>
        <v>3.37%, CPI</v>
      </c>
      <c r="J60" s="455"/>
      <c r="K60" s="456" t="str">
        <f t="shared" si="24"/>
        <v>0.00%</v>
      </c>
      <c r="L60" s="340">
        <f t="shared" ref="L60:L64" si="30">ROUND(H60*(LEFT(M60,5)+1),0)</f>
        <v>0</v>
      </c>
      <c r="M60" s="899" t="str">
        <f>TEXT('MYP Assumptions'!F78,"0.00%")&amp;", CPI"</f>
        <v>3.58%, CPI</v>
      </c>
      <c r="O60" s="456" t="str">
        <f t="shared" si="25"/>
        <v>0.00%</v>
      </c>
      <c r="P60" s="340">
        <f t="shared" ref="P60:P64" si="31">ROUND(L60*(LEFT(Q60,5)+1),0)</f>
        <v>0</v>
      </c>
      <c r="Q60" s="899" t="str">
        <f>TEXT('MYP Assumptions'!G78,"0.00%")&amp;", CPI"</f>
        <v>3.36%, CPI</v>
      </c>
      <c r="R60" s="592"/>
      <c r="S60" s="2238" t="str">
        <f t="shared" si="26"/>
        <v>0.00%</v>
      </c>
      <c r="T60" s="340">
        <f t="shared" ref="T60:T64" si="32">ROUND(P60*(LEFT(U60,5)+1),0)</f>
        <v>0</v>
      </c>
      <c r="U60" s="953" t="str">
        <f>TEXT('MYP Assumptions'!H78,"0.00%")&amp;", CPI"</f>
        <v>3.23%, CPI</v>
      </c>
      <c r="V60" s="952"/>
      <c r="W60" s="2241" t="str">
        <f t="shared" si="27"/>
        <v>0.00%</v>
      </c>
      <c r="X60" s="340">
        <f t="shared" ref="X60:X65" si="33">ROUND(T60*(LEFT(Y60,5)+1),0)</f>
        <v>0</v>
      </c>
      <c r="Y60" s="953" t="str">
        <f>TEXT('MYP Assumptions'!I78,"0.00%")&amp;", CPI"</f>
        <v>2.73%, CPI</v>
      </c>
      <c r="AA60" s="456" t="str">
        <f t="shared" si="28"/>
        <v>0.00%</v>
      </c>
      <c r="AB60" s="340">
        <f t="shared" ref="AB60:AB65" si="34">ROUND(X60*(LEFT(AC60,5)+1),0)</f>
        <v>0</v>
      </c>
      <c r="AC60" s="953" t="str">
        <f>TEXT('MYP Assumptions'!J78,"0.00%")&amp;", CPI"</f>
        <v>2.73%, CPI</v>
      </c>
    </row>
    <row r="61" spans="1:29" s="457" customFormat="1" hidden="1" x14ac:dyDescent="0.25">
      <c r="A61" s="2227"/>
      <c r="B61" s="2385"/>
      <c r="C61" s="2215"/>
      <c r="D61" s="340">
        <v>0</v>
      </c>
      <c r="E61" s="2386"/>
      <c r="F61" s="340"/>
      <c r="G61" s="456" t="str">
        <f t="shared" si="23"/>
        <v>0.00%</v>
      </c>
      <c r="H61" s="340">
        <f t="shared" si="29"/>
        <v>0</v>
      </c>
      <c r="I61" s="899" t="str">
        <f>TEXT('MYP Assumptions'!E78,"0.00%")&amp;", CPI"</f>
        <v>3.37%, CPI</v>
      </c>
      <c r="J61" s="455"/>
      <c r="K61" s="456" t="str">
        <f t="shared" si="24"/>
        <v>0.00%</v>
      </c>
      <c r="L61" s="340">
        <f t="shared" si="30"/>
        <v>0</v>
      </c>
      <c r="M61" s="899" t="str">
        <f>TEXT('MYP Assumptions'!F78,"0.00%")&amp;", CPI"</f>
        <v>3.58%, CPI</v>
      </c>
      <c r="O61" s="456" t="str">
        <f t="shared" si="25"/>
        <v>0.00%</v>
      </c>
      <c r="P61" s="340">
        <f t="shared" si="31"/>
        <v>0</v>
      </c>
      <c r="Q61" s="899" t="str">
        <f>TEXT('MYP Assumptions'!G78,"0.00%")&amp;", CPI"</f>
        <v>3.36%, CPI</v>
      </c>
      <c r="R61" s="592"/>
      <c r="S61" s="2238" t="str">
        <f t="shared" si="26"/>
        <v>0.00%</v>
      </c>
      <c r="T61" s="340">
        <f t="shared" si="32"/>
        <v>0</v>
      </c>
      <c r="U61" s="953" t="str">
        <f>TEXT('MYP Assumptions'!H78,"0.00%")&amp;", CPI"</f>
        <v>3.23%, CPI</v>
      </c>
      <c r="V61" s="952"/>
      <c r="W61" s="2241" t="str">
        <f t="shared" si="27"/>
        <v>0.00%</v>
      </c>
      <c r="X61" s="340">
        <f t="shared" si="33"/>
        <v>0</v>
      </c>
      <c r="Y61" s="953" t="str">
        <f>TEXT('MYP Assumptions'!I78,"0.00%")&amp;", CPI"</f>
        <v>2.73%, CPI</v>
      </c>
      <c r="AA61" s="456" t="str">
        <f t="shared" si="28"/>
        <v>0.00%</v>
      </c>
      <c r="AB61" s="340">
        <f t="shared" si="34"/>
        <v>0</v>
      </c>
      <c r="AC61" s="953" t="str">
        <f>TEXT('MYP Assumptions'!J78,"0.00%")&amp;", CPI"</f>
        <v>2.73%, CPI</v>
      </c>
    </row>
    <row r="62" spans="1:29" s="457" customFormat="1" hidden="1" x14ac:dyDescent="0.25">
      <c r="A62" s="2227"/>
      <c r="B62" s="2385"/>
      <c r="C62" s="2215"/>
      <c r="D62" s="340">
        <v>0</v>
      </c>
      <c r="E62" s="2386"/>
      <c r="F62" s="340"/>
      <c r="G62" s="456" t="str">
        <f t="shared" si="23"/>
        <v>0.00%</v>
      </c>
      <c r="H62" s="340">
        <f t="shared" si="29"/>
        <v>0</v>
      </c>
      <c r="I62" s="899" t="str">
        <f>TEXT('MYP Assumptions'!E78,"0.00%")&amp;", CPI"</f>
        <v>3.37%, CPI</v>
      </c>
      <c r="J62" s="455"/>
      <c r="K62" s="456" t="str">
        <f t="shared" si="24"/>
        <v>0.00%</v>
      </c>
      <c r="L62" s="340">
        <f t="shared" si="30"/>
        <v>0</v>
      </c>
      <c r="M62" s="899" t="str">
        <f>TEXT('MYP Assumptions'!F78,"0.00%")&amp;", CPI"</f>
        <v>3.58%, CPI</v>
      </c>
      <c r="O62" s="456" t="str">
        <f t="shared" si="25"/>
        <v>0.00%</v>
      </c>
      <c r="P62" s="340">
        <f t="shared" si="31"/>
        <v>0</v>
      </c>
      <c r="Q62" s="899" t="str">
        <f>TEXT('MYP Assumptions'!G78,"0.00%")&amp;", CPI"</f>
        <v>3.36%, CPI</v>
      </c>
      <c r="R62" s="592"/>
      <c r="S62" s="2238" t="str">
        <f t="shared" si="26"/>
        <v>0.00%</v>
      </c>
      <c r="T62" s="340">
        <f t="shared" si="32"/>
        <v>0</v>
      </c>
      <c r="U62" s="953" t="str">
        <f>TEXT('MYP Assumptions'!H78,"0.00%")&amp;", CPI"</f>
        <v>3.23%, CPI</v>
      </c>
      <c r="V62" s="952"/>
      <c r="W62" s="2241" t="str">
        <f t="shared" si="27"/>
        <v>0.00%</v>
      </c>
      <c r="X62" s="340">
        <f t="shared" si="33"/>
        <v>0</v>
      </c>
      <c r="Y62" s="953" t="str">
        <f>TEXT('MYP Assumptions'!I78,"0.00%")&amp;", CPI"</f>
        <v>2.73%, CPI</v>
      </c>
      <c r="AA62" s="456" t="str">
        <f t="shared" si="28"/>
        <v>0.00%</v>
      </c>
      <c r="AB62" s="340">
        <f t="shared" si="34"/>
        <v>0</v>
      </c>
      <c r="AC62" s="953" t="str">
        <f>TEXT('MYP Assumptions'!J78,"0.00%")&amp;", CPI"</f>
        <v>2.73%, CPI</v>
      </c>
    </row>
    <row r="63" spans="1:29" s="457" customFormat="1" hidden="1" x14ac:dyDescent="0.25">
      <c r="A63" s="2227"/>
      <c r="B63" s="2385"/>
      <c r="C63" s="2215"/>
      <c r="D63" s="340">
        <v>0</v>
      </c>
      <c r="E63" s="2386"/>
      <c r="F63" s="340"/>
      <c r="G63" s="456" t="str">
        <f t="shared" si="23"/>
        <v>0.00%</v>
      </c>
      <c r="H63" s="340">
        <f t="shared" si="29"/>
        <v>0</v>
      </c>
      <c r="I63" s="899" t="str">
        <f>TEXT('MYP Assumptions'!E78,"0.00%")&amp;", CPI"</f>
        <v>3.37%, CPI</v>
      </c>
      <c r="J63" s="455"/>
      <c r="K63" s="456" t="str">
        <f t="shared" si="24"/>
        <v>0.00%</v>
      </c>
      <c r="L63" s="340">
        <f t="shared" si="30"/>
        <v>0</v>
      </c>
      <c r="M63" s="899" t="str">
        <f>TEXT('MYP Assumptions'!F78,"0.00%")&amp;", CPI"</f>
        <v>3.58%, CPI</v>
      </c>
      <c r="O63" s="456" t="str">
        <f t="shared" si="25"/>
        <v>0.00%</v>
      </c>
      <c r="P63" s="340">
        <f t="shared" si="31"/>
        <v>0</v>
      </c>
      <c r="Q63" s="899" t="str">
        <f>TEXT('MYP Assumptions'!G78,"0.00%")&amp;", CPI"</f>
        <v>3.36%, CPI</v>
      </c>
      <c r="R63" s="592"/>
      <c r="S63" s="2238" t="str">
        <f t="shared" si="26"/>
        <v>0.00%</v>
      </c>
      <c r="T63" s="340">
        <f t="shared" si="32"/>
        <v>0</v>
      </c>
      <c r="U63" s="953" t="str">
        <f>TEXT('MYP Assumptions'!H78,"0.00%")&amp;", CPI"</f>
        <v>3.23%, CPI</v>
      </c>
      <c r="V63" s="952"/>
      <c r="W63" s="2241" t="str">
        <f t="shared" si="27"/>
        <v>0.00%</v>
      </c>
      <c r="X63" s="340">
        <f t="shared" si="33"/>
        <v>0</v>
      </c>
      <c r="Y63" s="953" t="str">
        <f>TEXT('MYP Assumptions'!I78,"0.00%")&amp;", CPI"</f>
        <v>2.73%, CPI</v>
      </c>
      <c r="AA63" s="456" t="str">
        <f t="shared" si="28"/>
        <v>0.00%</v>
      </c>
      <c r="AB63" s="340">
        <f t="shared" si="34"/>
        <v>0</v>
      </c>
      <c r="AC63" s="953" t="str">
        <f>TEXT('MYP Assumptions'!J78,"0.00%")&amp;", CPI"</f>
        <v>2.73%, CPI</v>
      </c>
    </row>
    <row r="64" spans="1:29" s="457" customFormat="1" hidden="1" x14ac:dyDescent="0.25">
      <c r="A64" s="2227"/>
      <c r="B64" s="2385"/>
      <c r="C64" s="2215"/>
      <c r="D64" s="340">
        <v>0</v>
      </c>
      <c r="E64" s="2386"/>
      <c r="F64" s="340"/>
      <c r="G64" s="456" t="str">
        <f t="shared" si="23"/>
        <v>0.00%</v>
      </c>
      <c r="H64" s="340">
        <f t="shared" si="29"/>
        <v>0</v>
      </c>
      <c r="I64" s="899" t="str">
        <f>TEXT('MYP Assumptions'!E78,"0.00%")&amp;", CPI"</f>
        <v>3.37%, CPI</v>
      </c>
      <c r="J64" s="455"/>
      <c r="K64" s="456" t="str">
        <f t="shared" si="24"/>
        <v>0.00%</v>
      </c>
      <c r="L64" s="340">
        <f t="shared" si="30"/>
        <v>0</v>
      </c>
      <c r="M64" s="899" t="str">
        <f>TEXT('MYP Assumptions'!F78,"0.00%")&amp;", CPI"</f>
        <v>3.58%, CPI</v>
      </c>
      <c r="O64" s="456" t="str">
        <f t="shared" si="25"/>
        <v>0.00%</v>
      </c>
      <c r="P64" s="340">
        <f t="shared" si="31"/>
        <v>0</v>
      </c>
      <c r="Q64" s="899" t="str">
        <f>TEXT('MYP Assumptions'!G78,"0.00%")&amp;", CPI"</f>
        <v>3.36%, CPI</v>
      </c>
      <c r="R64" s="592"/>
      <c r="S64" s="2238" t="str">
        <f t="shared" si="26"/>
        <v>0.00%</v>
      </c>
      <c r="T64" s="340">
        <f t="shared" si="32"/>
        <v>0</v>
      </c>
      <c r="U64" s="953" t="str">
        <f>TEXT('MYP Assumptions'!H78,"0.00%")&amp;", CPI"</f>
        <v>3.23%, CPI</v>
      </c>
      <c r="V64" s="952"/>
      <c r="W64" s="2241" t="str">
        <f t="shared" si="27"/>
        <v>0.00%</v>
      </c>
      <c r="X64" s="340">
        <f t="shared" si="33"/>
        <v>0</v>
      </c>
      <c r="Y64" s="953" t="str">
        <f>TEXT('MYP Assumptions'!I78,"0.00%")&amp;", CPI"</f>
        <v>2.73%, CPI</v>
      </c>
      <c r="AA64" s="456" t="str">
        <f t="shared" si="28"/>
        <v>0.00%</v>
      </c>
      <c r="AB64" s="340">
        <f t="shared" si="34"/>
        <v>0</v>
      </c>
      <c r="AC64" s="953" t="str">
        <f>TEXT('MYP Assumptions'!J78,"0.00%")&amp;", CPI"</f>
        <v>2.73%, CPI</v>
      </c>
    </row>
    <row r="65" spans="1:29" s="457" customFormat="1" x14ac:dyDescent="0.25">
      <c r="A65" s="2227"/>
      <c r="B65" s="2385"/>
      <c r="C65" s="2349"/>
      <c r="D65" s="340">
        <v>0</v>
      </c>
      <c r="E65" s="2386"/>
      <c r="F65" s="340"/>
      <c r="G65" s="456" t="str">
        <f t="shared" si="23"/>
        <v>0.00%</v>
      </c>
      <c r="H65" s="340">
        <f t="shared" si="29"/>
        <v>0</v>
      </c>
      <c r="I65" s="899" t="str">
        <f>TEXT('MYP Assumptions'!E78,"0.00%")&amp;", CPI"</f>
        <v>3.37%, CPI</v>
      </c>
      <c r="J65" s="455"/>
      <c r="K65" s="456" t="str">
        <f t="shared" si="24"/>
        <v>0.00%</v>
      </c>
      <c r="L65" s="340">
        <v>0</v>
      </c>
      <c r="M65" s="899"/>
      <c r="O65" s="456" t="str">
        <f t="shared" si="25"/>
        <v>0.00%</v>
      </c>
      <c r="P65" s="340">
        <v>0</v>
      </c>
      <c r="Q65" s="899"/>
      <c r="R65" s="592"/>
      <c r="S65" s="2238" t="str">
        <f t="shared" si="26"/>
        <v>0.00%</v>
      </c>
      <c r="T65" s="340">
        <v>0</v>
      </c>
      <c r="U65" s="953"/>
      <c r="V65" s="952"/>
      <c r="W65" s="2241" t="str">
        <f t="shared" si="27"/>
        <v>0.00%</v>
      </c>
      <c r="X65" s="340">
        <f t="shared" si="33"/>
        <v>0</v>
      </c>
      <c r="Y65" s="953" t="str">
        <f>TEXT('MYP Assumptions'!I78,"0.00%")&amp;", CPI"</f>
        <v>2.73%, CPI</v>
      </c>
      <c r="AA65" s="456" t="str">
        <f t="shared" si="28"/>
        <v>0.00%</v>
      </c>
      <c r="AB65" s="340">
        <f t="shared" si="34"/>
        <v>0</v>
      </c>
      <c r="AC65" s="953" t="str">
        <f>TEXT('MYP Assumptions'!J78,"0.00%")&amp;", CPI"</f>
        <v>2.73%, CPI</v>
      </c>
    </row>
    <row r="66" spans="1:29" s="457" customFormat="1" x14ac:dyDescent="0.25">
      <c r="A66" s="2228"/>
      <c r="B66" s="2215"/>
      <c r="C66" s="2215"/>
      <c r="D66" s="458">
        <f>SUM(D59:D65)</f>
        <v>0</v>
      </c>
      <c r="E66" s="2386"/>
      <c r="F66" s="340"/>
      <c r="G66" s="456" t="str">
        <f t="shared" si="23"/>
        <v>0.00%</v>
      </c>
      <c r="H66" s="458">
        <f>SUM(H59:H65)</f>
        <v>1329.54</v>
      </c>
      <c r="I66" s="898"/>
      <c r="J66" s="459"/>
      <c r="K66" s="456">
        <f t="shared" si="24"/>
        <v>-1</v>
      </c>
      <c r="L66" s="458">
        <f>SUM(L59:L65)</f>
        <v>0</v>
      </c>
      <c r="M66" s="901"/>
      <c r="O66" s="456" t="str">
        <f t="shared" si="25"/>
        <v>0.00%</v>
      </c>
      <c r="P66" s="458">
        <f>SUM(P59:P65)</f>
        <v>0</v>
      </c>
      <c r="Q66" s="901"/>
      <c r="R66" s="592"/>
      <c r="S66" s="2238" t="str">
        <f t="shared" si="26"/>
        <v>0.00%</v>
      </c>
      <c r="T66" s="458">
        <f>SUM(T59:T65)</f>
        <v>0</v>
      </c>
      <c r="U66" s="2344"/>
      <c r="V66" s="952"/>
      <c r="W66" s="2241" t="str">
        <f t="shared" si="27"/>
        <v>0.00%</v>
      </c>
      <c r="X66" s="458">
        <f>SUM(X59:X65)</f>
        <v>0</v>
      </c>
      <c r="Y66" s="2344"/>
      <c r="AA66" s="456" t="str">
        <f t="shared" si="28"/>
        <v>0.00%</v>
      </c>
      <c r="AB66" s="458">
        <f>SUM(AB59:AB65)</f>
        <v>0</v>
      </c>
      <c r="AC66" s="2344"/>
    </row>
    <row r="67" spans="1:29" s="457" customFormat="1" x14ac:dyDescent="0.25">
      <c r="A67" s="2227"/>
      <c r="B67" s="2345"/>
      <c r="C67" s="2215"/>
      <c r="D67" s="340"/>
      <c r="E67" s="2386"/>
      <c r="F67" s="340"/>
      <c r="G67" s="2338"/>
      <c r="H67" s="340"/>
      <c r="I67" s="897"/>
      <c r="J67" s="455"/>
      <c r="K67" s="1668"/>
      <c r="L67" s="340"/>
      <c r="M67" s="901"/>
      <c r="O67" s="1668"/>
      <c r="P67" s="340"/>
      <c r="Q67" s="901"/>
      <c r="R67" s="592"/>
      <c r="S67" s="2341"/>
      <c r="T67" s="340"/>
      <c r="U67" s="2344"/>
      <c r="V67" s="952"/>
      <c r="W67" s="2343"/>
      <c r="X67" s="340"/>
      <c r="Y67" s="2344"/>
      <c r="AA67" s="1668"/>
      <c r="AB67" s="340"/>
      <c r="AC67" s="2344"/>
    </row>
    <row r="68" spans="1:29" s="461" customFormat="1" x14ac:dyDescent="0.25">
      <c r="A68" s="2225"/>
      <c r="B68" s="2337" t="s">
        <v>16</v>
      </c>
      <c r="C68" s="2225"/>
      <c r="D68" s="460"/>
      <c r="E68" s="868"/>
      <c r="F68" s="460"/>
      <c r="G68" s="2389"/>
      <c r="H68" s="460"/>
      <c r="I68" s="900"/>
      <c r="K68" s="1669"/>
      <c r="L68" s="460"/>
      <c r="M68" s="902"/>
      <c r="O68" s="1669"/>
      <c r="P68" s="460"/>
      <c r="Q68" s="902"/>
      <c r="S68" s="1669"/>
      <c r="U68" s="2392"/>
      <c r="V68" s="2381"/>
      <c r="W68" s="2382"/>
      <c r="Y68" s="2392"/>
      <c r="AA68" s="1669"/>
      <c r="AC68" s="2392"/>
    </row>
    <row r="69" spans="1:29" s="457" customFormat="1" x14ac:dyDescent="0.25">
      <c r="A69" s="2227"/>
      <c r="B69" s="2385">
        <v>5600</v>
      </c>
      <c r="C69" s="2215" t="s">
        <v>319</v>
      </c>
      <c r="D69" s="340">
        <v>78823</v>
      </c>
      <c r="E69" s="2386"/>
      <c r="F69" s="340"/>
      <c r="G69" s="456">
        <f t="shared" ref="G69:G74" si="35">IF(D69=0,"0.00%",(H69-D69)/D69)</f>
        <v>-0.80102254418126684</v>
      </c>
      <c r="H69" s="340">
        <v>15684</v>
      </c>
      <c r="I69" s="899"/>
      <c r="J69" s="455"/>
      <c r="K69" s="456">
        <f t="shared" ref="K69:K82" si="36">IF(H69=0,"0.00%",(L69-H69)/H69)</f>
        <v>-1</v>
      </c>
      <c r="L69" s="340">
        <v>0</v>
      </c>
      <c r="M69" s="899"/>
      <c r="O69" s="456" t="str">
        <f t="shared" ref="O69:O82" si="37">IF(L69=0,"0.00%",(P69-L69)/L69)</f>
        <v>0.00%</v>
      </c>
      <c r="P69" s="340">
        <v>0</v>
      </c>
      <c r="Q69" s="899"/>
      <c r="R69" s="592"/>
      <c r="S69" s="2238" t="str">
        <f t="shared" ref="S69:S82" si="38">IF(P69=0,"0.00%",(T69-P69)/P69)</f>
        <v>0.00%</v>
      </c>
      <c r="T69" s="340">
        <v>0</v>
      </c>
      <c r="U69" s="953"/>
      <c r="V69" s="952"/>
      <c r="W69" s="2241" t="str">
        <f t="shared" ref="W69:W82" si="39">IF(T69=0,"0.00%",(X69-T69)/T69)</f>
        <v>0.00%</v>
      </c>
      <c r="X69" s="340">
        <f>ROUND(T69*(LEFT(Y69,5)+1),0)</f>
        <v>0</v>
      </c>
      <c r="Y69" s="953" t="str">
        <f>TEXT('MYP Assumptions'!I78,"0.00%")&amp;", CPI"</f>
        <v>2.73%, CPI</v>
      </c>
      <c r="AA69" s="456" t="str">
        <f t="shared" ref="AA69:AA82" si="40">IF(X69=0,"0.00%",(AB69-X69)/X69)</f>
        <v>0.00%</v>
      </c>
      <c r="AB69" s="340">
        <f>ROUND(X69*(LEFT(AC69,5)+1),0)</f>
        <v>0</v>
      </c>
      <c r="AC69" s="953" t="str">
        <f>TEXT('MYP Assumptions'!J78,"0.00%")&amp;", CPI"</f>
        <v>2.73%, CPI</v>
      </c>
    </row>
    <row r="70" spans="1:29" s="457" customFormat="1" x14ac:dyDescent="0.25">
      <c r="A70" s="2227"/>
      <c r="B70" s="2385">
        <v>5809</v>
      </c>
      <c r="C70" s="2215" t="s">
        <v>123</v>
      </c>
      <c r="D70" s="340">
        <v>2250</v>
      </c>
      <c r="E70" s="2386"/>
      <c r="F70" s="340"/>
      <c r="G70" s="456">
        <f t="shared" si="35"/>
        <v>-1</v>
      </c>
      <c r="H70" s="340">
        <v>0</v>
      </c>
      <c r="I70" s="899"/>
      <c r="J70" s="455"/>
      <c r="K70" s="456" t="str">
        <f t="shared" si="36"/>
        <v>0.00%</v>
      </c>
      <c r="L70" s="340">
        <v>0</v>
      </c>
      <c r="M70" s="899"/>
      <c r="O70" s="456" t="str">
        <f t="shared" si="37"/>
        <v>0.00%</v>
      </c>
      <c r="P70" s="340"/>
      <c r="Q70" s="899"/>
      <c r="R70" s="592"/>
      <c r="S70" s="2238" t="str">
        <f t="shared" si="38"/>
        <v>0.00%</v>
      </c>
      <c r="T70" s="340">
        <v>0</v>
      </c>
      <c r="U70" s="953"/>
      <c r="V70" s="952"/>
      <c r="W70" s="2241" t="str">
        <f t="shared" si="39"/>
        <v>0.00%</v>
      </c>
      <c r="X70" s="340">
        <f t="shared" ref="X70:X81" si="41">ROUND(T70*(LEFT(Y70,5)+1),0)</f>
        <v>0</v>
      </c>
      <c r="Y70" s="953" t="str">
        <f>TEXT('MYP Assumptions'!I78,"0.00%")&amp;", CPI"</f>
        <v>2.73%, CPI</v>
      </c>
      <c r="AA70" s="456" t="str">
        <f t="shared" si="40"/>
        <v>0.00%</v>
      </c>
      <c r="AB70" s="340">
        <f t="shared" ref="AB70:AB81" si="42">ROUND(X70*(LEFT(AC70,5)+1),0)</f>
        <v>0</v>
      </c>
      <c r="AC70" s="953" t="str">
        <f>TEXT('MYP Assumptions'!J78,"0.00%")&amp;", CPI"</f>
        <v>2.73%, CPI</v>
      </c>
    </row>
    <row r="71" spans="1:29" s="457" customFormat="1" x14ac:dyDescent="0.25">
      <c r="A71" s="2227"/>
      <c r="B71" s="2385">
        <v>5813</v>
      </c>
      <c r="C71" s="2215" t="s">
        <v>6</v>
      </c>
      <c r="D71" s="340">
        <v>0</v>
      </c>
      <c r="E71" s="2386"/>
      <c r="F71" s="340"/>
      <c r="G71" s="456" t="str">
        <f t="shared" si="35"/>
        <v>0.00%</v>
      </c>
      <c r="H71" s="340">
        <v>3510</v>
      </c>
      <c r="I71" s="899"/>
      <c r="J71" s="455"/>
      <c r="K71" s="456">
        <f t="shared" si="36"/>
        <v>-1</v>
      </c>
      <c r="L71" s="340">
        <v>0</v>
      </c>
      <c r="M71" s="899"/>
      <c r="O71" s="456" t="str">
        <f t="shared" si="37"/>
        <v>0.00%</v>
      </c>
      <c r="P71" s="340"/>
      <c r="Q71" s="899"/>
      <c r="R71" s="592"/>
      <c r="S71" s="2238" t="str">
        <f t="shared" si="38"/>
        <v>0.00%</v>
      </c>
      <c r="T71" s="340">
        <v>0</v>
      </c>
      <c r="U71" s="953"/>
      <c r="V71" s="952"/>
      <c r="W71" s="2241" t="str">
        <f t="shared" si="39"/>
        <v>0.00%</v>
      </c>
      <c r="X71" s="340">
        <f t="shared" si="41"/>
        <v>0</v>
      </c>
      <c r="Y71" s="953" t="str">
        <f>TEXT('MYP Assumptions'!I78,"0.00%")&amp;", CPI"</f>
        <v>2.73%, CPI</v>
      </c>
      <c r="AA71" s="456" t="str">
        <f t="shared" si="40"/>
        <v>0.00%</v>
      </c>
      <c r="AB71" s="340">
        <f t="shared" si="42"/>
        <v>0</v>
      </c>
      <c r="AC71" s="953" t="str">
        <f>TEXT('MYP Assumptions'!J78,"0.00%")&amp;", CPI"</f>
        <v>2.73%, CPI</v>
      </c>
    </row>
    <row r="72" spans="1:29" s="457" customFormat="1" hidden="1" x14ac:dyDescent="0.25">
      <c r="A72" s="2227"/>
      <c r="B72" s="2385"/>
      <c r="C72" s="2215"/>
      <c r="D72" s="340">
        <v>0</v>
      </c>
      <c r="E72" s="2386"/>
      <c r="F72" s="340"/>
      <c r="G72" s="456" t="str">
        <f t="shared" si="35"/>
        <v>0.00%</v>
      </c>
      <c r="H72" s="340">
        <f t="shared" ref="H72:H76" si="43">ROUND(D72*(LEFT(I72,5)+1),0)</f>
        <v>0</v>
      </c>
      <c r="I72" s="899" t="str">
        <f>TEXT('MYP Assumptions'!E78,"0.00%")&amp;", CPI"</f>
        <v>3.37%, CPI</v>
      </c>
      <c r="J72" s="455"/>
      <c r="K72" s="456" t="str">
        <f t="shared" si="36"/>
        <v>0.00%</v>
      </c>
      <c r="L72" s="340">
        <f t="shared" ref="L72:L81" si="44">ROUND(H72*(LEFT(M72,5)+1),0)</f>
        <v>0</v>
      </c>
      <c r="M72" s="899" t="str">
        <f>TEXT('MYP Assumptions'!F78,"0.00%")&amp;", CPI"</f>
        <v>3.58%, CPI</v>
      </c>
      <c r="O72" s="456" t="str">
        <f t="shared" si="37"/>
        <v>0.00%</v>
      </c>
      <c r="P72" s="340">
        <f t="shared" ref="P72:P81" si="45">ROUND(L72*(LEFT(Q72,5)+1),0)</f>
        <v>0</v>
      </c>
      <c r="Q72" s="899" t="str">
        <f>TEXT('MYP Assumptions'!G78,"0.00%")&amp;", CPI"</f>
        <v>3.36%, CPI</v>
      </c>
      <c r="R72" s="592"/>
      <c r="S72" s="2238" t="str">
        <f t="shared" si="38"/>
        <v>0.00%</v>
      </c>
      <c r="T72" s="340">
        <f t="shared" ref="T72:T81" si="46">ROUND(P72*(LEFT(U72,5)+1),0)</f>
        <v>0</v>
      </c>
      <c r="U72" s="953" t="str">
        <f>TEXT('MYP Assumptions'!H78,"0.00%")&amp;", CPI"</f>
        <v>3.23%, CPI</v>
      </c>
      <c r="V72" s="952"/>
      <c r="W72" s="2241" t="str">
        <f t="shared" si="39"/>
        <v>0.00%</v>
      </c>
      <c r="X72" s="340">
        <f t="shared" si="41"/>
        <v>0</v>
      </c>
      <c r="Y72" s="953" t="str">
        <f>TEXT('MYP Assumptions'!I78,"0.00%")&amp;", CPI"</f>
        <v>2.73%, CPI</v>
      </c>
      <c r="AA72" s="456" t="str">
        <f t="shared" si="40"/>
        <v>0.00%</v>
      </c>
      <c r="AB72" s="340">
        <f t="shared" si="42"/>
        <v>0</v>
      </c>
      <c r="AC72" s="953" t="str">
        <f>TEXT('MYP Assumptions'!J78,"0.00%")&amp;", CPI"</f>
        <v>2.73%, CPI</v>
      </c>
    </row>
    <row r="73" spans="1:29" s="457" customFormat="1" hidden="1" x14ac:dyDescent="0.25">
      <c r="A73" s="2227"/>
      <c r="B73" s="2385"/>
      <c r="C73" s="2215"/>
      <c r="D73" s="340">
        <v>0</v>
      </c>
      <c r="E73" s="2386"/>
      <c r="F73" s="340"/>
      <c r="G73" s="456" t="str">
        <f t="shared" si="35"/>
        <v>0.00%</v>
      </c>
      <c r="H73" s="340">
        <f t="shared" si="43"/>
        <v>0</v>
      </c>
      <c r="I73" s="899" t="str">
        <f>TEXT('MYP Assumptions'!E78,"0.00%")&amp;", CPI"</f>
        <v>3.37%, CPI</v>
      </c>
      <c r="J73" s="455"/>
      <c r="K73" s="456" t="str">
        <f t="shared" si="36"/>
        <v>0.00%</v>
      </c>
      <c r="L73" s="340">
        <f t="shared" si="44"/>
        <v>0</v>
      </c>
      <c r="M73" s="899" t="str">
        <f>TEXT('MYP Assumptions'!F78,"0.00%")&amp;", CPI"</f>
        <v>3.58%, CPI</v>
      </c>
      <c r="O73" s="456" t="str">
        <f t="shared" si="37"/>
        <v>0.00%</v>
      </c>
      <c r="P73" s="340">
        <f t="shared" si="45"/>
        <v>0</v>
      </c>
      <c r="Q73" s="899" t="str">
        <f>TEXT('MYP Assumptions'!G78,"0.00%")&amp;", CPI"</f>
        <v>3.36%, CPI</v>
      </c>
      <c r="R73" s="592"/>
      <c r="S73" s="2238" t="str">
        <f t="shared" si="38"/>
        <v>0.00%</v>
      </c>
      <c r="T73" s="340">
        <f t="shared" si="46"/>
        <v>0</v>
      </c>
      <c r="U73" s="953" t="str">
        <f>TEXT('MYP Assumptions'!H78,"0.00%")&amp;", CPI"</f>
        <v>3.23%, CPI</v>
      </c>
      <c r="V73" s="952"/>
      <c r="W73" s="2241" t="str">
        <f t="shared" si="39"/>
        <v>0.00%</v>
      </c>
      <c r="X73" s="340">
        <f t="shared" si="41"/>
        <v>0</v>
      </c>
      <c r="Y73" s="953" t="str">
        <f>TEXT('MYP Assumptions'!I78,"0.00%")&amp;", CPI"</f>
        <v>2.73%, CPI</v>
      </c>
      <c r="AA73" s="456" t="str">
        <f t="shared" si="40"/>
        <v>0.00%</v>
      </c>
      <c r="AB73" s="340">
        <f t="shared" si="42"/>
        <v>0</v>
      </c>
      <c r="AC73" s="953" t="str">
        <f>TEXT('MYP Assumptions'!J78,"0.00%")&amp;", CPI"</f>
        <v>2.73%, CPI</v>
      </c>
    </row>
    <row r="74" spans="1:29" s="457" customFormat="1" hidden="1" x14ac:dyDescent="0.25">
      <c r="A74" s="2227"/>
      <c r="B74" s="2385"/>
      <c r="C74" s="2215"/>
      <c r="D74" s="340">
        <v>0</v>
      </c>
      <c r="E74" s="2386"/>
      <c r="F74" s="340"/>
      <c r="G74" s="456" t="str">
        <f t="shared" si="35"/>
        <v>0.00%</v>
      </c>
      <c r="H74" s="340">
        <f t="shared" si="43"/>
        <v>0</v>
      </c>
      <c r="I74" s="899" t="str">
        <f>TEXT('MYP Assumptions'!E78,"0.00%")&amp;", CPI"</f>
        <v>3.37%, CPI</v>
      </c>
      <c r="J74" s="455"/>
      <c r="K74" s="456" t="str">
        <f t="shared" si="36"/>
        <v>0.00%</v>
      </c>
      <c r="L74" s="340">
        <f t="shared" si="44"/>
        <v>0</v>
      </c>
      <c r="M74" s="899" t="str">
        <f>TEXT('MYP Assumptions'!F78,"0.00%")&amp;", CPI"</f>
        <v>3.58%, CPI</v>
      </c>
      <c r="O74" s="456" t="str">
        <f t="shared" si="37"/>
        <v>0.00%</v>
      </c>
      <c r="P74" s="340">
        <f t="shared" si="45"/>
        <v>0</v>
      </c>
      <c r="Q74" s="899" t="str">
        <f>TEXT('MYP Assumptions'!G78,"0.00%")&amp;", CPI"</f>
        <v>3.36%, CPI</v>
      </c>
      <c r="R74" s="592"/>
      <c r="S74" s="2238" t="str">
        <f t="shared" si="38"/>
        <v>0.00%</v>
      </c>
      <c r="T74" s="340">
        <f t="shared" si="46"/>
        <v>0</v>
      </c>
      <c r="U74" s="953" t="str">
        <f>TEXT('MYP Assumptions'!H78,"0.00%")&amp;", CPI"</f>
        <v>3.23%, CPI</v>
      </c>
      <c r="V74" s="952"/>
      <c r="W74" s="2241" t="str">
        <f t="shared" si="39"/>
        <v>0.00%</v>
      </c>
      <c r="X74" s="340">
        <f t="shared" si="41"/>
        <v>0</v>
      </c>
      <c r="Y74" s="953" t="str">
        <f>TEXT('MYP Assumptions'!I78,"0.00%")&amp;", CPI"</f>
        <v>2.73%, CPI</v>
      </c>
      <c r="AA74" s="456" t="str">
        <f t="shared" si="40"/>
        <v>0.00%</v>
      </c>
      <c r="AB74" s="340">
        <f t="shared" si="42"/>
        <v>0</v>
      </c>
      <c r="AC74" s="953" t="str">
        <f>TEXT('MYP Assumptions'!J78,"0.00%")&amp;", CPI"</f>
        <v>2.73%, CPI</v>
      </c>
    </row>
    <row r="75" spans="1:29" s="457" customFormat="1" hidden="1" x14ac:dyDescent="0.25">
      <c r="A75" s="2227"/>
      <c r="B75" s="2385"/>
      <c r="C75" s="2215"/>
      <c r="D75" s="340">
        <v>0</v>
      </c>
      <c r="E75" s="2386"/>
      <c r="F75" s="340"/>
      <c r="G75" s="456" t="str">
        <f>IF(D75=0,"0.00%",(H75-D75)/D75)</f>
        <v>0.00%</v>
      </c>
      <c r="H75" s="340">
        <f t="shared" si="43"/>
        <v>0</v>
      </c>
      <c r="I75" s="899" t="str">
        <f>TEXT('MYP Assumptions'!E78,"0.00%")&amp;", CPI"</f>
        <v>3.37%, CPI</v>
      </c>
      <c r="J75" s="455"/>
      <c r="K75" s="456" t="str">
        <f t="shared" si="36"/>
        <v>0.00%</v>
      </c>
      <c r="L75" s="340">
        <f t="shared" si="44"/>
        <v>0</v>
      </c>
      <c r="M75" s="899" t="str">
        <f>TEXT('MYP Assumptions'!F78,"0.00%")&amp;", CPI"</f>
        <v>3.58%, CPI</v>
      </c>
      <c r="O75" s="456" t="str">
        <f t="shared" si="37"/>
        <v>0.00%</v>
      </c>
      <c r="P75" s="340">
        <f t="shared" si="45"/>
        <v>0</v>
      </c>
      <c r="Q75" s="899" t="str">
        <f>TEXT('MYP Assumptions'!G78,"0.00%")&amp;", CPI"</f>
        <v>3.36%, CPI</v>
      </c>
      <c r="R75" s="592"/>
      <c r="S75" s="2238" t="str">
        <f t="shared" si="38"/>
        <v>0.00%</v>
      </c>
      <c r="T75" s="340">
        <f t="shared" si="46"/>
        <v>0</v>
      </c>
      <c r="U75" s="953" t="str">
        <f>TEXT('MYP Assumptions'!H78,"0.00%")&amp;", CPI"</f>
        <v>3.23%, CPI</v>
      </c>
      <c r="V75" s="952"/>
      <c r="W75" s="2241" t="str">
        <f t="shared" si="39"/>
        <v>0.00%</v>
      </c>
      <c r="X75" s="340">
        <f t="shared" si="41"/>
        <v>0</v>
      </c>
      <c r="Y75" s="953" t="str">
        <f>TEXT('MYP Assumptions'!I78,"0.00%")&amp;", CPI"</f>
        <v>2.73%, CPI</v>
      </c>
      <c r="AA75" s="456" t="str">
        <f t="shared" si="40"/>
        <v>0.00%</v>
      </c>
      <c r="AB75" s="340">
        <f t="shared" si="42"/>
        <v>0</v>
      </c>
      <c r="AC75" s="953" t="str">
        <f>TEXT('MYP Assumptions'!J78,"0.00%")&amp;", CPI"</f>
        <v>2.73%, CPI</v>
      </c>
    </row>
    <row r="76" spans="1:29" s="457" customFormat="1" hidden="1" x14ac:dyDescent="0.25">
      <c r="A76" s="2227"/>
      <c r="B76" s="2385"/>
      <c r="C76" s="2215"/>
      <c r="D76" s="340">
        <v>0</v>
      </c>
      <c r="E76" s="2386"/>
      <c r="F76" s="340"/>
      <c r="G76" s="456" t="str">
        <f t="shared" ref="G76:G82" si="47">IF(D76=0,"0.00%",(H76-D76)/D76)</f>
        <v>0.00%</v>
      </c>
      <c r="H76" s="340">
        <f t="shared" si="43"/>
        <v>0</v>
      </c>
      <c r="I76" s="899" t="str">
        <f>TEXT('MYP Assumptions'!E78,"0.00%")&amp;", CPI"</f>
        <v>3.37%, CPI</v>
      </c>
      <c r="J76" s="455"/>
      <c r="K76" s="456" t="str">
        <f t="shared" si="36"/>
        <v>0.00%</v>
      </c>
      <c r="L76" s="340">
        <f t="shared" si="44"/>
        <v>0</v>
      </c>
      <c r="M76" s="899" t="str">
        <f>TEXT('MYP Assumptions'!F78,"0.00%")&amp;", CPI"</f>
        <v>3.58%, CPI</v>
      </c>
      <c r="O76" s="456" t="str">
        <f t="shared" si="37"/>
        <v>0.00%</v>
      </c>
      <c r="P76" s="340">
        <f t="shared" si="45"/>
        <v>0</v>
      </c>
      <c r="Q76" s="899" t="str">
        <f>TEXT('MYP Assumptions'!G78,"0.00%")&amp;", CPI"</f>
        <v>3.36%, CPI</v>
      </c>
      <c r="R76" s="592"/>
      <c r="S76" s="2238" t="str">
        <f t="shared" si="38"/>
        <v>0.00%</v>
      </c>
      <c r="T76" s="340">
        <f t="shared" si="46"/>
        <v>0</v>
      </c>
      <c r="U76" s="953" t="str">
        <f>TEXT('MYP Assumptions'!H78,"0.00%")&amp;", CPI"</f>
        <v>3.23%, CPI</v>
      </c>
      <c r="V76" s="952"/>
      <c r="W76" s="2241" t="str">
        <f t="shared" si="39"/>
        <v>0.00%</v>
      </c>
      <c r="X76" s="340">
        <f t="shared" si="41"/>
        <v>0</v>
      </c>
      <c r="Y76" s="953" t="str">
        <f>TEXT('MYP Assumptions'!I78,"0.00%")&amp;", CPI"</f>
        <v>2.73%, CPI</v>
      </c>
      <c r="AA76" s="456" t="str">
        <f t="shared" si="40"/>
        <v>0.00%</v>
      </c>
      <c r="AB76" s="340">
        <f t="shared" si="42"/>
        <v>0</v>
      </c>
      <c r="AC76" s="953" t="str">
        <f>TEXT('MYP Assumptions'!J78,"0.00%")&amp;", CPI"</f>
        <v>2.73%, CPI</v>
      </c>
    </row>
    <row r="77" spans="1:29" s="457" customFormat="1" hidden="1" x14ac:dyDescent="0.25">
      <c r="A77" s="2227"/>
      <c r="B77" s="2385"/>
      <c r="C77" s="2215"/>
      <c r="D77" s="340">
        <v>0</v>
      </c>
      <c r="E77" s="2386"/>
      <c r="F77" s="340"/>
      <c r="G77" s="456" t="str">
        <f t="shared" si="47"/>
        <v>0.00%</v>
      </c>
      <c r="H77" s="340">
        <f>ROUND(D77*(LEFT(I77,5)+1),0)</f>
        <v>0</v>
      </c>
      <c r="I77" s="899" t="str">
        <f>TEXT('MYP Assumptions'!E78,"0.00%")&amp;", CPI"</f>
        <v>3.37%, CPI</v>
      </c>
      <c r="J77" s="455"/>
      <c r="K77" s="456" t="str">
        <f t="shared" si="36"/>
        <v>0.00%</v>
      </c>
      <c r="L77" s="340">
        <f t="shared" si="44"/>
        <v>0</v>
      </c>
      <c r="M77" s="899" t="str">
        <f>TEXT('MYP Assumptions'!F78,"0.00%")&amp;", CPI"</f>
        <v>3.58%, CPI</v>
      </c>
      <c r="O77" s="456" t="str">
        <f t="shared" si="37"/>
        <v>0.00%</v>
      </c>
      <c r="P77" s="340">
        <f t="shared" si="45"/>
        <v>0</v>
      </c>
      <c r="Q77" s="899" t="str">
        <f>TEXT('MYP Assumptions'!G78,"0.00%")&amp;", CPI"</f>
        <v>3.36%, CPI</v>
      </c>
      <c r="R77" s="592"/>
      <c r="S77" s="2238" t="str">
        <f t="shared" si="38"/>
        <v>0.00%</v>
      </c>
      <c r="T77" s="340">
        <f t="shared" si="46"/>
        <v>0</v>
      </c>
      <c r="U77" s="953" t="str">
        <f>TEXT('MYP Assumptions'!H78,"0.00%")&amp;", CPI"</f>
        <v>3.23%, CPI</v>
      </c>
      <c r="V77" s="952"/>
      <c r="W77" s="2241" t="str">
        <f t="shared" si="39"/>
        <v>0.00%</v>
      </c>
      <c r="X77" s="340">
        <f t="shared" si="41"/>
        <v>0</v>
      </c>
      <c r="Y77" s="953" t="str">
        <f>TEXT('MYP Assumptions'!I78,"0.00%")&amp;", CPI"</f>
        <v>2.73%, CPI</v>
      </c>
      <c r="AA77" s="456" t="str">
        <f t="shared" si="40"/>
        <v>0.00%</v>
      </c>
      <c r="AB77" s="340">
        <f t="shared" si="42"/>
        <v>0</v>
      </c>
      <c r="AC77" s="953" t="str">
        <f>TEXT('MYP Assumptions'!J78,"0.00%")&amp;", CPI"</f>
        <v>2.73%, CPI</v>
      </c>
    </row>
    <row r="78" spans="1:29" s="457" customFormat="1" hidden="1" x14ac:dyDescent="0.25">
      <c r="A78" s="2227"/>
      <c r="B78" s="2385"/>
      <c r="C78" s="2215"/>
      <c r="D78" s="340">
        <v>0</v>
      </c>
      <c r="E78" s="2386"/>
      <c r="F78" s="340"/>
      <c r="G78" s="456" t="str">
        <f t="shared" si="47"/>
        <v>0.00%</v>
      </c>
      <c r="H78" s="340">
        <f>ROUND(D78*(LEFT(I78,5)+1),0)</f>
        <v>0</v>
      </c>
      <c r="I78" s="899" t="str">
        <f>TEXT('MYP Assumptions'!E78,"0.00%")&amp;", CPI"</f>
        <v>3.37%, CPI</v>
      </c>
      <c r="J78" s="455"/>
      <c r="K78" s="456" t="str">
        <f t="shared" si="36"/>
        <v>0.00%</v>
      </c>
      <c r="L78" s="340">
        <f t="shared" si="44"/>
        <v>0</v>
      </c>
      <c r="M78" s="899" t="str">
        <f>TEXT('MYP Assumptions'!F78,"0.00%")&amp;", CPI"</f>
        <v>3.58%, CPI</v>
      </c>
      <c r="O78" s="456" t="str">
        <f t="shared" si="37"/>
        <v>0.00%</v>
      </c>
      <c r="P78" s="340">
        <f t="shared" si="45"/>
        <v>0</v>
      </c>
      <c r="Q78" s="899" t="str">
        <f>TEXT('MYP Assumptions'!G78,"0.00%")&amp;", CPI"</f>
        <v>3.36%, CPI</v>
      </c>
      <c r="R78" s="592"/>
      <c r="S78" s="2238" t="str">
        <f t="shared" si="38"/>
        <v>0.00%</v>
      </c>
      <c r="T78" s="340">
        <f t="shared" si="46"/>
        <v>0</v>
      </c>
      <c r="U78" s="953" t="str">
        <f>TEXT('MYP Assumptions'!H78,"0.00%")&amp;", CPI"</f>
        <v>3.23%, CPI</v>
      </c>
      <c r="V78" s="952"/>
      <c r="W78" s="2241" t="str">
        <f t="shared" si="39"/>
        <v>0.00%</v>
      </c>
      <c r="X78" s="340">
        <f t="shared" si="41"/>
        <v>0</v>
      </c>
      <c r="Y78" s="953" t="str">
        <f>TEXT('MYP Assumptions'!I78,"0.00%")&amp;", CPI"</f>
        <v>2.73%, CPI</v>
      </c>
      <c r="AA78" s="456" t="str">
        <f t="shared" si="40"/>
        <v>0.00%</v>
      </c>
      <c r="AB78" s="340">
        <f t="shared" si="42"/>
        <v>0</v>
      </c>
      <c r="AC78" s="953" t="str">
        <f>TEXT('MYP Assumptions'!J78,"0.00%")&amp;", CPI"</f>
        <v>2.73%, CPI</v>
      </c>
    </row>
    <row r="79" spans="1:29" s="457" customFormat="1" hidden="1" x14ac:dyDescent="0.25">
      <c r="A79" s="2227"/>
      <c r="B79" s="2385"/>
      <c r="C79" s="2215"/>
      <c r="D79" s="340">
        <v>0</v>
      </c>
      <c r="E79" s="2386"/>
      <c r="F79" s="340"/>
      <c r="G79" s="456" t="str">
        <f t="shared" si="47"/>
        <v>0.00%</v>
      </c>
      <c r="H79" s="340">
        <f>ROUND(D79*(LEFT(I79,5)+1),0)</f>
        <v>0</v>
      </c>
      <c r="I79" s="899" t="str">
        <f>TEXT('MYP Assumptions'!E78,"0.00%")&amp;", CPI"</f>
        <v>3.37%, CPI</v>
      </c>
      <c r="J79" s="455"/>
      <c r="K79" s="456" t="str">
        <f t="shared" si="36"/>
        <v>0.00%</v>
      </c>
      <c r="L79" s="340">
        <f t="shared" si="44"/>
        <v>0</v>
      </c>
      <c r="M79" s="899" t="str">
        <f>TEXT('MYP Assumptions'!F78,"0.00%")&amp;", CPI"</f>
        <v>3.58%, CPI</v>
      </c>
      <c r="O79" s="456" t="str">
        <f t="shared" si="37"/>
        <v>0.00%</v>
      </c>
      <c r="P79" s="340">
        <f t="shared" si="45"/>
        <v>0</v>
      </c>
      <c r="Q79" s="899" t="str">
        <f>TEXT('MYP Assumptions'!G78,"0.00%")&amp;", CPI"</f>
        <v>3.36%, CPI</v>
      </c>
      <c r="R79" s="592"/>
      <c r="S79" s="2238" t="str">
        <f t="shared" si="38"/>
        <v>0.00%</v>
      </c>
      <c r="T79" s="340">
        <f t="shared" si="46"/>
        <v>0</v>
      </c>
      <c r="U79" s="953" t="str">
        <f>TEXT('MYP Assumptions'!H78,"0.00%")&amp;", CPI"</f>
        <v>3.23%, CPI</v>
      </c>
      <c r="V79" s="952"/>
      <c r="W79" s="2241" t="str">
        <f t="shared" si="39"/>
        <v>0.00%</v>
      </c>
      <c r="X79" s="340">
        <f t="shared" si="41"/>
        <v>0</v>
      </c>
      <c r="Y79" s="953" t="str">
        <f>TEXT('MYP Assumptions'!I78,"0.00%")&amp;", CPI"</f>
        <v>2.73%, CPI</v>
      </c>
      <c r="AA79" s="456" t="str">
        <f t="shared" si="40"/>
        <v>0.00%</v>
      </c>
      <c r="AB79" s="340">
        <f t="shared" si="42"/>
        <v>0</v>
      </c>
      <c r="AC79" s="953" t="str">
        <f>TEXT('MYP Assumptions'!J78,"0.00%")&amp;", CPI"</f>
        <v>2.73%, CPI</v>
      </c>
    </row>
    <row r="80" spans="1:29" s="457" customFormat="1" hidden="1" x14ac:dyDescent="0.25">
      <c r="A80" s="2227"/>
      <c r="B80" s="2385"/>
      <c r="C80" s="2215"/>
      <c r="D80" s="340">
        <v>0</v>
      </c>
      <c r="E80" s="2386"/>
      <c r="F80" s="340"/>
      <c r="G80" s="456" t="str">
        <f t="shared" si="47"/>
        <v>0.00%</v>
      </c>
      <c r="H80" s="340">
        <f>ROUND(D80*(LEFT(I80,5)+1),0)</f>
        <v>0</v>
      </c>
      <c r="I80" s="899" t="str">
        <f>TEXT('MYP Assumptions'!E78,"0.00%")&amp;", CPI"</f>
        <v>3.37%, CPI</v>
      </c>
      <c r="J80" s="455"/>
      <c r="K80" s="456" t="str">
        <f t="shared" si="36"/>
        <v>0.00%</v>
      </c>
      <c r="L80" s="340">
        <f t="shared" si="44"/>
        <v>0</v>
      </c>
      <c r="M80" s="899" t="str">
        <f>TEXT('MYP Assumptions'!F78,"0.00%")&amp;", CPI"</f>
        <v>3.58%, CPI</v>
      </c>
      <c r="O80" s="456" t="str">
        <f t="shared" si="37"/>
        <v>0.00%</v>
      </c>
      <c r="P80" s="340">
        <f t="shared" si="45"/>
        <v>0</v>
      </c>
      <c r="Q80" s="899" t="str">
        <f>TEXT('MYP Assumptions'!G78,"0.00%")&amp;", CPI"</f>
        <v>3.36%, CPI</v>
      </c>
      <c r="R80" s="592"/>
      <c r="S80" s="2238" t="str">
        <f t="shared" si="38"/>
        <v>0.00%</v>
      </c>
      <c r="T80" s="340">
        <f t="shared" si="46"/>
        <v>0</v>
      </c>
      <c r="U80" s="953" t="str">
        <f>TEXT('MYP Assumptions'!H78,"0.00%")&amp;", CPI"</f>
        <v>3.23%, CPI</v>
      </c>
      <c r="V80" s="952"/>
      <c r="W80" s="2241" t="str">
        <f t="shared" si="39"/>
        <v>0.00%</v>
      </c>
      <c r="X80" s="340">
        <f t="shared" si="41"/>
        <v>0</v>
      </c>
      <c r="Y80" s="953" t="str">
        <f>TEXT('MYP Assumptions'!I78,"0.00%")&amp;", CPI"</f>
        <v>2.73%, CPI</v>
      </c>
      <c r="AA80" s="456" t="str">
        <f t="shared" si="40"/>
        <v>0.00%</v>
      </c>
      <c r="AB80" s="340">
        <f t="shared" si="42"/>
        <v>0</v>
      </c>
      <c r="AC80" s="953" t="str">
        <f>TEXT('MYP Assumptions'!J78,"0.00%")&amp;", CPI"</f>
        <v>2.73%, CPI</v>
      </c>
    </row>
    <row r="81" spans="1:29" s="457" customFormat="1" hidden="1" x14ac:dyDescent="0.25">
      <c r="A81" s="2227"/>
      <c r="B81" s="2385"/>
      <c r="C81" s="2215"/>
      <c r="D81" s="340">
        <f>'18-19 Budget RS 3010-ALL'!AF80</f>
        <v>0</v>
      </c>
      <c r="E81" s="2386"/>
      <c r="F81" s="340"/>
      <c r="G81" s="456" t="str">
        <f t="shared" si="47"/>
        <v>0.00%</v>
      </c>
      <c r="H81" s="340">
        <f>ROUND(D81*(LEFT(I81,5)+1),0)</f>
        <v>0</v>
      </c>
      <c r="I81" s="899" t="str">
        <f>TEXT('MYP Assumptions'!E78,"0.00%")&amp;", CPI"</f>
        <v>3.37%, CPI</v>
      </c>
      <c r="J81" s="455"/>
      <c r="K81" s="456" t="str">
        <f t="shared" si="36"/>
        <v>0.00%</v>
      </c>
      <c r="L81" s="340">
        <f t="shared" si="44"/>
        <v>0</v>
      </c>
      <c r="M81" s="899" t="str">
        <f>TEXT('MYP Assumptions'!F78,"0.00%")&amp;", CPI"</f>
        <v>3.58%, CPI</v>
      </c>
      <c r="O81" s="456" t="str">
        <f t="shared" si="37"/>
        <v>0.00%</v>
      </c>
      <c r="P81" s="340">
        <f t="shared" si="45"/>
        <v>0</v>
      </c>
      <c r="Q81" s="899" t="str">
        <f>TEXT('MYP Assumptions'!G78,"0.00%")&amp;", CPI"</f>
        <v>3.36%, CPI</v>
      </c>
      <c r="R81" s="592"/>
      <c r="S81" s="2238" t="str">
        <f t="shared" si="38"/>
        <v>0.00%</v>
      </c>
      <c r="T81" s="340">
        <f t="shared" si="46"/>
        <v>0</v>
      </c>
      <c r="U81" s="953" t="str">
        <f>TEXT('MYP Assumptions'!H78,"0.00%")&amp;", CPI"</f>
        <v>3.23%, CPI</v>
      </c>
      <c r="V81" s="952"/>
      <c r="W81" s="2241" t="str">
        <f t="shared" si="39"/>
        <v>0.00%</v>
      </c>
      <c r="X81" s="340">
        <f t="shared" si="41"/>
        <v>0</v>
      </c>
      <c r="Y81" s="953" t="str">
        <f>TEXT('MYP Assumptions'!I78,"0.00%")&amp;", CPI"</f>
        <v>2.73%, CPI</v>
      </c>
      <c r="AA81" s="456" t="str">
        <f t="shared" si="40"/>
        <v>0.00%</v>
      </c>
      <c r="AB81" s="340">
        <f t="shared" si="42"/>
        <v>0</v>
      </c>
      <c r="AC81" s="953" t="str">
        <f>TEXT('MYP Assumptions'!J78,"0.00%")&amp;", CPI"</f>
        <v>2.73%, CPI</v>
      </c>
    </row>
    <row r="82" spans="1:29" s="457" customFormat="1" x14ac:dyDescent="0.25">
      <c r="A82" s="2228"/>
      <c r="B82" s="2345"/>
      <c r="C82" s="2215"/>
      <c r="D82" s="458">
        <f>SUM(D69:D81)</f>
        <v>81073</v>
      </c>
      <c r="E82" s="2386"/>
      <c r="F82" s="340"/>
      <c r="G82" s="456">
        <f t="shared" si="47"/>
        <v>-0.76325040395692767</v>
      </c>
      <c r="H82" s="458">
        <f>SUM(H69:H81)</f>
        <v>19194</v>
      </c>
      <c r="I82" s="2316">
        <f>+H82-D82</f>
        <v>-61879</v>
      </c>
      <c r="J82" s="459"/>
      <c r="K82" s="456">
        <f t="shared" si="36"/>
        <v>-1</v>
      </c>
      <c r="L82" s="458">
        <f>SUM(L69:L81)</f>
        <v>0</v>
      </c>
      <c r="M82" s="2316">
        <f>+L82-H82</f>
        <v>-19194</v>
      </c>
      <c r="O82" s="456" t="str">
        <f t="shared" si="37"/>
        <v>0.00%</v>
      </c>
      <c r="P82" s="458">
        <f>SUM(P69:P81)</f>
        <v>0</v>
      </c>
      <c r="Q82" s="2316">
        <f>+P82-L82</f>
        <v>0</v>
      </c>
      <c r="R82" s="592"/>
      <c r="S82" s="2238" t="str">
        <f t="shared" si="38"/>
        <v>0.00%</v>
      </c>
      <c r="T82" s="458">
        <f>SUM(T69:T81)</f>
        <v>0</v>
      </c>
      <c r="U82" s="2344"/>
      <c r="V82" s="952"/>
      <c r="W82" s="2241" t="str">
        <f t="shared" si="39"/>
        <v>0.00%</v>
      </c>
      <c r="X82" s="458">
        <f>SUM(X69:X81)</f>
        <v>0</v>
      </c>
      <c r="Y82" s="2344"/>
      <c r="AA82" s="456" t="str">
        <f t="shared" si="40"/>
        <v>0.00%</v>
      </c>
      <c r="AB82" s="458">
        <f>SUM(AB69:AB81)</f>
        <v>0</v>
      </c>
      <c r="AC82" s="2344"/>
    </row>
    <row r="83" spans="1:29" s="457" customFormat="1" x14ac:dyDescent="0.25">
      <c r="A83" s="2227"/>
      <c r="B83" s="2337"/>
      <c r="C83" s="2215"/>
      <c r="D83" s="340"/>
      <c r="E83" s="2386"/>
      <c r="F83" s="340"/>
      <c r="G83" s="456"/>
      <c r="H83" s="340"/>
      <c r="I83" s="897"/>
      <c r="J83" s="455"/>
      <c r="K83" s="1668"/>
      <c r="L83" s="340"/>
      <c r="M83" s="901"/>
      <c r="O83" s="1668"/>
      <c r="P83" s="340"/>
      <c r="Q83" s="901"/>
      <c r="R83" s="592"/>
      <c r="S83" s="2341"/>
      <c r="T83" s="340"/>
      <c r="U83" s="2344"/>
      <c r="V83" s="952"/>
      <c r="W83" s="2343"/>
      <c r="X83" s="340"/>
      <c r="Y83" s="2344"/>
      <c r="AA83" s="1668"/>
      <c r="AB83" s="340"/>
      <c r="AC83" s="2344"/>
    </row>
    <row r="84" spans="1:29" s="457" customFormat="1" x14ac:dyDescent="0.25">
      <c r="A84" s="2227"/>
      <c r="B84" s="2337" t="s">
        <v>328</v>
      </c>
      <c r="C84" s="2215"/>
      <c r="D84" s="340"/>
      <c r="E84" s="2386"/>
      <c r="F84" s="340"/>
      <c r="G84" s="456"/>
      <c r="H84" s="340"/>
      <c r="I84" s="897"/>
      <c r="J84" s="455"/>
      <c r="K84" s="1668"/>
      <c r="L84" s="340"/>
      <c r="M84" s="901"/>
      <c r="O84" s="1668"/>
      <c r="P84" s="340"/>
      <c r="Q84" s="901"/>
      <c r="R84" s="592"/>
      <c r="S84" s="2341"/>
      <c r="T84" s="340"/>
      <c r="U84" s="2344"/>
      <c r="V84" s="952"/>
      <c r="W84" s="2343"/>
      <c r="X84" s="340"/>
      <c r="Y84" s="2344"/>
      <c r="AA84" s="1668"/>
      <c r="AB84" s="340"/>
      <c r="AC84" s="2344"/>
    </row>
    <row r="85" spans="1:29" s="457" customFormat="1" x14ac:dyDescent="0.25">
      <c r="A85" s="2227"/>
      <c r="B85" s="2345" t="s">
        <v>342</v>
      </c>
      <c r="C85" s="2358" t="s">
        <v>328</v>
      </c>
      <c r="D85" s="340">
        <v>0</v>
      </c>
      <c r="E85" s="2386"/>
      <c r="F85" s="340"/>
      <c r="G85" s="456" t="str">
        <f t="shared" ref="G85:G93" si="48">IF(D85=0,"0.00%",(H85-D85)/D85)</f>
        <v>0.00%</v>
      </c>
      <c r="H85" s="340">
        <v>57</v>
      </c>
      <c r="I85" s="897"/>
      <c r="J85" s="455"/>
      <c r="K85" s="456">
        <f>IF(H96=0,"0.00%",(L85-H96)/H96)</f>
        <v>-1</v>
      </c>
      <c r="L85" s="340">
        <v>0</v>
      </c>
      <c r="M85" s="1656"/>
      <c r="O85" s="456">
        <f>IF(L96=0,"0.00%",(P85-L96)/L96)</f>
        <v>-1</v>
      </c>
      <c r="P85" s="340">
        <v>0</v>
      </c>
      <c r="Q85" s="901"/>
      <c r="R85" s="592"/>
      <c r="S85" s="2341"/>
      <c r="T85" s="340">
        <v>0</v>
      </c>
      <c r="U85" s="2344"/>
      <c r="V85" s="952"/>
      <c r="W85" s="2343"/>
      <c r="X85" s="340">
        <v>0</v>
      </c>
      <c r="Y85" s="2344"/>
      <c r="AA85" s="1668"/>
      <c r="AB85" s="340">
        <v>0</v>
      </c>
      <c r="AC85" s="2344"/>
    </row>
    <row r="86" spans="1:29" s="457" customFormat="1" x14ac:dyDescent="0.25">
      <c r="A86" s="2227"/>
      <c r="B86" s="2385">
        <v>6157</v>
      </c>
      <c r="C86" s="2215" t="s">
        <v>335</v>
      </c>
      <c r="D86" s="340">
        <v>19150.189999999999</v>
      </c>
      <c r="E86" s="2386"/>
      <c r="F86" s="340"/>
      <c r="G86" s="456">
        <f t="shared" si="48"/>
        <v>-0.79627565052879368</v>
      </c>
      <c r="H86" s="340">
        <v>3901.36</v>
      </c>
      <c r="I86" s="897"/>
      <c r="J86" s="455"/>
      <c r="K86" s="1668"/>
      <c r="L86" s="340">
        <v>0</v>
      </c>
      <c r="M86" s="901"/>
      <c r="O86" s="1668"/>
      <c r="P86" s="340">
        <v>0</v>
      </c>
      <c r="Q86" s="901"/>
      <c r="R86" s="592"/>
      <c r="S86" s="2341"/>
      <c r="T86" s="340">
        <v>0</v>
      </c>
      <c r="U86" s="2344"/>
      <c r="V86" s="952"/>
      <c r="W86" s="2343"/>
      <c r="X86" s="340">
        <v>0</v>
      </c>
      <c r="Y86" s="2344"/>
      <c r="AA86" s="1668"/>
      <c r="AB86" s="340">
        <v>0</v>
      </c>
      <c r="AC86" s="2344"/>
    </row>
    <row r="87" spans="1:29" s="457" customFormat="1" x14ac:dyDescent="0.25">
      <c r="A87" s="2227"/>
      <c r="B87" s="2385">
        <v>6210</v>
      </c>
      <c r="C87" s="2215" t="s">
        <v>325</v>
      </c>
      <c r="D87" s="340">
        <v>178018.6</v>
      </c>
      <c r="E87" s="2386"/>
      <c r="F87" s="340"/>
      <c r="G87" s="456">
        <f t="shared" si="48"/>
        <v>-0.57720266309250834</v>
      </c>
      <c r="H87" s="340">
        <v>75265.789999999994</v>
      </c>
      <c r="I87" s="897"/>
      <c r="J87" s="455"/>
      <c r="K87" s="1668"/>
      <c r="L87" s="340">
        <v>713000</v>
      </c>
      <c r="M87" s="901" t="s">
        <v>1104</v>
      </c>
      <c r="O87" s="1668"/>
      <c r="P87" s="340">
        <v>0</v>
      </c>
      <c r="Q87" s="901"/>
      <c r="R87" s="592"/>
      <c r="S87" s="2341"/>
      <c r="T87" s="340">
        <v>0</v>
      </c>
      <c r="U87" s="2344"/>
      <c r="V87" s="952"/>
      <c r="W87" s="2343"/>
      <c r="X87" s="340">
        <v>0</v>
      </c>
      <c r="Y87" s="2344"/>
      <c r="AA87" s="1668"/>
      <c r="AB87" s="340">
        <v>0</v>
      </c>
      <c r="AC87" s="2344"/>
    </row>
    <row r="88" spans="1:29" s="457" customFormat="1" x14ac:dyDescent="0.25">
      <c r="A88" s="2227"/>
      <c r="B88" s="2385">
        <v>6220</v>
      </c>
      <c r="C88" s="2215" t="s">
        <v>336</v>
      </c>
      <c r="D88" s="340">
        <v>16768.75</v>
      </c>
      <c r="E88" s="2386"/>
      <c r="F88" s="340"/>
      <c r="G88" s="456">
        <f t="shared" si="48"/>
        <v>-0.18153768169959</v>
      </c>
      <c r="H88" s="340">
        <v>13724.59</v>
      </c>
      <c r="I88" s="897"/>
      <c r="J88" s="455"/>
      <c r="K88" s="1668"/>
      <c r="L88" s="340">
        <v>0</v>
      </c>
      <c r="M88" s="901"/>
      <c r="O88" s="1668"/>
      <c r="P88" s="340">
        <v>0</v>
      </c>
      <c r="Q88" s="901"/>
      <c r="R88" s="592"/>
      <c r="S88" s="2341"/>
      <c r="T88" s="340">
        <v>0</v>
      </c>
      <c r="U88" s="2344"/>
      <c r="V88" s="952"/>
      <c r="W88" s="2343"/>
      <c r="X88" s="340">
        <v>0</v>
      </c>
      <c r="Y88" s="2344"/>
      <c r="AA88" s="1668"/>
      <c r="AB88" s="340">
        <v>0</v>
      </c>
      <c r="AC88" s="2344"/>
    </row>
    <row r="89" spans="1:29" s="457" customFormat="1" x14ac:dyDescent="0.25">
      <c r="A89" s="2227"/>
      <c r="B89" s="2385">
        <v>6270</v>
      </c>
      <c r="C89" s="2215" t="s">
        <v>337</v>
      </c>
      <c r="D89" s="340">
        <v>1112577.31</v>
      </c>
      <c r="E89" s="2386"/>
      <c r="F89" s="340"/>
      <c r="G89" s="456">
        <f t="shared" si="48"/>
        <v>2.313239275030694</v>
      </c>
      <c r="H89" s="340">
        <v>3686234.84</v>
      </c>
      <c r="I89" s="897"/>
      <c r="J89" s="455"/>
      <c r="K89" s="1668"/>
      <c r="L89" s="340">
        <v>0</v>
      </c>
      <c r="M89" s="901"/>
      <c r="O89" s="1668"/>
      <c r="P89" s="340">
        <v>0</v>
      </c>
      <c r="Q89" s="901"/>
      <c r="R89" s="592"/>
      <c r="S89" s="2341"/>
      <c r="T89" s="340">
        <v>0</v>
      </c>
      <c r="U89" s="2344"/>
      <c r="V89" s="952"/>
      <c r="W89" s="2343"/>
      <c r="X89" s="340">
        <v>0</v>
      </c>
      <c r="Y89" s="2344"/>
      <c r="AA89" s="1668"/>
      <c r="AB89" s="340">
        <v>0</v>
      </c>
      <c r="AC89" s="2344"/>
    </row>
    <row r="90" spans="1:29" s="457" customFormat="1" x14ac:dyDescent="0.25">
      <c r="A90" s="2227"/>
      <c r="B90" s="2385">
        <v>6275</v>
      </c>
      <c r="C90" s="2215" t="s">
        <v>338</v>
      </c>
      <c r="D90" s="340">
        <v>74232.490000000005</v>
      </c>
      <c r="E90" s="2386"/>
      <c r="F90" s="340"/>
      <c r="G90" s="456">
        <f t="shared" si="48"/>
        <v>-0.91838816130241618</v>
      </c>
      <c r="H90" s="340">
        <v>6058.25</v>
      </c>
      <c r="I90" s="897"/>
      <c r="J90" s="455"/>
      <c r="K90" s="1668"/>
      <c r="L90" s="340">
        <v>0</v>
      </c>
      <c r="M90" s="901"/>
      <c r="O90" s="1668"/>
      <c r="P90" s="340">
        <v>0</v>
      </c>
      <c r="Q90" s="901"/>
      <c r="R90" s="592"/>
      <c r="S90" s="2341"/>
      <c r="T90" s="340">
        <v>0</v>
      </c>
      <c r="U90" s="2344"/>
      <c r="V90" s="952"/>
      <c r="W90" s="2343"/>
      <c r="X90" s="340">
        <v>0</v>
      </c>
      <c r="Y90" s="2344"/>
      <c r="AA90" s="1668"/>
      <c r="AB90" s="340">
        <v>0</v>
      </c>
      <c r="AC90" s="2344"/>
    </row>
    <row r="91" spans="1:29" s="457" customFormat="1" x14ac:dyDescent="0.25">
      <c r="A91" s="2227"/>
      <c r="B91" s="2385">
        <v>6279</v>
      </c>
      <c r="C91" s="2215" t="s">
        <v>339</v>
      </c>
      <c r="D91" s="340">
        <v>14976</v>
      </c>
      <c r="E91" s="2386"/>
      <c r="F91" s="340"/>
      <c r="G91" s="456">
        <f t="shared" si="48"/>
        <v>-0.27884615384615385</v>
      </c>
      <c r="H91" s="340">
        <v>10800</v>
      </c>
      <c r="I91" s="897"/>
      <c r="J91" s="455"/>
      <c r="K91" s="1668"/>
      <c r="L91" s="340">
        <v>11000</v>
      </c>
      <c r="M91" s="901"/>
      <c r="O91" s="1668"/>
      <c r="P91" s="340">
        <v>0</v>
      </c>
      <c r="Q91" s="901"/>
      <c r="R91" s="592"/>
      <c r="S91" s="2341"/>
      <c r="T91" s="340">
        <v>0</v>
      </c>
      <c r="U91" s="2344"/>
      <c r="V91" s="952"/>
      <c r="W91" s="2343"/>
      <c r="X91" s="340">
        <v>0</v>
      </c>
      <c r="Y91" s="2344"/>
      <c r="AA91" s="1668"/>
      <c r="AB91" s="340">
        <v>0</v>
      </c>
      <c r="AC91" s="2344"/>
    </row>
    <row r="92" spans="1:29" s="457" customFormat="1" x14ac:dyDescent="0.25">
      <c r="A92" s="2227"/>
      <c r="B92" s="2385">
        <v>6280</v>
      </c>
      <c r="C92" s="2215" t="s">
        <v>340</v>
      </c>
      <c r="D92" s="340">
        <v>10143.5</v>
      </c>
      <c r="E92" s="2386"/>
      <c r="F92" s="340"/>
      <c r="G92" s="456">
        <f t="shared" si="48"/>
        <v>-0.30768472420762066</v>
      </c>
      <c r="H92" s="340">
        <v>7022.5</v>
      </c>
      <c r="I92" s="897"/>
      <c r="J92" s="455"/>
      <c r="K92" s="1668"/>
      <c r="L92" s="340">
        <v>0</v>
      </c>
      <c r="M92" s="901"/>
      <c r="O92" s="1668"/>
      <c r="P92" s="340">
        <v>0</v>
      </c>
      <c r="Q92" s="901"/>
      <c r="R92" s="592"/>
      <c r="S92" s="2341"/>
      <c r="T92" s="340">
        <v>0</v>
      </c>
      <c r="U92" s="2344"/>
      <c r="V92" s="952"/>
      <c r="W92" s="2343"/>
      <c r="X92" s="340">
        <v>0</v>
      </c>
      <c r="Y92" s="2344"/>
      <c r="AA92" s="1668"/>
      <c r="AB92" s="340">
        <v>0</v>
      </c>
      <c r="AC92" s="2344"/>
    </row>
    <row r="93" spans="1:29" s="457" customFormat="1" x14ac:dyDescent="0.25">
      <c r="A93" s="2227"/>
      <c r="B93" s="2385">
        <v>6290</v>
      </c>
      <c r="C93" s="2215" t="s">
        <v>341</v>
      </c>
      <c r="D93" s="340">
        <v>65900</v>
      </c>
      <c r="E93" s="2386"/>
      <c r="F93" s="340"/>
      <c r="G93" s="456">
        <f t="shared" si="48"/>
        <v>0.18755690440060699</v>
      </c>
      <c r="H93" s="340">
        <v>78260</v>
      </c>
      <c r="I93" s="897"/>
      <c r="J93" s="455"/>
      <c r="K93" s="1668"/>
      <c r="L93" s="340">
        <v>32000</v>
      </c>
      <c r="M93" s="901"/>
      <c r="O93" s="1668"/>
      <c r="P93" s="340">
        <v>0</v>
      </c>
      <c r="Q93" s="901"/>
      <c r="R93" s="592"/>
      <c r="S93" s="2341"/>
      <c r="T93" s="340">
        <v>0</v>
      </c>
      <c r="U93" s="2344"/>
      <c r="V93" s="952"/>
      <c r="W93" s="2343"/>
      <c r="X93" s="340">
        <v>0</v>
      </c>
      <c r="Y93" s="2344"/>
      <c r="AA93" s="1668"/>
      <c r="AB93" s="340">
        <v>0</v>
      </c>
      <c r="AC93" s="2344"/>
    </row>
    <row r="94" spans="1:29" s="457" customFormat="1" hidden="1" x14ac:dyDescent="0.25">
      <c r="A94" s="2227"/>
      <c r="B94" s="2385"/>
      <c r="C94" s="2215"/>
      <c r="D94" s="340">
        <v>0</v>
      </c>
      <c r="E94" s="2386"/>
      <c r="F94" s="340"/>
      <c r="G94" s="456"/>
      <c r="H94" s="340">
        <v>0</v>
      </c>
      <c r="I94" s="897"/>
      <c r="J94" s="455"/>
      <c r="K94" s="1668"/>
      <c r="L94" s="340">
        <v>0</v>
      </c>
      <c r="M94" s="901"/>
      <c r="O94" s="1668"/>
      <c r="P94" s="340">
        <v>0</v>
      </c>
      <c r="Q94" s="901"/>
      <c r="R94" s="592"/>
      <c r="S94" s="2341"/>
      <c r="T94" s="340">
        <v>0</v>
      </c>
      <c r="U94" s="2344"/>
      <c r="V94" s="952"/>
      <c r="W94" s="2343"/>
      <c r="X94" s="340">
        <v>0</v>
      </c>
      <c r="Y94" s="2344"/>
      <c r="AA94" s="1668"/>
      <c r="AB94" s="340">
        <v>0</v>
      </c>
      <c r="AC94" s="2344"/>
    </row>
    <row r="95" spans="1:29" s="457" customFormat="1" x14ac:dyDescent="0.25">
      <c r="A95" s="2227"/>
      <c r="B95" s="2337"/>
      <c r="C95" s="2215"/>
      <c r="D95" s="340"/>
      <c r="E95" s="1656"/>
      <c r="G95" s="1668"/>
      <c r="H95" s="340"/>
      <c r="I95" s="897"/>
      <c r="J95" s="455"/>
      <c r="K95" s="1668"/>
      <c r="L95" s="340"/>
      <c r="M95" s="901"/>
      <c r="O95" s="1668"/>
      <c r="P95" s="340"/>
      <c r="Q95" s="901"/>
      <c r="R95" s="592"/>
      <c r="S95" s="2341"/>
      <c r="T95" s="340"/>
      <c r="U95" s="2344"/>
      <c r="V95" s="952"/>
      <c r="W95" s="2343"/>
      <c r="X95" s="340"/>
      <c r="Y95" s="2344"/>
      <c r="AA95" s="1668"/>
      <c r="AB95" s="340"/>
      <c r="AC95" s="2344"/>
    </row>
    <row r="96" spans="1:29" s="457" customFormat="1" x14ac:dyDescent="0.25">
      <c r="A96" s="2227"/>
      <c r="B96" s="2345"/>
      <c r="C96" s="2215"/>
      <c r="D96" s="2442">
        <f>SUM(D85:D95)</f>
        <v>1491766.84</v>
      </c>
      <c r="E96" s="2375"/>
      <c r="F96" s="1866"/>
      <c r="G96" s="2450"/>
      <c r="H96" s="2442">
        <f>SUM(H85:H95)</f>
        <v>3881324.33</v>
      </c>
      <c r="I96" s="2316">
        <f>+H96-D96</f>
        <v>2389557.4900000002</v>
      </c>
      <c r="J96" s="460"/>
      <c r="K96" s="606"/>
      <c r="L96" s="2442">
        <f>SUM(L85:L95)</f>
        <v>756000</v>
      </c>
      <c r="M96" s="2316">
        <f>+L96-H96</f>
        <v>-3125324.33</v>
      </c>
      <c r="N96" s="2378"/>
      <c r="O96" s="606"/>
      <c r="P96" s="2442">
        <f>SUM(P85:P95)</f>
        <v>0</v>
      </c>
      <c r="Q96" s="2316">
        <f>+P96-L96</f>
        <v>-756000</v>
      </c>
      <c r="R96" s="592"/>
      <c r="S96" s="2341"/>
      <c r="T96" s="2368">
        <f>SUM(T85:T95)</f>
        <v>0</v>
      </c>
      <c r="U96" s="2344"/>
      <c r="V96" s="952"/>
      <c r="W96" s="2343"/>
      <c r="X96" s="2368">
        <f>SUM(X85:X95)</f>
        <v>0</v>
      </c>
      <c r="Y96" s="2344"/>
      <c r="AA96" s="1668"/>
      <c r="AB96" s="2368">
        <f>SUM(AB85:AB95)</f>
        <v>0</v>
      </c>
      <c r="AC96" s="2344"/>
    </row>
    <row r="97" spans="1:29" s="457" customFormat="1" x14ac:dyDescent="0.25">
      <c r="A97" s="2227"/>
      <c r="B97" s="2345"/>
      <c r="C97" s="2215"/>
      <c r="D97" s="340"/>
      <c r="E97" s="2386"/>
      <c r="F97" s="340"/>
      <c r="G97" s="2338"/>
      <c r="H97" s="340"/>
      <c r="I97" s="897"/>
      <c r="J97" s="455"/>
      <c r="K97" s="1668"/>
      <c r="L97" s="340"/>
      <c r="M97" s="901"/>
      <c r="O97" s="1668"/>
      <c r="P97" s="340"/>
      <c r="Q97" s="901"/>
      <c r="R97" s="592"/>
      <c r="S97" s="2341"/>
      <c r="T97" s="340"/>
      <c r="U97" s="2344"/>
      <c r="V97" s="952"/>
      <c r="W97" s="2343"/>
      <c r="X97" s="340"/>
      <c r="Y97" s="2344"/>
      <c r="AA97" s="1668"/>
      <c r="AB97" s="340"/>
      <c r="AC97" s="2344"/>
    </row>
    <row r="98" spans="1:29" s="457" customFormat="1" x14ac:dyDescent="0.25">
      <c r="A98" s="2227"/>
      <c r="B98" s="2337" t="s">
        <v>518</v>
      </c>
      <c r="C98" s="2225"/>
      <c r="D98" s="340"/>
      <c r="E98" s="2386"/>
      <c r="F98" s="340"/>
      <c r="G98" s="2338"/>
      <c r="H98" s="340"/>
      <c r="I98" s="897"/>
      <c r="J98" s="455"/>
      <c r="K98" s="1668"/>
      <c r="L98" s="340"/>
      <c r="M98" s="901"/>
      <c r="O98" s="1668"/>
      <c r="P98" s="340"/>
      <c r="Q98" s="901"/>
      <c r="R98" s="592"/>
      <c r="S98" s="2341"/>
      <c r="T98" s="340"/>
      <c r="U98" s="2344"/>
      <c r="V98" s="952"/>
      <c r="W98" s="2343"/>
      <c r="X98" s="340"/>
      <c r="Y98" s="2344"/>
      <c r="AA98" s="1668"/>
      <c r="AB98" s="340"/>
      <c r="AC98" s="2344"/>
    </row>
    <row r="99" spans="1:29" s="457" customFormat="1" x14ac:dyDescent="0.25">
      <c r="A99" s="2227"/>
      <c r="B99" s="2385">
        <v>7619</v>
      </c>
      <c r="C99" s="2215" t="s">
        <v>1085</v>
      </c>
      <c r="D99" s="340"/>
      <c r="E99" s="2386"/>
      <c r="F99" s="340"/>
      <c r="G99" s="2338"/>
      <c r="H99" s="1866">
        <v>1959794.72</v>
      </c>
      <c r="I99" s="897"/>
      <c r="J99" s="455"/>
      <c r="K99" s="1668"/>
      <c r="L99" s="340"/>
      <c r="M99" s="901"/>
      <c r="O99" s="1668"/>
      <c r="P99" s="340"/>
      <c r="Q99" s="901"/>
      <c r="R99" s="592"/>
      <c r="S99" s="2341"/>
      <c r="T99" s="340"/>
      <c r="U99" s="2344"/>
      <c r="V99" s="952"/>
      <c r="W99" s="2343"/>
      <c r="X99" s="340"/>
      <c r="Y99" s="2344"/>
      <c r="AA99" s="1668"/>
      <c r="AB99" s="340"/>
      <c r="AC99" s="2344"/>
    </row>
    <row r="100" spans="1:29" s="457" customFormat="1" x14ac:dyDescent="0.25">
      <c r="A100" s="2227"/>
      <c r="B100" s="2345"/>
      <c r="C100" s="2215"/>
      <c r="D100" s="340"/>
      <c r="E100" s="2386"/>
      <c r="F100" s="340"/>
      <c r="G100" s="2338"/>
      <c r="H100" s="340"/>
      <c r="I100" s="897"/>
      <c r="J100" s="455"/>
      <c r="K100" s="1668"/>
      <c r="L100" s="340"/>
      <c r="M100" s="901"/>
      <c r="O100" s="1668"/>
      <c r="P100" s="340"/>
      <c r="Q100" s="901"/>
      <c r="R100" s="592"/>
      <c r="S100" s="2341"/>
      <c r="T100" s="340"/>
      <c r="U100" s="2344"/>
      <c r="V100" s="952"/>
      <c r="W100" s="2343"/>
      <c r="X100" s="340"/>
      <c r="Y100" s="2344"/>
      <c r="AA100" s="1668"/>
      <c r="AB100" s="340"/>
      <c r="AC100" s="2344"/>
    </row>
    <row r="101" spans="1:29" s="457" customFormat="1" x14ac:dyDescent="0.25">
      <c r="A101" s="2227"/>
      <c r="B101" s="2345"/>
      <c r="C101" s="2215"/>
      <c r="D101" s="340"/>
      <c r="E101" s="2386"/>
      <c r="F101" s="340"/>
      <c r="G101" s="2338"/>
      <c r="H101" s="340"/>
      <c r="I101" s="897"/>
      <c r="J101" s="455"/>
      <c r="K101" s="1668"/>
      <c r="L101" s="340"/>
      <c r="M101" s="901"/>
      <c r="O101" s="1668"/>
      <c r="P101" s="340"/>
      <c r="Q101" s="901"/>
      <c r="R101" s="592"/>
      <c r="S101" s="2341"/>
      <c r="T101" s="340"/>
      <c r="U101" s="2344"/>
      <c r="V101" s="952"/>
      <c r="W101" s="2343"/>
      <c r="X101" s="340"/>
      <c r="Y101" s="2344"/>
      <c r="AA101" s="1668"/>
      <c r="AB101" s="340"/>
      <c r="AC101" s="2344"/>
    </row>
    <row r="102" spans="1:29" s="457" customFormat="1" x14ac:dyDescent="0.25">
      <c r="A102" s="2228"/>
      <c r="B102" s="2337" t="s">
        <v>0</v>
      </c>
      <c r="C102" s="2215"/>
      <c r="D102" s="458">
        <f>SUM(D82,D66,D55,D13+D96)</f>
        <v>1572839.84</v>
      </c>
      <c r="E102" s="2386"/>
      <c r="F102" s="340"/>
      <c r="G102" s="456">
        <f>IF(D102=0,"0.00%",(H102-D102)/D102)</f>
        <v>2.7267892387568207</v>
      </c>
      <c r="H102" s="458">
        <f>SUM(H82,H66,H55,H13,H96,H99)</f>
        <v>5861642.5899999999</v>
      </c>
      <c r="I102" s="2316">
        <f>+H102-D102</f>
        <v>4288802.75</v>
      </c>
      <c r="J102" s="459"/>
      <c r="K102" s="456">
        <f>IF(H102=0,"0.00%",(L102-H102)/H102)</f>
        <v>-0.8710259132329663</v>
      </c>
      <c r="L102" s="458">
        <f>SUM(L82,L66,L55,L13+L96)</f>
        <v>756000</v>
      </c>
      <c r="M102" s="2316">
        <f>+L102-H102</f>
        <v>-5105642.59</v>
      </c>
      <c r="O102" s="456">
        <f>IF(L102=0,"0.00%",(P102-L102)/L102)</f>
        <v>-1</v>
      </c>
      <c r="P102" s="458">
        <f>SUM(P82,P66,P55,P13+P96)</f>
        <v>0</v>
      </c>
      <c r="Q102" s="2316">
        <f>+P102-L102</f>
        <v>-756000</v>
      </c>
      <c r="R102" s="592"/>
      <c r="S102" s="2238" t="str">
        <f>IF(P102=0,"0.00%",(T102-P102)/P102)</f>
        <v>0.00%</v>
      </c>
      <c r="T102" s="458">
        <f>SUM(T82,T66,T55,T13+T96)</f>
        <v>0</v>
      </c>
      <c r="U102" s="2344"/>
      <c r="V102" s="952"/>
      <c r="W102" s="2241" t="str">
        <f>IF(T102=0,"0.00%",(X102-T102)/T102)</f>
        <v>0.00%</v>
      </c>
      <c r="X102" s="458">
        <f>SUM(X82,X66,X55,X13+X96)</f>
        <v>0</v>
      </c>
      <c r="Y102" s="2344"/>
      <c r="AA102" s="456" t="str">
        <f>IF(X102=0,"0.00%",(AB102-X102)/X102)</f>
        <v>0.00%</v>
      </c>
      <c r="AB102" s="458" t="e">
        <f>SUM(AB82,AB66,AB55,AB13+AB96)</f>
        <v>#VALUE!</v>
      </c>
      <c r="AC102" s="2344"/>
    </row>
    <row r="103" spans="1:29" s="457" customFormat="1" x14ac:dyDescent="0.25">
      <c r="A103" s="2227"/>
      <c r="B103" s="2345"/>
      <c r="C103" s="2215"/>
      <c r="D103" s="340"/>
      <c r="E103" s="2386"/>
      <c r="F103" s="340"/>
      <c r="G103" s="2338"/>
      <c r="H103" s="340"/>
      <c r="I103" s="897"/>
      <c r="J103" s="455"/>
      <c r="K103" s="1668"/>
      <c r="L103" s="340"/>
      <c r="M103" s="901"/>
      <c r="O103" s="1668"/>
      <c r="P103" s="340"/>
      <c r="Q103" s="901"/>
      <c r="R103" s="592"/>
      <c r="S103" s="2341"/>
      <c r="T103" s="340"/>
      <c r="U103" s="2344"/>
      <c r="V103" s="952"/>
      <c r="W103" s="2343"/>
      <c r="X103" s="340"/>
      <c r="Y103" s="2344"/>
      <c r="AA103" s="1668"/>
      <c r="AB103" s="340"/>
      <c r="AC103" s="2344"/>
    </row>
    <row r="104" spans="1:29" s="457" customFormat="1" x14ac:dyDescent="0.25">
      <c r="A104" s="2227"/>
      <c r="B104" s="2337" t="s">
        <v>138</v>
      </c>
      <c r="C104" s="2215"/>
      <c r="D104" s="833">
        <f>D11-D102</f>
        <v>388478.15999999992</v>
      </c>
      <c r="E104" s="1656"/>
      <c r="G104" s="456">
        <f>IF(D104=0,"0.00%",(H104-D104)/D104)</f>
        <v>-8.4407595783505585</v>
      </c>
      <c r="H104" s="833">
        <f>H11-H102</f>
        <v>-2890572.59</v>
      </c>
      <c r="I104" s="897"/>
      <c r="J104" s="455"/>
      <c r="K104" s="456">
        <f>IF(H104=0,"0.00%",(L104-H104)/H104)</f>
        <v>-0.73846012287828411</v>
      </c>
      <c r="L104" s="833">
        <f>L11-L102</f>
        <v>-756000</v>
      </c>
      <c r="M104" s="901"/>
      <c r="O104" s="456">
        <f>IF(L104=0,"0.00%",(P104-L104)/L104)</f>
        <v>-1</v>
      </c>
      <c r="P104" s="833">
        <f>P11-P102</f>
        <v>0</v>
      </c>
      <c r="Q104" s="901"/>
      <c r="R104" s="592"/>
      <c r="S104" s="2238" t="str">
        <f>IF(P104=0,"0.00%",(T104-P104)/P104)</f>
        <v>0.00%</v>
      </c>
      <c r="T104" s="833">
        <f>T11-T102</f>
        <v>0</v>
      </c>
      <c r="U104" s="2344"/>
      <c r="V104" s="952"/>
      <c r="W104" s="2241" t="str">
        <f>IF(T104=0,"0.00%",(X104-T104)/T104)</f>
        <v>0.00%</v>
      </c>
      <c r="X104" s="833">
        <f>X11-X102</f>
        <v>0</v>
      </c>
      <c r="Y104" s="2344"/>
      <c r="AA104" s="456" t="str">
        <f>IF(X104=0,"0.00%",(AB104-X104)/X104)</f>
        <v>0.00%</v>
      </c>
      <c r="AB104" s="833" t="e">
        <f>AB11-AB102</f>
        <v>#VALUE!</v>
      </c>
      <c r="AC104" s="2344"/>
    </row>
    <row r="105" spans="1:29" s="457" customFormat="1" x14ac:dyDescent="0.25">
      <c r="A105" s="2215"/>
      <c r="B105" s="2337"/>
      <c r="C105" s="2345"/>
      <c r="D105" s="833"/>
      <c r="E105" s="1656"/>
      <c r="G105" s="2338"/>
      <c r="H105" s="833"/>
      <c r="I105" s="897"/>
      <c r="J105" s="455"/>
      <c r="K105" s="1668"/>
      <c r="L105" s="833"/>
      <c r="M105" s="901"/>
      <c r="O105" s="1668"/>
      <c r="P105" s="833"/>
      <c r="Q105" s="901"/>
      <c r="R105" s="592"/>
      <c r="S105" s="2341"/>
      <c r="T105" s="2356"/>
      <c r="U105" s="2344"/>
      <c r="V105" s="952"/>
      <c r="W105" s="2343"/>
      <c r="X105" s="2356"/>
      <c r="Y105" s="2344"/>
      <c r="AA105" s="1668"/>
      <c r="AB105" s="2356"/>
      <c r="AC105" s="2344"/>
    </row>
    <row r="106" spans="1:29" s="457" customFormat="1" x14ac:dyDescent="0.25">
      <c r="A106" s="2215"/>
      <c r="B106" s="2337" t="s">
        <v>136</v>
      </c>
      <c r="C106" s="2394"/>
      <c r="D106" s="833">
        <f>D7+D104</f>
        <v>3646572.59</v>
      </c>
      <c r="E106" s="1656"/>
      <c r="G106" s="456">
        <f>IF(D106=0,"0.00%",(H106-D106)/D106)</f>
        <v>-0.79268203735387588</v>
      </c>
      <c r="H106" s="833">
        <f>H7+H104</f>
        <v>756000</v>
      </c>
      <c r="I106" s="2316">
        <f>+H106-D106</f>
        <v>-2890572.59</v>
      </c>
      <c r="J106" s="455"/>
      <c r="K106" s="456">
        <f>IF(H106=0,"0.00%",(L106-H106)/H106)</f>
        <v>-1</v>
      </c>
      <c r="L106" s="833">
        <f>L7+L104</f>
        <v>0</v>
      </c>
      <c r="M106" s="2316">
        <f>+L106-H106</f>
        <v>-756000</v>
      </c>
      <c r="O106" s="456" t="str">
        <f>IF(L106=0,"0.00%",(P106-L106)/L106)</f>
        <v>0.00%</v>
      </c>
      <c r="P106" s="833">
        <f>P7+P104</f>
        <v>0</v>
      </c>
      <c r="Q106" s="2316">
        <f>+P106-L106</f>
        <v>0</v>
      </c>
      <c r="R106" s="592"/>
      <c r="S106" s="2238" t="str">
        <f>IF(P106=0,"0.00%",(T106-P106)/P106)</f>
        <v>0.00%</v>
      </c>
      <c r="T106" s="2367">
        <f>T7+T104</f>
        <v>0</v>
      </c>
      <c r="U106" s="2344"/>
      <c r="V106" s="952"/>
      <c r="W106" s="2241" t="str">
        <f>IF(T106=0,"0.00%",(X106-T106)/T106)</f>
        <v>0.00%</v>
      </c>
      <c r="X106" s="2367">
        <f>X7+X104</f>
        <v>0</v>
      </c>
      <c r="Y106" s="2344"/>
      <c r="AA106" s="456" t="str">
        <f>IF(X106=0,"0.00%",(AB106-X106)/X106)</f>
        <v>0.00%</v>
      </c>
      <c r="AB106" s="2367" t="e">
        <f>AB7+AB104</f>
        <v>#VALUE!</v>
      </c>
      <c r="AC106" s="2344"/>
    </row>
    <row r="107" spans="1:29" s="457" customFormat="1" x14ac:dyDescent="0.25">
      <c r="A107" s="2215"/>
      <c r="B107" s="2345"/>
      <c r="C107" s="2225"/>
      <c r="D107" s="340"/>
      <c r="E107" s="1656"/>
      <c r="G107" s="2355"/>
      <c r="H107" s="459"/>
      <c r="I107" s="898"/>
      <c r="J107" s="459"/>
      <c r="K107" s="1668"/>
      <c r="L107" s="459"/>
      <c r="M107" s="901"/>
      <c r="O107" s="1668"/>
      <c r="P107" s="459"/>
      <c r="Q107" s="901"/>
      <c r="R107" s="592"/>
      <c r="S107" s="2341"/>
      <c r="T107" s="459"/>
      <c r="U107" s="2344"/>
      <c r="V107" s="952"/>
      <c r="W107" s="2343"/>
      <c r="X107" s="459"/>
      <c r="Y107" s="2344"/>
      <c r="AA107" s="1668"/>
      <c r="AB107" s="459"/>
      <c r="AC107" s="2344"/>
    </row>
    <row r="108" spans="1:29" s="457" customFormat="1" x14ac:dyDescent="0.25">
      <c r="A108" s="2215"/>
      <c r="B108" s="2345"/>
      <c r="C108" s="2230"/>
      <c r="D108" s="340"/>
      <c r="E108" s="1656"/>
      <c r="G108" s="2355"/>
      <c r="H108" s="455"/>
      <c r="I108" s="897"/>
      <c r="J108" s="455"/>
      <c r="K108" s="1668"/>
      <c r="L108" s="340"/>
      <c r="M108" s="901"/>
      <c r="O108" s="1668"/>
      <c r="P108" s="340"/>
      <c r="Q108" s="901"/>
      <c r="R108" s="592"/>
      <c r="S108" s="2341"/>
      <c r="T108" s="340"/>
      <c r="U108" s="2344"/>
      <c r="V108" s="952"/>
      <c r="W108" s="2343"/>
      <c r="X108" s="340"/>
      <c r="Y108" s="2344"/>
      <c r="AA108" s="1668"/>
      <c r="AB108" s="340"/>
      <c r="AC108" s="2344"/>
    </row>
    <row r="109" spans="1:29" s="457" customFormat="1" x14ac:dyDescent="0.25">
      <c r="A109" s="2215"/>
      <c r="B109" s="2345"/>
      <c r="C109" s="2230"/>
      <c r="D109" s="340"/>
      <c r="E109" s="1656"/>
      <c r="G109" s="2355"/>
      <c r="H109" s="455"/>
      <c r="I109" s="897"/>
      <c r="J109" s="455"/>
      <c r="K109" s="1668"/>
      <c r="L109" s="340"/>
      <c r="M109" s="901"/>
      <c r="O109" s="1668"/>
      <c r="P109" s="340"/>
      <c r="Q109" s="901"/>
      <c r="R109" s="592"/>
      <c r="S109" s="2341"/>
      <c r="T109" s="340"/>
      <c r="U109" s="2344"/>
      <c r="V109" s="952"/>
      <c r="W109" s="2343"/>
      <c r="X109" s="340"/>
      <c r="Y109" s="2344"/>
      <c r="AA109" s="1668"/>
      <c r="AB109" s="340"/>
      <c r="AC109" s="2344"/>
    </row>
    <row r="110" spans="1:29" s="457" customFormat="1" x14ac:dyDescent="0.25">
      <c r="A110" s="2215"/>
      <c r="B110" s="2345"/>
      <c r="C110" s="2230"/>
      <c r="D110" s="340"/>
      <c r="E110" s="1656"/>
      <c r="G110" s="2355"/>
      <c r="H110" s="455"/>
      <c r="I110" s="897"/>
      <c r="J110" s="455"/>
      <c r="K110" s="1668"/>
      <c r="L110" s="340"/>
      <c r="M110" s="901"/>
      <c r="O110" s="1668"/>
      <c r="P110" s="340"/>
      <c r="Q110" s="901"/>
      <c r="R110" s="592"/>
      <c r="S110" s="2341"/>
      <c r="T110" s="340"/>
      <c r="U110" s="2344"/>
      <c r="V110" s="952"/>
      <c r="W110" s="2343"/>
      <c r="X110" s="340"/>
      <c r="Y110" s="2344"/>
      <c r="AA110" s="1668"/>
      <c r="AB110" s="340"/>
      <c r="AC110" s="2344"/>
    </row>
    <row r="111" spans="1:29" s="457" customFormat="1" x14ac:dyDescent="0.25">
      <c r="A111" s="2215"/>
      <c r="B111" s="2345"/>
      <c r="C111" s="2230"/>
      <c r="D111" s="340"/>
      <c r="E111" s="1656"/>
      <c r="G111" s="2355"/>
      <c r="H111" s="455"/>
      <c r="I111" s="897"/>
      <c r="J111" s="455"/>
      <c r="K111" s="1668"/>
      <c r="L111" s="340"/>
      <c r="M111" s="901"/>
      <c r="O111" s="1668"/>
      <c r="P111" s="340"/>
      <c r="Q111" s="901"/>
      <c r="R111" s="592"/>
      <c r="S111" s="2341"/>
      <c r="T111" s="340"/>
      <c r="U111" s="2344"/>
      <c r="V111" s="952"/>
      <c r="W111" s="2343"/>
      <c r="X111" s="340"/>
      <c r="Y111" s="2344"/>
      <c r="AA111" s="1668"/>
      <c r="AB111" s="340"/>
      <c r="AC111" s="2344"/>
    </row>
    <row r="112" spans="1:29" s="2402" customFormat="1" ht="11.25" x14ac:dyDescent="0.2">
      <c r="A112" s="2232"/>
      <c r="B112" s="2395"/>
      <c r="C112" s="2396" t="s">
        <v>263</v>
      </c>
      <c r="D112" s="2397">
        <f>+D82+D66+D53+D41+D30+D96</f>
        <v>1572839.84</v>
      </c>
      <c r="E112" s="2363"/>
      <c r="G112" s="2399" t="s">
        <v>263</v>
      </c>
      <c r="H112" s="2397">
        <f>+H82+H66+H53+H41+H30+H96</f>
        <v>3901847.87</v>
      </c>
      <c r="I112" s="2400"/>
      <c r="J112" s="607"/>
      <c r="K112" s="2399" t="s">
        <v>263</v>
      </c>
      <c r="L112" s="2397">
        <f>+L82+L66+L53+L41+L30+L96</f>
        <v>756000</v>
      </c>
      <c r="M112" s="2404"/>
      <c r="O112" s="2399" t="s">
        <v>263</v>
      </c>
      <c r="P112" s="2397">
        <f>+P82+P66+P53+P41+P30+P96</f>
        <v>0</v>
      </c>
      <c r="Q112" s="2404"/>
      <c r="R112" s="608"/>
      <c r="S112" s="2405" t="s">
        <v>263</v>
      </c>
      <c r="T112" s="2397">
        <f>+T82+T66+T53+T41+T30+T96</f>
        <v>0</v>
      </c>
      <c r="U112" s="2409"/>
      <c r="V112" s="2407"/>
      <c r="W112" s="2408" t="s">
        <v>263</v>
      </c>
      <c r="X112" s="2397">
        <f>+X82+X66+X53+X41+X30+X96</f>
        <v>0</v>
      </c>
      <c r="Y112" s="2409"/>
      <c r="AA112" s="2399" t="s">
        <v>263</v>
      </c>
      <c r="AB112" s="2397" t="e">
        <f>+AB82+AB66+AB53+AB41+AB30+AB96</f>
        <v>#VALUE!</v>
      </c>
      <c r="AC112" s="2409"/>
    </row>
    <row r="113" spans="1:28" s="2402" customFormat="1" ht="11.25" x14ac:dyDescent="0.2">
      <c r="A113" s="2233"/>
      <c r="B113" s="2395"/>
      <c r="C113" s="2411" t="s">
        <v>222</v>
      </c>
      <c r="D113" s="2412">
        <f>+D13</f>
        <v>0</v>
      </c>
      <c r="E113" s="2419"/>
      <c r="F113" s="2410"/>
      <c r="G113" s="2415" t="s">
        <v>222</v>
      </c>
      <c r="H113" s="2412">
        <f>+H13</f>
        <v>0</v>
      </c>
      <c r="I113" s="2398"/>
      <c r="J113" s="608"/>
      <c r="K113" s="2415" t="s">
        <v>222</v>
      </c>
      <c r="L113" s="2412">
        <f>+L13</f>
        <v>0</v>
      </c>
      <c r="M113" s="2404"/>
      <c r="O113" s="2415" t="s">
        <v>222</v>
      </c>
      <c r="P113" s="2412">
        <f>+P13</f>
        <v>0</v>
      </c>
      <c r="Q113" s="2363"/>
      <c r="R113" s="608"/>
      <c r="S113" s="2416" t="s">
        <v>222</v>
      </c>
      <c r="T113" s="2412">
        <f>+T13</f>
        <v>0</v>
      </c>
      <c r="V113" s="2407"/>
      <c r="W113" s="2417" t="s">
        <v>222</v>
      </c>
      <c r="X113" s="2412">
        <f>+X13</f>
        <v>0</v>
      </c>
      <c r="AA113" s="2415" t="s">
        <v>222</v>
      </c>
      <c r="AB113" s="2412">
        <f>+AB13</f>
        <v>0</v>
      </c>
    </row>
    <row r="114" spans="1:28" s="2402" customFormat="1" ht="11.25" x14ac:dyDescent="0.2">
      <c r="A114" s="2233"/>
      <c r="B114" s="2395"/>
      <c r="C114" s="2411"/>
      <c r="D114" s="2418">
        <f>+D112+D113</f>
        <v>1572839.84</v>
      </c>
      <c r="E114" s="2419"/>
      <c r="F114" s="2410"/>
      <c r="G114" s="2415"/>
      <c r="H114" s="2418">
        <f>+H112+H113</f>
        <v>3901847.87</v>
      </c>
      <c r="I114" s="2398"/>
      <c r="J114" s="608"/>
      <c r="K114" s="2415"/>
      <c r="L114" s="2418">
        <f>+L112+L113</f>
        <v>756000</v>
      </c>
      <c r="M114" s="2363"/>
      <c r="O114" s="2415"/>
      <c r="P114" s="2418">
        <f>+P112+P113</f>
        <v>0</v>
      </c>
      <c r="Q114" s="2363"/>
      <c r="R114" s="608"/>
      <c r="S114" s="2416"/>
      <c r="T114" s="2418">
        <f>+T112+T113</f>
        <v>0</v>
      </c>
      <c r="V114" s="2407"/>
      <c r="W114" s="2417"/>
      <c r="X114" s="2418">
        <f>+X112+X113</f>
        <v>0</v>
      </c>
      <c r="AA114" s="2415"/>
      <c r="AB114" s="2418" t="e">
        <f>+AB112+AB113</f>
        <v>#VALUE!</v>
      </c>
    </row>
    <row r="115" spans="1:28" s="457" customFormat="1" ht="15" customHeight="1" x14ac:dyDescent="0.25">
      <c r="A115" s="2227"/>
      <c r="B115" s="2422"/>
      <c r="C115" s="2422"/>
      <c r="D115" s="459">
        <f>+D102-D114</f>
        <v>0</v>
      </c>
      <c r="E115" s="2386"/>
      <c r="F115" s="340"/>
      <c r="G115" s="2447"/>
      <c r="H115" s="459">
        <f>+H102-H114</f>
        <v>1959794.7199999997</v>
      </c>
      <c r="I115" s="2339"/>
      <c r="J115" s="592"/>
      <c r="K115" s="2447"/>
      <c r="L115" s="459">
        <f>+L102-L114</f>
        <v>0</v>
      </c>
      <c r="M115" s="1656"/>
      <c r="O115" s="2447"/>
      <c r="P115" s="459">
        <f>+P102-P114</f>
        <v>0</v>
      </c>
      <c r="Q115" s="1656"/>
      <c r="R115" s="592"/>
      <c r="S115" s="2447"/>
      <c r="T115" s="459">
        <f>+T102-T114</f>
        <v>0</v>
      </c>
      <c r="V115" s="952"/>
      <c r="W115" s="2448"/>
      <c r="X115" s="459">
        <f>+X102-X114</f>
        <v>0</v>
      </c>
      <c r="AA115" s="2447"/>
      <c r="AB115" s="459" t="e">
        <f>+AB102-AB114</f>
        <v>#VALUE!</v>
      </c>
    </row>
    <row r="116" spans="1:28" s="457" customFormat="1" x14ac:dyDescent="0.25">
      <c r="A116" s="2227"/>
      <c r="B116" s="2422"/>
      <c r="C116" s="2422"/>
      <c r="D116" s="455"/>
      <c r="E116" s="2386"/>
      <c r="F116" s="340"/>
      <c r="G116" s="2338"/>
      <c r="H116" s="2424"/>
      <c r="I116" s="2339"/>
      <c r="J116" s="592"/>
      <c r="K116" s="1668"/>
      <c r="L116" s="2370"/>
      <c r="M116" s="1656"/>
      <c r="O116" s="1668"/>
      <c r="P116" s="340"/>
      <c r="Q116" s="1656"/>
      <c r="R116" s="592"/>
      <c r="S116" s="2341"/>
      <c r="V116" s="952"/>
      <c r="W116" s="2343"/>
      <c r="AA116" s="1668"/>
    </row>
    <row r="117" spans="1:28" s="457" customFormat="1" x14ac:dyDescent="0.25">
      <c r="A117" s="2227"/>
      <c r="B117" s="2394"/>
      <c r="C117" s="2230"/>
      <c r="D117" s="342"/>
      <c r="E117" s="2386"/>
      <c r="F117" s="340"/>
      <c r="G117" s="2338"/>
      <c r="H117" s="2424"/>
      <c r="I117" s="2339"/>
      <c r="J117" s="592"/>
      <c r="K117" s="1668"/>
      <c r="L117" s="2370"/>
      <c r="M117" s="1656"/>
      <c r="O117" s="1668"/>
      <c r="P117" s="340"/>
      <c r="Q117" s="1656"/>
      <c r="R117" s="592"/>
      <c r="S117" s="2341"/>
      <c r="V117" s="952"/>
      <c r="W117" s="2343"/>
      <c r="AA117" s="1668"/>
    </row>
    <row r="118" spans="1:28" s="457" customFormat="1" x14ac:dyDescent="0.25">
      <c r="A118" s="2215"/>
      <c r="B118" s="2394"/>
      <c r="C118" s="2230"/>
      <c r="D118" s="455"/>
      <c r="E118" s="1656"/>
      <c r="G118" s="2338"/>
      <c r="H118" s="2424"/>
      <c r="I118" s="2339"/>
      <c r="J118" s="592"/>
      <c r="K118" s="1668"/>
      <c r="L118" s="2370"/>
      <c r="M118" s="1656"/>
      <c r="O118" s="1668"/>
      <c r="P118" s="340"/>
      <c r="Q118" s="1656"/>
      <c r="R118" s="592"/>
      <c r="S118" s="2341"/>
      <c r="V118" s="952"/>
      <c r="W118" s="2343"/>
      <c r="AA118" s="1668"/>
    </row>
    <row r="119" spans="1:28" s="457" customFormat="1" x14ac:dyDescent="0.25">
      <c r="A119" s="2215"/>
      <c r="B119" s="2394"/>
      <c r="C119" s="2230"/>
      <c r="D119" s="455"/>
      <c r="E119" s="1656"/>
      <c r="G119" s="2338"/>
      <c r="H119" s="2424"/>
      <c r="I119" s="2339"/>
      <c r="J119" s="592"/>
      <c r="K119" s="1668"/>
      <c r="L119" s="2370"/>
      <c r="M119" s="1656"/>
      <c r="O119" s="1668"/>
      <c r="P119" s="340"/>
      <c r="Q119" s="1656"/>
      <c r="R119" s="592"/>
      <c r="S119" s="2341"/>
      <c r="V119" s="952"/>
      <c r="W119" s="2343"/>
      <c r="AA119" s="1668"/>
    </row>
    <row r="120" spans="1:28" s="457" customFormat="1" ht="15" customHeight="1" x14ac:dyDescent="0.25">
      <c r="A120" s="2215"/>
      <c r="B120" s="2394"/>
      <c r="C120" s="2230"/>
      <c r="D120" s="455"/>
      <c r="E120" s="1656"/>
      <c r="G120" s="2338"/>
      <c r="H120" s="2424"/>
      <c r="I120" s="2339"/>
      <c r="J120" s="592"/>
      <c r="K120" s="1668"/>
      <c r="L120" s="2370"/>
      <c r="M120" s="1656"/>
      <c r="O120" s="1668"/>
      <c r="P120" s="340"/>
      <c r="Q120" s="1656"/>
      <c r="R120" s="592"/>
      <c r="S120" s="2341"/>
      <c r="V120" s="952"/>
      <c r="W120" s="2343"/>
      <c r="AA120" s="1668"/>
    </row>
    <row r="121" spans="1:28" s="457" customFormat="1" x14ac:dyDescent="0.25">
      <c r="A121" s="2215"/>
      <c r="B121" s="2394"/>
      <c r="C121" s="2230"/>
      <c r="D121" s="455"/>
      <c r="E121" s="1656"/>
      <c r="G121" s="2338"/>
      <c r="H121" s="2424"/>
      <c r="I121" s="2339"/>
      <c r="J121" s="592"/>
      <c r="K121" s="1668"/>
      <c r="L121" s="2370"/>
      <c r="M121" s="1656"/>
      <c r="O121" s="1668"/>
      <c r="P121" s="340"/>
      <c r="Q121" s="1656"/>
      <c r="R121" s="592"/>
      <c r="S121" s="2341"/>
      <c r="V121" s="952"/>
      <c r="W121" s="2343"/>
      <c r="AA121" s="1668"/>
    </row>
    <row r="122" spans="1:28" s="457" customFormat="1" x14ac:dyDescent="0.25">
      <c r="A122" s="2215"/>
      <c r="B122" s="2394"/>
      <c r="C122" s="2230"/>
      <c r="D122" s="455"/>
      <c r="E122" s="1656"/>
      <c r="G122" s="2338"/>
      <c r="H122" s="2424"/>
      <c r="I122" s="2339"/>
      <c r="J122" s="592"/>
      <c r="K122" s="1668"/>
      <c r="L122" s="2370"/>
      <c r="M122" s="1656"/>
      <c r="O122" s="1668"/>
      <c r="P122" s="340"/>
      <c r="Q122" s="1656"/>
      <c r="R122" s="592"/>
      <c r="S122" s="2341"/>
      <c r="V122" s="952"/>
      <c r="W122" s="2343"/>
      <c r="AA122" s="1668"/>
    </row>
    <row r="123" spans="1:28" s="457" customFormat="1" ht="15" customHeight="1" x14ac:dyDescent="0.25">
      <c r="A123" s="2215"/>
      <c r="B123" s="2570"/>
      <c r="C123" s="2570"/>
      <c r="D123" s="455"/>
      <c r="E123" s="1656"/>
      <c r="G123" s="2338"/>
      <c r="H123" s="2424"/>
      <c r="I123" s="2339"/>
      <c r="J123" s="592"/>
      <c r="K123" s="1668"/>
      <c r="L123" s="2370"/>
      <c r="M123" s="1656"/>
      <c r="O123" s="1668"/>
      <c r="P123" s="340"/>
      <c r="Q123" s="1656"/>
      <c r="R123" s="592"/>
      <c r="S123" s="2341"/>
      <c r="V123" s="952"/>
      <c r="W123" s="2343"/>
      <c r="AA123" s="1668"/>
    </row>
    <row r="124" spans="1:28" s="457" customFormat="1" x14ac:dyDescent="0.25">
      <c r="A124" s="2215"/>
      <c r="B124" s="2570"/>
      <c r="C124" s="2570"/>
      <c r="D124" s="455"/>
      <c r="E124" s="1656"/>
      <c r="G124" s="2338"/>
      <c r="H124" s="2424"/>
      <c r="I124" s="2339"/>
      <c r="J124" s="592"/>
      <c r="K124" s="1668"/>
      <c r="L124" s="2370"/>
      <c r="M124" s="1656"/>
      <c r="O124" s="1668"/>
      <c r="P124" s="340"/>
      <c r="Q124" s="1656"/>
      <c r="R124" s="592"/>
      <c r="S124" s="2341"/>
      <c r="V124" s="952"/>
      <c r="W124" s="2343"/>
      <c r="AA124" s="1668"/>
    </row>
    <row r="125" spans="1:28" s="457" customFormat="1" x14ac:dyDescent="0.25">
      <c r="A125" s="2215"/>
      <c r="B125" s="2394"/>
      <c r="C125" s="2230"/>
      <c r="D125" s="460"/>
      <c r="E125" s="1656"/>
      <c r="G125" s="2338"/>
      <c r="H125" s="2424"/>
      <c r="I125" s="2339"/>
      <c r="J125" s="592"/>
      <c r="K125" s="1668"/>
      <c r="L125" s="2370"/>
      <c r="M125" s="1656"/>
      <c r="O125" s="1668"/>
      <c r="P125" s="340"/>
      <c r="Q125" s="1656"/>
      <c r="R125" s="592"/>
      <c r="S125" s="2341"/>
      <c r="V125" s="952"/>
      <c r="W125" s="2343"/>
      <c r="AA125" s="1668"/>
    </row>
    <row r="126" spans="1:28" s="457" customFormat="1" x14ac:dyDescent="0.25">
      <c r="A126" s="2215"/>
      <c r="B126" s="2394"/>
      <c r="C126" s="2230"/>
      <c r="D126" s="455"/>
      <c r="E126" s="1656"/>
      <c r="G126" s="2338"/>
      <c r="H126" s="2424"/>
      <c r="I126" s="2339"/>
      <c r="J126" s="592"/>
      <c r="K126" s="1668"/>
      <c r="L126" s="2370"/>
      <c r="M126" s="1656"/>
      <c r="O126" s="1668"/>
      <c r="P126" s="340"/>
      <c r="Q126" s="1656"/>
      <c r="R126" s="592"/>
      <c r="S126" s="2341"/>
      <c r="V126" s="952"/>
      <c r="W126" s="2343"/>
      <c r="AA126" s="1668"/>
    </row>
    <row r="127" spans="1:28" s="457" customFormat="1" x14ac:dyDescent="0.25">
      <c r="A127" s="2215"/>
      <c r="B127" s="2394"/>
      <c r="C127" s="2230"/>
      <c r="D127" s="455"/>
      <c r="E127" s="1656"/>
      <c r="G127" s="2338"/>
      <c r="H127" s="2424"/>
      <c r="I127" s="2339"/>
      <c r="J127" s="592"/>
      <c r="K127" s="1668"/>
      <c r="L127" s="2370"/>
      <c r="M127" s="1656"/>
      <c r="O127" s="1668"/>
      <c r="P127" s="340"/>
      <c r="Q127" s="1656"/>
      <c r="R127" s="592"/>
      <c r="S127" s="2341"/>
      <c r="V127" s="952"/>
      <c r="W127" s="2343"/>
      <c r="AA127" s="1668"/>
    </row>
    <row r="128" spans="1:28" s="457" customFormat="1" ht="28.5" customHeight="1" x14ac:dyDescent="0.25">
      <c r="A128" s="2215"/>
      <c r="B128" s="2394"/>
      <c r="C128" s="2230"/>
      <c r="D128" s="342"/>
      <c r="E128" s="1656"/>
      <c r="G128" s="2338"/>
      <c r="H128" s="2424"/>
      <c r="I128" s="2339"/>
      <c r="J128" s="592"/>
      <c r="K128" s="1668"/>
      <c r="L128" s="2370"/>
      <c r="M128" s="1656"/>
      <c r="O128" s="1668"/>
      <c r="P128" s="340"/>
      <c r="Q128" s="1656"/>
      <c r="R128" s="592"/>
      <c r="S128" s="2341"/>
      <c r="V128" s="952"/>
      <c r="W128" s="2343"/>
      <c r="AA128" s="1668"/>
    </row>
    <row r="129" spans="1:27" s="457" customFormat="1" x14ac:dyDescent="0.25">
      <c r="A129" s="2215"/>
      <c r="B129" s="2394"/>
      <c r="C129" s="2230"/>
      <c r="D129" s="455"/>
      <c r="E129" s="1656"/>
      <c r="G129" s="2338"/>
      <c r="H129" s="2424"/>
      <c r="I129" s="2339"/>
      <c r="J129" s="592"/>
      <c r="K129" s="1668"/>
      <c r="L129" s="2370"/>
      <c r="M129" s="1656"/>
      <c r="O129" s="1668"/>
      <c r="P129" s="340"/>
      <c r="Q129" s="1656"/>
      <c r="R129" s="592"/>
      <c r="S129" s="2341"/>
      <c r="V129" s="952"/>
      <c r="W129" s="2343"/>
      <c r="AA129" s="1668"/>
    </row>
    <row r="130" spans="1:27" s="457" customFormat="1" x14ac:dyDescent="0.25">
      <c r="A130" s="2215"/>
      <c r="B130" s="2394"/>
      <c r="C130" s="2230"/>
      <c r="D130" s="455"/>
      <c r="E130" s="1656"/>
      <c r="G130" s="2338"/>
      <c r="H130" s="2424"/>
      <c r="I130" s="2339"/>
      <c r="J130" s="592"/>
      <c r="K130" s="1668"/>
      <c r="L130" s="2370"/>
      <c r="M130" s="1656"/>
      <c r="O130" s="1668"/>
      <c r="P130" s="340"/>
      <c r="Q130" s="1656"/>
      <c r="R130" s="592"/>
      <c r="S130" s="2341"/>
      <c r="V130" s="952"/>
      <c r="W130" s="2343"/>
      <c r="AA130" s="1668"/>
    </row>
    <row r="131" spans="1:27" s="457" customFormat="1" x14ac:dyDescent="0.25">
      <c r="A131" s="2215"/>
      <c r="B131" s="2394"/>
      <c r="C131" s="2230"/>
      <c r="D131" s="455"/>
      <c r="E131" s="1656"/>
      <c r="G131" s="2338"/>
      <c r="H131" s="2424"/>
      <c r="I131" s="2339"/>
      <c r="J131" s="592"/>
      <c r="K131" s="1668"/>
      <c r="L131" s="2370"/>
      <c r="M131" s="1656"/>
      <c r="O131" s="1668"/>
      <c r="P131" s="340"/>
      <c r="Q131" s="1656"/>
      <c r="R131" s="592"/>
      <c r="S131" s="2341"/>
      <c r="V131" s="952"/>
      <c r="W131" s="2343"/>
      <c r="AA131" s="1668"/>
    </row>
    <row r="132" spans="1:27" x14ac:dyDescent="0.25">
      <c r="B132" s="2173"/>
      <c r="C132" s="2179"/>
      <c r="D132" s="36"/>
    </row>
    <row r="133" spans="1:27" x14ac:dyDescent="0.25">
      <c r="B133" s="2173"/>
      <c r="C133" s="2179"/>
      <c r="D133" s="36"/>
    </row>
    <row r="134" spans="1:27" x14ac:dyDescent="0.25">
      <c r="B134" s="2173"/>
      <c r="C134" s="2179"/>
      <c r="D134" s="36"/>
    </row>
    <row r="135" spans="1:27" x14ac:dyDescent="0.25">
      <c r="B135" s="2173"/>
      <c r="C135" s="2179"/>
      <c r="D135" s="36"/>
    </row>
    <row r="136" spans="1:27" x14ac:dyDescent="0.25">
      <c r="B136" s="2173"/>
      <c r="C136" s="2179"/>
      <c r="D136" s="36"/>
    </row>
    <row r="137" spans="1:27" x14ac:dyDescent="0.25">
      <c r="B137" s="2173"/>
      <c r="C137" s="2179"/>
      <c r="D137" s="36"/>
    </row>
    <row r="138" spans="1:27" x14ac:dyDescent="0.25">
      <c r="B138" s="2173"/>
      <c r="C138" s="2179"/>
      <c r="D138" s="36"/>
    </row>
    <row r="139" spans="1:27" x14ac:dyDescent="0.25">
      <c r="B139" s="2173"/>
      <c r="C139" s="2179"/>
      <c r="D139" s="36"/>
    </row>
    <row r="140" spans="1:27" x14ac:dyDescent="0.25">
      <c r="B140" s="2173"/>
      <c r="C140" s="2179"/>
      <c r="D140" s="36"/>
    </row>
    <row r="141" spans="1:27" x14ac:dyDescent="0.25">
      <c r="B141" s="2173"/>
      <c r="C141" s="2179"/>
      <c r="D141" s="36"/>
    </row>
    <row r="142" spans="1:27" x14ac:dyDescent="0.25">
      <c r="B142" s="2173"/>
      <c r="C142" s="2179"/>
      <c r="D142" s="36"/>
    </row>
    <row r="143" spans="1:27" x14ac:dyDescent="0.25">
      <c r="B143" s="2173"/>
      <c r="C143" s="2179"/>
      <c r="D143" s="36"/>
    </row>
  </sheetData>
  <sheetProtection password="E247" sheet="1" objects="1" scenarios="1"/>
  <mergeCells count="1">
    <mergeCell ref="B123:C124"/>
  </mergeCells>
  <pageMargins left="0.25" right="0.25" top="0.5" bottom="0.5" header="0.25" footer="0.25"/>
  <pageSetup paperSize="5" scale="97" orientation="portrait" r:id="rId1"/>
  <headerFooter>
    <oddHeader>&amp;L&amp;F</oddHeader>
    <oddFooter>&amp;R&amp;A</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H81"/>
  <sheetViews>
    <sheetView showGridLines="0" zoomScaleNormal="100" workbookViewId="0"/>
  </sheetViews>
  <sheetFormatPr defaultRowHeight="17.25" customHeight="1" x14ac:dyDescent="0.2"/>
  <cols>
    <col min="1" max="1" width="13.140625" style="1415" customWidth="1"/>
    <col min="2" max="2" width="33.7109375" style="1415" customWidth="1"/>
    <col min="3" max="4" width="14.28515625" style="1414" hidden="1" customWidth="1"/>
    <col min="5" max="8" width="14.28515625" style="1414" customWidth="1"/>
    <col min="9" max="16384" width="9.140625" style="1415"/>
  </cols>
  <sheetData>
    <row r="1" spans="1:8" ht="17.25" customHeight="1" x14ac:dyDescent="0.2">
      <c r="A1" s="1408" t="s">
        <v>667</v>
      </c>
      <c r="B1" s="1409"/>
      <c r="C1" s="1410" t="str">
        <f>+UNRESTRICTED!E2</f>
        <v>2015-2016</v>
      </c>
      <c r="D1" s="1413" t="str">
        <f>+UNRESTRICTED!F2</f>
        <v>2016-2017</v>
      </c>
      <c r="E1" s="1411" t="str">
        <f>+UNRESTRICTED!G2</f>
        <v>2017-2018</v>
      </c>
      <c r="F1" s="1412" t="str">
        <f>+UNRESTRICTED!H2</f>
        <v>2018-2019</v>
      </c>
      <c r="G1" s="1413" t="str">
        <f>+UNRESTRICTED!I2</f>
        <v>2019-2020</v>
      </c>
      <c r="H1" s="1413" t="str">
        <f>+UNRESTRICTED!J2</f>
        <v>2020-2021</v>
      </c>
    </row>
    <row r="2" spans="1:8" s="1422" customFormat="1" ht="25.5" x14ac:dyDescent="0.2">
      <c r="A2" s="1416" t="s">
        <v>826</v>
      </c>
      <c r="B2" s="1417"/>
      <c r="C2" s="1418" t="s">
        <v>1082</v>
      </c>
      <c r="D2" s="1421" t="str">
        <f>+UNRESTRICTED!F3</f>
        <v>Actuals</v>
      </c>
      <c r="E2" s="1419" t="str">
        <f>+UNRESTRICTED!G3</f>
        <v>Estimated Actuals</v>
      </c>
      <c r="F2" s="1420" t="s">
        <v>1112</v>
      </c>
      <c r="G2" s="1421" t="s">
        <v>670</v>
      </c>
      <c r="H2" s="1421" t="s">
        <v>670</v>
      </c>
    </row>
    <row r="3" spans="1:8" ht="17.25" customHeight="1" x14ac:dyDescent="0.2">
      <c r="A3" s="1423" t="s">
        <v>671</v>
      </c>
      <c r="B3" s="1424"/>
      <c r="C3" s="1425">
        <v>1001283.51</v>
      </c>
      <c r="D3" s="1428">
        <f>C7</f>
        <v>1162816.4700000004</v>
      </c>
      <c r="E3" s="1426">
        <f>D7</f>
        <v>1323403.5500000005</v>
      </c>
      <c r="F3" s="1427">
        <f>E7</f>
        <v>875456.14000000036</v>
      </c>
      <c r="G3" s="1428">
        <f>F7</f>
        <v>785667.14000000036</v>
      </c>
      <c r="H3" s="1428">
        <f>G7</f>
        <v>660368.14000000036</v>
      </c>
    </row>
    <row r="4" spans="1:8" ht="17.25" customHeight="1" x14ac:dyDescent="0.2">
      <c r="A4" s="1429" t="s">
        <v>672</v>
      </c>
      <c r="B4" s="1430"/>
      <c r="C4" s="1431">
        <v>3662574.9100000006</v>
      </c>
      <c r="D4" s="2276">
        <v>3490692.87</v>
      </c>
      <c r="E4" s="2277">
        <v>3498390</v>
      </c>
      <c r="F4" s="1432">
        <v>4113000</v>
      </c>
      <c r="G4" s="1433">
        <f>ROUND(+F4*(1+'MYP Assumptions'!G49),0)</f>
        <v>4218704</v>
      </c>
      <c r="H4" s="1433">
        <f>ROUND(+G4*(1+'MYP Assumptions'!H49),0)</f>
        <v>4331343</v>
      </c>
    </row>
    <row r="5" spans="1:8" ht="17.25" customHeight="1" x14ac:dyDescent="0.2">
      <c r="A5" s="1429" t="s">
        <v>673</v>
      </c>
      <c r="B5" s="1430"/>
      <c r="C5" s="1431">
        <v>3501041.95</v>
      </c>
      <c r="D5" s="2276">
        <v>3330105.79</v>
      </c>
      <c r="E5" s="2277">
        <v>3946337.41</v>
      </c>
      <c r="F5" s="1432">
        <v>4202789</v>
      </c>
      <c r="G5" s="1433">
        <f>+ROUNDUP(F5*(1+'MYP Assumptions'!G78),0)</f>
        <v>4344003</v>
      </c>
      <c r="H5" s="1433">
        <f>+ROUNDUP(G5*(1+'MYP Assumptions'!H78),0)</f>
        <v>4484315</v>
      </c>
    </row>
    <row r="6" spans="1:8" ht="17.25" customHeight="1" x14ac:dyDescent="0.2">
      <c r="A6" s="1434" t="s">
        <v>674</v>
      </c>
      <c r="B6" s="1430"/>
      <c r="C6" s="1431">
        <f t="shared" ref="C6:H6" si="0">C4-C5</f>
        <v>161532.96000000043</v>
      </c>
      <c r="D6" s="2276">
        <f t="shared" si="0"/>
        <v>160587.08000000007</v>
      </c>
      <c r="E6" s="2277">
        <f t="shared" si="0"/>
        <v>-447947.41000000015</v>
      </c>
      <c r="F6" s="1432">
        <f t="shared" si="0"/>
        <v>-89789</v>
      </c>
      <c r="G6" s="1433">
        <f t="shared" si="0"/>
        <v>-125299</v>
      </c>
      <c r="H6" s="1433">
        <f t="shared" si="0"/>
        <v>-152972</v>
      </c>
    </row>
    <row r="7" spans="1:8" s="2284" customFormat="1" ht="17.25" customHeight="1" x14ac:dyDescent="0.2">
      <c r="A7" s="2298" t="s">
        <v>675</v>
      </c>
      <c r="B7" s="2297"/>
      <c r="C7" s="2291">
        <f t="shared" ref="C7:H7" si="1">C3+C6</f>
        <v>1162816.4700000004</v>
      </c>
      <c r="D7" s="2292">
        <f t="shared" si="1"/>
        <v>1323403.5500000005</v>
      </c>
      <c r="E7" s="2293">
        <f t="shared" si="1"/>
        <v>875456.14000000036</v>
      </c>
      <c r="F7" s="2294">
        <f t="shared" si="1"/>
        <v>785667.14000000036</v>
      </c>
      <c r="G7" s="2295">
        <f t="shared" si="1"/>
        <v>660368.14000000036</v>
      </c>
      <c r="H7" s="2295">
        <f t="shared" si="1"/>
        <v>507396.14000000036</v>
      </c>
    </row>
    <row r="8" spans="1:8" ht="17.25" customHeight="1" x14ac:dyDescent="0.2">
      <c r="A8" s="1440"/>
      <c r="B8" s="1441"/>
      <c r="C8" s="1442"/>
      <c r="D8" s="1445"/>
      <c r="E8" s="1443"/>
      <c r="F8" s="1444"/>
      <c r="G8" s="1445"/>
      <c r="H8" s="1445"/>
    </row>
    <row r="9" spans="1:8" ht="17.25" customHeight="1" x14ac:dyDescent="0.2">
      <c r="A9" s="1408" t="s">
        <v>676</v>
      </c>
      <c r="B9" s="1409"/>
      <c r="C9" s="1410" t="str">
        <f t="shared" ref="C9:H9" si="2">C1</f>
        <v>2015-2016</v>
      </c>
      <c r="D9" s="1413" t="str">
        <f t="shared" si="2"/>
        <v>2016-2017</v>
      </c>
      <c r="E9" s="1411" t="str">
        <f t="shared" si="2"/>
        <v>2017-2018</v>
      </c>
      <c r="F9" s="1412" t="str">
        <f t="shared" si="2"/>
        <v>2018-2019</v>
      </c>
      <c r="G9" s="1413" t="str">
        <f t="shared" si="2"/>
        <v>2019-2020</v>
      </c>
      <c r="H9" s="1413" t="str">
        <f t="shared" si="2"/>
        <v>2020-2021</v>
      </c>
    </row>
    <row r="10" spans="1:8" ht="25.5" x14ac:dyDescent="0.2">
      <c r="A10" s="1446" t="s">
        <v>827</v>
      </c>
      <c r="B10" s="1447"/>
      <c r="C10" s="1448" t="str">
        <f>+$C$2</f>
        <v>Actuals</v>
      </c>
      <c r="D10" s="1421" t="str">
        <f>+$D$2</f>
        <v>Actuals</v>
      </c>
      <c r="E10" s="1419" t="str">
        <f>+$E$2</f>
        <v>Estimated Actuals</v>
      </c>
      <c r="F10" s="1420" t="str">
        <f>+$F2</f>
        <v>Proposed Budget</v>
      </c>
      <c r="G10" s="1449" t="str">
        <f>+G2</f>
        <v>Estimate</v>
      </c>
      <c r="H10" s="1449" t="str">
        <f>+$G$2</f>
        <v>Estimate</v>
      </c>
    </row>
    <row r="11" spans="1:8" ht="17.25" customHeight="1" x14ac:dyDescent="0.2">
      <c r="A11" s="1450" t="s">
        <v>671</v>
      </c>
      <c r="B11" s="1451"/>
      <c r="C11" s="1452">
        <v>730226.93</v>
      </c>
      <c r="D11" s="1455">
        <f>C15</f>
        <v>736678.49000000011</v>
      </c>
      <c r="E11" s="1453">
        <f>+D15</f>
        <v>0.75000000011641532</v>
      </c>
      <c r="F11" s="1454">
        <f>E15</f>
        <v>2455625.4700000002</v>
      </c>
      <c r="G11" s="1455">
        <f>F15</f>
        <v>1455625.4700000002</v>
      </c>
      <c r="H11" s="1455">
        <f>G15</f>
        <v>755625.4700000002</v>
      </c>
    </row>
    <row r="12" spans="1:8" ht="17.25" customHeight="1" x14ac:dyDescent="0.2">
      <c r="A12" s="1429" t="s">
        <v>672</v>
      </c>
      <c r="B12" s="1430"/>
      <c r="C12" s="1431">
        <v>6451.56</v>
      </c>
      <c r="D12" s="2276">
        <v>4152.01</v>
      </c>
      <c r="E12" s="2277">
        <v>2700624.72</v>
      </c>
      <c r="F12" s="1432">
        <v>100000</v>
      </c>
      <c r="G12" s="1433">
        <f>+F12</f>
        <v>100000</v>
      </c>
      <c r="H12" s="1433">
        <f>+G12</f>
        <v>100000</v>
      </c>
    </row>
    <row r="13" spans="1:8" ht="17.25" customHeight="1" x14ac:dyDescent="0.2">
      <c r="A13" s="1429" t="s">
        <v>673</v>
      </c>
      <c r="B13" s="1430"/>
      <c r="C13" s="1431">
        <v>0</v>
      </c>
      <c r="D13" s="2276">
        <v>740829.75</v>
      </c>
      <c r="E13" s="2277">
        <v>245000</v>
      </c>
      <c r="F13" s="1432">
        <v>1100000</v>
      </c>
      <c r="G13" s="1433">
        <v>800000</v>
      </c>
      <c r="H13" s="1433">
        <v>500000</v>
      </c>
    </row>
    <row r="14" spans="1:8" ht="17.25" customHeight="1" x14ac:dyDescent="0.2">
      <c r="A14" s="1434" t="s">
        <v>674</v>
      </c>
      <c r="B14" s="1430"/>
      <c r="C14" s="1431">
        <f t="shared" ref="C14:H14" si="3">C12-C13</f>
        <v>6451.56</v>
      </c>
      <c r="D14" s="2276">
        <f t="shared" si="3"/>
        <v>-736677.74</v>
      </c>
      <c r="E14" s="2277">
        <f t="shared" si="3"/>
        <v>2455624.7200000002</v>
      </c>
      <c r="F14" s="1432">
        <f t="shared" si="3"/>
        <v>-1000000</v>
      </c>
      <c r="G14" s="1433">
        <f t="shared" si="3"/>
        <v>-700000</v>
      </c>
      <c r="H14" s="1433">
        <f t="shared" si="3"/>
        <v>-400000</v>
      </c>
    </row>
    <row r="15" spans="1:8" s="2284" customFormat="1" ht="17.25" customHeight="1" x14ac:dyDescent="0.2">
      <c r="A15" s="2296" t="s">
        <v>675</v>
      </c>
      <c r="B15" s="2297"/>
      <c r="C15" s="2291">
        <f t="shared" ref="C15:H15" si="4">C11+C14</f>
        <v>736678.49000000011</v>
      </c>
      <c r="D15" s="2292">
        <f t="shared" si="4"/>
        <v>0.75000000011641532</v>
      </c>
      <c r="E15" s="2293">
        <f t="shared" si="4"/>
        <v>2455625.4700000002</v>
      </c>
      <c r="F15" s="2294">
        <f t="shared" si="4"/>
        <v>1455625.4700000002</v>
      </c>
      <c r="G15" s="2295">
        <f t="shared" si="4"/>
        <v>755625.4700000002</v>
      </c>
      <c r="H15" s="2295">
        <f t="shared" si="4"/>
        <v>355625.4700000002</v>
      </c>
    </row>
    <row r="16" spans="1:8" ht="17.25" customHeight="1" x14ac:dyDescent="0.2">
      <c r="A16" s="1456"/>
      <c r="B16" s="1441"/>
      <c r="C16" s="1457"/>
      <c r="D16" s="1445"/>
      <c r="E16" s="1443"/>
      <c r="F16" s="1444"/>
      <c r="G16" s="1445"/>
      <c r="H16" s="1445"/>
    </row>
    <row r="17" spans="1:8" ht="17.25" customHeight="1" x14ac:dyDescent="0.2">
      <c r="A17" s="1408" t="s">
        <v>677</v>
      </c>
      <c r="B17" s="1409"/>
      <c r="C17" s="1410" t="str">
        <f t="shared" ref="C17:H17" si="5">C1</f>
        <v>2015-2016</v>
      </c>
      <c r="D17" s="1413" t="str">
        <f t="shared" si="5"/>
        <v>2016-2017</v>
      </c>
      <c r="E17" s="1411" t="str">
        <f t="shared" si="5"/>
        <v>2017-2018</v>
      </c>
      <c r="F17" s="1412" t="str">
        <f t="shared" si="5"/>
        <v>2018-2019</v>
      </c>
      <c r="G17" s="1413" t="str">
        <f t="shared" si="5"/>
        <v>2019-2020</v>
      </c>
      <c r="H17" s="1413" t="str">
        <f t="shared" si="5"/>
        <v>2020-2021</v>
      </c>
    </row>
    <row r="18" spans="1:8" ht="25.5" x14ac:dyDescent="0.2">
      <c r="A18" s="1446" t="s">
        <v>828</v>
      </c>
      <c r="B18" s="1447"/>
      <c r="C18" s="1448" t="str">
        <f>+$C$2</f>
        <v>Actuals</v>
      </c>
      <c r="D18" s="1421" t="str">
        <f>+$D$2</f>
        <v>Actuals</v>
      </c>
      <c r="E18" s="1419" t="str">
        <f>+$E$2</f>
        <v>Estimated Actuals</v>
      </c>
      <c r="F18" s="1420" t="str">
        <f>+$F10</f>
        <v>Proposed Budget</v>
      </c>
      <c r="G18" s="1449" t="str">
        <f>+G2</f>
        <v>Estimate</v>
      </c>
      <c r="H18" s="1449" t="str">
        <f>+$G$2</f>
        <v>Estimate</v>
      </c>
    </row>
    <row r="19" spans="1:8" ht="17.25" customHeight="1" x14ac:dyDescent="0.2">
      <c r="A19" s="1450" t="s">
        <v>671</v>
      </c>
      <c r="B19" s="1451"/>
      <c r="C19" s="1458">
        <v>235422.03</v>
      </c>
      <c r="D19" s="1461">
        <f>C23</f>
        <v>393862.3</v>
      </c>
      <c r="E19" s="1459">
        <f>D23</f>
        <v>735527.04</v>
      </c>
      <c r="F19" s="1460">
        <f>E23</f>
        <v>1080605.04</v>
      </c>
      <c r="G19" s="1461">
        <f>F23</f>
        <v>1425605.04</v>
      </c>
      <c r="H19" s="1461">
        <f>G23</f>
        <v>1779472.04</v>
      </c>
    </row>
    <row r="20" spans="1:8" ht="17.25" customHeight="1" x14ac:dyDescent="0.2">
      <c r="A20" s="1429" t="s">
        <v>672</v>
      </c>
      <c r="B20" s="1430"/>
      <c r="C20" s="1431">
        <v>158440.26999999999</v>
      </c>
      <c r="D20" s="2276">
        <v>341664.74</v>
      </c>
      <c r="E20" s="2277">
        <v>345078</v>
      </c>
      <c r="F20" s="1432">
        <v>345000</v>
      </c>
      <c r="G20" s="1433">
        <f>ROUND(+F20*(1+'MYP Assumptions'!G49),0)</f>
        <v>353867</v>
      </c>
      <c r="H20" s="1433">
        <f>ROUND(+G20*(1+'MYP Assumptions'!H49),0)</f>
        <v>363315</v>
      </c>
    </row>
    <row r="21" spans="1:8" ht="17.25" customHeight="1" x14ac:dyDescent="0.2">
      <c r="A21" s="1429" t="s">
        <v>673</v>
      </c>
      <c r="B21" s="1430"/>
      <c r="C21" s="1431">
        <v>0</v>
      </c>
      <c r="D21" s="2276">
        <v>0</v>
      </c>
      <c r="E21" s="2277">
        <v>0</v>
      </c>
      <c r="F21" s="1432">
        <f>+ROUNDUP(E21*(1+'MYP Assumptions'!$F$78),0)</f>
        <v>0</v>
      </c>
      <c r="G21" s="1433">
        <f>+ROUNDUP(F21*(1+'MYP Assumptions'!G78),0)</f>
        <v>0</v>
      </c>
      <c r="H21" s="1433">
        <f>+ROUNDUP(G21*(1+'MYP Assumptions'!$G$78),0)</f>
        <v>0</v>
      </c>
    </row>
    <row r="22" spans="1:8" ht="17.25" customHeight="1" x14ac:dyDescent="0.2">
      <c r="A22" s="1434" t="s">
        <v>674</v>
      </c>
      <c r="B22" s="1430"/>
      <c r="C22" s="1431">
        <f t="shared" ref="C22:H22" si="6">C20-C21</f>
        <v>158440.26999999999</v>
      </c>
      <c r="D22" s="2276">
        <f t="shared" si="6"/>
        <v>341664.74</v>
      </c>
      <c r="E22" s="2277">
        <f t="shared" si="6"/>
        <v>345078</v>
      </c>
      <c r="F22" s="1432">
        <f t="shared" si="6"/>
        <v>345000</v>
      </c>
      <c r="G22" s="1433">
        <f t="shared" si="6"/>
        <v>353867</v>
      </c>
      <c r="H22" s="1433">
        <f t="shared" si="6"/>
        <v>363315</v>
      </c>
    </row>
    <row r="23" spans="1:8" s="2284" customFormat="1" ht="17.25" customHeight="1" x14ac:dyDescent="0.2">
      <c r="A23" s="2289" t="s">
        <v>675</v>
      </c>
      <c r="B23" s="2290"/>
      <c r="C23" s="2291">
        <f t="shared" ref="C23:H23" si="7">C19+C22</f>
        <v>393862.3</v>
      </c>
      <c r="D23" s="2292">
        <f t="shared" si="7"/>
        <v>735527.04</v>
      </c>
      <c r="E23" s="2293">
        <f t="shared" si="7"/>
        <v>1080605.04</v>
      </c>
      <c r="F23" s="2294">
        <f t="shared" si="7"/>
        <v>1425605.04</v>
      </c>
      <c r="G23" s="2295">
        <f t="shared" si="7"/>
        <v>1779472.04</v>
      </c>
      <c r="H23" s="2295">
        <f t="shared" si="7"/>
        <v>2142787.04</v>
      </c>
    </row>
    <row r="24" spans="1:8" ht="17.25" customHeight="1" x14ac:dyDescent="0.2">
      <c r="A24" s="1440"/>
      <c r="B24" s="1441"/>
      <c r="C24" s="1457"/>
      <c r="D24" s="1445"/>
      <c r="E24" s="1443"/>
      <c r="F24" s="1444"/>
      <c r="G24" s="1445"/>
      <c r="H24" s="1445"/>
    </row>
    <row r="25" spans="1:8" ht="17.25" customHeight="1" x14ac:dyDescent="0.2">
      <c r="A25" s="1408" t="s">
        <v>678</v>
      </c>
      <c r="B25" s="1409"/>
      <c r="C25" s="1410" t="str">
        <f t="shared" ref="C25:H25" si="8">C1</f>
        <v>2015-2016</v>
      </c>
      <c r="D25" s="1413" t="str">
        <f t="shared" si="8"/>
        <v>2016-2017</v>
      </c>
      <c r="E25" s="1411" t="str">
        <f t="shared" si="8"/>
        <v>2017-2018</v>
      </c>
      <c r="F25" s="1412" t="str">
        <f t="shared" si="8"/>
        <v>2018-2019</v>
      </c>
      <c r="G25" s="1413" t="str">
        <f t="shared" si="8"/>
        <v>2019-2020</v>
      </c>
      <c r="H25" s="1413" t="str">
        <f t="shared" si="8"/>
        <v>2020-2021</v>
      </c>
    </row>
    <row r="26" spans="1:8" ht="25.5" x14ac:dyDescent="0.2">
      <c r="A26" s="1446" t="s">
        <v>829</v>
      </c>
      <c r="B26" s="1447"/>
      <c r="C26" s="1448" t="str">
        <f>+$C$2</f>
        <v>Actuals</v>
      </c>
      <c r="D26" s="1421" t="str">
        <f>+$D$2</f>
        <v>Actuals</v>
      </c>
      <c r="E26" s="1419" t="str">
        <f>+$E$2</f>
        <v>Estimated Actuals</v>
      </c>
      <c r="F26" s="1420" t="str">
        <f>+$F18</f>
        <v>Proposed Budget</v>
      </c>
      <c r="G26" s="1449" t="str">
        <f>+G2</f>
        <v>Estimate</v>
      </c>
      <c r="H26" s="1449" t="str">
        <f>+$G$2</f>
        <v>Estimate</v>
      </c>
    </row>
    <row r="27" spans="1:8" ht="17.25" customHeight="1" x14ac:dyDescent="0.2">
      <c r="A27" s="1450" t="s">
        <v>671</v>
      </c>
      <c r="B27" s="1451"/>
      <c r="C27" s="1458">
        <v>3405228.65</v>
      </c>
      <c r="D27" s="1461">
        <f>C31</f>
        <v>2865875.6799999997</v>
      </c>
      <c r="E27" s="1459">
        <f>D31</f>
        <v>0</v>
      </c>
      <c r="F27" s="1460">
        <f>E31</f>
        <v>1614536</v>
      </c>
      <c r="G27" s="1461">
        <f>F31</f>
        <v>54536</v>
      </c>
      <c r="H27" s="1461">
        <f>G31</f>
        <v>0</v>
      </c>
    </row>
    <row r="28" spans="1:8" ht="17.25" customHeight="1" x14ac:dyDescent="0.2">
      <c r="A28" s="1429" t="s">
        <v>672</v>
      </c>
      <c r="B28" s="1430"/>
      <c r="C28" s="1431">
        <v>29021.37</v>
      </c>
      <c r="D28" s="2276">
        <v>7085.76</v>
      </c>
      <c r="E28" s="2277">
        <v>5820000</v>
      </c>
      <c r="F28" s="1432">
        <v>0</v>
      </c>
      <c r="G28" s="1433">
        <f>ROUND(+F28*(1+'MYP Assumptions'!G49),0)</f>
        <v>0</v>
      </c>
      <c r="H28" s="1433">
        <f>ROUND(+G28*(1+'MYP Assumptions'!$G$49),0)</f>
        <v>0</v>
      </c>
    </row>
    <row r="29" spans="1:8" ht="17.25" customHeight="1" x14ac:dyDescent="0.2">
      <c r="A29" s="1429" t="s">
        <v>673</v>
      </c>
      <c r="B29" s="1430"/>
      <c r="C29" s="1431">
        <v>568374.34</v>
      </c>
      <c r="D29" s="2276">
        <v>2872961.44</v>
      </c>
      <c r="E29" s="2277">
        <v>4205464</v>
      </c>
      <c r="F29" s="1432">
        <v>1560000</v>
      </c>
      <c r="G29" s="1433">
        <v>54536</v>
      </c>
      <c r="H29" s="1433">
        <v>0</v>
      </c>
    </row>
    <row r="30" spans="1:8" ht="17.25" customHeight="1" x14ac:dyDescent="0.2">
      <c r="A30" s="1434" t="s">
        <v>674</v>
      </c>
      <c r="B30" s="1430"/>
      <c r="C30" s="1431">
        <f t="shared" ref="C30:H30" si="9">C28-C29</f>
        <v>-539352.97</v>
      </c>
      <c r="D30" s="2276">
        <f t="shared" si="9"/>
        <v>-2865875.68</v>
      </c>
      <c r="E30" s="2277">
        <f t="shared" si="9"/>
        <v>1614536</v>
      </c>
      <c r="F30" s="1432">
        <f t="shared" si="9"/>
        <v>-1560000</v>
      </c>
      <c r="G30" s="1433">
        <f t="shared" si="9"/>
        <v>-54536</v>
      </c>
      <c r="H30" s="1433">
        <f t="shared" si="9"/>
        <v>0</v>
      </c>
    </row>
    <row r="31" spans="1:8" s="2284" customFormat="1" ht="17.25" customHeight="1" x14ac:dyDescent="0.2">
      <c r="A31" s="2298" t="s">
        <v>675</v>
      </c>
      <c r="B31" s="2297"/>
      <c r="C31" s="2291">
        <f t="shared" ref="C31:H31" si="10">C27+C30</f>
        <v>2865875.6799999997</v>
      </c>
      <c r="D31" s="2292">
        <f t="shared" si="10"/>
        <v>0</v>
      </c>
      <c r="E31" s="2293">
        <f t="shared" si="10"/>
        <v>1614536</v>
      </c>
      <c r="F31" s="2294">
        <f t="shared" si="10"/>
        <v>54536</v>
      </c>
      <c r="G31" s="2295">
        <f t="shared" si="10"/>
        <v>0</v>
      </c>
      <c r="H31" s="2295">
        <f t="shared" si="10"/>
        <v>0</v>
      </c>
    </row>
    <row r="32" spans="1:8" ht="17.25" customHeight="1" x14ac:dyDescent="0.2">
      <c r="A32" s="1440"/>
      <c r="B32" s="1441"/>
      <c r="C32" s="1457"/>
      <c r="D32" s="1445"/>
      <c r="E32" s="1443"/>
      <c r="F32" s="1444"/>
      <c r="G32" s="1445"/>
      <c r="H32" s="1445"/>
    </row>
    <row r="33" spans="1:8" ht="17.25" customHeight="1" x14ac:dyDescent="0.2">
      <c r="A33" s="1408" t="s">
        <v>680</v>
      </c>
      <c r="B33" s="1409"/>
      <c r="C33" s="1410" t="str">
        <f t="shared" ref="C33:H33" si="11">C1</f>
        <v>2015-2016</v>
      </c>
      <c r="D33" s="1413" t="str">
        <f t="shared" si="11"/>
        <v>2016-2017</v>
      </c>
      <c r="E33" s="1411" t="str">
        <f t="shared" si="11"/>
        <v>2017-2018</v>
      </c>
      <c r="F33" s="1412" t="str">
        <f t="shared" si="11"/>
        <v>2018-2019</v>
      </c>
      <c r="G33" s="1413" t="str">
        <f t="shared" si="11"/>
        <v>2019-2020</v>
      </c>
      <c r="H33" s="1413" t="str">
        <f t="shared" si="11"/>
        <v>2020-2021</v>
      </c>
    </row>
    <row r="34" spans="1:8" ht="25.5" x14ac:dyDescent="0.2">
      <c r="A34" s="1446" t="s">
        <v>830</v>
      </c>
      <c r="B34" s="1447"/>
      <c r="C34" s="1448" t="str">
        <f>+$C$2</f>
        <v>Actuals</v>
      </c>
      <c r="D34" s="1421" t="str">
        <f>+$D$2</f>
        <v>Actuals</v>
      </c>
      <c r="E34" s="1419" t="str">
        <f>+$E$2</f>
        <v>Estimated Actuals</v>
      </c>
      <c r="F34" s="1420" t="str">
        <f>+$F26</f>
        <v>Proposed Budget</v>
      </c>
      <c r="G34" s="1449" t="str">
        <f>+G2</f>
        <v>Estimate</v>
      </c>
      <c r="H34" s="1449" t="str">
        <f>+$G$2</f>
        <v>Estimate</v>
      </c>
    </row>
    <row r="35" spans="1:8" ht="17.25" customHeight="1" x14ac:dyDescent="0.2">
      <c r="A35" s="1450" t="s">
        <v>671</v>
      </c>
      <c r="B35" s="1451"/>
      <c r="C35" s="1452">
        <v>88799.78</v>
      </c>
      <c r="D35" s="1455">
        <f>C39</f>
        <v>165705.64000000001</v>
      </c>
      <c r="E35" s="1453">
        <f>D39</f>
        <v>138108.88</v>
      </c>
      <c r="F35" s="1454">
        <f>E39</f>
        <v>145644.88</v>
      </c>
      <c r="G35" s="1455">
        <f>F39</f>
        <v>127144.88</v>
      </c>
      <c r="H35" s="1455">
        <f>G39</f>
        <v>107932.88</v>
      </c>
    </row>
    <row r="36" spans="1:8" ht="17.25" customHeight="1" x14ac:dyDescent="0.2">
      <c r="A36" s="1429" t="s">
        <v>672</v>
      </c>
      <c r="B36" s="1430"/>
      <c r="C36" s="1431">
        <v>81905.86</v>
      </c>
      <c r="D36" s="2276">
        <v>42403.24</v>
      </c>
      <c r="E36" s="2277">
        <v>46536</v>
      </c>
      <c r="F36" s="1432">
        <v>11500</v>
      </c>
      <c r="G36" s="1433">
        <f>ROUND(+F36*(1+'MYP Assumptions'!G49),0)</f>
        <v>11796</v>
      </c>
      <c r="H36" s="1433">
        <f>ROUND(+G36*(1+'MYP Assumptions'!H49),0)</f>
        <v>12111</v>
      </c>
    </row>
    <row r="37" spans="1:8" ht="17.25" customHeight="1" x14ac:dyDescent="0.2">
      <c r="A37" s="1429" t="s">
        <v>673</v>
      </c>
      <c r="B37" s="1430"/>
      <c r="C37" s="1431">
        <v>5000</v>
      </c>
      <c r="D37" s="2276">
        <v>70000</v>
      </c>
      <c r="E37" s="2277">
        <v>39000</v>
      </c>
      <c r="F37" s="1432">
        <v>30000</v>
      </c>
      <c r="G37" s="1433">
        <f>+ROUNDUP(F37*(1+'MYP Assumptions'!G78),0)</f>
        <v>31008</v>
      </c>
      <c r="H37" s="1433">
        <f>+ROUNDUP(G37*(1+'MYP Assumptions'!H78),0)</f>
        <v>32010</v>
      </c>
    </row>
    <row r="38" spans="1:8" ht="17.25" customHeight="1" x14ac:dyDescent="0.2">
      <c r="A38" s="1434" t="s">
        <v>674</v>
      </c>
      <c r="B38" s="1430"/>
      <c r="C38" s="1431">
        <f t="shared" ref="C38:H38" si="12">C36-C37</f>
        <v>76905.86</v>
      </c>
      <c r="D38" s="2276">
        <f t="shared" si="12"/>
        <v>-27596.760000000002</v>
      </c>
      <c r="E38" s="2277">
        <f t="shared" si="12"/>
        <v>7536</v>
      </c>
      <c r="F38" s="1432">
        <f t="shared" si="12"/>
        <v>-18500</v>
      </c>
      <c r="G38" s="1433">
        <f t="shared" si="12"/>
        <v>-19212</v>
      </c>
      <c r="H38" s="1433">
        <f t="shared" si="12"/>
        <v>-19899</v>
      </c>
    </row>
    <row r="39" spans="1:8" s="2284" customFormat="1" ht="17.25" customHeight="1" x14ac:dyDescent="0.2">
      <c r="A39" s="2298" t="s">
        <v>675</v>
      </c>
      <c r="B39" s="2297"/>
      <c r="C39" s="2291">
        <f t="shared" ref="C39:H39" si="13">C35+C38</f>
        <v>165705.64000000001</v>
      </c>
      <c r="D39" s="2292">
        <f t="shared" si="13"/>
        <v>138108.88</v>
      </c>
      <c r="E39" s="2293">
        <f t="shared" si="13"/>
        <v>145644.88</v>
      </c>
      <c r="F39" s="2294">
        <f t="shared" si="13"/>
        <v>127144.88</v>
      </c>
      <c r="G39" s="2295">
        <f t="shared" si="13"/>
        <v>107932.88</v>
      </c>
      <c r="H39" s="2295">
        <f t="shared" si="13"/>
        <v>88033.88</v>
      </c>
    </row>
    <row r="40" spans="1:8" ht="17.25" customHeight="1" x14ac:dyDescent="0.2">
      <c r="A40" s="1440"/>
      <c r="B40" s="1441"/>
      <c r="C40" s="1457"/>
      <c r="D40" s="1445"/>
      <c r="E40" s="1443"/>
      <c r="F40" s="1444"/>
      <c r="G40" s="1445"/>
      <c r="H40" s="1445"/>
    </row>
    <row r="41" spans="1:8" ht="17.25" customHeight="1" x14ac:dyDescent="0.2">
      <c r="A41" s="1408" t="s">
        <v>681</v>
      </c>
      <c r="B41" s="1409"/>
      <c r="C41" s="1410" t="str">
        <f>$C$1</f>
        <v>2015-2016</v>
      </c>
      <c r="D41" s="1413" t="str">
        <f>D1</f>
        <v>2016-2017</v>
      </c>
      <c r="E41" s="1411" t="str">
        <f>E1</f>
        <v>2017-2018</v>
      </c>
      <c r="F41" s="1412" t="str">
        <f>F1</f>
        <v>2018-2019</v>
      </c>
      <c r="G41" s="1413" t="str">
        <f>G1</f>
        <v>2019-2020</v>
      </c>
      <c r="H41" s="1413" t="str">
        <f>H1</f>
        <v>2020-2021</v>
      </c>
    </row>
    <row r="42" spans="1:8" ht="25.5" x14ac:dyDescent="0.2">
      <c r="A42" s="1446" t="s">
        <v>908</v>
      </c>
      <c r="B42" s="1447"/>
      <c r="C42" s="1448" t="str">
        <f>+$C$2</f>
        <v>Actuals</v>
      </c>
      <c r="D42" s="1421" t="str">
        <f>+$D$2</f>
        <v>Actuals</v>
      </c>
      <c r="E42" s="1419" t="str">
        <f>+$E$2</f>
        <v>Estimated Actuals</v>
      </c>
      <c r="F42" s="1420" t="str">
        <f>+$F26</f>
        <v>Proposed Budget</v>
      </c>
      <c r="G42" s="1449" t="str">
        <f>+G2</f>
        <v>Estimate</v>
      </c>
      <c r="H42" s="1449" t="str">
        <f>+$G$2</f>
        <v>Estimate</v>
      </c>
    </row>
    <row r="43" spans="1:8" ht="17.25" customHeight="1" x14ac:dyDescent="0.2">
      <c r="A43" s="1450" t="s">
        <v>671</v>
      </c>
      <c r="B43" s="1451"/>
      <c r="C43" s="1458">
        <f>+C51+C59</f>
        <v>440741.46</v>
      </c>
      <c r="D43" s="1461">
        <f>+C47</f>
        <v>579794.10000000009</v>
      </c>
      <c r="E43" s="1459">
        <f>+D47</f>
        <v>285660.65000000002</v>
      </c>
      <c r="F43" s="1460">
        <f t="shared" ref="F43" si="14">+F51+F59</f>
        <v>270600.09999999998</v>
      </c>
      <c r="G43" s="1461">
        <f>+G51+G59</f>
        <v>476325.1</v>
      </c>
      <c r="H43" s="1461">
        <f>+H51+H59</f>
        <v>683937.1</v>
      </c>
    </row>
    <row r="44" spans="1:8" ht="17.25" customHeight="1" x14ac:dyDescent="0.2">
      <c r="A44" s="1429" t="s">
        <v>672</v>
      </c>
      <c r="B44" s="1430"/>
      <c r="C44" s="1431">
        <f>+C52+C60</f>
        <v>428108.96</v>
      </c>
      <c r="D44" s="2276">
        <v>600916.11</v>
      </c>
      <c r="E44" s="2277">
        <v>3088770</v>
      </c>
      <c r="F44" s="1432">
        <v>326918</v>
      </c>
      <c r="G44" s="1433">
        <f>ROUND(+F44*(1+'MYP Assumptions'!G49),0)</f>
        <v>335320</v>
      </c>
      <c r="H44" s="1433">
        <f>ROUND(+G44*(1+'MYP Assumptions'!H49),0)</f>
        <v>344273</v>
      </c>
    </row>
    <row r="45" spans="1:8" ht="17.25" customHeight="1" x14ac:dyDescent="0.2">
      <c r="A45" s="1429" t="s">
        <v>673</v>
      </c>
      <c r="B45" s="1430"/>
      <c r="C45" s="1431">
        <f>+C53+C61</f>
        <v>289056.32</v>
      </c>
      <c r="D45" s="2276">
        <v>895049.56</v>
      </c>
      <c r="E45" s="2277">
        <v>230905</v>
      </c>
      <c r="F45" s="1432">
        <v>358918</v>
      </c>
      <c r="G45" s="1433">
        <f>+ROUNDUP(F45*(1+'MYP Assumptions'!G78),0)</f>
        <v>370978</v>
      </c>
      <c r="H45" s="1433">
        <f>+ROUNDUP(G45*(1+'MYP Assumptions'!H78),0)</f>
        <v>382961</v>
      </c>
    </row>
    <row r="46" spans="1:8" ht="17.25" customHeight="1" x14ac:dyDescent="0.2">
      <c r="A46" s="1434" t="s">
        <v>674</v>
      </c>
      <c r="B46" s="1430"/>
      <c r="C46" s="1431">
        <f>C44-C45</f>
        <v>139052.64000000001</v>
      </c>
      <c r="D46" s="2276">
        <f t="shared" ref="D46:G46" si="15">D44-D45</f>
        <v>-294133.45000000007</v>
      </c>
      <c r="E46" s="2277">
        <f t="shared" si="15"/>
        <v>2857865</v>
      </c>
      <c r="F46" s="1432">
        <f t="shared" si="15"/>
        <v>-32000</v>
      </c>
      <c r="G46" s="1433">
        <f t="shared" si="15"/>
        <v>-35658</v>
      </c>
      <c r="H46" s="1433">
        <f t="shared" ref="H46" si="16">H44-H45</f>
        <v>-38688</v>
      </c>
    </row>
    <row r="47" spans="1:8" s="2284" customFormat="1" ht="17.25" customHeight="1" x14ac:dyDescent="0.2">
      <c r="A47" s="2298" t="s">
        <v>675</v>
      </c>
      <c r="B47" s="2297"/>
      <c r="C47" s="2291">
        <f>C43+C46</f>
        <v>579794.10000000009</v>
      </c>
      <c r="D47" s="2292">
        <f>D43+D46</f>
        <v>285660.65000000002</v>
      </c>
      <c r="E47" s="2293">
        <f t="shared" ref="E47:G47" si="17">E43+E46</f>
        <v>3143525.65</v>
      </c>
      <c r="F47" s="2294">
        <f t="shared" si="17"/>
        <v>238600.09999999998</v>
      </c>
      <c r="G47" s="2295">
        <f t="shared" si="17"/>
        <v>440667.1</v>
      </c>
      <c r="H47" s="2295">
        <f t="shared" ref="H47" si="18">H43+H46</f>
        <v>645249.1</v>
      </c>
    </row>
    <row r="48" spans="1:8" ht="17.25" hidden="1" customHeight="1" x14ac:dyDescent="0.2">
      <c r="A48" s="1456"/>
      <c r="B48" s="1441"/>
      <c r="C48" s="1457"/>
      <c r="D48" s="1445"/>
      <c r="E48" s="1443"/>
      <c r="F48" s="1444"/>
      <c r="G48" s="1445"/>
      <c r="H48" s="1445"/>
    </row>
    <row r="49" spans="1:8" ht="17.25" hidden="1" customHeight="1" x14ac:dyDescent="0.2">
      <c r="A49" s="1462" t="s">
        <v>681</v>
      </c>
      <c r="B49" s="1463"/>
      <c r="C49" s="1464" t="str">
        <f t="shared" ref="C49:H49" si="19">C1</f>
        <v>2015-2016</v>
      </c>
      <c r="D49" s="1467" t="str">
        <f t="shared" si="19"/>
        <v>2016-2017</v>
      </c>
      <c r="E49" s="1465" t="str">
        <f t="shared" si="19"/>
        <v>2017-2018</v>
      </c>
      <c r="F49" s="1466" t="str">
        <f t="shared" si="19"/>
        <v>2018-2019</v>
      </c>
      <c r="G49" s="1467" t="str">
        <f t="shared" si="19"/>
        <v>2019-2020</v>
      </c>
      <c r="H49" s="1467" t="str">
        <f t="shared" si="19"/>
        <v>2020-2021</v>
      </c>
    </row>
    <row r="50" spans="1:8" ht="25.5" hidden="1" x14ac:dyDescent="0.2">
      <c r="A50" s="1468" t="s">
        <v>831</v>
      </c>
      <c r="B50" s="1469"/>
      <c r="C50" s="1470" t="str">
        <f>+$C$2</f>
        <v>Actuals</v>
      </c>
      <c r="D50" s="2280" t="str">
        <f>+$D$2</f>
        <v>Actuals</v>
      </c>
      <c r="E50" s="1471" t="str">
        <f>+$E$2</f>
        <v>Estimated Actuals</v>
      </c>
      <c r="F50" s="2283" t="str">
        <f>+$F34</f>
        <v>Proposed Budget</v>
      </c>
      <c r="G50" s="1472" t="str">
        <f>+G2</f>
        <v>Estimate</v>
      </c>
      <c r="H50" s="1472" t="str">
        <f>+$G$2</f>
        <v>Estimate</v>
      </c>
    </row>
    <row r="51" spans="1:8" ht="17.25" hidden="1" customHeight="1" x14ac:dyDescent="0.2">
      <c r="A51" s="1450" t="s">
        <v>671</v>
      </c>
      <c r="B51" s="1451"/>
      <c r="C51" s="1458">
        <v>2057.5700000000002</v>
      </c>
      <c r="D51" s="1461">
        <f>C55</f>
        <v>5416.3999999999978</v>
      </c>
      <c r="E51" s="1459">
        <f>D55</f>
        <v>6166.3999999999978</v>
      </c>
      <c r="F51" s="1460">
        <f>E55</f>
        <v>7166.3999999999978</v>
      </c>
      <c r="G51" s="1461">
        <f>F55</f>
        <v>8871.3999999999978</v>
      </c>
      <c r="H51" s="1461">
        <f>G55</f>
        <v>10422.399999999998</v>
      </c>
    </row>
    <row r="52" spans="1:8" ht="17.25" hidden="1" customHeight="1" x14ac:dyDescent="0.2">
      <c r="A52" s="1429" t="s">
        <v>672</v>
      </c>
      <c r="B52" s="1430"/>
      <c r="C52" s="1431">
        <v>25059.26</v>
      </c>
      <c r="D52" s="2276">
        <v>25050</v>
      </c>
      <c r="E52" s="2277">
        <v>26000</v>
      </c>
      <c r="F52" s="1432">
        <f>ROUND(+E52*(1+'MYP Assumptions'!$F$49),0)</f>
        <v>26705</v>
      </c>
      <c r="G52" s="1433">
        <f>ROUND(+F52*(1+'MYP Assumptions'!G49),0)</f>
        <v>27391</v>
      </c>
      <c r="H52" s="1433">
        <f>ROUND(+G52*(1+'MYP Assumptions'!$G$49),0)</f>
        <v>28095</v>
      </c>
    </row>
    <row r="53" spans="1:8" ht="17.25" hidden="1" customHeight="1" x14ac:dyDescent="0.2">
      <c r="A53" s="1429" t="s">
        <v>673</v>
      </c>
      <c r="B53" s="1430"/>
      <c r="C53" s="1431">
        <v>21700.43</v>
      </c>
      <c r="D53" s="2276">
        <v>24300</v>
      </c>
      <c r="E53" s="2277">
        <v>25000</v>
      </c>
      <c r="F53" s="1432">
        <v>25000</v>
      </c>
      <c r="G53" s="1433">
        <f>+ROUNDUP(F53*(1+'MYP Assumptions'!G78),0)</f>
        <v>25840</v>
      </c>
      <c r="H53" s="1433">
        <v>25000</v>
      </c>
    </row>
    <row r="54" spans="1:8" ht="17.25" hidden="1" customHeight="1" x14ac:dyDescent="0.2">
      <c r="A54" s="1434" t="s">
        <v>674</v>
      </c>
      <c r="B54" s="1430"/>
      <c r="C54" s="1431">
        <f t="shared" ref="C54:H54" si="20">C52-C53</f>
        <v>3358.8299999999981</v>
      </c>
      <c r="D54" s="2276">
        <f t="shared" si="20"/>
        <v>750</v>
      </c>
      <c r="E54" s="2277">
        <f t="shared" si="20"/>
        <v>1000</v>
      </c>
      <c r="F54" s="1432">
        <f t="shared" si="20"/>
        <v>1705</v>
      </c>
      <c r="G54" s="1433">
        <f t="shared" si="20"/>
        <v>1551</v>
      </c>
      <c r="H54" s="1433">
        <f t="shared" si="20"/>
        <v>3095</v>
      </c>
    </row>
    <row r="55" spans="1:8" ht="17.25" hidden="1" customHeight="1" x14ac:dyDescent="0.2">
      <c r="A55" s="1435" t="s">
        <v>675</v>
      </c>
      <c r="B55" s="1436"/>
      <c r="C55" s="1437">
        <f t="shared" ref="C55:H55" si="21">C51+C54</f>
        <v>5416.3999999999978</v>
      </c>
      <c r="D55" s="2278">
        <f t="shared" si="21"/>
        <v>6166.3999999999978</v>
      </c>
      <c r="E55" s="2279">
        <f t="shared" si="21"/>
        <v>7166.3999999999978</v>
      </c>
      <c r="F55" s="1438">
        <f t="shared" si="21"/>
        <v>8871.3999999999978</v>
      </c>
      <c r="G55" s="1439">
        <f t="shared" si="21"/>
        <v>10422.399999999998</v>
      </c>
      <c r="H55" s="1439">
        <f t="shared" si="21"/>
        <v>13517.399999999998</v>
      </c>
    </row>
    <row r="56" spans="1:8" ht="17.25" hidden="1" customHeight="1" x14ac:dyDescent="0.2">
      <c r="A56" s="1456"/>
      <c r="B56" s="1441"/>
      <c r="C56" s="1457"/>
      <c r="D56" s="1445"/>
      <c r="E56" s="1443"/>
      <c r="F56" s="1444"/>
      <c r="G56" s="1445"/>
      <c r="H56" s="1445"/>
    </row>
    <row r="57" spans="1:8" ht="17.25" hidden="1" customHeight="1" x14ac:dyDescent="0.2">
      <c r="A57" s="1462" t="s">
        <v>682</v>
      </c>
      <c r="B57" s="1463"/>
      <c r="C57" s="1464" t="str">
        <f t="shared" ref="C57:H57" si="22">C1</f>
        <v>2015-2016</v>
      </c>
      <c r="D57" s="1467" t="str">
        <f t="shared" si="22"/>
        <v>2016-2017</v>
      </c>
      <c r="E57" s="1465" t="str">
        <f t="shared" si="22"/>
        <v>2017-2018</v>
      </c>
      <c r="F57" s="1466" t="str">
        <f t="shared" si="22"/>
        <v>2018-2019</v>
      </c>
      <c r="G57" s="1467" t="str">
        <f t="shared" si="22"/>
        <v>2019-2020</v>
      </c>
      <c r="H57" s="1467" t="str">
        <f t="shared" si="22"/>
        <v>2020-2021</v>
      </c>
    </row>
    <row r="58" spans="1:8" ht="25.5" hidden="1" x14ac:dyDescent="0.2">
      <c r="A58" s="1468" t="s">
        <v>832</v>
      </c>
      <c r="B58" s="1469"/>
      <c r="C58" s="1470" t="str">
        <f>+$C$2</f>
        <v>Actuals</v>
      </c>
      <c r="D58" s="2280" t="str">
        <f>+$D$2</f>
        <v>Actuals</v>
      </c>
      <c r="E58" s="1471" t="str">
        <f>+$E$2</f>
        <v>Estimated Actuals</v>
      </c>
      <c r="F58" s="2283" t="str">
        <f>+$F50</f>
        <v>Proposed Budget</v>
      </c>
      <c r="G58" s="1472" t="str">
        <f>+G2</f>
        <v>Estimate</v>
      </c>
      <c r="H58" s="1472" t="str">
        <f>+$G$2</f>
        <v>Estimate</v>
      </c>
    </row>
    <row r="59" spans="1:8" ht="17.25" hidden="1" customHeight="1" x14ac:dyDescent="0.2">
      <c r="A59" s="1450" t="s">
        <v>671</v>
      </c>
      <c r="B59" s="1451"/>
      <c r="C59" s="1452">
        <v>438683.89</v>
      </c>
      <c r="D59" s="1455">
        <f>C63</f>
        <v>574377.69999999995</v>
      </c>
      <c r="E59" s="1453">
        <f>D63</f>
        <v>61433.699999999953</v>
      </c>
      <c r="F59" s="1454">
        <f>E63</f>
        <v>263433.69999999995</v>
      </c>
      <c r="G59" s="1455">
        <f>F63</f>
        <v>467453.69999999995</v>
      </c>
      <c r="H59" s="1455">
        <f>G63</f>
        <v>673514.7</v>
      </c>
    </row>
    <row r="60" spans="1:8" ht="17.25" hidden="1" customHeight="1" x14ac:dyDescent="0.2">
      <c r="A60" s="1429" t="s">
        <v>672</v>
      </c>
      <c r="B60" s="1430"/>
      <c r="C60" s="1431">
        <v>403049.7</v>
      </c>
      <c r="D60" s="2276">
        <v>493517</v>
      </c>
      <c r="E60" s="2277">
        <v>202000</v>
      </c>
      <c r="F60" s="1432">
        <f>+ROUNDUP(E60*(1+1%),0)</f>
        <v>204020</v>
      </c>
      <c r="G60" s="1433">
        <f>+ROUNDUP(F60*(1+1%),0)</f>
        <v>206061</v>
      </c>
      <c r="H60" s="1433">
        <f>+ROUNDUP(G60*(1+1%),0)</f>
        <v>208122</v>
      </c>
    </row>
    <row r="61" spans="1:8" ht="17.25" hidden="1" customHeight="1" x14ac:dyDescent="0.2">
      <c r="A61" s="1429" t="s">
        <v>673</v>
      </c>
      <c r="B61" s="1430"/>
      <c r="C61" s="1431">
        <v>267355.89</v>
      </c>
      <c r="D61" s="2276">
        <v>1006461</v>
      </c>
      <c r="E61" s="2277">
        <v>0</v>
      </c>
      <c r="F61" s="1432">
        <f>+ROUNDUP(E61*(1+'MYP Assumptions'!$F$78),0)</f>
        <v>0</v>
      </c>
      <c r="G61" s="1433">
        <f>+ROUNDUP(F61*(1+'MYP Assumptions'!G78),0)</f>
        <v>0</v>
      </c>
      <c r="H61" s="1433">
        <f>+ROUNDUP(G61*(1+'MYP Assumptions'!$G$78),0)</f>
        <v>0</v>
      </c>
    </row>
    <row r="62" spans="1:8" ht="17.25" hidden="1" customHeight="1" x14ac:dyDescent="0.2">
      <c r="A62" s="1434" t="s">
        <v>674</v>
      </c>
      <c r="B62" s="1430"/>
      <c r="C62" s="1431">
        <f t="shared" ref="C62:H62" si="23">C60-C61</f>
        <v>135693.81</v>
      </c>
      <c r="D62" s="2276">
        <f t="shared" si="23"/>
        <v>-512944</v>
      </c>
      <c r="E62" s="2277">
        <f t="shared" si="23"/>
        <v>202000</v>
      </c>
      <c r="F62" s="1432">
        <f t="shared" si="23"/>
        <v>204020</v>
      </c>
      <c r="G62" s="1433">
        <f t="shared" si="23"/>
        <v>206061</v>
      </c>
      <c r="H62" s="1433">
        <f t="shared" si="23"/>
        <v>208122</v>
      </c>
    </row>
    <row r="63" spans="1:8" ht="17.25" hidden="1" customHeight="1" x14ac:dyDescent="0.2">
      <c r="A63" s="1435" t="s">
        <v>675</v>
      </c>
      <c r="B63" s="1436"/>
      <c r="C63" s="1437">
        <f t="shared" ref="C63:H63" si="24">C59+C62</f>
        <v>574377.69999999995</v>
      </c>
      <c r="D63" s="2278">
        <f t="shared" si="24"/>
        <v>61433.699999999953</v>
      </c>
      <c r="E63" s="2279">
        <f t="shared" si="24"/>
        <v>263433.69999999995</v>
      </c>
      <c r="F63" s="1438">
        <f t="shared" si="24"/>
        <v>467453.69999999995</v>
      </c>
      <c r="G63" s="1439">
        <f t="shared" si="24"/>
        <v>673514.7</v>
      </c>
      <c r="H63" s="1439">
        <f t="shared" si="24"/>
        <v>881636.7</v>
      </c>
    </row>
    <row r="64" spans="1:8" ht="17.25" customHeight="1" x14ac:dyDescent="0.2">
      <c r="A64" s="1456"/>
      <c r="B64" s="1441"/>
      <c r="C64" s="1457"/>
      <c r="D64" s="1445"/>
      <c r="E64" s="1443"/>
      <c r="F64" s="1444"/>
      <c r="G64" s="1445"/>
      <c r="H64" s="1445"/>
    </row>
    <row r="65" spans="1:8" ht="17.25" customHeight="1" x14ac:dyDescent="0.2">
      <c r="A65" s="1408" t="s">
        <v>683</v>
      </c>
      <c r="B65" s="1409"/>
      <c r="C65" s="1410" t="str">
        <f t="shared" ref="C65:H65" si="25">C1</f>
        <v>2015-2016</v>
      </c>
      <c r="D65" s="1413" t="str">
        <f t="shared" si="25"/>
        <v>2016-2017</v>
      </c>
      <c r="E65" s="1411" t="str">
        <f t="shared" si="25"/>
        <v>2017-2018</v>
      </c>
      <c r="F65" s="1412" t="str">
        <f t="shared" si="25"/>
        <v>2018-2019</v>
      </c>
      <c r="G65" s="1413" t="str">
        <f t="shared" si="25"/>
        <v>2019-2020</v>
      </c>
      <c r="H65" s="1413" t="str">
        <f t="shared" si="25"/>
        <v>2020-2021</v>
      </c>
    </row>
    <row r="66" spans="1:8" ht="25.5" x14ac:dyDescent="0.2">
      <c r="A66" s="1446" t="s">
        <v>833</v>
      </c>
      <c r="B66" s="1447"/>
      <c r="C66" s="1448" t="str">
        <f>+$C$2</f>
        <v>Actuals</v>
      </c>
      <c r="D66" s="1421" t="str">
        <f>+$D$2</f>
        <v>Actuals</v>
      </c>
      <c r="E66" s="1419" t="str">
        <f>+$E$2</f>
        <v>Estimated Actuals</v>
      </c>
      <c r="F66" s="1420" t="str">
        <f>+$F58</f>
        <v>Proposed Budget</v>
      </c>
      <c r="G66" s="1449" t="str">
        <f>+G2</f>
        <v>Estimate</v>
      </c>
      <c r="H66" s="1449" t="str">
        <f>+$G$2</f>
        <v>Estimate</v>
      </c>
    </row>
    <row r="67" spans="1:8" ht="17.25" customHeight="1" x14ac:dyDescent="0.2">
      <c r="A67" s="1450" t="s">
        <v>671</v>
      </c>
      <c r="B67" s="1451"/>
      <c r="C67" s="1452">
        <v>557843.54</v>
      </c>
      <c r="D67" s="1455">
        <f>C71</f>
        <v>767770.3600000001</v>
      </c>
      <c r="E67" s="1453">
        <f>D71</f>
        <v>947002.92</v>
      </c>
      <c r="F67" s="1454">
        <f>E71</f>
        <v>734058.92</v>
      </c>
      <c r="G67" s="1455">
        <f>F71</f>
        <v>638563.92000000004</v>
      </c>
      <c r="H67" s="1455">
        <f>G71</f>
        <v>533342.92000000004</v>
      </c>
    </row>
    <row r="68" spans="1:8" ht="17.25" customHeight="1" x14ac:dyDescent="0.2">
      <c r="A68" s="1429" t="s">
        <v>672</v>
      </c>
      <c r="B68" s="1430"/>
      <c r="C68" s="1431">
        <v>939081.73</v>
      </c>
      <c r="D68" s="2276">
        <v>958221.61</v>
      </c>
      <c r="E68" s="2277">
        <v>810573</v>
      </c>
      <c r="F68" s="1432">
        <v>825000</v>
      </c>
      <c r="G68" s="1433">
        <f>ROUND(+F68*(1+'MYP Assumptions'!G49),0)</f>
        <v>846203</v>
      </c>
      <c r="H68" s="1433">
        <f>ROUND(+G68*(1+'MYP Assumptions'!H49),0)</f>
        <v>868797</v>
      </c>
    </row>
    <row r="69" spans="1:8" ht="17.25" customHeight="1" x14ac:dyDescent="0.2">
      <c r="A69" s="1429" t="s">
        <v>673</v>
      </c>
      <c r="B69" s="1430"/>
      <c r="C69" s="1431">
        <v>729154.90999999992</v>
      </c>
      <c r="D69" s="2276">
        <v>778989.05</v>
      </c>
      <c r="E69" s="2277">
        <v>1023517</v>
      </c>
      <c r="F69" s="1432">
        <v>920495</v>
      </c>
      <c r="G69" s="1433">
        <f>+ROUNDUP(F69*(1+'MYP Assumptions'!G78),0)</f>
        <v>951424</v>
      </c>
      <c r="H69" s="1433">
        <f>+ROUNDUP(G69*(1+'MYP Assumptions'!H78),0)</f>
        <v>982155</v>
      </c>
    </row>
    <row r="70" spans="1:8" ht="17.25" customHeight="1" x14ac:dyDescent="0.2">
      <c r="A70" s="1434" t="s">
        <v>674</v>
      </c>
      <c r="B70" s="1430"/>
      <c r="C70" s="1431">
        <f t="shared" ref="C70:H70" si="26">C68-C69</f>
        <v>209926.82000000007</v>
      </c>
      <c r="D70" s="2276">
        <f t="shared" si="26"/>
        <v>179232.55999999994</v>
      </c>
      <c r="E70" s="2277">
        <f t="shared" si="26"/>
        <v>-212944</v>
      </c>
      <c r="F70" s="1432">
        <f t="shared" si="26"/>
        <v>-95495</v>
      </c>
      <c r="G70" s="1433">
        <f t="shared" si="26"/>
        <v>-105221</v>
      </c>
      <c r="H70" s="1433">
        <f t="shared" si="26"/>
        <v>-113358</v>
      </c>
    </row>
    <row r="71" spans="1:8" s="2284" customFormat="1" ht="17.25" customHeight="1" x14ac:dyDescent="0.2">
      <c r="A71" s="2298" t="s">
        <v>675</v>
      </c>
      <c r="B71" s="2297"/>
      <c r="C71" s="2291">
        <f t="shared" ref="C71:H71" si="27">C67+C70</f>
        <v>767770.3600000001</v>
      </c>
      <c r="D71" s="2292">
        <f t="shared" si="27"/>
        <v>947002.92</v>
      </c>
      <c r="E71" s="2293">
        <f t="shared" si="27"/>
        <v>734058.92</v>
      </c>
      <c r="F71" s="2294">
        <f t="shared" si="27"/>
        <v>638563.92000000004</v>
      </c>
      <c r="G71" s="2295">
        <f t="shared" si="27"/>
        <v>533342.92000000004</v>
      </c>
      <c r="H71" s="2295">
        <f t="shared" si="27"/>
        <v>419984.92000000004</v>
      </c>
    </row>
    <row r="72" spans="1:8" ht="17.25" customHeight="1" x14ac:dyDescent="0.2">
      <c r="A72" s="1440"/>
      <c r="B72" s="1441"/>
      <c r="C72" s="1457"/>
      <c r="D72" s="1445"/>
      <c r="E72" s="1443"/>
      <c r="F72" s="1444"/>
      <c r="G72" s="1445"/>
      <c r="H72" s="1445"/>
    </row>
    <row r="73" spans="1:8" ht="17.25" customHeight="1" x14ac:dyDescent="0.2">
      <c r="A73" s="1408" t="s">
        <v>684</v>
      </c>
      <c r="B73" s="1409"/>
      <c r="C73" s="1410" t="str">
        <f t="shared" ref="C73:H73" si="28">C1</f>
        <v>2015-2016</v>
      </c>
      <c r="D73" s="1413" t="str">
        <f t="shared" si="28"/>
        <v>2016-2017</v>
      </c>
      <c r="E73" s="1411" t="str">
        <f t="shared" si="28"/>
        <v>2017-2018</v>
      </c>
      <c r="F73" s="1412" t="str">
        <f t="shared" si="28"/>
        <v>2018-2019</v>
      </c>
      <c r="G73" s="1413" t="str">
        <f t="shared" si="28"/>
        <v>2019-2020</v>
      </c>
      <c r="H73" s="1413" t="str">
        <f t="shared" si="28"/>
        <v>2020-2021</v>
      </c>
    </row>
    <row r="74" spans="1:8" ht="25.5" x14ac:dyDescent="0.2">
      <c r="A74" s="1446" t="s">
        <v>834</v>
      </c>
      <c r="B74" s="1447"/>
      <c r="C74" s="1448" t="str">
        <f>+$C$2</f>
        <v>Actuals</v>
      </c>
      <c r="D74" s="1421" t="str">
        <f>+$D$2</f>
        <v>Actuals</v>
      </c>
      <c r="E74" s="1419" t="str">
        <f>+$E$2</f>
        <v>Estimated Actuals</v>
      </c>
      <c r="F74" s="1420" t="str">
        <f>+$F66</f>
        <v>Proposed Budget</v>
      </c>
      <c r="G74" s="1449" t="str">
        <f>+G2</f>
        <v>Estimate</v>
      </c>
      <c r="H74" s="1449" t="str">
        <f>+$G$2</f>
        <v>Estimate</v>
      </c>
    </row>
    <row r="75" spans="1:8" ht="17.25" customHeight="1" x14ac:dyDescent="0.2">
      <c r="A75" s="1450" t="s">
        <v>671</v>
      </c>
      <c r="B75" s="1451"/>
      <c r="C75" s="1473">
        <f>1301430-30.2</f>
        <v>1301399.8</v>
      </c>
      <c r="D75" s="1461">
        <f>C79</f>
        <v>1492602.72</v>
      </c>
      <c r="E75" s="1459">
        <f>D79</f>
        <v>1589190.0699999998</v>
      </c>
      <c r="F75" s="1460">
        <f>E79</f>
        <v>1579271.0699999998</v>
      </c>
      <c r="G75" s="1461">
        <f>F79</f>
        <v>1543131.0699999998</v>
      </c>
      <c r="H75" s="1461">
        <f>G79</f>
        <v>1495696.0699999998</v>
      </c>
    </row>
    <row r="76" spans="1:8" ht="17.25" customHeight="1" x14ac:dyDescent="0.2">
      <c r="A76" s="1429" t="s">
        <v>672</v>
      </c>
      <c r="B76" s="1430"/>
      <c r="C76" s="1474">
        <v>1324386.92</v>
      </c>
      <c r="D76" s="2276">
        <v>1280848.93</v>
      </c>
      <c r="E76" s="2277">
        <v>1425918</v>
      </c>
      <c r="F76" s="1432">
        <v>1276000</v>
      </c>
      <c r="G76" s="1433">
        <f>ROUND(+F76*(1+'MYP Assumptions'!G49),0)</f>
        <v>1308793</v>
      </c>
      <c r="H76" s="1433">
        <f>ROUND(+G76*(1+'MYP Assumptions'!H49),0)</f>
        <v>1343738</v>
      </c>
    </row>
    <row r="77" spans="1:8" ht="17.25" customHeight="1" x14ac:dyDescent="0.2">
      <c r="A77" s="1429" t="s">
        <v>673</v>
      </c>
      <c r="B77" s="1430"/>
      <c r="C77" s="1474">
        <v>1133184</v>
      </c>
      <c r="D77" s="2276">
        <v>1184261.58</v>
      </c>
      <c r="E77" s="2277">
        <v>1435837</v>
      </c>
      <c r="F77" s="1432">
        <v>1312140</v>
      </c>
      <c r="G77" s="1433">
        <f>+ROUNDUP(F77*(1+'MYP Assumptions'!G78),0)</f>
        <v>1356228</v>
      </c>
      <c r="H77" s="1433">
        <f>+ROUNDUP(G77*(1+'MYP Assumptions'!H78),0)</f>
        <v>1400035</v>
      </c>
    </row>
    <row r="78" spans="1:8" ht="17.25" customHeight="1" x14ac:dyDescent="0.2">
      <c r="A78" s="1434" t="s">
        <v>674</v>
      </c>
      <c r="B78" s="1430"/>
      <c r="C78" s="1475">
        <f t="shared" ref="C78:H78" si="29">C76-C77</f>
        <v>191202.91999999993</v>
      </c>
      <c r="D78" s="2281">
        <f t="shared" si="29"/>
        <v>96587.34999999986</v>
      </c>
      <c r="E78" s="2282">
        <f t="shared" si="29"/>
        <v>-9919</v>
      </c>
      <c r="F78" s="1476">
        <f t="shared" si="29"/>
        <v>-36140</v>
      </c>
      <c r="G78" s="1433">
        <f t="shared" si="29"/>
        <v>-47435</v>
      </c>
      <c r="H78" s="1433">
        <f t="shared" si="29"/>
        <v>-56297</v>
      </c>
    </row>
    <row r="79" spans="1:8" s="2284" customFormat="1" ht="17.25" customHeight="1" x14ac:dyDescent="0.2">
      <c r="A79" s="2296" t="s">
        <v>675</v>
      </c>
      <c r="B79" s="2297"/>
      <c r="C79" s="2299">
        <f t="shared" ref="C79:H79" si="30">C75+C78</f>
        <v>1492602.72</v>
      </c>
      <c r="D79" s="2300">
        <f t="shared" si="30"/>
        <v>1589190.0699999998</v>
      </c>
      <c r="E79" s="2301">
        <f t="shared" si="30"/>
        <v>1579271.0699999998</v>
      </c>
      <c r="F79" s="2302">
        <f t="shared" si="30"/>
        <v>1543131.0699999998</v>
      </c>
      <c r="G79" s="2295">
        <f t="shared" si="30"/>
        <v>1495696.0699999998</v>
      </c>
      <c r="H79" s="2295">
        <f t="shared" si="30"/>
        <v>1439399.0699999998</v>
      </c>
    </row>
    <row r="80" spans="1:8" s="1451" customFormat="1" ht="17.25" customHeight="1" x14ac:dyDescent="0.2">
      <c r="A80" s="2285"/>
      <c r="B80" s="2286"/>
      <c r="C80" s="2287"/>
      <c r="D80" s="2287"/>
      <c r="E80" s="2287"/>
      <c r="F80" s="2287"/>
      <c r="G80" s="2287"/>
      <c r="H80" s="2287"/>
    </row>
    <row r="81" spans="3:8" s="1451" customFormat="1" ht="17.25" customHeight="1" x14ac:dyDescent="0.2">
      <c r="C81" s="2288"/>
      <c r="D81" s="2288"/>
      <c r="E81" s="2288"/>
      <c r="F81" s="2288"/>
      <c r="G81" s="2288"/>
      <c r="H81" s="2288"/>
    </row>
  </sheetData>
  <sheetProtection password="E247" sheet="1" objects="1" scenarios="1"/>
  <printOptions horizontalCentered="1" verticalCentered="1"/>
  <pageMargins left="0.25" right="0.25" top="0.5" bottom="0.31" header="0.25" footer="0.17"/>
  <pageSetup paperSize="5" scale="83" orientation="portrait" r:id="rId1"/>
  <headerFooter>
    <oddHeader>&amp;L&amp;F</oddHeader>
    <oddFooter>&amp;R&amp;A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AC126"/>
  <sheetViews>
    <sheetView topLeftCell="A3" zoomScaleNormal="100" workbookViewId="0">
      <selection activeCell="F15" sqref="F15"/>
    </sheetView>
  </sheetViews>
  <sheetFormatPr defaultRowHeight="15" x14ac:dyDescent="0.25"/>
  <cols>
    <col min="1" max="1" width="1.7109375" style="143" customWidth="1"/>
    <col min="2" max="2" width="8.5703125" style="20" customWidth="1"/>
    <col min="3" max="3" width="18.28515625" style="296" customWidth="1"/>
    <col min="4" max="4" width="16" style="2" customWidth="1"/>
    <col min="5" max="5" width="17.7109375" style="296" customWidth="1"/>
    <col min="6" max="6" width="6" style="39" customWidth="1"/>
    <col min="7" max="7" width="9.42578125" style="52" bestFit="1" customWidth="1"/>
    <col min="8" max="8" width="13.85546875" style="121" bestFit="1" customWidth="1"/>
    <col min="9" max="9" width="26" style="301" customWidth="1"/>
    <col min="10" max="10" width="5.7109375" style="59" customWidth="1"/>
    <col min="11" max="11" width="8.7109375" style="333" bestFit="1" customWidth="1"/>
    <col min="12" max="12" width="14" style="122" bestFit="1" customWidth="1"/>
    <col min="13" max="13" width="26" style="296" customWidth="1"/>
    <col min="14" max="14" width="5.7109375" style="39" customWidth="1"/>
    <col min="15" max="15" width="9.42578125" style="333" bestFit="1" customWidth="1"/>
    <col min="16" max="16" width="14" style="2" bestFit="1" customWidth="1"/>
    <col min="17" max="17" width="24.85546875" style="296" hidden="1" customWidth="1"/>
    <col min="18" max="18" width="5.7109375" style="109" customWidth="1"/>
    <col min="19" max="19" width="9.42578125" style="39" hidden="1" customWidth="1"/>
    <col min="20" max="20" width="14" style="39" hidden="1" customWidth="1"/>
    <col min="21" max="21" width="24.85546875" style="39" hidden="1" customWidth="1"/>
    <col min="22" max="22" width="5.7109375" style="39" hidden="1" customWidth="1"/>
    <col min="23" max="23" width="9.42578125" style="39" hidden="1" customWidth="1"/>
    <col min="24" max="24" width="14" style="39" hidden="1" customWidth="1"/>
    <col min="25" max="25" width="24.85546875" style="39" hidden="1" customWidth="1"/>
    <col min="26" max="26" width="5.7109375" style="39" hidden="1" customWidth="1"/>
    <col min="27" max="27" width="9.42578125" style="39" hidden="1" customWidth="1"/>
    <col min="28" max="28" width="14" style="39" hidden="1" customWidth="1"/>
    <col min="29" max="29" width="24.85546875" style="39" hidden="1" customWidth="1"/>
    <col min="30" max="16384" width="9.140625" style="39"/>
  </cols>
  <sheetData>
    <row r="1" spans="1:29" x14ac:dyDescent="0.25">
      <c r="B1" s="20" t="s">
        <v>61</v>
      </c>
      <c r="C1" s="294">
        <v>0</v>
      </c>
      <c r="D1" s="97">
        <v>0</v>
      </c>
      <c r="E1" s="308"/>
      <c r="F1" s="98"/>
      <c r="G1" s="325"/>
      <c r="H1" s="99">
        <v>0</v>
      </c>
      <c r="I1" s="308"/>
      <c r="L1" s="121">
        <v>0</v>
      </c>
      <c r="M1" s="308"/>
      <c r="P1" s="121">
        <v>0</v>
      </c>
      <c r="Q1" s="308"/>
      <c r="T1" s="86">
        <v>0</v>
      </c>
      <c r="U1" s="98"/>
      <c r="X1" s="86">
        <v>0</v>
      </c>
      <c r="Y1" s="98"/>
      <c r="AB1" s="86">
        <v>0</v>
      </c>
      <c r="AC1" s="98"/>
    </row>
    <row r="2" spans="1:29" ht="17.25" x14ac:dyDescent="0.4">
      <c r="B2" s="102" t="s">
        <v>59</v>
      </c>
      <c r="C2" s="295">
        <v>0</v>
      </c>
      <c r="D2" s="99">
        <v>0</v>
      </c>
      <c r="E2" s="308"/>
      <c r="F2" s="98"/>
      <c r="G2" s="326"/>
      <c r="H2" s="99">
        <v>0</v>
      </c>
      <c r="I2" s="308"/>
      <c r="L2" s="87">
        <v>0</v>
      </c>
      <c r="M2" s="308"/>
      <c r="P2" s="87">
        <v>0</v>
      </c>
      <c r="Q2" s="308"/>
      <c r="T2" s="87">
        <v>0</v>
      </c>
      <c r="U2" s="98"/>
      <c r="X2" s="87">
        <v>0</v>
      </c>
      <c r="Y2" s="98"/>
      <c r="AB2" s="87">
        <v>0</v>
      </c>
      <c r="AC2" s="98"/>
    </row>
    <row r="3" spans="1:29" x14ac:dyDescent="0.25">
      <c r="D3" s="281">
        <f>+SUM(D1:D2)</f>
        <v>0</v>
      </c>
      <c r="E3" s="309"/>
      <c r="F3" s="100"/>
      <c r="G3" s="83"/>
      <c r="H3" s="281">
        <f>+SUM(H1:H2)</f>
        <v>0</v>
      </c>
      <c r="I3" s="317"/>
      <c r="L3" s="121">
        <f>SUM(L1:L2)</f>
        <v>0</v>
      </c>
      <c r="M3" s="301"/>
      <c r="P3" s="121">
        <f>SUM(P1:P2)</f>
        <v>0</v>
      </c>
      <c r="Q3" s="301"/>
      <c r="T3" s="86">
        <f>SUM(T1:T2)</f>
        <v>0</v>
      </c>
      <c r="U3" s="51"/>
      <c r="X3" s="86">
        <f>SUM(X1:X2)</f>
        <v>0</v>
      </c>
      <c r="Y3" s="51"/>
      <c r="AB3" s="86">
        <f>SUM(AB1:AB2)</f>
        <v>0</v>
      </c>
      <c r="AC3" s="51"/>
    </row>
    <row r="4" spans="1:29" x14ac:dyDescent="0.25">
      <c r="L4" s="121"/>
      <c r="M4" s="301"/>
      <c r="P4" s="121"/>
      <c r="Q4" s="301"/>
      <c r="T4" s="86"/>
      <c r="U4" s="51"/>
      <c r="X4" s="86"/>
      <c r="Y4" s="51"/>
      <c r="AB4" s="86"/>
      <c r="AC4" s="51"/>
    </row>
    <row r="5" spans="1:29" ht="15.75" x14ac:dyDescent="0.25">
      <c r="B5" s="101" t="s">
        <v>56</v>
      </c>
      <c r="P5" s="122"/>
      <c r="T5" s="73"/>
      <c r="X5" s="73"/>
      <c r="AB5" s="73"/>
    </row>
    <row r="6" spans="1:29" s="89" customFormat="1" ht="15.75" x14ac:dyDescent="0.25">
      <c r="A6" s="144"/>
      <c r="B6" s="297"/>
      <c r="C6" s="297"/>
      <c r="D6" s="243" t="s">
        <v>55</v>
      </c>
      <c r="E6" s="310"/>
      <c r="G6" s="327"/>
      <c r="H6" s="282" t="str">
        <f>LEFT(D6,4)+1&amp;"-"&amp;RIGHT(D6,4)+1</f>
        <v>2017-2018</v>
      </c>
      <c r="I6" s="318"/>
      <c r="J6" s="93"/>
      <c r="K6" s="334"/>
      <c r="L6" s="123" t="str">
        <f>LEFT(H6,4)+1&amp;"-"&amp;RIGHT(H6,4)+1</f>
        <v>2018-2019</v>
      </c>
      <c r="M6" s="320"/>
      <c r="N6" s="96"/>
      <c r="O6" s="337"/>
      <c r="P6" s="123" t="str">
        <f>LEFT(L6,4)+1&amp;"-"&amp;RIGHT(L6,4)+1</f>
        <v>2019-2020</v>
      </c>
      <c r="Q6" s="320"/>
      <c r="R6" s="110"/>
      <c r="S6" s="95"/>
      <c r="T6" s="95" t="str">
        <f>LEFT(P6,4)+1&amp;"-"&amp;RIGHT(P6,4)+1</f>
        <v>2020-2021</v>
      </c>
      <c r="U6" s="95"/>
      <c r="V6" s="96"/>
      <c r="W6" s="95"/>
      <c r="X6" s="95" t="str">
        <f>LEFT(T6,4)+1&amp;"-"&amp;RIGHT(T6,4)+1</f>
        <v>2021-2022</v>
      </c>
      <c r="Y6" s="95"/>
      <c r="Z6" s="96"/>
      <c r="AA6" s="95"/>
      <c r="AB6" s="95" t="str">
        <f>LEFT(X6,4)+1&amp;"-"&amp;RIGHT(X6,4)+1</f>
        <v>2022-2023</v>
      </c>
      <c r="AC6" s="95"/>
    </row>
    <row r="7" spans="1:29" x14ac:dyDescent="0.25">
      <c r="B7" s="21" t="s">
        <v>54</v>
      </c>
      <c r="D7" s="2">
        <v>0</v>
      </c>
      <c r="E7" s="311"/>
      <c r="H7" s="2">
        <f>D89</f>
        <v>0</v>
      </c>
      <c r="I7" s="311"/>
      <c r="J7" s="60"/>
      <c r="L7" s="2">
        <f>H89</f>
        <v>0</v>
      </c>
      <c r="M7" s="311"/>
      <c r="P7" s="2">
        <f>L89</f>
        <v>0</v>
      </c>
      <c r="Q7" s="311"/>
      <c r="T7" s="2">
        <f>P89</f>
        <v>0</v>
      </c>
      <c r="U7" s="105"/>
      <c r="X7" s="2">
        <f>T89</f>
        <v>0</v>
      </c>
      <c r="Y7" s="105"/>
      <c r="AB7" s="2">
        <f>X89</f>
        <v>0</v>
      </c>
      <c r="AC7" s="105"/>
    </row>
    <row r="8" spans="1:29" x14ac:dyDescent="0.25">
      <c r="E8" s="311"/>
      <c r="H8" s="2"/>
      <c r="I8" s="311"/>
      <c r="L8" s="2"/>
      <c r="M8" s="311"/>
      <c r="Q8" s="311"/>
      <c r="U8" s="105"/>
      <c r="Y8" s="105"/>
      <c r="AC8" s="105"/>
    </row>
    <row r="9" spans="1:29" x14ac:dyDescent="0.25">
      <c r="B9" s="20" t="s">
        <v>52</v>
      </c>
      <c r="C9" s="296" t="s">
        <v>53</v>
      </c>
      <c r="D9" s="2">
        <f>D3</f>
        <v>0</v>
      </c>
      <c r="E9" s="311"/>
      <c r="G9" s="83" t="str">
        <f>IF(D9=0,"0.00%",(H9-D9)/D9)</f>
        <v>0.00%</v>
      </c>
      <c r="H9" s="3">
        <f>H3</f>
        <v>0</v>
      </c>
      <c r="I9" s="311"/>
      <c r="J9" s="61"/>
      <c r="K9" s="83" t="str">
        <f>IF(H9=0,"0.00%",(L9-H9)/H9)</f>
        <v>0.00%</v>
      </c>
      <c r="L9" s="3">
        <f>L3</f>
        <v>0</v>
      </c>
      <c r="M9" s="311"/>
      <c r="O9" s="83" t="str">
        <f>IF(L9=0,"0.00%",(P9-L9)/L9)</f>
        <v>0.00%</v>
      </c>
      <c r="P9" s="3">
        <f>P3</f>
        <v>0</v>
      </c>
      <c r="Q9" s="311"/>
      <c r="S9" s="83" t="str">
        <f>IF(P9=0,"0.00%",(T9-P9)/P9)</f>
        <v>0.00%</v>
      </c>
      <c r="T9" s="3">
        <f>T3</f>
        <v>0</v>
      </c>
      <c r="U9" s="105"/>
      <c r="W9" s="83" t="str">
        <f>IF(T9=0,"0.00%",(X9-T9)/T9)</f>
        <v>0.00%</v>
      </c>
      <c r="X9" s="3">
        <f>X3</f>
        <v>0</v>
      </c>
      <c r="Y9" s="105"/>
      <c r="AA9" s="83" t="str">
        <f>IF(X9=0,"0.00%",(AB9-X9)/X9)</f>
        <v>0.00%</v>
      </c>
      <c r="AB9" s="3">
        <f>AB3</f>
        <v>0</v>
      </c>
      <c r="AC9" s="105"/>
    </row>
    <row r="10" spans="1:29" x14ac:dyDescent="0.25">
      <c r="C10" s="296" t="s">
        <v>51</v>
      </c>
      <c r="D10" s="2">
        <v>0</v>
      </c>
      <c r="E10" s="311"/>
      <c r="G10" s="83" t="str">
        <f t="shared" ref="G10:G15" si="0">IF(D10=0,"0.00%",(H10-D10)/D10)</f>
        <v>0.00%</v>
      </c>
      <c r="H10" s="3">
        <v>0</v>
      </c>
      <c r="I10" s="311"/>
      <c r="J10" s="61"/>
      <c r="K10" s="83" t="str">
        <f>IF(H10=0,"0.00%",(L10-H10)/H10)</f>
        <v>0.00%</v>
      </c>
      <c r="L10" s="3">
        <f>-H2</f>
        <v>0</v>
      </c>
      <c r="M10" s="311"/>
      <c r="O10" s="83" t="str">
        <f>IF(L10=0,"0.00%",(P10-L10)/L10)</f>
        <v>0.00%</v>
      </c>
      <c r="P10" s="3">
        <f>-L2</f>
        <v>0</v>
      </c>
      <c r="Q10" s="311"/>
      <c r="S10" s="83" t="str">
        <f>IF(P10=0,"0.00%",(T10-P10)/P10)</f>
        <v>0.00%</v>
      </c>
      <c r="T10" s="3">
        <f>-P2</f>
        <v>0</v>
      </c>
      <c r="U10" s="105"/>
      <c r="W10" s="83" t="str">
        <f>IF(T10=0,"0.00%",(X10-T10)/T10)</f>
        <v>0.00%</v>
      </c>
      <c r="X10" s="3">
        <f>-T2</f>
        <v>0</v>
      </c>
      <c r="Y10" s="105"/>
      <c r="AA10" s="83" t="str">
        <f>IF(X10=0,"0.00%",(AB10-X10)/X10)</f>
        <v>0.00%</v>
      </c>
      <c r="AB10" s="3">
        <f>-X2</f>
        <v>0</v>
      </c>
      <c r="AC10" s="105"/>
    </row>
    <row r="11" spans="1:29" x14ac:dyDescent="0.25">
      <c r="B11" s="21" t="s">
        <v>137</v>
      </c>
      <c r="D11" s="8">
        <f>SUM(D9:D10)</f>
        <v>0</v>
      </c>
      <c r="E11" s="311"/>
      <c r="G11" s="83" t="str">
        <f t="shared" si="0"/>
        <v>0.00%</v>
      </c>
      <c r="H11" s="8">
        <f>SUM(H9:H10)</f>
        <v>0</v>
      </c>
      <c r="I11" s="311"/>
      <c r="J11" s="62"/>
      <c r="K11" s="83" t="str">
        <f>IF(H11=0,"0.00%",(L11-H11)/H11)</f>
        <v>0.00%</v>
      </c>
      <c r="L11" s="8">
        <f>SUM(L9:L10)</f>
        <v>0</v>
      </c>
      <c r="M11" s="311"/>
      <c r="O11" s="83" t="str">
        <f>IF(L11=0,"0.00%",(P11-L11)/L11)</f>
        <v>0.00%</v>
      </c>
      <c r="P11" s="8">
        <f>SUM(P9:P10)</f>
        <v>0</v>
      </c>
      <c r="Q11" s="311"/>
      <c r="S11" s="83" t="str">
        <f>IF(P11=0,"0.00%",(T11-P11)/P11)</f>
        <v>0.00%</v>
      </c>
      <c r="T11" s="78">
        <f>SUM(T9:T10)</f>
        <v>0</v>
      </c>
      <c r="U11" s="105"/>
      <c r="W11" s="83" t="str">
        <f>IF(T11=0,"0.00%",(X11-T11)/T11)</f>
        <v>0.00%</v>
      </c>
      <c r="X11" s="78">
        <f>SUM(X9:X10)</f>
        <v>0</v>
      </c>
      <c r="Y11" s="105"/>
      <c r="AA11" s="83" t="str">
        <f>IF(X11=0,"0.00%",(AB11-X11)/X11)</f>
        <v>0.00%</v>
      </c>
      <c r="AB11" s="78">
        <f>SUM(AB9:AB10)</f>
        <v>0</v>
      </c>
      <c r="AC11" s="105"/>
    </row>
    <row r="12" spans="1:29" x14ac:dyDescent="0.25">
      <c r="E12" s="311"/>
      <c r="H12" s="3"/>
      <c r="I12" s="311"/>
      <c r="J12" s="63"/>
      <c r="K12" s="52"/>
      <c r="L12" s="3"/>
      <c r="M12" s="311"/>
      <c r="O12" s="52"/>
      <c r="P12" s="3"/>
      <c r="Q12" s="311"/>
      <c r="S12" s="46"/>
      <c r="T12" s="44"/>
      <c r="U12" s="105"/>
      <c r="W12" s="46"/>
      <c r="X12" s="44"/>
      <c r="Y12" s="105"/>
      <c r="AA12" s="46"/>
      <c r="AB12" s="44"/>
      <c r="AC12" s="105"/>
    </row>
    <row r="13" spans="1:29" x14ac:dyDescent="0.25">
      <c r="B13" s="52">
        <v>3.6999999999999998E-2</v>
      </c>
      <c r="C13" s="298" t="s">
        <v>64</v>
      </c>
      <c r="D13" s="9">
        <f>ROUND(D11-(D11/(1+B13)),0)</f>
        <v>0</v>
      </c>
      <c r="E13" s="311"/>
      <c r="G13" s="83" t="str">
        <f t="shared" si="0"/>
        <v>0.00%</v>
      </c>
      <c r="H13" s="9">
        <f>ROUND(H11-(H11/(1+B13)),0)</f>
        <v>0</v>
      </c>
      <c r="I13" s="311"/>
      <c r="J13" s="64"/>
      <c r="K13" s="83" t="str">
        <f>IF(H13=0,"0.00%",(L13-H13)/H13)</f>
        <v>0.00%</v>
      </c>
      <c r="L13" s="9">
        <f>ROUND(L11-(L11/(1+B13)),0)</f>
        <v>0</v>
      </c>
      <c r="M13" s="311"/>
      <c r="O13" s="83" t="str">
        <f>IF(L13=0,"0.00%",(P13-L13)/L13)</f>
        <v>0.00%</v>
      </c>
      <c r="P13" s="9">
        <f>ROUND(P11-(P11/(1+B13)),0)</f>
        <v>0</v>
      </c>
      <c r="Q13" s="311"/>
      <c r="S13" s="83" t="str">
        <f>IF(P13=0,"0.00%",(T13-P13)/P13)</f>
        <v>0.00%</v>
      </c>
      <c r="T13" s="77">
        <f>ROUND(T11-(T11/(1+B13)),0)</f>
        <v>0</v>
      </c>
      <c r="U13" s="105"/>
      <c r="W13" s="83" t="str">
        <f>IF(T13=0,"0.00%",(X13-T13)/T13)</f>
        <v>0.00%</v>
      </c>
      <c r="X13" s="77">
        <f>ROUND(X11-(X11/(1+B13)),0)</f>
        <v>0</v>
      </c>
      <c r="Y13" s="105"/>
      <c r="AA13" s="83" t="str">
        <f>IF(X13=0,"0.00%",(AB13-X13)/X13)</f>
        <v>0.00%</v>
      </c>
      <c r="AB13" s="77">
        <f>ROUND(AB11-(AB11/(1+G13)),0)</f>
        <v>0</v>
      </c>
      <c r="AC13" s="105"/>
    </row>
    <row r="14" spans="1:29" x14ac:dyDescent="0.25">
      <c r="E14" s="311"/>
      <c r="H14" s="3"/>
      <c r="I14" s="311"/>
      <c r="J14" s="63"/>
      <c r="K14" s="52"/>
      <c r="L14" s="3"/>
      <c r="M14" s="311"/>
      <c r="O14" s="52"/>
      <c r="P14" s="3"/>
      <c r="Q14" s="311"/>
      <c r="S14" s="46"/>
      <c r="T14" s="44"/>
      <c r="U14" s="105"/>
      <c r="W14" s="46"/>
      <c r="X14" s="44"/>
      <c r="Y14" s="105"/>
      <c r="AA14" s="46"/>
      <c r="AB14" s="44"/>
      <c r="AC14" s="105"/>
    </row>
    <row r="15" spans="1:29" x14ac:dyDescent="0.25">
      <c r="B15" s="21" t="s">
        <v>50</v>
      </c>
      <c r="D15" s="10">
        <f>D11-D13</f>
        <v>0</v>
      </c>
      <c r="E15" s="311"/>
      <c r="G15" s="83" t="str">
        <f t="shared" si="0"/>
        <v>0.00%</v>
      </c>
      <c r="H15" s="9">
        <f>H11-H13</f>
        <v>0</v>
      </c>
      <c r="I15" s="311"/>
      <c r="J15" s="62"/>
      <c r="K15" s="83" t="str">
        <f>IF(H15=0,"0.00%",(L15-H15)/H15)</f>
        <v>0.00%</v>
      </c>
      <c r="L15" s="9">
        <f>L11-L13</f>
        <v>0</v>
      </c>
      <c r="M15" s="311"/>
      <c r="O15" s="83" t="str">
        <f>IF(L15=0,"0.00%",(P15-L15)/L15)</f>
        <v>0.00%</v>
      </c>
      <c r="P15" s="9">
        <f>P11-P13</f>
        <v>0</v>
      </c>
      <c r="Q15" s="311"/>
      <c r="S15" s="83" t="str">
        <f>IF(P15=0,"0.00%",(T15-P15)/P15)</f>
        <v>0.00%</v>
      </c>
      <c r="T15" s="19">
        <f>T11-T13</f>
        <v>0</v>
      </c>
      <c r="U15" s="105"/>
      <c r="W15" s="83" t="str">
        <f>IF(T15=0,"0.00%",(X15-T15)/T15)</f>
        <v>0.00%</v>
      </c>
      <c r="X15" s="19">
        <f>X11-X13</f>
        <v>0</v>
      </c>
      <c r="Y15" s="105"/>
      <c r="AA15" s="83" t="str">
        <f>IF(X15=0,"0.00%",(AB15-X15)/X15)</f>
        <v>0.00%</v>
      </c>
      <c r="AB15" s="19">
        <f>AB11-AB13</f>
        <v>0</v>
      </c>
      <c r="AC15" s="105"/>
    </row>
    <row r="16" spans="1:29" x14ac:dyDescent="0.25">
      <c r="E16" s="311"/>
      <c r="H16" s="3"/>
      <c r="I16" s="311"/>
      <c r="J16" s="62"/>
      <c r="L16" s="3"/>
      <c r="M16" s="311"/>
      <c r="P16" s="3"/>
      <c r="Q16" s="311"/>
      <c r="T16" s="49"/>
      <c r="U16" s="105"/>
      <c r="X16" s="49"/>
      <c r="Y16" s="105"/>
      <c r="AB16" s="49"/>
      <c r="AC16" s="105"/>
    </row>
    <row r="17" spans="1:29" x14ac:dyDescent="0.25">
      <c r="C17" s="20"/>
      <c r="E17" s="311"/>
      <c r="H17" s="3"/>
      <c r="I17" s="311"/>
      <c r="J17" s="63"/>
      <c r="L17" s="3"/>
      <c r="M17" s="311"/>
      <c r="P17" s="3"/>
      <c r="Q17" s="311"/>
      <c r="T17" s="44"/>
      <c r="U17" s="105"/>
      <c r="X17" s="44"/>
      <c r="Y17" s="105"/>
      <c r="AB17" s="44"/>
      <c r="AC17" s="105"/>
    </row>
    <row r="18" spans="1:29" x14ac:dyDescent="0.25">
      <c r="A18" s="145"/>
      <c r="D18" s="29" t="s">
        <v>176</v>
      </c>
      <c r="E18" s="305"/>
      <c r="F18" s="32"/>
      <c r="I18" s="305"/>
      <c r="J18" s="65"/>
      <c r="M18" s="305"/>
      <c r="Q18" s="305"/>
      <c r="U18" s="106"/>
      <c r="Y18" s="106"/>
      <c r="AC18" s="106"/>
    </row>
    <row r="19" spans="1:29" ht="17.25" x14ac:dyDescent="0.4">
      <c r="A19" s="146"/>
      <c r="D19" s="35" t="s">
        <v>48</v>
      </c>
      <c r="E19" s="306"/>
      <c r="F19" s="34"/>
      <c r="H19" s="14" t="s">
        <v>48</v>
      </c>
      <c r="I19" s="104">
        <v>0.02</v>
      </c>
      <c r="J19" s="29"/>
      <c r="L19" s="14" t="s">
        <v>48</v>
      </c>
      <c r="M19" s="104">
        <v>0.02</v>
      </c>
      <c r="P19" s="14" t="s">
        <v>48</v>
      </c>
      <c r="Q19" s="104">
        <v>0.02</v>
      </c>
      <c r="T19" s="14" t="s">
        <v>48</v>
      </c>
      <c r="U19" s="104">
        <v>0.02</v>
      </c>
      <c r="X19" s="14" t="s">
        <v>48</v>
      </c>
      <c r="Y19" s="104">
        <v>0.02</v>
      </c>
      <c r="AB19" s="14" t="s">
        <v>48</v>
      </c>
      <c r="AC19" s="104">
        <v>0.02</v>
      </c>
    </row>
    <row r="20" spans="1:29" s="13" customFormat="1" x14ac:dyDescent="0.25">
      <c r="A20" s="147"/>
      <c r="B20" s="21" t="s">
        <v>46</v>
      </c>
      <c r="C20" s="298"/>
      <c r="D20" s="10"/>
      <c r="E20" s="291"/>
      <c r="F20" s="10"/>
      <c r="G20" s="328"/>
      <c r="H20" s="10"/>
      <c r="I20" s="292"/>
      <c r="J20" s="57"/>
      <c r="K20" s="335"/>
      <c r="L20" s="10"/>
      <c r="M20" s="321"/>
      <c r="O20" s="335"/>
      <c r="P20" s="10"/>
      <c r="Q20" s="321"/>
      <c r="R20" s="111"/>
      <c r="T20" s="10"/>
      <c r="U20" s="74"/>
      <c r="X20" s="10"/>
      <c r="Y20" s="74"/>
      <c r="AB20" s="10"/>
      <c r="AC20" s="74"/>
    </row>
    <row r="21" spans="1:29" x14ac:dyDescent="0.25">
      <c r="A21" s="148"/>
      <c r="B21" s="12"/>
      <c r="D21" s="2">
        <v>0</v>
      </c>
      <c r="E21" s="290"/>
      <c r="F21" s="2"/>
      <c r="G21" s="83" t="str">
        <f t="shared" ref="G21:G30" si="1">IF(D21=0,"0.00%",(H21-D21)/D21)</f>
        <v>0.00%</v>
      </c>
      <c r="H21" s="2">
        <f t="shared" ref="H21:H27" si="2">ROUND(D21*(1+$I$19),0)</f>
        <v>0</v>
      </c>
      <c r="I21" s="338" t="str">
        <f t="shared" ref="I21:I28" si="3">TEXT($I$19,"0.0%")&amp;" = Est. S &amp; C"</f>
        <v>2.0% = Est. S &amp; C</v>
      </c>
      <c r="J21" s="66"/>
      <c r="K21" s="83" t="str">
        <f t="shared" ref="K21:K27" si="4">IF(H21=0,"0.00%",(L21-H21)/H21)</f>
        <v>0.00%</v>
      </c>
      <c r="L21" s="2">
        <f>ROUND(H21*(1+M19),0)</f>
        <v>0</v>
      </c>
      <c r="M21" s="293" t="str">
        <f>TEXT(M19,"0.0%")&amp;" = Est. S &amp; C"</f>
        <v>2.0% = Est. S &amp; C</v>
      </c>
      <c r="O21" s="83" t="str">
        <f t="shared" ref="O21:O27" si="5">IF(L21=0,"0.00%",(P21-L21)/L21)</f>
        <v>0.00%</v>
      </c>
      <c r="P21" s="2">
        <f>ROUND(L21*(1+Q19),0)</f>
        <v>0</v>
      </c>
      <c r="Q21" s="293" t="str">
        <f>TEXT(Q19,"0.0%")&amp;" = Est. S &amp; C"</f>
        <v>2.0% = Est. S &amp; C</v>
      </c>
      <c r="S21" s="83" t="str">
        <f t="shared" ref="S21:S27" si="6">IF(P21=0,"0.00%",(T21-P21)/P21)</f>
        <v>0.00%</v>
      </c>
      <c r="T21" s="2">
        <f>ROUND(P21*(1+U19),0)</f>
        <v>0</v>
      </c>
      <c r="U21" s="36" t="str">
        <f>TEXT(U19,"0.0%")&amp;" = Est. S &amp; C"</f>
        <v>2.0% = Est. S &amp; C</v>
      </c>
      <c r="W21" s="83" t="str">
        <f t="shared" ref="W21:W27" si="7">IF(T21=0,"0.00%",(X21-T21)/T21)</f>
        <v>0.00%</v>
      </c>
      <c r="X21" s="2">
        <f>ROUND(T21*(1+Y19),0)</f>
        <v>0</v>
      </c>
      <c r="Y21" s="36" t="str">
        <f>TEXT(Y19,"0.0%")&amp;" = Est. S &amp; C"</f>
        <v>2.0% = Est. S &amp; C</v>
      </c>
      <c r="AA21" s="83" t="str">
        <f t="shared" ref="AA21:AA27" si="8">IF(X21=0,"0.00%",(AB21-X21)/X21)</f>
        <v>0.00%</v>
      </c>
      <c r="AB21" s="2">
        <f>ROUND(X21*(1+AC19),0)</f>
        <v>0</v>
      </c>
      <c r="AC21" s="36" t="str">
        <f>TEXT(AC19,"0.0%")&amp;" = Est. S &amp; C"</f>
        <v>2.0% = Est. S &amp; C</v>
      </c>
    </row>
    <row r="22" spans="1:29" x14ac:dyDescent="0.25">
      <c r="A22" s="149"/>
      <c r="B22" s="12"/>
      <c r="D22" s="2">
        <v>0</v>
      </c>
      <c r="E22" s="290"/>
      <c r="F22" s="2"/>
      <c r="G22" s="83" t="str">
        <f t="shared" si="1"/>
        <v>0.00%</v>
      </c>
      <c r="H22" s="2">
        <f t="shared" si="2"/>
        <v>0</v>
      </c>
      <c r="I22" s="293" t="str">
        <f t="shared" si="3"/>
        <v>2.0% = Est. S &amp; C</v>
      </c>
      <c r="J22" s="66"/>
      <c r="K22" s="83" t="str">
        <f t="shared" si="4"/>
        <v>0.00%</v>
      </c>
      <c r="L22" s="2">
        <f>ROUND(H22*(1+M19),0)</f>
        <v>0</v>
      </c>
      <c r="M22" s="293" t="str">
        <f>TEXT(M19,"0.0%")&amp;" = Est. S &amp; C"</f>
        <v>2.0% = Est. S &amp; C</v>
      </c>
      <c r="O22" s="83" t="str">
        <f t="shared" si="5"/>
        <v>0.00%</v>
      </c>
      <c r="P22" s="2">
        <f>ROUND(L22*(1+Q19),0)</f>
        <v>0</v>
      </c>
      <c r="Q22" s="293" t="str">
        <f>TEXT(Q19,"0.0%")&amp;" = Est. S &amp; C"</f>
        <v>2.0% = Est. S &amp; C</v>
      </c>
      <c r="S22" s="83" t="str">
        <f t="shared" si="6"/>
        <v>0.00%</v>
      </c>
      <c r="T22" s="2">
        <f>ROUND(P22*(1+U19),0)</f>
        <v>0</v>
      </c>
      <c r="U22" s="36" t="str">
        <f>TEXT(U19,"0.0%")&amp;" = Est. S &amp; C"</f>
        <v>2.0% = Est. S &amp; C</v>
      </c>
      <c r="W22" s="83" t="str">
        <f t="shared" si="7"/>
        <v>0.00%</v>
      </c>
      <c r="X22" s="2">
        <f>ROUND(T22*(1+Y19),0)</f>
        <v>0</v>
      </c>
      <c r="Y22" s="36" t="str">
        <f>TEXT(Y19,"0.0%")&amp;" = Est. S &amp; C"</f>
        <v>2.0% = Est. S &amp; C</v>
      </c>
      <c r="AA22" s="83" t="str">
        <f t="shared" si="8"/>
        <v>0.00%</v>
      </c>
      <c r="AB22" s="2">
        <f>ROUND(X22*(1+AC19),0)</f>
        <v>0</v>
      </c>
      <c r="AC22" s="36" t="str">
        <f>TEXT(AC19,"0.0%")&amp;" = Est. S &amp; C"</f>
        <v>2.0% = Est. S &amp; C</v>
      </c>
    </row>
    <row r="23" spans="1:29" x14ac:dyDescent="0.25">
      <c r="A23" s="149"/>
      <c r="B23" s="12"/>
      <c r="D23" s="2">
        <v>0</v>
      </c>
      <c r="E23" s="290"/>
      <c r="F23" s="2"/>
      <c r="G23" s="83" t="str">
        <f t="shared" si="1"/>
        <v>0.00%</v>
      </c>
      <c r="H23" s="2">
        <f t="shared" si="2"/>
        <v>0</v>
      </c>
      <c r="I23" s="293" t="str">
        <f t="shared" si="3"/>
        <v>2.0% = Est. S &amp; C</v>
      </c>
      <c r="J23" s="66"/>
      <c r="K23" s="83" t="str">
        <f t="shared" si="4"/>
        <v>0.00%</v>
      </c>
      <c r="L23" s="2">
        <f>ROUND(H23*(1+M19),0)</f>
        <v>0</v>
      </c>
      <c r="M23" s="293" t="str">
        <f>TEXT(M19,"0.0%")&amp;" = Est. S &amp; C"</f>
        <v>2.0% = Est. S &amp; C</v>
      </c>
      <c r="O23" s="83" t="str">
        <f t="shared" si="5"/>
        <v>0.00%</v>
      </c>
      <c r="P23" s="2">
        <f>ROUND(L23*(1+Q19),0)</f>
        <v>0</v>
      </c>
      <c r="Q23" s="293" t="str">
        <f>TEXT(Q19,"0.0%")&amp;" = Est. S &amp; C"</f>
        <v>2.0% = Est. S &amp; C</v>
      </c>
      <c r="S23" s="83" t="str">
        <f t="shared" si="6"/>
        <v>0.00%</v>
      </c>
      <c r="T23" s="2">
        <f>ROUND(P23*(1+U19),0)</f>
        <v>0</v>
      </c>
      <c r="U23" s="36" t="str">
        <f>TEXT(U19,"0.0%")&amp;" = Est. S &amp; C"</f>
        <v>2.0% = Est. S &amp; C</v>
      </c>
      <c r="W23" s="83" t="str">
        <f t="shared" si="7"/>
        <v>0.00%</v>
      </c>
      <c r="X23" s="2">
        <f>ROUND(T23*(1+Y19),0)</f>
        <v>0</v>
      </c>
      <c r="Y23" s="36" t="str">
        <f>TEXT(Y19,"0.0%")&amp;" = Est. S &amp; C"</f>
        <v>2.0% = Est. S &amp; C</v>
      </c>
      <c r="AA23" s="83" t="str">
        <f t="shared" si="8"/>
        <v>0.00%</v>
      </c>
      <c r="AB23" s="2">
        <f>ROUND(X23*(1+AC19),0)</f>
        <v>0</v>
      </c>
      <c r="AC23" s="36" t="str">
        <f>TEXT(AC19,"0.0%")&amp;" = Est. S &amp; C"</f>
        <v>2.0% = Est. S &amp; C</v>
      </c>
    </row>
    <row r="24" spans="1:29" x14ac:dyDescent="0.25">
      <c r="A24" s="149"/>
      <c r="B24" s="12"/>
      <c r="D24" s="2">
        <v>0</v>
      </c>
      <c r="E24" s="290"/>
      <c r="F24" s="2"/>
      <c r="G24" s="83" t="str">
        <f t="shared" si="1"/>
        <v>0.00%</v>
      </c>
      <c r="H24" s="2">
        <f t="shared" si="2"/>
        <v>0</v>
      </c>
      <c r="I24" s="293" t="str">
        <f t="shared" si="3"/>
        <v>2.0% = Est. S &amp; C</v>
      </c>
      <c r="J24" s="66"/>
      <c r="K24" s="83" t="str">
        <f t="shared" si="4"/>
        <v>0.00%</v>
      </c>
      <c r="L24" s="2">
        <f>ROUND(H24*(1+M19),0)</f>
        <v>0</v>
      </c>
      <c r="M24" s="293" t="str">
        <f>TEXT(M19,"0.0%")&amp;" = Est. S &amp; C"</f>
        <v>2.0% = Est. S &amp; C</v>
      </c>
      <c r="O24" s="83" t="str">
        <f t="shared" si="5"/>
        <v>0.00%</v>
      </c>
      <c r="P24" s="2">
        <f>ROUND(L24*(1+Q19),0)</f>
        <v>0</v>
      </c>
      <c r="Q24" s="293" t="str">
        <f>TEXT(Q19,"0.0%")&amp;" = Est. S &amp; C"</f>
        <v>2.0% = Est. S &amp; C</v>
      </c>
      <c r="S24" s="83" t="str">
        <f t="shared" si="6"/>
        <v>0.00%</v>
      </c>
      <c r="T24" s="2">
        <f>ROUND(P24*(1+U19),0)</f>
        <v>0</v>
      </c>
      <c r="U24" s="36" t="str">
        <f>TEXT(U19,"0.0%")&amp;" = Est. S &amp; C"</f>
        <v>2.0% = Est. S &amp; C</v>
      </c>
      <c r="W24" s="83" t="str">
        <f t="shared" si="7"/>
        <v>0.00%</v>
      </c>
      <c r="X24" s="2">
        <f>ROUND(T24*(1+Y19),0)</f>
        <v>0</v>
      </c>
      <c r="Y24" s="36" t="str">
        <f>TEXT(Y19,"0.0%")&amp;" = Est. S &amp; C"</f>
        <v>2.0% = Est. S &amp; C</v>
      </c>
      <c r="AA24" s="83" t="str">
        <f t="shared" si="8"/>
        <v>0.00%</v>
      </c>
      <c r="AB24" s="2">
        <f>ROUND(X24*(1+AC19),0)</f>
        <v>0</v>
      </c>
      <c r="AC24" s="36" t="str">
        <f>TEXT(AC19,"0.0%")&amp;" = Est. S &amp; C"</f>
        <v>2.0% = Est. S &amp; C</v>
      </c>
    </row>
    <row r="25" spans="1:29" x14ac:dyDescent="0.25">
      <c r="A25" s="149"/>
      <c r="B25" s="12"/>
      <c r="D25" s="2">
        <v>0</v>
      </c>
      <c r="E25" s="290"/>
      <c r="F25" s="2"/>
      <c r="G25" s="83" t="str">
        <f t="shared" si="1"/>
        <v>0.00%</v>
      </c>
      <c r="H25" s="2">
        <f t="shared" si="2"/>
        <v>0</v>
      </c>
      <c r="I25" s="293" t="str">
        <f t="shared" si="3"/>
        <v>2.0% = Est. S &amp; C</v>
      </c>
      <c r="J25" s="66"/>
      <c r="K25" s="83" t="str">
        <f t="shared" si="4"/>
        <v>0.00%</v>
      </c>
      <c r="L25" s="2">
        <f>ROUND(H25*(1+M19),0)</f>
        <v>0</v>
      </c>
      <c r="M25" s="293" t="str">
        <f>TEXT(M19,"0.0%")&amp;" = Est. S &amp; C"</f>
        <v>2.0% = Est. S &amp; C</v>
      </c>
      <c r="O25" s="83" t="str">
        <f t="shared" si="5"/>
        <v>0.00%</v>
      </c>
      <c r="P25" s="2">
        <f>ROUND(L25*(1+Q19),0)</f>
        <v>0</v>
      </c>
      <c r="Q25" s="293" t="str">
        <f>TEXT(Q19,"0.0%")&amp;" = Est. S &amp; C"</f>
        <v>2.0% = Est. S &amp; C</v>
      </c>
      <c r="S25" s="83" t="str">
        <f t="shared" si="6"/>
        <v>0.00%</v>
      </c>
      <c r="T25" s="2">
        <f>ROUND(P25*(1+U19),0)</f>
        <v>0</v>
      </c>
      <c r="U25" s="36" t="str">
        <f>TEXT(U19,"0.0%")&amp;" = Est. S &amp; C"</f>
        <v>2.0% = Est. S &amp; C</v>
      </c>
      <c r="W25" s="83" t="str">
        <f t="shared" si="7"/>
        <v>0.00%</v>
      </c>
      <c r="X25" s="2">
        <f>ROUND(T25*(1+Y19),0)</f>
        <v>0</v>
      </c>
      <c r="Y25" s="36" t="str">
        <f>TEXT(Y19,"0.0%")&amp;" = Est. S &amp; C"</f>
        <v>2.0% = Est. S &amp; C</v>
      </c>
      <c r="AA25" s="83" t="str">
        <f t="shared" si="8"/>
        <v>0.00%</v>
      </c>
      <c r="AB25" s="2">
        <f>ROUND(X25*(1+AC19),0)</f>
        <v>0</v>
      </c>
      <c r="AC25" s="36" t="str">
        <f>TEXT(AC19,"0.0%")&amp;" = Est. S &amp; C"</f>
        <v>2.0% = Est. S &amp; C</v>
      </c>
    </row>
    <row r="26" spans="1:29" x14ac:dyDescent="0.25">
      <c r="A26" s="149"/>
      <c r="B26" s="12"/>
      <c r="D26" s="2">
        <v>0</v>
      </c>
      <c r="E26" s="290"/>
      <c r="F26" s="2"/>
      <c r="G26" s="83" t="str">
        <f t="shared" si="1"/>
        <v>0.00%</v>
      </c>
      <c r="H26" s="2">
        <f t="shared" si="2"/>
        <v>0</v>
      </c>
      <c r="I26" s="293" t="str">
        <f t="shared" si="3"/>
        <v>2.0% = Est. S &amp; C</v>
      </c>
      <c r="J26" s="66"/>
      <c r="K26" s="83" t="str">
        <f t="shared" si="4"/>
        <v>0.00%</v>
      </c>
      <c r="L26" s="2">
        <f>ROUND(H26*(1+M19),0)</f>
        <v>0</v>
      </c>
      <c r="M26" s="293" t="str">
        <f>TEXT(M19,"0.0%")&amp;" = Est. S &amp; C"</f>
        <v>2.0% = Est. S &amp; C</v>
      </c>
      <c r="O26" s="83" t="str">
        <f t="shared" si="5"/>
        <v>0.00%</v>
      </c>
      <c r="P26" s="2">
        <f>ROUND(L26*(1+Q19),0)</f>
        <v>0</v>
      </c>
      <c r="Q26" s="293" t="str">
        <f>TEXT(Q19,"0.0%")&amp;" = Est. S &amp; C"</f>
        <v>2.0% = Est. S &amp; C</v>
      </c>
      <c r="S26" s="83" t="str">
        <f t="shared" si="6"/>
        <v>0.00%</v>
      </c>
      <c r="T26" s="2">
        <f>ROUND(P26*(1+U19),0)</f>
        <v>0</v>
      </c>
      <c r="U26" s="36" t="str">
        <f>TEXT(U19,"0.0%")&amp;" = Est. S &amp; C"</f>
        <v>2.0% = Est. S &amp; C</v>
      </c>
      <c r="W26" s="83" t="str">
        <f t="shared" si="7"/>
        <v>0.00%</v>
      </c>
      <c r="X26" s="2">
        <f>ROUND(T26*(1+Y19),0)</f>
        <v>0</v>
      </c>
      <c r="Y26" s="36" t="str">
        <f>TEXT(Y19,"0.0%")&amp;" = Est. S &amp; C"</f>
        <v>2.0% = Est. S &amp; C</v>
      </c>
      <c r="AA26" s="83" t="str">
        <f t="shared" si="8"/>
        <v>0.00%</v>
      </c>
      <c r="AB26" s="2">
        <f>ROUND(X26*(1+AC19),0)</f>
        <v>0</v>
      </c>
      <c r="AC26" s="36" t="str">
        <f>TEXT(AC19,"0.0%")&amp;" = Est. S &amp; C"</f>
        <v>2.0% = Est. S &amp; C</v>
      </c>
    </row>
    <row r="27" spans="1:29" x14ac:dyDescent="0.25">
      <c r="A27" s="149"/>
      <c r="B27" s="12"/>
      <c r="D27" s="2">
        <v>0</v>
      </c>
      <c r="E27" s="290"/>
      <c r="F27" s="2"/>
      <c r="G27" s="83" t="str">
        <f t="shared" si="1"/>
        <v>0.00%</v>
      </c>
      <c r="H27" s="2">
        <f t="shared" si="2"/>
        <v>0</v>
      </c>
      <c r="I27" s="293" t="str">
        <f t="shared" si="3"/>
        <v>2.0% = Est. S &amp; C</v>
      </c>
      <c r="J27" s="66"/>
      <c r="K27" s="83" t="str">
        <f t="shared" si="4"/>
        <v>0.00%</v>
      </c>
      <c r="L27" s="2">
        <f>ROUND(H27*(1+M19),0)</f>
        <v>0</v>
      </c>
      <c r="M27" s="293" t="str">
        <f>TEXT(M19,"0.0%")&amp;" = Est. S &amp; C"</f>
        <v>2.0% = Est. S &amp; C</v>
      </c>
      <c r="O27" s="83" t="str">
        <f t="shared" si="5"/>
        <v>0.00%</v>
      </c>
      <c r="P27" s="2">
        <f>ROUND(L27*(1+Q19),0)</f>
        <v>0</v>
      </c>
      <c r="Q27" s="293" t="str">
        <f>TEXT(Q19,"0.0%")&amp;" = Est. S &amp; C"</f>
        <v>2.0% = Est. S &amp; C</v>
      </c>
      <c r="S27" s="83" t="str">
        <f t="shared" si="6"/>
        <v>0.00%</v>
      </c>
      <c r="T27" s="2">
        <f>ROUND(P27*(1+U19),0)</f>
        <v>0</v>
      </c>
      <c r="U27" s="36" t="str">
        <f>TEXT(U19,"0.0%")&amp;" = Est. S &amp; C"</f>
        <v>2.0% = Est. S &amp; C</v>
      </c>
      <c r="W27" s="83" t="str">
        <f t="shared" si="7"/>
        <v>0.00%</v>
      </c>
      <c r="X27" s="2">
        <f>ROUND(T27*(1+Y19),0)</f>
        <v>0</v>
      </c>
      <c r="Y27" s="36" t="str">
        <f>TEXT(Y19,"0.0%")&amp;" = Est. S &amp; C"</f>
        <v>2.0% = Est. S &amp; C</v>
      </c>
      <c r="AA27" s="83" t="str">
        <f t="shared" si="8"/>
        <v>0.00%</v>
      </c>
      <c r="AB27" s="2">
        <f>ROUND(X27*(1+AC19),0)</f>
        <v>0</v>
      </c>
      <c r="AC27" s="36" t="str">
        <f>TEXT(AC19,"0.0%")&amp;" = Est. S &amp; C"</f>
        <v>2.0% = Est. S &amp; C</v>
      </c>
    </row>
    <row r="28" spans="1:29" x14ac:dyDescent="0.25">
      <c r="A28" s="149"/>
      <c r="B28" s="12"/>
      <c r="D28" s="2">
        <v>0</v>
      </c>
      <c r="E28" s="290"/>
      <c r="F28" s="2"/>
      <c r="G28" s="83" t="str">
        <f>IF(D28=0,"0.00%",(H28-D28)/D28)</f>
        <v>0.00%</v>
      </c>
      <c r="H28" s="2">
        <f>ROUND(D28*(1+$I$19),0)</f>
        <v>0</v>
      </c>
      <c r="I28" s="293" t="str">
        <f t="shared" si="3"/>
        <v>2.0% = Est. S &amp; C</v>
      </c>
      <c r="J28" s="66"/>
      <c r="K28" s="83" t="str">
        <f>IF(H28=0,"0.00%",(L28-H28)/H28)</f>
        <v>0.00%</v>
      </c>
      <c r="L28" s="2">
        <f>ROUND(H28*(1+M20),0)</f>
        <v>0</v>
      </c>
      <c r="M28" s="293" t="str">
        <f>TEXT(M20,"0.0%")&amp;" = Est. S &amp; C"</f>
        <v>0.0% = Est. S &amp; C</v>
      </c>
      <c r="O28" s="83" t="str">
        <f>IF(L28=0,"0.00%",(P28-L28)/L28)</f>
        <v>0.00%</v>
      </c>
      <c r="P28" s="2">
        <f>ROUND(L28*(1+Q20),0)</f>
        <v>0</v>
      </c>
      <c r="Q28" s="293" t="str">
        <f>TEXT(Q20,"0.0%")&amp;" = Est. S &amp; C"</f>
        <v>0.0% = Est. S &amp; C</v>
      </c>
      <c r="S28" s="83" t="str">
        <f>IF(P28=0,"0.00%",(T28-P28)/P28)</f>
        <v>0.00%</v>
      </c>
      <c r="T28" s="2">
        <f>ROUND(P28*(1+U20),0)</f>
        <v>0</v>
      </c>
      <c r="U28" s="36" t="str">
        <f>TEXT(U20,"0.0%")&amp;" = Est. S &amp; C"</f>
        <v>0.0% = Est. S &amp; C</v>
      </c>
      <c r="W28" s="83" t="str">
        <f>IF(T28=0,"0.00%",(X28-T28)/T28)</f>
        <v>0.00%</v>
      </c>
      <c r="X28" s="2">
        <f>ROUND(T28*(1+Y20),0)</f>
        <v>0</v>
      </c>
      <c r="Y28" s="36" t="str">
        <f>TEXT(Y20,"0.0%")&amp;" = Est. S &amp; C"</f>
        <v>0.0% = Est. S &amp; C</v>
      </c>
      <c r="AA28" s="83" t="str">
        <f>IF(X28=0,"0.00%",(AB28-X28)/X28)</f>
        <v>0.00%</v>
      </c>
      <c r="AB28" s="2">
        <f>ROUND(X28*(1+AC20),0)</f>
        <v>0</v>
      </c>
      <c r="AC28" s="36" t="str">
        <f>TEXT(AC20,"0.0%")&amp;" = Est. S &amp; C"</f>
        <v>0.0% = Est. S &amp; C</v>
      </c>
    </row>
    <row r="29" spans="1:29" ht="6" customHeight="1" x14ac:dyDescent="0.25">
      <c r="A29" s="149"/>
      <c r="B29" s="12"/>
      <c r="E29" s="290"/>
      <c r="F29" s="2"/>
      <c r="G29" s="83"/>
      <c r="H29" s="2"/>
      <c r="I29" s="293"/>
      <c r="J29" s="66"/>
      <c r="L29" s="2"/>
      <c r="M29" s="322"/>
      <c r="Q29" s="322"/>
      <c r="T29" s="2"/>
      <c r="U29" s="73"/>
      <c r="X29" s="2"/>
      <c r="Y29" s="73"/>
      <c r="AB29" s="2"/>
      <c r="AC29" s="73"/>
    </row>
    <row r="30" spans="1:29" x14ac:dyDescent="0.25">
      <c r="A30" s="150"/>
      <c r="B30" s="12"/>
      <c r="D30" s="8">
        <f>SUM(D21:D29)</f>
        <v>0</v>
      </c>
      <c r="E30" s="290"/>
      <c r="F30" s="2"/>
      <c r="G30" s="83" t="str">
        <f t="shared" si="1"/>
        <v>0.00%</v>
      </c>
      <c r="H30" s="8">
        <f>SUM(H21:H29)</f>
        <v>0</v>
      </c>
      <c r="I30" s="315"/>
      <c r="J30" s="29"/>
      <c r="K30" s="83" t="str">
        <f>IF(H30=0,"0.00%",(L30-H30)/H30)</f>
        <v>0.00%</v>
      </c>
      <c r="L30" s="8">
        <f>SUM(L21:L29)</f>
        <v>0</v>
      </c>
      <c r="M30" s="322"/>
      <c r="O30" s="83" t="str">
        <f>IF(L30=0,"0.00%",(P30-L30)/L30)</f>
        <v>0.00%</v>
      </c>
      <c r="P30" s="8">
        <f>SUM(P21:P29)</f>
        <v>0</v>
      </c>
      <c r="Q30" s="322"/>
      <c r="S30" s="83" t="str">
        <f>IF(P30=0,"0.00%",(T30-P30)/P30)</f>
        <v>0.00%</v>
      </c>
      <c r="T30" s="8">
        <f>SUM(T21:T29)</f>
        <v>0</v>
      </c>
      <c r="U30" s="73"/>
      <c r="W30" s="83" t="str">
        <f>IF(T30=0,"0.00%",(X30-T30)/T30)</f>
        <v>0.00%</v>
      </c>
      <c r="X30" s="8">
        <f>SUM(X21:X29)</f>
        <v>0</v>
      </c>
      <c r="Y30" s="73"/>
      <c r="AA30" s="83" t="str">
        <f>IF(X30=0,"0.00%",(AB30-X30)/X30)</f>
        <v>0.00%</v>
      </c>
      <c r="AB30" s="8">
        <f>SUM(AB21:AB29)</f>
        <v>0</v>
      </c>
      <c r="AC30" s="73"/>
    </row>
    <row r="31" spans="1:29" x14ac:dyDescent="0.25">
      <c r="A31" s="149"/>
      <c r="E31" s="290"/>
      <c r="F31" s="2"/>
      <c r="H31" s="2"/>
      <c r="I31" s="81"/>
      <c r="J31" s="66"/>
      <c r="L31" s="2"/>
      <c r="M31" s="324"/>
      <c r="Q31" s="324"/>
      <c r="T31" s="2"/>
      <c r="U31" s="73"/>
      <c r="X31" s="2"/>
      <c r="Y31" s="73"/>
      <c r="AB31" s="2"/>
      <c r="AC31" s="73"/>
    </row>
    <row r="32" spans="1:29" s="4" customFormat="1" x14ac:dyDescent="0.25">
      <c r="A32" s="147"/>
      <c r="B32" s="22" t="s">
        <v>35</v>
      </c>
      <c r="C32" s="299"/>
      <c r="D32" s="6"/>
      <c r="E32" s="292"/>
      <c r="F32" s="6"/>
      <c r="G32" s="329"/>
      <c r="H32" s="6"/>
      <c r="I32" s="292"/>
      <c r="J32" s="57"/>
      <c r="K32" s="336"/>
      <c r="L32" s="6"/>
      <c r="M32" s="323"/>
      <c r="O32" s="336"/>
      <c r="P32" s="6"/>
      <c r="Q32" s="323"/>
      <c r="R32" s="111"/>
      <c r="T32" s="6"/>
      <c r="U32" s="71"/>
      <c r="X32" s="6"/>
      <c r="Y32" s="71"/>
      <c r="AB32" s="6"/>
      <c r="AC32" s="71"/>
    </row>
    <row r="33" spans="1:29" x14ac:dyDescent="0.25">
      <c r="A33" s="149"/>
      <c r="B33" s="12"/>
      <c r="D33" s="2">
        <v>0</v>
      </c>
      <c r="E33" s="290"/>
      <c r="F33" s="2"/>
      <c r="G33" s="83" t="str">
        <f t="shared" ref="G33:G39" si="9">IF(D33=0,"0.00%",(H33-D33)/D33)</f>
        <v>0.00%</v>
      </c>
      <c r="H33" s="2">
        <f t="shared" ref="H33:H39" si="10">ROUND(D33*(1+$I$19),0)</f>
        <v>0</v>
      </c>
      <c r="I33" s="293" t="str">
        <f t="shared" ref="I33:I39" si="11">TEXT($I$19,"0.0%")&amp;" = Est. S &amp; C"</f>
        <v>2.0% = Est. S &amp; C</v>
      </c>
      <c r="J33" s="66"/>
      <c r="K33" s="83" t="str">
        <f t="shared" ref="K33:K39" si="12">IF(H33=0,"0.00%",(L33-H33)/H33)</f>
        <v>0.00%</v>
      </c>
      <c r="L33" s="2">
        <f>ROUND(H33*(1+M19),0)</f>
        <v>0</v>
      </c>
      <c r="M33" s="293" t="str">
        <f>TEXT(M19,"0.0%")&amp;" = Est. S &amp; C"</f>
        <v>2.0% = Est. S &amp; C</v>
      </c>
      <c r="O33" s="83" t="str">
        <f t="shared" ref="O33:O39" si="13">IF(L33=0,"0.00%",(P33-L33)/L33)</f>
        <v>0.00%</v>
      </c>
      <c r="P33" s="2">
        <f>ROUND(L33*(1+Q19),0)</f>
        <v>0</v>
      </c>
      <c r="Q33" s="293" t="str">
        <f>TEXT(Q19,"0.0%")&amp;" = Est. S &amp; C"</f>
        <v>2.0% = Est. S &amp; C</v>
      </c>
      <c r="S33" s="83" t="str">
        <f t="shared" ref="S33:S39" si="14">IF(P33=0,"0.00%",(T33-P33)/P33)</f>
        <v>0.00%</v>
      </c>
      <c r="T33" s="2">
        <f>ROUND(P33*(1+U19),0)</f>
        <v>0</v>
      </c>
      <c r="U33" s="36" t="str">
        <f>TEXT(U19,"0.0%")&amp;" = Est. S &amp; C"</f>
        <v>2.0% = Est. S &amp; C</v>
      </c>
      <c r="W33" s="83" t="str">
        <f t="shared" ref="W33:W39" si="15">IF(T33=0,"0.00%",(X33-T33)/T33)</f>
        <v>0.00%</v>
      </c>
      <c r="X33" s="2">
        <f>ROUND(T33*(1+Y19),0)</f>
        <v>0</v>
      </c>
      <c r="Y33" s="36" t="str">
        <f>TEXT(Y19,"0.0%")&amp;" = Est. S &amp; C"</f>
        <v>2.0% = Est. S &amp; C</v>
      </c>
      <c r="AA33" s="83" t="str">
        <f t="shared" ref="AA33:AA39" si="16">IF(X33=0,"0.00%",(AB33-X33)/X33)</f>
        <v>0.00%</v>
      </c>
      <c r="AB33" s="2">
        <f>ROUND(X33*(1+AC19),0)</f>
        <v>0</v>
      </c>
      <c r="AC33" s="36" t="str">
        <f>TEXT(AC19,"0.0%")&amp;" = Est. S &amp; C"</f>
        <v>2.0% = Est. S &amp; C</v>
      </c>
    </row>
    <row r="34" spans="1:29" x14ac:dyDescent="0.25">
      <c r="A34" s="149"/>
      <c r="B34" s="12"/>
      <c r="D34" s="2">
        <v>0</v>
      </c>
      <c r="E34" s="290"/>
      <c r="F34" s="2"/>
      <c r="G34" s="83" t="str">
        <f t="shared" si="9"/>
        <v>0.00%</v>
      </c>
      <c r="H34" s="2">
        <f t="shared" si="10"/>
        <v>0</v>
      </c>
      <c r="I34" s="293" t="str">
        <f t="shared" si="11"/>
        <v>2.0% = Est. S &amp; C</v>
      </c>
      <c r="J34" s="66"/>
      <c r="K34" s="83" t="str">
        <f t="shared" si="12"/>
        <v>0.00%</v>
      </c>
      <c r="L34" s="2">
        <f>ROUND(H34*(1+M19),0)</f>
        <v>0</v>
      </c>
      <c r="M34" s="293" t="str">
        <f>TEXT(M19,"0.0%")&amp;" = Est. S &amp; C"</f>
        <v>2.0% = Est. S &amp; C</v>
      </c>
      <c r="O34" s="83" t="str">
        <f t="shared" si="13"/>
        <v>0.00%</v>
      </c>
      <c r="P34" s="2">
        <f>ROUND(L34*(1+Q19),0)</f>
        <v>0</v>
      </c>
      <c r="Q34" s="293" t="str">
        <f>TEXT(Q19,"0.0%")&amp;" = Est. S &amp; C"</f>
        <v>2.0% = Est. S &amp; C</v>
      </c>
      <c r="S34" s="83" t="str">
        <f t="shared" si="14"/>
        <v>0.00%</v>
      </c>
      <c r="T34" s="2">
        <f>ROUND(P34*(1+U19),0)</f>
        <v>0</v>
      </c>
      <c r="U34" s="36" t="str">
        <f>TEXT(U19,"0.0%")&amp;" = Est. S &amp; C"</f>
        <v>2.0% = Est. S &amp; C</v>
      </c>
      <c r="W34" s="83" t="str">
        <f t="shared" si="15"/>
        <v>0.00%</v>
      </c>
      <c r="X34" s="2">
        <f>ROUND(T34*(1+Y19),0)</f>
        <v>0</v>
      </c>
      <c r="Y34" s="36" t="str">
        <f>TEXT(Y19,"0.0%")&amp;" = Est. S &amp; C"</f>
        <v>2.0% = Est. S &amp; C</v>
      </c>
      <c r="AA34" s="83" t="str">
        <f t="shared" si="16"/>
        <v>0.00%</v>
      </c>
      <c r="AB34" s="2">
        <f>ROUND(X34*(1+AC19),0)</f>
        <v>0</v>
      </c>
      <c r="AC34" s="36" t="str">
        <f>TEXT(AC19,"0.0%")&amp;" = Est. S &amp; C"</f>
        <v>2.0% = Est. S &amp; C</v>
      </c>
    </row>
    <row r="35" spans="1:29" x14ac:dyDescent="0.25">
      <c r="A35" s="149"/>
      <c r="B35" s="12"/>
      <c r="D35" s="2">
        <v>0</v>
      </c>
      <c r="E35" s="290"/>
      <c r="F35" s="2"/>
      <c r="G35" s="83" t="str">
        <f t="shared" si="9"/>
        <v>0.00%</v>
      </c>
      <c r="H35" s="2">
        <f t="shared" si="10"/>
        <v>0</v>
      </c>
      <c r="I35" s="293" t="str">
        <f t="shared" si="11"/>
        <v>2.0% = Est. S &amp; C</v>
      </c>
      <c r="J35" s="66"/>
      <c r="K35" s="83" t="str">
        <f t="shared" si="12"/>
        <v>0.00%</v>
      </c>
      <c r="L35" s="2">
        <f>ROUND(H35*(1+M19),0)</f>
        <v>0</v>
      </c>
      <c r="M35" s="293" t="str">
        <f>TEXT(M19,"0.0%")&amp;" = Est. S &amp; C"</f>
        <v>2.0% = Est. S &amp; C</v>
      </c>
      <c r="O35" s="83" t="str">
        <f t="shared" si="13"/>
        <v>0.00%</v>
      </c>
      <c r="P35" s="2">
        <f>ROUND(L35*(1+Q19),0)</f>
        <v>0</v>
      </c>
      <c r="Q35" s="293" t="str">
        <f>TEXT(Q19,"0.0%")&amp;" = Est. S &amp; C"</f>
        <v>2.0% = Est. S &amp; C</v>
      </c>
      <c r="S35" s="83" t="str">
        <f t="shared" si="14"/>
        <v>0.00%</v>
      </c>
      <c r="T35" s="2">
        <f>ROUND(P35*(1+U19),0)</f>
        <v>0</v>
      </c>
      <c r="U35" s="36" t="str">
        <f>TEXT(U19,"0.0%")&amp;" = Est. S &amp; C"</f>
        <v>2.0% = Est. S &amp; C</v>
      </c>
      <c r="W35" s="83" t="str">
        <f t="shared" si="15"/>
        <v>0.00%</v>
      </c>
      <c r="X35" s="2">
        <f>ROUND(T35*(1+Y19),0)</f>
        <v>0</v>
      </c>
      <c r="Y35" s="36" t="str">
        <f>TEXT(Y19,"0.0%")&amp;" = Est. S &amp; C"</f>
        <v>2.0% = Est. S &amp; C</v>
      </c>
      <c r="AA35" s="83" t="str">
        <f t="shared" si="16"/>
        <v>0.00%</v>
      </c>
      <c r="AB35" s="2">
        <f>ROUND(X35*(1+AC19),0)</f>
        <v>0</v>
      </c>
      <c r="AC35" s="36" t="str">
        <f>TEXT(AC19,"0.0%")&amp;" = Est. S &amp; C"</f>
        <v>2.0% = Est. S &amp; C</v>
      </c>
    </row>
    <row r="36" spans="1:29" x14ac:dyDescent="0.25">
      <c r="A36" s="149"/>
      <c r="B36" s="12"/>
      <c r="D36" s="2">
        <v>0</v>
      </c>
      <c r="E36" s="290"/>
      <c r="F36" s="2"/>
      <c r="G36" s="83" t="str">
        <f t="shared" si="9"/>
        <v>0.00%</v>
      </c>
      <c r="H36" s="2">
        <f t="shared" si="10"/>
        <v>0</v>
      </c>
      <c r="I36" s="293" t="str">
        <f t="shared" si="11"/>
        <v>2.0% = Est. S &amp; C</v>
      </c>
      <c r="J36" s="66"/>
      <c r="K36" s="83" t="str">
        <f t="shared" si="12"/>
        <v>0.00%</v>
      </c>
      <c r="L36" s="2">
        <f>ROUND(H36*(1+M19),0)</f>
        <v>0</v>
      </c>
      <c r="M36" s="293" t="str">
        <f>TEXT(M19,"0.0%")&amp;" = Est. S &amp; C"</f>
        <v>2.0% = Est. S &amp; C</v>
      </c>
      <c r="O36" s="83" t="str">
        <f t="shared" si="13"/>
        <v>0.00%</v>
      </c>
      <c r="P36" s="2">
        <f>ROUND(L36*(1+Q19),0)</f>
        <v>0</v>
      </c>
      <c r="Q36" s="293" t="str">
        <f>TEXT(Q19,"0.0%")&amp;" = Est. S &amp; C"</f>
        <v>2.0% = Est. S &amp; C</v>
      </c>
      <c r="S36" s="83" t="str">
        <f t="shared" si="14"/>
        <v>0.00%</v>
      </c>
      <c r="T36" s="2">
        <f>ROUND(P36*(1+U19),0)</f>
        <v>0</v>
      </c>
      <c r="U36" s="36" t="str">
        <f>TEXT(U19,"0.0%")&amp;" = Est. S &amp; C"</f>
        <v>2.0% = Est. S &amp; C</v>
      </c>
      <c r="W36" s="83" t="str">
        <f t="shared" si="15"/>
        <v>0.00%</v>
      </c>
      <c r="X36" s="2">
        <f>ROUND(T36*(1+Y19),0)</f>
        <v>0</v>
      </c>
      <c r="Y36" s="36" t="str">
        <f>TEXT(Y19,"0.0%")&amp;" = Est. S &amp; C"</f>
        <v>2.0% = Est. S &amp; C</v>
      </c>
      <c r="AA36" s="83" t="str">
        <f t="shared" si="16"/>
        <v>0.00%</v>
      </c>
      <c r="AB36" s="2">
        <f>ROUND(X36*(1+AC19),0)</f>
        <v>0</v>
      </c>
      <c r="AC36" s="36" t="str">
        <f>TEXT(AC19,"0.0%")&amp;" = Est. S &amp; C"</f>
        <v>2.0% = Est. S &amp; C</v>
      </c>
    </row>
    <row r="37" spans="1:29" x14ac:dyDescent="0.25">
      <c r="A37" s="149"/>
      <c r="B37" s="12"/>
      <c r="D37" s="2">
        <v>0</v>
      </c>
      <c r="E37" s="290"/>
      <c r="F37" s="2"/>
      <c r="G37" s="83" t="str">
        <f t="shared" si="9"/>
        <v>0.00%</v>
      </c>
      <c r="H37" s="2">
        <f t="shared" si="10"/>
        <v>0</v>
      </c>
      <c r="I37" s="293" t="str">
        <f t="shared" si="11"/>
        <v>2.0% = Est. S &amp; C</v>
      </c>
      <c r="J37" s="66"/>
      <c r="K37" s="83" t="str">
        <f t="shared" si="12"/>
        <v>0.00%</v>
      </c>
      <c r="L37" s="2">
        <f>ROUND(H37*(1+M19),0)</f>
        <v>0</v>
      </c>
      <c r="M37" s="293" t="str">
        <f>TEXT(M19,"0.0%")&amp;" = Est. S &amp; C"</f>
        <v>2.0% = Est. S &amp; C</v>
      </c>
      <c r="O37" s="83" t="str">
        <f t="shared" si="13"/>
        <v>0.00%</v>
      </c>
      <c r="P37" s="2">
        <f>ROUND(L37*(1+Q19),0)</f>
        <v>0</v>
      </c>
      <c r="Q37" s="293" t="str">
        <f>TEXT(Q19,"0.0%")&amp;" = Est. S &amp; C"</f>
        <v>2.0% = Est. S &amp; C</v>
      </c>
      <c r="S37" s="83" t="str">
        <f t="shared" si="14"/>
        <v>0.00%</v>
      </c>
      <c r="T37" s="2">
        <f>ROUND(P37*(1+U19),0)</f>
        <v>0</v>
      </c>
      <c r="U37" s="36" t="str">
        <f>TEXT(U19,"0.0%")&amp;" = Est. S &amp; C"</f>
        <v>2.0% = Est. S &amp; C</v>
      </c>
      <c r="W37" s="83" t="str">
        <f t="shared" si="15"/>
        <v>0.00%</v>
      </c>
      <c r="X37" s="2">
        <f>ROUND(T37*(1+Y19),0)</f>
        <v>0</v>
      </c>
      <c r="Y37" s="36" t="str">
        <f>TEXT(Y19,"0.0%")&amp;" = Est. S &amp; C"</f>
        <v>2.0% = Est. S &amp; C</v>
      </c>
      <c r="AA37" s="83" t="str">
        <f t="shared" si="16"/>
        <v>0.00%</v>
      </c>
      <c r="AB37" s="2">
        <f>ROUND(X37*(1+AC19),0)</f>
        <v>0</v>
      </c>
      <c r="AC37" s="36" t="str">
        <f>TEXT(AC19,"0.0%")&amp;" = Est. S &amp; C"</f>
        <v>2.0% = Est. S &amp; C</v>
      </c>
    </row>
    <row r="38" spans="1:29" x14ac:dyDescent="0.25">
      <c r="A38" s="149"/>
      <c r="B38" s="12"/>
      <c r="D38" s="2">
        <v>0</v>
      </c>
      <c r="E38" s="290"/>
      <c r="F38" s="2"/>
      <c r="G38" s="83" t="str">
        <f t="shared" si="9"/>
        <v>0.00%</v>
      </c>
      <c r="H38" s="2">
        <f t="shared" si="10"/>
        <v>0</v>
      </c>
      <c r="I38" s="293" t="str">
        <f t="shared" si="11"/>
        <v>2.0% = Est. S &amp; C</v>
      </c>
      <c r="J38" s="66"/>
      <c r="K38" s="83" t="str">
        <f t="shared" si="12"/>
        <v>0.00%</v>
      </c>
      <c r="L38" s="2">
        <f>ROUND(H38*(1+M19),0)</f>
        <v>0</v>
      </c>
      <c r="M38" s="293" t="str">
        <f>TEXT(M19,"0.0%")&amp;" = Est. S &amp; C"</f>
        <v>2.0% = Est. S &amp; C</v>
      </c>
      <c r="O38" s="83" t="str">
        <f t="shared" si="13"/>
        <v>0.00%</v>
      </c>
      <c r="P38" s="2">
        <f>ROUND(L38*(1+Q19),0)</f>
        <v>0</v>
      </c>
      <c r="Q38" s="293" t="str">
        <f>TEXT(Q19,"0.0%")&amp;" = Est. S &amp; C"</f>
        <v>2.0% = Est. S &amp; C</v>
      </c>
      <c r="S38" s="83" t="str">
        <f t="shared" si="14"/>
        <v>0.00%</v>
      </c>
      <c r="T38" s="2">
        <f>ROUND(P38*(1+U19),0)</f>
        <v>0</v>
      </c>
      <c r="U38" s="36" t="str">
        <f>TEXT(U19,"0.0%")&amp;" = Est. S &amp; C"</f>
        <v>2.0% = Est. S &amp; C</v>
      </c>
      <c r="W38" s="83" t="str">
        <f t="shared" si="15"/>
        <v>0.00%</v>
      </c>
      <c r="X38" s="2">
        <f>ROUND(T38*(1+Y19),0)</f>
        <v>0</v>
      </c>
      <c r="Y38" s="36" t="str">
        <f>TEXT(Y19,"0.0%")&amp;" = Est. S &amp; C"</f>
        <v>2.0% = Est. S &amp; C</v>
      </c>
      <c r="AA38" s="83" t="str">
        <f t="shared" si="16"/>
        <v>0.00%</v>
      </c>
      <c r="AB38" s="2">
        <f>ROUND(X38*(1+AC19),0)</f>
        <v>0</v>
      </c>
      <c r="AC38" s="36" t="str">
        <f>TEXT(AC19,"0.0%")&amp;" = Est. S &amp; C"</f>
        <v>2.0% = Est. S &amp; C</v>
      </c>
    </row>
    <row r="39" spans="1:29" x14ac:dyDescent="0.25">
      <c r="A39" s="149"/>
      <c r="B39" s="12"/>
      <c r="D39" s="2">
        <v>0</v>
      </c>
      <c r="E39" s="290"/>
      <c r="F39" s="2"/>
      <c r="G39" s="83" t="str">
        <f t="shared" si="9"/>
        <v>0.00%</v>
      </c>
      <c r="H39" s="2">
        <f t="shared" si="10"/>
        <v>0</v>
      </c>
      <c r="I39" s="293" t="str">
        <f t="shared" si="11"/>
        <v>2.0% = Est. S &amp; C</v>
      </c>
      <c r="J39" s="66"/>
      <c r="K39" s="83" t="str">
        <f t="shared" si="12"/>
        <v>0.00%</v>
      </c>
      <c r="L39" s="2">
        <f>ROUND(H39*(1+M19),0)</f>
        <v>0</v>
      </c>
      <c r="M39" s="293" t="str">
        <f>TEXT(M19,"0.0%")&amp;" = Est. S &amp; C"</f>
        <v>2.0% = Est. S &amp; C</v>
      </c>
      <c r="O39" s="83" t="str">
        <f t="shared" si="13"/>
        <v>0.00%</v>
      </c>
      <c r="P39" s="2">
        <f>ROUND(L39*(1+Q19),0)</f>
        <v>0</v>
      </c>
      <c r="Q39" s="293" t="str">
        <f>TEXT(Q19,"0.0%")&amp;" = Est. S &amp; C"</f>
        <v>2.0% = Est. S &amp; C</v>
      </c>
      <c r="S39" s="83" t="str">
        <f t="shared" si="14"/>
        <v>0.00%</v>
      </c>
      <c r="T39" s="2">
        <f>ROUND(P39*(1+U19),0)</f>
        <v>0</v>
      </c>
      <c r="U39" s="36" t="str">
        <f>TEXT(U19,"0.0%")&amp;" = Est. S &amp; C"</f>
        <v>2.0% = Est. S &amp; C</v>
      </c>
      <c r="W39" s="83" t="str">
        <f t="shared" si="15"/>
        <v>0.00%</v>
      </c>
      <c r="X39" s="2">
        <f>ROUND(T39*(1+Y19),0)</f>
        <v>0</v>
      </c>
      <c r="Y39" s="36" t="str">
        <f>TEXT(Y19,"0.0%")&amp;" = Est. S &amp; C"</f>
        <v>2.0% = Est. S &amp; C</v>
      </c>
      <c r="AA39" s="83" t="str">
        <f t="shared" si="16"/>
        <v>0.00%</v>
      </c>
      <c r="AB39" s="2">
        <f>ROUND(X39*(1+AC19),0)</f>
        <v>0</v>
      </c>
      <c r="AC39" s="36" t="str">
        <f>TEXT(AC19,"0.0%")&amp;" = Est. S &amp; C"</f>
        <v>2.0% = Est. S &amp; C</v>
      </c>
    </row>
    <row r="40" spans="1:29" ht="6" customHeight="1" x14ac:dyDescent="0.25">
      <c r="A40" s="149"/>
      <c r="B40" s="12"/>
      <c r="E40" s="290"/>
      <c r="F40" s="2"/>
      <c r="H40" s="2"/>
      <c r="I40" s="293"/>
      <c r="J40" s="66"/>
      <c r="L40" s="2"/>
      <c r="M40" s="322"/>
      <c r="Q40" s="322"/>
      <c r="T40" s="2"/>
      <c r="U40" s="73"/>
      <c r="X40" s="2"/>
      <c r="Y40" s="73"/>
      <c r="AB40" s="2"/>
      <c r="AC40" s="73"/>
    </row>
    <row r="41" spans="1:29" x14ac:dyDescent="0.25">
      <c r="A41" s="150"/>
      <c r="B41" s="12"/>
      <c r="D41" s="8">
        <f>SUM(D33:D40)</f>
        <v>0</v>
      </c>
      <c r="E41" s="290"/>
      <c r="F41" s="2"/>
      <c r="G41" s="83" t="str">
        <f>IF(D41=0,"0.00%",(H41-D41)/D41)</f>
        <v>0.00%</v>
      </c>
      <c r="H41" s="8">
        <f>SUM(H33:H40)</f>
        <v>0</v>
      </c>
      <c r="I41" s="315"/>
      <c r="J41" s="29"/>
      <c r="K41" s="83" t="str">
        <f>IF(H41=0,"0.00%",(L41-H41)/H41)</f>
        <v>0.00%</v>
      </c>
      <c r="L41" s="8">
        <f>SUM(L33:L40)</f>
        <v>0</v>
      </c>
      <c r="M41" s="322"/>
      <c r="O41" s="83" t="str">
        <f>IF(L41=0,"0.00%",(P41-L41)/L41)</f>
        <v>0.00%</v>
      </c>
      <c r="P41" s="8">
        <f>SUM(P33:P40)</f>
        <v>0</v>
      </c>
      <c r="Q41" s="322"/>
      <c r="S41" s="83" t="str">
        <f>IF(P41=0,"0.00%",(T41-P41)/P41)</f>
        <v>0.00%</v>
      </c>
      <c r="T41" s="8">
        <f>SUM(T33:T40)</f>
        <v>0</v>
      </c>
      <c r="U41" s="73"/>
      <c r="W41" s="83" t="str">
        <f>IF(T41=0,"0.00%",(X41-T41)/T41)</f>
        <v>0.00%</v>
      </c>
      <c r="X41" s="8">
        <f>SUM(X33:X40)</f>
        <v>0</v>
      </c>
      <c r="Y41" s="73"/>
      <c r="AA41" s="83" t="str">
        <f>IF(X41=0,"0.00%",(AB41-X41)/X41)</f>
        <v>0.00%</v>
      </c>
      <c r="AB41" s="8">
        <f>SUM(AB33:AB40)</f>
        <v>0</v>
      </c>
      <c r="AC41" s="73"/>
    </row>
    <row r="42" spans="1:29" x14ac:dyDescent="0.25">
      <c r="A42" s="149"/>
      <c r="B42" s="20" t="s">
        <v>28</v>
      </c>
      <c r="E42" s="290"/>
      <c r="F42" s="2"/>
      <c r="H42" s="2"/>
      <c r="I42" s="293"/>
      <c r="J42" s="66"/>
      <c r="L42" s="2"/>
      <c r="M42" s="322"/>
      <c r="Q42" s="322"/>
      <c r="T42" s="2"/>
      <c r="U42" s="73"/>
      <c r="X42" s="2"/>
      <c r="Y42" s="73"/>
      <c r="AB42" s="2"/>
      <c r="AC42" s="73"/>
    </row>
    <row r="43" spans="1:29" x14ac:dyDescent="0.25">
      <c r="A43" s="151"/>
      <c r="B43" s="21" t="s">
        <v>27</v>
      </c>
      <c r="E43" s="290"/>
      <c r="F43" s="2"/>
      <c r="H43" s="2"/>
      <c r="I43" s="293"/>
      <c r="J43" s="66"/>
      <c r="L43" s="2"/>
      <c r="M43" s="322"/>
      <c r="Q43" s="322"/>
      <c r="T43" s="2"/>
      <c r="U43" s="73"/>
      <c r="X43" s="2"/>
      <c r="Y43" s="73"/>
      <c r="AB43" s="2"/>
      <c r="AC43" s="73"/>
    </row>
    <row r="44" spans="1:29" x14ac:dyDescent="0.25">
      <c r="A44" s="149"/>
      <c r="B44" s="12" t="s">
        <v>83</v>
      </c>
      <c r="C44" s="296" t="s">
        <v>76</v>
      </c>
      <c r="D44" s="2">
        <v>0</v>
      </c>
      <c r="E44" s="312" t="str">
        <f>TEXT('MYP Assumptions'!$D$57,"0.00%")&amp;", STRS rate"</f>
        <v>12.58%, STRS rate</v>
      </c>
      <c r="F44" s="2"/>
      <c r="G44" s="83" t="str">
        <f t="shared" ref="G44:G53" si="17">IF(D44=0,"0.00%",(H44-D44)/D44)</f>
        <v>0.00%</v>
      </c>
      <c r="H44" s="2">
        <f>ROUND(H30*LEFT(I44,6),0)</f>
        <v>0</v>
      </c>
      <c r="I44" s="312" t="str">
        <f>TEXT('MYP Assumptions'!E57,"0.00%")&amp;", projected STRS rate"</f>
        <v>14.43%, projected STRS rate</v>
      </c>
      <c r="J44" s="66"/>
      <c r="K44" s="83" t="str">
        <f t="shared" ref="K44:K53" si="18">IF(H44=0,"0.00%",(L44-H44)/H44)</f>
        <v>0.00%</v>
      </c>
      <c r="L44" s="2">
        <f>ROUND(L30*LEFT(M44,6),0)</f>
        <v>0</v>
      </c>
      <c r="M44" s="312" t="str">
        <f>TEXT('MYP Assumptions'!F57,"0.00%")&amp;", projected STRS rate"</f>
        <v>16.28%, projected STRS rate</v>
      </c>
      <c r="O44" s="83" t="str">
        <f t="shared" ref="O44:O53" si="19">IF(L44=0,"0.00%",(P44-L44)/L44)</f>
        <v>0.00%</v>
      </c>
      <c r="P44" s="2">
        <f>ROUND(P30*LEFT(Q44,6),0)</f>
        <v>0</v>
      </c>
      <c r="Q44" s="312" t="str">
        <f>TEXT('MYP Assumptions'!G57,"0.00%")&amp;", projected STRS rate"</f>
        <v>18.13%, projected STRS rate</v>
      </c>
      <c r="S44" s="83" t="str">
        <f t="shared" ref="S44:S53" si="20">IF(P44=0,"0.00%",(T44-P44)/P44)</f>
        <v>0.00%</v>
      </c>
      <c r="T44" s="2">
        <f>ROUND(T30*LEFT(U44,6),0)</f>
        <v>0</v>
      </c>
      <c r="U44" s="81" t="str">
        <f>TEXT('MYP Assumptions'!H57,"0.00%")&amp;", projected STRS rate"</f>
        <v>19.10%, projected STRS rate</v>
      </c>
      <c r="W44" s="83" t="str">
        <f t="shared" ref="W44:W53" si="21">IF(T44=0,"0.00%",(X44-T44)/T44)</f>
        <v>0.00%</v>
      </c>
      <c r="X44" s="2">
        <f>ROUND(X30*LEFT(Y44,6),0)</f>
        <v>0</v>
      </c>
      <c r="Y44" s="81" t="str">
        <f>TEXT('MYP Assumptions'!I57,"0.00%")&amp;", projected STRS rate"</f>
        <v>19.10%, projected STRS rate</v>
      </c>
      <c r="AA44" s="83" t="str">
        <f t="shared" ref="AA44:AA53" si="22">IF(X44=0,"0.00%",(AB44-X44)/X44)</f>
        <v>0.00%</v>
      </c>
      <c r="AB44" s="2" t="e">
        <f>ROUND(AB30*LEFT(AC44,6),0)</f>
        <v>#VALUE!</v>
      </c>
      <c r="AC44" s="81" t="str">
        <f>TEXT('MYP Assumptions'!J57,"0.00%")&amp;", projected STRS rate"</f>
        <v>0.00%, projected STRS rate</v>
      </c>
    </row>
    <row r="45" spans="1:29" x14ac:dyDescent="0.25">
      <c r="A45" s="149"/>
      <c r="B45" s="12" t="s">
        <v>84</v>
      </c>
      <c r="C45" s="296" t="s">
        <v>77</v>
      </c>
      <c r="D45" s="2">
        <v>0</v>
      </c>
      <c r="E45" s="312" t="str">
        <f>TEXT('MYP Assumptions'!$D$58,"0.00%")&amp;", PERS rate"</f>
        <v>13.89%, PERS rate</v>
      </c>
      <c r="F45" s="2"/>
      <c r="G45" s="83" t="str">
        <f t="shared" si="17"/>
        <v>0.00%</v>
      </c>
      <c r="H45" s="2">
        <f>ROUND(H41*LEFT(I45,6),0)</f>
        <v>0</v>
      </c>
      <c r="I45" s="312" t="str">
        <f>TEXT('MYP Assumptions'!E58,"0.00%")&amp;", projected PERS rate"</f>
        <v>15.53%, projected PERS rate</v>
      </c>
      <c r="J45" s="66"/>
      <c r="K45" s="83" t="str">
        <f t="shared" si="18"/>
        <v>0.00%</v>
      </c>
      <c r="L45" s="2">
        <f>ROUND(L41*LEFT(M45,6),0)</f>
        <v>0</v>
      </c>
      <c r="M45" s="312" t="str">
        <f>TEXT('MYP Assumptions'!F58,"0.00%")&amp;", projected PERS rate"</f>
        <v>18.06%, projected PERS rate</v>
      </c>
      <c r="O45" s="83" t="str">
        <f t="shared" si="19"/>
        <v>0.00%</v>
      </c>
      <c r="P45" s="2">
        <f>ROUND(P41*LEFT(Q45,6),0)</f>
        <v>0</v>
      </c>
      <c r="Q45" s="312" t="str">
        <f>TEXT('MYP Assumptions'!G58,"0.00%")&amp;", projected PERS rate"</f>
        <v>20.80%, projected PERS rate</v>
      </c>
      <c r="S45" s="83" t="str">
        <f t="shared" si="20"/>
        <v>0.00%</v>
      </c>
      <c r="T45" s="2">
        <f>ROUND(T41*LEFT(U45,6),0)</f>
        <v>0</v>
      </c>
      <c r="U45" s="81" t="str">
        <f>TEXT('MYP Assumptions'!H58,"0.00%")&amp;", projected PERS rate"</f>
        <v>23.50%, projected PERS rate</v>
      </c>
      <c r="W45" s="83" t="str">
        <f t="shared" si="21"/>
        <v>0.00%</v>
      </c>
      <c r="X45" s="2">
        <f>ROUND(X41*LEFT(Y45,6),0)</f>
        <v>0</v>
      </c>
      <c r="Y45" s="81" t="str">
        <f>TEXT('MYP Assumptions'!I58,"0.00%")&amp;", projected PERS rate"</f>
        <v>24.60%, projected PERS rate</v>
      </c>
      <c r="AA45" s="83" t="str">
        <f t="shared" si="22"/>
        <v>0.00%</v>
      </c>
      <c r="AB45" s="2" t="e">
        <f>ROUND(AB41*LEFT(AC45,6),0)</f>
        <v>#VALUE!</v>
      </c>
      <c r="AC45" s="81" t="str">
        <f>TEXT('MYP Assumptions'!J58,"0.00%")&amp;", projected PERS rate"</f>
        <v>0.00%, projected PERS rate</v>
      </c>
    </row>
    <row r="46" spans="1:29" x14ac:dyDescent="0.25">
      <c r="A46" s="149"/>
      <c r="B46" s="12" t="s">
        <v>85</v>
      </c>
      <c r="C46" s="296" t="s">
        <v>78</v>
      </c>
      <c r="D46" s="2">
        <v>0</v>
      </c>
      <c r="E46" s="312" t="str">
        <f>TEXT('MYP Assumptions'!$D$60,"0.00%")&amp;", SS rate"</f>
        <v>6.20%, SS rate</v>
      </c>
      <c r="F46" s="2"/>
      <c r="G46" s="83" t="str">
        <f t="shared" si="17"/>
        <v>0.00%</v>
      </c>
      <c r="H46" s="2">
        <f>ROUND(H41*LEFT(I46,5),0)</f>
        <v>0</v>
      </c>
      <c r="I46" s="312" t="str">
        <f>TEXT('MYP Assumptions'!E60,"0.00%")&amp;", no rate change"</f>
        <v>6.20%, no rate change</v>
      </c>
      <c r="J46" s="66"/>
      <c r="K46" s="83" t="str">
        <f t="shared" si="18"/>
        <v>0.00%</v>
      </c>
      <c r="L46" s="2">
        <f>ROUND(L41*LEFT(M46,5),0)</f>
        <v>0</v>
      </c>
      <c r="M46" s="312" t="str">
        <f>TEXT('MYP Assumptions'!F60,"0.00%")&amp;", no rate change"</f>
        <v>6.20%, no rate change</v>
      </c>
      <c r="O46" s="83" t="str">
        <f t="shared" si="19"/>
        <v>0.00%</v>
      </c>
      <c r="P46" s="2">
        <f>ROUND(P41*LEFT(Q46,5),0)</f>
        <v>0</v>
      </c>
      <c r="Q46" s="312" t="str">
        <f>TEXT('MYP Assumptions'!G60,"0.00%")&amp;", no rate change"</f>
        <v>6.20%, no rate change</v>
      </c>
      <c r="S46" s="83" t="str">
        <f t="shared" si="20"/>
        <v>0.00%</v>
      </c>
      <c r="T46" s="2">
        <f>ROUND(T41*LEFT(U46,5),0)</f>
        <v>0</v>
      </c>
      <c r="U46" s="81" t="str">
        <f>TEXT('MYP Assumptions'!H60,"0.00%")&amp;", no rate change"</f>
        <v>6.20%, no rate change</v>
      </c>
      <c r="W46" s="83" t="str">
        <f t="shared" si="21"/>
        <v>0.00%</v>
      </c>
      <c r="X46" s="2">
        <f>ROUND(X41*LEFT(Y46,5),0)</f>
        <v>0</v>
      </c>
      <c r="Y46" s="81" t="str">
        <f>TEXT('MYP Assumptions'!I60,"0.00%")&amp;", no rate change"</f>
        <v>6.20%, no rate change</v>
      </c>
      <c r="AA46" s="83" t="str">
        <f t="shared" si="22"/>
        <v>0.00%</v>
      </c>
      <c r="AB46" s="2">
        <f>ROUND(AB41*LEFT(AC46,5),0)</f>
        <v>0</v>
      </c>
      <c r="AC46" s="81" t="str">
        <f>TEXT('MYP Assumptions'!J60,"0.00%")&amp;", no rate change"</f>
        <v>0.00%, no rate change</v>
      </c>
    </row>
    <row r="47" spans="1:29" x14ac:dyDescent="0.25">
      <c r="A47" s="149"/>
      <c r="B47" s="12" t="s">
        <v>86</v>
      </c>
      <c r="C47" s="296" t="s">
        <v>79</v>
      </c>
      <c r="D47" s="2">
        <v>0</v>
      </c>
      <c r="E47" s="312" t="str">
        <f>TEXT('MYP Assumptions'!$D$61,"0.00%")&amp;", Medicare rate"</f>
        <v>1.45%, Medicare rate</v>
      </c>
      <c r="F47" s="2"/>
      <c r="G47" s="83" t="str">
        <f t="shared" si="17"/>
        <v>0.00%</v>
      </c>
      <c r="H47" s="2">
        <f>ROUND((H41+H30)*LEFT(I47,5),0)</f>
        <v>0</v>
      </c>
      <c r="I47" s="312" t="str">
        <f>TEXT('MYP Assumptions'!E61,"0.00%")&amp;", no rate change"</f>
        <v>1.45%, no rate change</v>
      </c>
      <c r="J47" s="66"/>
      <c r="K47" s="83" t="str">
        <f t="shared" si="18"/>
        <v>0.00%</v>
      </c>
      <c r="L47" s="2">
        <f>ROUND((L41+L30)*LEFT(M47,5),0)</f>
        <v>0</v>
      </c>
      <c r="M47" s="312" t="str">
        <f>TEXT('MYP Assumptions'!F61,"0.00%")&amp;", no rate change"</f>
        <v>1.45%, no rate change</v>
      </c>
      <c r="O47" s="83" t="str">
        <f t="shared" si="19"/>
        <v>0.00%</v>
      </c>
      <c r="P47" s="2">
        <f>ROUND((P41+P30)*LEFT(Q47,5),0)</f>
        <v>0</v>
      </c>
      <c r="Q47" s="312" t="str">
        <f>TEXT('MYP Assumptions'!G61,"0.00%")&amp;", no rate change"</f>
        <v>1.45%, no rate change</v>
      </c>
      <c r="S47" s="83" t="str">
        <f t="shared" si="20"/>
        <v>0.00%</v>
      </c>
      <c r="T47" s="2">
        <f>ROUND((T41+T30)*LEFT(U47,5),0)</f>
        <v>0</v>
      </c>
      <c r="U47" s="81" t="str">
        <f>TEXT('MYP Assumptions'!H61,"0.00%")&amp;", no rate change"</f>
        <v>1.45%, no rate change</v>
      </c>
      <c r="W47" s="83" t="str">
        <f t="shared" si="21"/>
        <v>0.00%</v>
      </c>
      <c r="X47" s="2">
        <f>ROUND((X41+X30)*LEFT(Y47,5),0)</f>
        <v>0</v>
      </c>
      <c r="Y47" s="81" t="str">
        <f>TEXT('MYP Assumptions'!I61,"0.00%")&amp;", no rate change"</f>
        <v>1.45%, no rate change</v>
      </c>
      <c r="AA47" s="83" t="str">
        <f t="shared" si="22"/>
        <v>0.00%</v>
      </c>
      <c r="AB47" s="2">
        <f>ROUND((AB41+AB30)*LEFT(AC47,5),0)</f>
        <v>0</v>
      </c>
      <c r="AC47" s="81" t="str">
        <f>TEXT('MYP Assumptions'!J61,"0.00%")&amp;", no rate change"</f>
        <v>0.00%, no rate change</v>
      </c>
    </row>
    <row r="48" spans="1:29" x14ac:dyDescent="0.25">
      <c r="A48" s="149"/>
      <c r="B48" s="12" t="s">
        <v>87</v>
      </c>
      <c r="C48" s="296" t="s">
        <v>80</v>
      </c>
      <c r="D48" s="2">
        <v>0</v>
      </c>
      <c r="E48" s="312"/>
      <c r="F48" s="2"/>
      <c r="G48" s="83" t="str">
        <f t="shared" si="17"/>
        <v>0.00%</v>
      </c>
      <c r="H48" s="2">
        <f>ROUND((D48)*(LEFT(I48,5)+1),0)</f>
        <v>0</v>
      </c>
      <c r="I48" s="312" t="str">
        <f>TEXT('MYP Assumptions'!$I$68,"0.00%")&amp;", projected increase"</f>
        <v>5.00%, projected increase</v>
      </c>
      <c r="J48" s="66"/>
      <c r="K48" s="83" t="str">
        <f t="shared" si="18"/>
        <v>0.00%</v>
      </c>
      <c r="L48" s="2">
        <f>ROUND((H48)*(LEFT(M48,5)+1),0)</f>
        <v>0</v>
      </c>
      <c r="M48" s="312" t="str">
        <f>TEXT('MYP Assumptions'!$I$68,"0.00%")&amp;", projected increase"</f>
        <v>5.00%, projected increase</v>
      </c>
      <c r="O48" s="83" t="str">
        <f t="shared" si="19"/>
        <v>0.00%</v>
      </c>
      <c r="P48" s="2">
        <f>ROUND((L48)*(LEFT(Q48,5)+1),0)</f>
        <v>0</v>
      </c>
      <c r="Q48" s="312" t="str">
        <f>TEXT('MYP Assumptions'!$I$68,"0.00%")&amp;", projected increase"</f>
        <v>5.00%, projected increase</v>
      </c>
      <c r="S48" s="83" t="str">
        <f t="shared" si="20"/>
        <v>0.00%</v>
      </c>
      <c r="T48" s="2">
        <f>ROUND((P48)*(LEFT(U48,5)+1),0)</f>
        <v>0</v>
      </c>
      <c r="U48" s="81" t="str">
        <f>TEXT('MYP Assumptions'!$I$68,"0.00%")&amp;", projected increase"</f>
        <v>5.00%, projected increase</v>
      </c>
      <c r="W48" s="83" t="str">
        <f t="shared" si="21"/>
        <v>0.00%</v>
      </c>
      <c r="X48" s="2">
        <f>ROUND((T48)*(LEFT(Y48,5)+1),0)</f>
        <v>0</v>
      </c>
      <c r="Y48" s="81" t="str">
        <f>TEXT('MYP Assumptions'!$I$68,"0.00%")&amp;", projected increase"</f>
        <v>5.00%, projected increase</v>
      </c>
      <c r="AA48" s="83" t="str">
        <f t="shared" si="22"/>
        <v>0.00%</v>
      </c>
      <c r="AB48" s="2">
        <f>ROUND((X48)*(LEFT(AC48,5)+1),0)</f>
        <v>0</v>
      </c>
      <c r="AC48" s="81" t="str">
        <f>TEXT('MYP Assumptions'!$I$68,"0.00%")&amp;", projected increase"</f>
        <v>5.00%, projected increase</v>
      </c>
    </row>
    <row r="49" spans="1:29" x14ac:dyDescent="0.25">
      <c r="A49" s="149"/>
      <c r="B49" s="12" t="s">
        <v>88</v>
      </c>
      <c r="C49" s="296" t="s">
        <v>81</v>
      </c>
      <c r="D49" s="2">
        <v>0</v>
      </c>
      <c r="E49" s="312" t="str">
        <f>TEXT('MYP Assumptions'!$D$62,"0.00%")&amp;", SUI rate"</f>
        <v>0.05%, SUI rate</v>
      </c>
      <c r="F49" s="2"/>
      <c r="G49" s="83" t="str">
        <f t="shared" si="17"/>
        <v>0.00%</v>
      </c>
      <c r="H49" s="2">
        <f>ROUND((H41+H30)*LEFT(I49,5),0)</f>
        <v>0</v>
      </c>
      <c r="I49" s="312" t="str">
        <f>TEXT('MYP Assumptions'!E62,"0.00%")&amp;", no rate change"</f>
        <v>0.05%, no rate change</v>
      </c>
      <c r="J49" s="66"/>
      <c r="K49" s="83" t="str">
        <f t="shared" si="18"/>
        <v>0.00%</v>
      </c>
      <c r="L49" s="2">
        <f>ROUND((L41+L30)*LEFT(M49,5),0)</f>
        <v>0</v>
      </c>
      <c r="M49" s="312" t="str">
        <f>TEXT('MYP Assumptions'!F62,"0.00%")&amp;", no rate change"</f>
        <v>0.05%, no rate change</v>
      </c>
      <c r="O49" s="83" t="str">
        <f t="shared" si="19"/>
        <v>0.00%</v>
      </c>
      <c r="P49" s="2">
        <f>ROUND((P41+P30)*LEFT(Q49,5),0)</f>
        <v>0</v>
      </c>
      <c r="Q49" s="312" t="str">
        <f>TEXT('MYP Assumptions'!G62,"0.00%")&amp;", no rate change"</f>
        <v>0.05%, no rate change</v>
      </c>
      <c r="S49" s="83" t="str">
        <f t="shared" si="20"/>
        <v>0.00%</v>
      </c>
      <c r="T49" s="2">
        <f>ROUND((T41+T30)*LEFT(U49,5),0)</f>
        <v>0</v>
      </c>
      <c r="U49" s="81" t="str">
        <f>TEXT('MYP Assumptions'!H62,"0.00%")&amp;", no rate change"</f>
        <v>0.05%, no rate change</v>
      </c>
      <c r="W49" s="83" t="str">
        <f t="shared" si="21"/>
        <v>0.00%</v>
      </c>
      <c r="X49" s="2">
        <f>ROUND((X41+X30)*LEFT(Y49,5),0)</f>
        <v>0</v>
      </c>
      <c r="Y49" s="81" t="str">
        <f>TEXT('MYP Assumptions'!I62,"0.00%")&amp;", no rate change"</f>
        <v>0.05%, no rate change</v>
      </c>
      <c r="AA49" s="83" t="str">
        <f t="shared" si="22"/>
        <v>0.00%</v>
      </c>
      <c r="AB49" s="2">
        <f>ROUND((AB41+AB30)*LEFT(AC49,5),0)</f>
        <v>0</v>
      </c>
      <c r="AC49" s="81" t="str">
        <f>TEXT('MYP Assumptions'!J62,"0.00%")&amp;", no rate change"</f>
        <v>0.00%, no rate change</v>
      </c>
    </row>
    <row r="50" spans="1:29" x14ac:dyDescent="0.25">
      <c r="A50" s="149"/>
      <c r="B50" s="12" t="s">
        <v>89</v>
      </c>
      <c r="C50" s="296" t="s">
        <v>82</v>
      </c>
      <c r="D50" s="2">
        <v>0</v>
      </c>
      <c r="E50" s="312" t="str">
        <f>TEXT('MYP Assumptions'!$D$63,"0.00%")&amp;", W/C rate"</f>
        <v>1.10%, W/C rate</v>
      </c>
      <c r="F50" s="2"/>
      <c r="G50" s="83" t="str">
        <f t="shared" si="17"/>
        <v>0.00%</v>
      </c>
      <c r="H50" s="2">
        <f>ROUND((H41+H30)*LEFT(I50,5),0)</f>
        <v>0</v>
      </c>
      <c r="I50" s="312" t="str">
        <f>TEXT('MYP Assumptions'!E63,"0.00%")&amp;", no rate change"</f>
        <v>0.80%, no rate change</v>
      </c>
      <c r="J50" s="66"/>
      <c r="K50" s="83" t="str">
        <f t="shared" si="18"/>
        <v>0.00%</v>
      </c>
      <c r="L50" s="2">
        <f>ROUND((L41+L30)*LEFT(M50,5),0)</f>
        <v>0</v>
      </c>
      <c r="M50" s="312" t="str">
        <f>TEXT('MYP Assumptions'!F63,"0.00%")&amp;", no rate change"</f>
        <v>0.80%, no rate change</v>
      </c>
      <c r="O50" s="83" t="str">
        <f t="shared" si="19"/>
        <v>0.00%</v>
      </c>
      <c r="P50" s="2">
        <f>ROUND((P41+P30)*LEFT(Q50,5),0)</f>
        <v>0</v>
      </c>
      <c r="Q50" s="312" t="str">
        <f>TEXT('MYP Assumptions'!G63,"0.00%")&amp;", no rate change"</f>
        <v>0.80%, no rate change</v>
      </c>
      <c r="S50" s="83" t="str">
        <f t="shared" si="20"/>
        <v>0.00%</v>
      </c>
      <c r="T50" s="2">
        <f>ROUND((T41+T30)*LEFT(U50,5),0)</f>
        <v>0</v>
      </c>
      <c r="U50" s="81" t="str">
        <f>TEXT('MYP Assumptions'!H63,"0.00%")&amp;", no rate change"</f>
        <v>0.80%, no rate change</v>
      </c>
      <c r="W50" s="83" t="str">
        <f t="shared" si="21"/>
        <v>0.00%</v>
      </c>
      <c r="X50" s="2">
        <f>ROUND((X41+X30)*LEFT(Y50,5),0)</f>
        <v>0</v>
      </c>
      <c r="Y50" s="81" t="str">
        <f>TEXT('MYP Assumptions'!I63,"0.00%")&amp;", no rate change"</f>
        <v>0.80%, no rate change</v>
      </c>
      <c r="AA50" s="83" t="str">
        <f t="shared" si="22"/>
        <v>0.00%</v>
      </c>
      <c r="AB50" s="2">
        <f>ROUND((AB41+AB30)*LEFT(AC50,5),0)</f>
        <v>0</v>
      </c>
      <c r="AC50" s="81" t="str">
        <f>TEXT('MYP Assumptions'!J63,"0.00%")&amp;", no rate change"</f>
        <v>0.00%, no rate change</v>
      </c>
    </row>
    <row r="51" spans="1:29" x14ac:dyDescent="0.25">
      <c r="A51" s="149"/>
      <c r="B51" s="12" t="s">
        <v>90</v>
      </c>
      <c r="C51" s="296" t="s">
        <v>92</v>
      </c>
      <c r="D51" s="2">
        <v>0</v>
      </c>
      <c r="E51" s="290"/>
      <c r="F51" s="2"/>
      <c r="G51" s="83" t="str">
        <f t="shared" si="17"/>
        <v>0.00%</v>
      </c>
      <c r="H51" s="2">
        <f>D51</f>
        <v>0</v>
      </c>
      <c r="I51" s="312" t="s">
        <v>165</v>
      </c>
      <c r="J51" s="66"/>
      <c r="K51" s="83" t="str">
        <f t="shared" si="18"/>
        <v>0.00%</v>
      </c>
      <c r="L51" s="2">
        <f>H51</f>
        <v>0</v>
      </c>
      <c r="M51" s="312" t="s">
        <v>165</v>
      </c>
      <c r="O51" s="83" t="str">
        <f t="shared" si="19"/>
        <v>0.00%</v>
      </c>
      <c r="P51" s="2">
        <f>L51</f>
        <v>0</v>
      </c>
      <c r="Q51" s="312" t="s">
        <v>165</v>
      </c>
      <c r="S51" s="83" t="str">
        <f t="shared" si="20"/>
        <v>0.00%</v>
      </c>
      <c r="T51" s="2">
        <f>P51</f>
        <v>0</v>
      </c>
      <c r="U51" s="81" t="s">
        <v>165</v>
      </c>
      <c r="W51" s="83" t="str">
        <f t="shared" si="21"/>
        <v>0.00%</v>
      </c>
      <c r="X51" s="2">
        <f>T51</f>
        <v>0</v>
      </c>
      <c r="Y51" s="81" t="s">
        <v>165</v>
      </c>
      <c r="AA51" s="83" t="str">
        <f t="shared" si="22"/>
        <v>0.00%</v>
      </c>
      <c r="AB51" s="2">
        <f>X51</f>
        <v>0</v>
      </c>
      <c r="AC51" s="81" t="s">
        <v>165</v>
      </c>
    </row>
    <row r="52" spans="1:29" x14ac:dyDescent="0.25">
      <c r="A52" s="149"/>
      <c r="B52" s="12" t="s">
        <v>91</v>
      </c>
      <c r="C52" s="296" t="s">
        <v>93</v>
      </c>
      <c r="D52" s="2">
        <v>0</v>
      </c>
      <c r="E52" s="290"/>
      <c r="F52" s="2"/>
      <c r="G52" s="83" t="str">
        <f t="shared" si="17"/>
        <v>0.00%</v>
      </c>
      <c r="H52" s="2">
        <f>D52</f>
        <v>0</v>
      </c>
      <c r="I52" s="312" t="s">
        <v>165</v>
      </c>
      <c r="J52" s="66"/>
      <c r="K52" s="83" t="str">
        <f t="shared" si="18"/>
        <v>0.00%</v>
      </c>
      <c r="L52" s="2">
        <f>H52</f>
        <v>0</v>
      </c>
      <c r="M52" s="312" t="s">
        <v>165</v>
      </c>
      <c r="O52" s="83" t="str">
        <f t="shared" si="19"/>
        <v>0.00%</v>
      </c>
      <c r="P52" s="2">
        <f>L52</f>
        <v>0</v>
      </c>
      <c r="Q52" s="312" t="s">
        <v>165</v>
      </c>
      <c r="S52" s="83" t="str">
        <f t="shared" si="20"/>
        <v>0.00%</v>
      </c>
      <c r="T52" s="2">
        <f>P52</f>
        <v>0</v>
      </c>
      <c r="U52" s="81" t="s">
        <v>165</v>
      </c>
      <c r="W52" s="83" t="str">
        <f t="shared" si="21"/>
        <v>0.00%</v>
      </c>
      <c r="X52" s="2">
        <f>T52</f>
        <v>0</v>
      </c>
      <c r="Y52" s="81" t="s">
        <v>165</v>
      </c>
      <c r="AA52" s="83" t="str">
        <f t="shared" si="22"/>
        <v>0.00%</v>
      </c>
      <c r="AB52" s="2">
        <f>X52</f>
        <v>0</v>
      </c>
      <c r="AC52" s="81" t="s">
        <v>165</v>
      </c>
    </row>
    <row r="53" spans="1:29" x14ac:dyDescent="0.25">
      <c r="A53" s="150"/>
      <c r="B53" s="12"/>
      <c r="D53" s="8">
        <f>SUM(D44:D52)</f>
        <v>0</v>
      </c>
      <c r="E53" s="290"/>
      <c r="F53" s="2"/>
      <c r="G53" s="83" t="str">
        <f t="shared" si="17"/>
        <v>0.00%</v>
      </c>
      <c r="H53" s="8">
        <f>SUM(H44:H52)</f>
        <v>0</v>
      </c>
      <c r="I53" s="315"/>
      <c r="J53" s="29"/>
      <c r="K53" s="83" t="str">
        <f t="shared" si="18"/>
        <v>0.00%</v>
      </c>
      <c r="L53" s="8">
        <f>SUM(L44:L52)</f>
        <v>0</v>
      </c>
      <c r="M53" s="322"/>
      <c r="O53" s="83" t="str">
        <f t="shared" si="19"/>
        <v>0.00%</v>
      </c>
      <c r="P53" s="8">
        <f>SUM(P44:P52)</f>
        <v>0</v>
      </c>
      <c r="Q53" s="322"/>
      <c r="S53" s="83" t="str">
        <f t="shared" si="20"/>
        <v>0.00%</v>
      </c>
      <c r="T53" s="8">
        <f>SUM(T44:T52)</f>
        <v>0</v>
      </c>
      <c r="U53" s="73"/>
      <c r="W53" s="83" t="str">
        <f t="shared" si="21"/>
        <v>0.00%</v>
      </c>
      <c r="X53" s="8">
        <f>SUM(X44:X52)</f>
        <v>0</v>
      </c>
      <c r="Y53" s="73"/>
      <c r="AA53" s="83" t="str">
        <f t="shared" si="22"/>
        <v>0.00%</v>
      </c>
      <c r="AB53" s="8" t="e">
        <f>SUM(AB44:AB52)</f>
        <v>#VALUE!</v>
      </c>
      <c r="AC53" s="73"/>
    </row>
    <row r="54" spans="1:29" x14ac:dyDescent="0.25">
      <c r="A54" s="151"/>
      <c r="B54" s="12"/>
      <c r="E54" s="290"/>
      <c r="F54" s="2"/>
      <c r="H54" s="2"/>
      <c r="I54" s="293"/>
      <c r="J54" s="66"/>
      <c r="L54" s="2"/>
      <c r="M54" s="322"/>
      <c r="Q54" s="322"/>
      <c r="T54" s="2"/>
      <c r="U54" s="73"/>
      <c r="X54" s="2"/>
      <c r="Y54" s="73"/>
      <c r="AB54" s="2"/>
      <c r="AC54" s="73"/>
    </row>
    <row r="55" spans="1:29" x14ac:dyDescent="0.25">
      <c r="A55" s="150"/>
      <c r="B55" s="21" t="s">
        <v>26</v>
      </c>
      <c r="D55" s="8">
        <f>SUM(D53,D41,D30)</f>
        <v>0</v>
      </c>
      <c r="E55" s="290"/>
      <c r="F55" s="2"/>
      <c r="G55" s="83" t="str">
        <f>IF(D55=0,"0.00%",(H55-D55)/D55)</f>
        <v>0.00%</v>
      </c>
      <c r="H55" s="8">
        <f>SUM(H53,H41,H30)</f>
        <v>0</v>
      </c>
      <c r="I55" s="315"/>
      <c r="J55" s="29"/>
      <c r="K55" s="83" t="str">
        <f>IF(H55=0,"0.00%",(L55-H55)/H55)</f>
        <v>0.00%</v>
      </c>
      <c r="L55" s="8">
        <f>SUM(L53,L41,L30)</f>
        <v>0</v>
      </c>
      <c r="M55" s="322"/>
      <c r="O55" s="83" t="str">
        <f>IF(L55=0,"0.00%",(P55-L55)/L55)</f>
        <v>0.00%</v>
      </c>
      <c r="P55" s="8">
        <f>SUM(P53,P41,P30)</f>
        <v>0</v>
      </c>
      <c r="Q55" s="322"/>
      <c r="S55" s="83" t="str">
        <f>IF(P55=0,"0.00%",(T55-P55)/P55)</f>
        <v>0.00%</v>
      </c>
      <c r="T55" s="8">
        <f>SUM(T53,T41,T30)</f>
        <v>0</v>
      </c>
      <c r="U55" s="73"/>
      <c r="W55" s="83" t="str">
        <f>IF(T55=0,"0.00%",(X55-T55)/T55)</f>
        <v>0.00%</v>
      </c>
      <c r="X55" s="8">
        <f>SUM(X53,X41,X30)</f>
        <v>0</v>
      </c>
      <c r="Y55" s="73"/>
      <c r="AA55" s="83" t="str">
        <f>IF(X55=0,"0.00%",(AB55-X55)/X55)</f>
        <v>0.00%</v>
      </c>
      <c r="AB55" s="8" t="e">
        <f>SUM(AB53,AB41,AB30)</f>
        <v>#VALUE!</v>
      </c>
      <c r="AC55" s="73"/>
    </row>
    <row r="56" spans="1:29" x14ac:dyDescent="0.25">
      <c r="A56" s="152"/>
      <c r="E56" s="290"/>
      <c r="F56" s="2"/>
      <c r="H56" s="2"/>
      <c r="I56" s="293"/>
      <c r="J56" s="66"/>
      <c r="L56" s="2"/>
      <c r="M56" s="322"/>
      <c r="Q56" s="322"/>
      <c r="T56" s="2"/>
      <c r="U56" s="73"/>
      <c r="X56" s="2"/>
      <c r="Y56" s="73"/>
      <c r="AB56" s="2"/>
      <c r="AC56" s="73"/>
    </row>
    <row r="57" spans="1:29" x14ac:dyDescent="0.25">
      <c r="A57" s="149"/>
      <c r="E57" s="290"/>
      <c r="F57" s="2"/>
      <c r="H57" s="2"/>
      <c r="I57" s="293"/>
      <c r="J57" s="66"/>
      <c r="L57" s="2"/>
      <c r="M57" s="322"/>
      <c r="Q57" s="322"/>
      <c r="T57" s="2"/>
      <c r="U57" s="73"/>
      <c r="X57" s="2"/>
      <c r="Y57" s="73"/>
      <c r="AB57" s="2"/>
      <c r="AC57" s="73"/>
    </row>
    <row r="58" spans="1:29" x14ac:dyDescent="0.25">
      <c r="A58" s="152"/>
      <c r="B58" s="22" t="s">
        <v>25</v>
      </c>
      <c r="C58" s="299"/>
      <c r="E58" s="290"/>
      <c r="F58" s="2"/>
      <c r="H58" s="2"/>
      <c r="I58" s="293"/>
      <c r="J58" s="66"/>
      <c r="L58" s="2"/>
      <c r="M58" s="322"/>
      <c r="Q58" s="322"/>
      <c r="T58" s="2"/>
      <c r="U58" s="73"/>
      <c r="X58" s="2"/>
      <c r="Y58" s="73"/>
      <c r="AB58" s="2"/>
      <c r="AC58" s="73"/>
    </row>
    <row r="59" spans="1:29" x14ac:dyDescent="0.25">
      <c r="A59" s="149"/>
      <c r="B59" s="12"/>
      <c r="D59" s="2">
        <v>0</v>
      </c>
      <c r="E59" s="290"/>
      <c r="F59" s="2"/>
      <c r="G59" s="83" t="str">
        <f t="shared" ref="G59:G66" si="23">IF(D59=0,"0.00%",(H59-D59)/D59)</f>
        <v>0.00%</v>
      </c>
      <c r="H59" s="2">
        <f t="shared" ref="H59:H65" si="24">ROUND(D59*(LEFT(I59,5)+1),0)</f>
        <v>0</v>
      </c>
      <c r="I59" s="312" t="str">
        <f>TEXT('MYP Assumptions'!E78,"0.00%")&amp;", CPI"</f>
        <v>3.37%, CPI</v>
      </c>
      <c r="J59" s="66"/>
      <c r="K59" s="83" t="str">
        <f t="shared" ref="K59:K66" si="25">IF(H59=0,"0.00%",(L59-H59)/H59)</f>
        <v>0.00%</v>
      </c>
      <c r="L59" s="2">
        <f>ROUND(H59*(LEFT(M59,5)+1),0)</f>
        <v>0</v>
      </c>
      <c r="M59" s="312" t="str">
        <f>TEXT('MYP Assumptions'!F78,"0.00%")&amp;", CPI"</f>
        <v>3.58%, CPI</v>
      </c>
      <c r="O59" s="83" t="str">
        <f t="shared" ref="O59:O66" si="26">IF(L59=0,"0.00%",(P59-L59)/L59)</f>
        <v>0.00%</v>
      </c>
      <c r="P59" s="2">
        <f>ROUND(L59*(LEFT(Q59,5)+1),0)</f>
        <v>0</v>
      </c>
      <c r="Q59" s="312" t="str">
        <f>TEXT('MYP Assumptions'!G78,"0.00%")&amp;", CPI"</f>
        <v>3.36%, CPI</v>
      </c>
      <c r="S59" s="83" t="str">
        <f t="shared" ref="S59:S66" si="27">IF(P59=0,"0.00%",(T59-P59)/P59)</f>
        <v>0.00%</v>
      </c>
      <c r="T59" s="2">
        <f>ROUND(P59*(LEFT(U59,5)+1),0)</f>
        <v>0</v>
      </c>
      <c r="U59" s="81" t="str">
        <f>TEXT('MYP Assumptions'!H78,"0.00%")&amp;", CPI"</f>
        <v>3.23%, CPI</v>
      </c>
      <c r="W59" s="83" t="str">
        <f t="shared" ref="W59:W66" si="28">IF(T59=0,"0.00%",(X59-T59)/T59)</f>
        <v>0.00%</v>
      </c>
      <c r="X59" s="2">
        <f>ROUND(T59*(LEFT(Y59,5)+1),0)</f>
        <v>0</v>
      </c>
      <c r="Y59" s="81" t="str">
        <f>TEXT('MYP Assumptions'!I78,"0.00%")&amp;", CPI"</f>
        <v>2.73%, CPI</v>
      </c>
      <c r="AA59" s="83" t="str">
        <f t="shared" ref="AA59:AA66" si="29">IF(X59=0,"0.00%",(AB59-X59)/X59)</f>
        <v>0.00%</v>
      </c>
      <c r="AB59" s="2">
        <f>ROUND(X59*(LEFT(AC59,5)+1),0)</f>
        <v>0</v>
      </c>
      <c r="AC59" s="81" t="str">
        <f>TEXT('MYP Assumptions'!J78,"0.00%")&amp;", CPI"</f>
        <v>2.73%, CPI</v>
      </c>
    </row>
    <row r="60" spans="1:29" x14ac:dyDescent="0.25">
      <c r="A60" s="149"/>
      <c r="B60" s="12"/>
      <c r="D60" s="2">
        <v>0</v>
      </c>
      <c r="E60" s="290"/>
      <c r="F60" s="2"/>
      <c r="G60" s="83" t="str">
        <f t="shared" si="23"/>
        <v>0.00%</v>
      </c>
      <c r="H60" s="2">
        <f t="shared" si="24"/>
        <v>0</v>
      </c>
      <c r="I60" s="312" t="str">
        <f>TEXT('MYP Assumptions'!E78,"0.00%")&amp;", CPI"</f>
        <v>3.37%, CPI</v>
      </c>
      <c r="J60" s="66"/>
      <c r="K60" s="83" t="str">
        <f t="shared" si="25"/>
        <v>0.00%</v>
      </c>
      <c r="L60" s="2">
        <f t="shared" ref="L60:L65" si="30">ROUND(H60*(LEFT(M60,5)+1),0)</f>
        <v>0</v>
      </c>
      <c r="M60" s="312" t="str">
        <f>TEXT('MYP Assumptions'!F78,"0.00%")&amp;", CPI"</f>
        <v>3.58%, CPI</v>
      </c>
      <c r="O60" s="83" t="str">
        <f t="shared" si="26"/>
        <v>0.00%</v>
      </c>
      <c r="P60" s="2">
        <f t="shared" ref="P60:P65" si="31">ROUND(L60*(LEFT(Q60,5)+1),0)</f>
        <v>0</v>
      </c>
      <c r="Q60" s="312" t="str">
        <f>TEXT('MYP Assumptions'!G78,"0.00%")&amp;", CPI"</f>
        <v>3.36%, CPI</v>
      </c>
      <c r="S60" s="83" t="str">
        <f t="shared" si="27"/>
        <v>0.00%</v>
      </c>
      <c r="T60" s="2">
        <f t="shared" ref="T60:T65" si="32">ROUND(P60*(LEFT(U60,5)+1),0)</f>
        <v>0</v>
      </c>
      <c r="U60" s="81" t="str">
        <f>TEXT('MYP Assumptions'!H78,"0.00%")&amp;", CPI"</f>
        <v>3.23%, CPI</v>
      </c>
      <c r="W60" s="83" t="str">
        <f t="shared" si="28"/>
        <v>0.00%</v>
      </c>
      <c r="X60" s="2">
        <f t="shared" ref="X60:X65" si="33">ROUND(T60*(LEFT(Y60,5)+1),0)</f>
        <v>0</v>
      </c>
      <c r="Y60" s="81" t="str">
        <f>TEXT('MYP Assumptions'!I78,"0.00%")&amp;", CPI"</f>
        <v>2.73%, CPI</v>
      </c>
      <c r="AA60" s="83" t="str">
        <f t="shared" si="29"/>
        <v>0.00%</v>
      </c>
      <c r="AB60" s="2">
        <f t="shared" ref="AB60:AB65" si="34">ROUND(X60*(LEFT(AC60,5)+1),0)</f>
        <v>0</v>
      </c>
      <c r="AC60" s="81" t="str">
        <f>TEXT('MYP Assumptions'!J78,"0.00%")&amp;", CPI"</f>
        <v>2.73%, CPI</v>
      </c>
    </row>
    <row r="61" spans="1:29" x14ac:dyDescent="0.25">
      <c r="A61" s="149"/>
      <c r="B61" s="12"/>
      <c r="D61" s="2">
        <v>0</v>
      </c>
      <c r="E61" s="290"/>
      <c r="F61" s="2"/>
      <c r="G61" s="83" t="str">
        <f t="shared" si="23"/>
        <v>0.00%</v>
      </c>
      <c r="H61" s="2">
        <f t="shared" si="24"/>
        <v>0</v>
      </c>
      <c r="I61" s="312" t="str">
        <f>TEXT('MYP Assumptions'!E78,"0.00%")&amp;", CPI"</f>
        <v>3.37%, CPI</v>
      </c>
      <c r="J61" s="66"/>
      <c r="K61" s="83" t="str">
        <f t="shared" si="25"/>
        <v>0.00%</v>
      </c>
      <c r="L61" s="2">
        <f t="shared" si="30"/>
        <v>0</v>
      </c>
      <c r="M61" s="312" t="str">
        <f>TEXT('MYP Assumptions'!F78,"0.00%")&amp;", CPI"</f>
        <v>3.58%, CPI</v>
      </c>
      <c r="O61" s="83" t="str">
        <f t="shared" si="26"/>
        <v>0.00%</v>
      </c>
      <c r="P61" s="2">
        <f t="shared" si="31"/>
        <v>0</v>
      </c>
      <c r="Q61" s="312" t="str">
        <f>TEXT('MYP Assumptions'!G78,"0.00%")&amp;", CPI"</f>
        <v>3.36%, CPI</v>
      </c>
      <c r="S61" s="83" t="str">
        <f t="shared" si="27"/>
        <v>0.00%</v>
      </c>
      <c r="T61" s="2">
        <f t="shared" si="32"/>
        <v>0</v>
      </c>
      <c r="U61" s="81" t="str">
        <f>TEXT('MYP Assumptions'!H78,"0.00%")&amp;", CPI"</f>
        <v>3.23%, CPI</v>
      </c>
      <c r="W61" s="83" t="str">
        <f t="shared" si="28"/>
        <v>0.00%</v>
      </c>
      <c r="X61" s="2">
        <f t="shared" si="33"/>
        <v>0</v>
      </c>
      <c r="Y61" s="81" t="str">
        <f>TEXT('MYP Assumptions'!I78,"0.00%")&amp;", CPI"</f>
        <v>2.73%, CPI</v>
      </c>
      <c r="AA61" s="83" t="str">
        <f t="shared" si="29"/>
        <v>0.00%</v>
      </c>
      <c r="AB61" s="2">
        <f t="shared" si="34"/>
        <v>0</v>
      </c>
      <c r="AC61" s="81" t="str">
        <f>TEXT('MYP Assumptions'!J78,"0.00%")&amp;", CPI"</f>
        <v>2.73%, CPI</v>
      </c>
    </row>
    <row r="62" spans="1:29" x14ac:dyDescent="0.25">
      <c r="A62" s="149"/>
      <c r="B62" s="12"/>
      <c r="D62" s="2">
        <v>0</v>
      </c>
      <c r="E62" s="290"/>
      <c r="F62" s="2"/>
      <c r="G62" s="83" t="str">
        <f t="shared" si="23"/>
        <v>0.00%</v>
      </c>
      <c r="H62" s="2">
        <f t="shared" si="24"/>
        <v>0</v>
      </c>
      <c r="I62" s="312" t="str">
        <f>TEXT('MYP Assumptions'!E78,"0.00%")&amp;", CPI"</f>
        <v>3.37%, CPI</v>
      </c>
      <c r="J62" s="66"/>
      <c r="K62" s="83" t="str">
        <f t="shared" si="25"/>
        <v>0.00%</v>
      </c>
      <c r="L62" s="2">
        <f t="shared" si="30"/>
        <v>0</v>
      </c>
      <c r="M62" s="312" t="str">
        <f>TEXT('MYP Assumptions'!F78,"0.00%")&amp;", CPI"</f>
        <v>3.58%, CPI</v>
      </c>
      <c r="O62" s="83" t="str">
        <f t="shared" si="26"/>
        <v>0.00%</v>
      </c>
      <c r="P62" s="2">
        <f t="shared" si="31"/>
        <v>0</v>
      </c>
      <c r="Q62" s="312" t="str">
        <f>TEXT('MYP Assumptions'!G78,"0.00%")&amp;", CPI"</f>
        <v>3.36%, CPI</v>
      </c>
      <c r="S62" s="83" t="str">
        <f t="shared" si="27"/>
        <v>0.00%</v>
      </c>
      <c r="T62" s="2">
        <f t="shared" si="32"/>
        <v>0</v>
      </c>
      <c r="U62" s="81" t="str">
        <f>TEXT('MYP Assumptions'!H78,"0.00%")&amp;", CPI"</f>
        <v>3.23%, CPI</v>
      </c>
      <c r="W62" s="83" t="str">
        <f t="shared" si="28"/>
        <v>0.00%</v>
      </c>
      <c r="X62" s="2">
        <f t="shared" si="33"/>
        <v>0</v>
      </c>
      <c r="Y62" s="81" t="str">
        <f>TEXT('MYP Assumptions'!I78,"0.00%")&amp;", CPI"</f>
        <v>2.73%, CPI</v>
      </c>
      <c r="AA62" s="83" t="str">
        <f t="shared" si="29"/>
        <v>0.00%</v>
      </c>
      <c r="AB62" s="2">
        <f t="shared" si="34"/>
        <v>0</v>
      </c>
      <c r="AC62" s="81" t="str">
        <f>TEXT('MYP Assumptions'!J78,"0.00%")&amp;", CPI"</f>
        <v>2.73%, CPI</v>
      </c>
    </row>
    <row r="63" spans="1:29" x14ac:dyDescent="0.25">
      <c r="A63" s="149"/>
      <c r="B63" s="12"/>
      <c r="D63" s="2">
        <v>0</v>
      </c>
      <c r="E63" s="290"/>
      <c r="F63" s="2"/>
      <c r="G63" s="83" t="str">
        <f t="shared" si="23"/>
        <v>0.00%</v>
      </c>
      <c r="H63" s="2">
        <f t="shared" si="24"/>
        <v>0</v>
      </c>
      <c r="I63" s="312" t="str">
        <f>TEXT('MYP Assumptions'!E78,"0.00%")&amp;", CPI"</f>
        <v>3.37%, CPI</v>
      </c>
      <c r="J63" s="66"/>
      <c r="K63" s="83" t="str">
        <f t="shared" si="25"/>
        <v>0.00%</v>
      </c>
      <c r="L63" s="2">
        <f t="shared" si="30"/>
        <v>0</v>
      </c>
      <c r="M63" s="312" t="str">
        <f>TEXT('MYP Assumptions'!F78,"0.00%")&amp;", CPI"</f>
        <v>3.58%, CPI</v>
      </c>
      <c r="O63" s="83" t="str">
        <f t="shared" si="26"/>
        <v>0.00%</v>
      </c>
      <c r="P63" s="2">
        <f t="shared" si="31"/>
        <v>0</v>
      </c>
      <c r="Q63" s="312" t="str">
        <f>TEXT('MYP Assumptions'!G78,"0.00%")&amp;", CPI"</f>
        <v>3.36%, CPI</v>
      </c>
      <c r="S63" s="83" t="str">
        <f t="shared" si="27"/>
        <v>0.00%</v>
      </c>
      <c r="T63" s="2">
        <f t="shared" si="32"/>
        <v>0</v>
      </c>
      <c r="U63" s="81" t="str">
        <f>TEXT('MYP Assumptions'!H78,"0.00%")&amp;", CPI"</f>
        <v>3.23%, CPI</v>
      </c>
      <c r="W63" s="83" t="str">
        <f t="shared" si="28"/>
        <v>0.00%</v>
      </c>
      <c r="X63" s="2">
        <f t="shared" si="33"/>
        <v>0</v>
      </c>
      <c r="Y63" s="81" t="str">
        <f>TEXT('MYP Assumptions'!I78,"0.00%")&amp;", CPI"</f>
        <v>2.73%, CPI</v>
      </c>
      <c r="AA63" s="83" t="str">
        <f t="shared" si="29"/>
        <v>0.00%</v>
      </c>
      <c r="AB63" s="2">
        <f t="shared" si="34"/>
        <v>0</v>
      </c>
      <c r="AC63" s="81" t="str">
        <f>TEXT('MYP Assumptions'!J78,"0.00%")&amp;", CPI"</f>
        <v>2.73%, CPI</v>
      </c>
    </row>
    <row r="64" spans="1:29" x14ac:dyDescent="0.25">
      <c r="A64" s="149"/>
      <c r="B64" s="12"/>
      <c r="D64" s="2">
        <v>0</v>
      </c>
      <c r="E64" s="290"/>
      <c r="F64" s="2"/>
      <c r="G64" s="83" t="str">
        <f t="shared" si="23"/>
        <v>0.00%</v>
      </c>
      <c r="H64" s="2">
        <f t="shared" si="24"/>
        <v>0</v>
      </c>
      <c r="I64" s="312" t="str">
        <f>TEXT('MYP Assumptions'!E78,"0.00%")&amp;", CPI"</f>
        <v>3.37%, CPI</v>
      </c>
      <c r="J64" s="66"/>
      <c r="K64" s="83" t="str">
        <f t="shared" si="25"/>
        <v>0.00%</v>
      </c>
      <c r="L64" s="2">
        <f t="shared" si="30"/>
        <v>0</v>
      </c>
      <c r="M64" s="312" t="str">
        <f>TEXT('MYP Assumptions'!F78,"0.00%")&amp;", CPI"</f>
        <v>3.58%, CPI</v>
      </c>
      <c r="O64" s="83" t="str">
        <f t="shared" si="26"/>
        <v>0.00%</v>
      </c>
      <c r="P64" s="2">
        <f t="shared" si="31"/>
        <v>0</v>
      </c>
      <c r="Q64" s="312" t="str">
        <f>TEXT('MYP Assumptions'!G78,"0.00%")&amp;", CPI"</f>
        <v>3.36%, CPI</v>
      </c>
      <c r="S64" s="83" t="str">
        <f t="shared" si="27"/>
        <v>0.00%</v>
      </c>
      <c r="T64" s="2">
        <f t="shared" si="32"/>
        <v>0</v>
      </c>
      <c r="U64" s="81" t="str">
        <f>TEXT('MYP Assumptions'!H78,"0.00%")&amp;", CPI"</f>
        <v>3.23%, CPI</v>
      </c>
      <c r="W64" s="83" t="str">
        <f t="shared" si="28"/>
        <v>0.00%</v>
      </c>
      <c r="X64" s="2">
        <f t="shared" si="33"/>
        <v>0</v>
      </c>
      <c r="Y64" s="81" t="str">
        <f>TEXT('MYP Assumptions'!I78,"0.00%")&amp;", CPI"</f>
        <v>2.73%, CPI</v>
      </c>
      <c r="AA64" s="83" t="str">
        <f t="shared" si="29"/>
        <v>0.00%</v>
      </c>
      <c r="AB64" s="2">
        <f t="shared" si="34"/>
        <v>0</v>
      </c>
      <c r="AC64" s="81" t="str">
        <f>TEXT('MYP Assumptions'!J78,"0.00%")&amp;", CPI"</f>
        <v>2.73%, CPI</v>
      </c>
    </row>
    <row r="65" spans="1:29" x14ac:dyDescent="0.25">
      <c r="A65" s="149"/>
      <c r="B65" s="12"/>
      <c r="C65" s="300"/>
      <c r="D65" s="2">
        <v>0</v>
      </c>
      <c r="E65" s="290"/>
      <c r="F65" s="2"/>
      <c r="G65" s="83" t="str">
        <f t="shared" si="23"/>
        <v>0.00%</v>
      </c>
      <c r="H65" s="2">
        <f t="shared" si="24"/>
        <v>0</v>
      </c>
      <c r="I65" s="312" t="str">
        <f>TEXT('MYP Assumptions'!E78,"0.00%")&amp;", CPI"</f>
        <v>3.37%, CPI</v>
      </c>
      <c r="J65" s="66"/>
      <c r="K65" s="83" t="str">
        <f t="shared" si="25"/>
        <v>0.00%</v>
      </c>
      <c r="L65" s="2">
        <f t="shared" si="30"/>
        <v>0</v>
      </c>
      <c r="M65" s="312" t="str">
        <f>TEXT('MYP Assumptions'!F78,"0.00%")&amp;", CPI"</f>
        <v>3.58%, CPI</v>
      </c>
      <c r="O65" s="83" t="str">
        <f t="shared" si="26"/>
        <v>0.00%</v>
      </c>
      <c r="P65" s="2">
        <f t="shared" si="31"/>
        <v>0</v>
      </c>
      <c r="Q65" s="312" t="str">
        <f>TEXT('MYP Assumptions'!G78,"0.00%")&amp;", CPI"</f>
        <v>3.36%, CPI</v>
      </c>
      <c r="S65" s="83" t="str">
        <f t="shared" si="27"/>
        <v>0.00%</v>
      </c>
      <c r="T65" s="2">
        <f t="shared" si="32"/>
        <v>0</v>
      </c>
      <c r="U65" s="81" t="str">
        <f>TEXT('MYP Assumptions'!H78,"0.00%")&amp;", CPI"</f>
        <v>3.23%, CPI</v>
      </c>
      <c r="W65" s="83" t="str">
        <f t="shared" si="28"/>
        <v>0.00%</v>
      </c>
      <c r="X65" s="2">
        <f t="shared" si="33"/>
        <v>0</v>
      </c>
      <c r="Y65" s="81" t="str">
        <f>TEXT('MYP Assumptions'!I78,"0.00%")&amp;", CPI"</f>
        <v>2.73%, CPI</v>
      </c>
      <c r="AA65" s="83" t="str">
        <f t="shared" si="29"/>
        <v>0.00%</v>
      </c>
      <c r="AB65" s="2">
        <f t="shared" si="34"/>
        <v>0</v>
      </c>
      <c r="AC65" s="81" t="str">
        <f>TEXT('MYP Assumptions'!J78,"0.00%")&amp;", CPI"</f>
        <v>2.73%, CPI</v>
      </c>
    </row>
    <row r="66" spans="1:29" x14ac:dyDescent="0.25">
      <c r="A66" s="150"/>
      <c r="B66" s="296"/>
      <c r="D66" s="8">
        <f>SUM(D59:D65)</f>
        <v>0</v>
      </c>
      <c r="E66" s="290"/>
      <c r="F66" s="2"/>
      <c r="G66" s="83" t="str">
        <f t="shared" si="23"/>
        <v>0.00%</v>
      </c>
      <c r="H66" s="8">
        <f>SUM(H59:H65)</f>
        <v>0</v>
      </c>
      <c r="I66" s="315"/>
      <c r="J66" s="29"/>
      <c r="K66" s="83" t="str">
        <f t="shared" si="25"/>
        <v>0.00%</v>
      </c>
      <c r="L66" s="8">
        <f>SUM(L59:L65)</f>
        <v>0</v>
      </c>
      <c r="M66" s="322"/>
      <c r="O66" s="83" t="str">
        <f t="shared" si="26"/>
        <v>0.00%</v>
      </c>
      <c r="P66" s="8">
        <f>SUM(P59:P65)</f>
        <v>0</v>
      </c>
      <c r="Q66" s="322"/>
      <c r="S66" s="83" t="str">
        <f t="shared" si="27"/>
        <v>0.00%</v>
      </c>
      <c r="T66" s="8">
        <f>SUM(T59:T65)</f>
        <v>0</v>
      </c>
      <c r="U66" s="73"/>
      <c r="W66" s="83" t="str">
        <f t="shared" si="28"/>
        <v>0.00%</v>
      </c>
      <c r="X66" s="8">
        <f>SUM(X59:X65)</f>
        <v>0</v>
      </c>
      <c r="Y66" s="73"/>
      <c r="AA66" s="83" t="str">
        <f t="shared" si="29"/>
        <v>0.00%</v>
      </c>
      <c r="AB66" s="8">
        <f>SUM(AB59:AB65)</f>
        <v>0</v>
      </c>
      <c r="AC66" s="73"/>
    </row>
    <row r="67" spans="1:29" x14ac:dyDescent="0.25">
      <c r="A67" s="149"/>
      <c r="E67" s="290"/>
      <c r="F67" s="2"/>
      <c r="H67" s="2"/>
      <c r="I67" s="293"/>
      <c r="J67" s="66"/>
      <c r="L67" s="2"/>
      <c r="M67" s="322"/>
      <c r="Q67" s="322"/>
      <c r="T67" s="2"/>
      <c r="U67" s="73"/>
      <c r="X67" s="2"/>
      <c r="Y67" s="73"/>
      <c r="AB67" s="2"/>
      <c r="AC67" s="73"/>
    </row>
    <row r="68" spans="1:29" s="4" customFormat="1" x14ac:dyDescent="0.25">
      <c r="A68" s="147"/>
      <c r="B68" s="21" t="s">
        <v>16</v>
      </c>
      <c r="C68" s="299"/>
      <c r="D68" s="6"/>
      <c r="E68" s="292"/>
      <c r="F68" s="6"/>
      <c r="G68" s="329"/>
      <c r="H68" s="6"/>
      <c r="I68" s="299"/>
      <c r="J68" s="58"/>
      <c r="K68" s="336"/>
      <c r="L68" s="6"/>
      <c r="M68" s="323"/>
      <c r="O68" s="336"/>
      <c r="P68" s="6"/>
      <c r="Q68" s="323"/>
      <c r="R68" s="111"/>
      <c r="U68" s="71"/>
      <c r="Y68" s="71"/>
      <c r="AC68" s="71"/>
    </row>
    <row r="69" spans="1:29" x14ac:dyDescent="0.25">
      <c r="A69" s="149"/>
      <c r="B69" s="12"/>
      <c r="D69" s="2">
        <v>0</v>
      </c>
      <c r="E69" s="290"/>
      <c r="F69" s="2"/>
      <c r="G69" s="83" t="str">
        <f t="shared" ref="G69:G74" si="35">IF(D69=0,"0.00%",(H69-D69)/D69)</f>
        <v>0.00%</v>
      </c>
      <c r="H69" s="2">
        <f>ROUND(D69*(LEFT(I69,5)+1),0)</f>
        <v>0</v>
      </c>
      <c r="I69" s="312" t="str">
        <f>TEXT('MYP Assumptions'!E78,"0.00%")&amp;", CPI"</f>
        <v>3.37%, CPI</v>
      </c>
      <c r="J69" s="66"/>
      <c r="K69" s="83" t="str">
        <f t="shared" ref="K69:K82" si="36">IF(H69=0,"0.00%",(L69-H69)/H69)</f>
        <v>0.00%</v>
      </c>
      <c r="L69" s="2">
        <f>ROUND(H69*(LEFT(M69,5)+1),0)</f>
        <v>0</v>
      </c>
      <c r="M69" s="312" t="str">
        <f>TEXT('MYP Assumptions'!F78,"0.00%")&amp;", CPI"</f>
        <v>3.58%, CPI</v>
      </c>
      <c r="O69" s="83" t="str">
        <f t="shared" ref="O69:O82" si="37">IF(L69=0,"0.00%",(P69-L69)/L69)</f>
        <v>0.00%</v>
      </c>
      <c r="P69" s="2">
        <f>ROUND(L69*(LEFT(Q69,5)+1),0)</f>
        <v>0</v>
      </c>
      <c r="Q69" s="312" t="str">
        <f>TEXT('MYP Assumptions'!G78,"0.00%")&amp;", CPI"</f>
        <v>3.36%, CPI</v>
      </c>
      <c r="S69" s="83" t="str">
        <f t="shared" ref="S69:S82" si="38">IF(P69=0,"0.00%",(T69-P69)/P69)</f>
        <v>0.00%</v>
      </c>
      <c r="T69" s="2">
        <f>ROUND(P69*(LEFT(U69,5)+1),0)</f>
        <v>0</v>
      </c>
      <c r="U69" s="81" t="str">
        <f>TEXT('MYP Assumptions'!H78,"0.00%")&amp;", CPI"</f>
        <v>3.23%, CPI</v>
      </c>
      <c r="W69" s="83" t="str">
        <f t="shared" ref="W69:W82" si="39">IF(T69=0,"0.00%",(X69-T69)/T69)</f>
        <v>0.00%</v>
      </c>
      <c r="X69" s="2">
        <f>ROUND(T69*(LEFT(Y69,5)+1),0)</f>
        <v>0</v>
      </c>
      <c r="Y69" s="81" t="str">
        <f>TEXT('MYP Assumptions'!I78,"0.00%")&amp;", CPI"</f>
        <v>2.73%, CPI</v>
      </c>
      <c r="AA69" s="83" t="str">
        <f t="shared" ref="AA69:AA82" si="40">IF(X69=0,"0.00%",(AB69-X69)/X69)</f>
        <v>0.00%</v>
      </c>
      <c r="AB69" s="2">
        <f>ROUND(X69*(LEFT(AC69,5)+1),0)</f>
        <v>0</v>
      </c>
      <c r="AC69" s="81" t="str">
        <f>TEXT('MYP Assumptions'!J78,"0.00%")&amp;", CPI"</f>
        <v>2.73%, CPI</v>
      </c>
    </row>
    <row r="70" spans="1:29" x14ac:dyDescent="0.25">
      <c r="A70" s="149"/>
      <c r="B70" s="12"/>
      <c r="D70" s="2">
        <v>0</v>
      </c>
      <c r="E70" s="290"/>
      <c r="F70" s="2"/>
      <c r="G70" s="83" t="str">
        <f t="shared" si="35"/>
        <v>0.00%</v>
      </c>
      <c r="H70" s="2">
        <f>ROUND(D70*(LEFT(I70,5)+1),0)</f>
        <v>0</v>
      </c>
      <c r="I70" s="312" t="str">
        <f>TEXT('MYP Assumptions'!E78,"0.00%")&amp;", CPI"</f>
        <v>3.37%, CPI</v>
      </c>
      <c r="J70" s="66"/>
      <c r="K70" s="83" t="str">
        <f t="shared" si="36"/>
        <v>0.00%</v>
      </c>
      <c r="L70" s="2">
        <f t="shared" ref="L70:L81" si="41">ROUND(H70*(LEFT(M70,5)+1),0)</f>
        <v>0</v>
      </c>
      <c r="M70" s="312" t="str">
        <f>TEXT('MYP Assumptions'!F78,"0.00%")&amp;", CPI"</f>
        <v>3.58%, CPI</v>
      </c>
      <c r="O70" s="83" t="str">
        <f t="shared" si="37"/>
        <v>0.00%</v>
      </c>
      <c r="P70" s="2">
        <f t="shared" ref="P70:P81" si="42">ROUND(L70*(LEFT(Q70,5)+1),0)</f>
        <v>0</v>
      </c>
      <c r="Q70" s="312" t="str">
        <f>TEXT('MYP Assumptions'!G78,"0.00%")&amp;", CPI"</f>
        <v>3.36%, CPI</v>
      </c>
      <c r="S70" s="83" t="str">
        <f t="shared" si="38"/>
        <v>0.00%</v>
      </c>
      <c r="T70" s="2">
        <f t="shared" ref="T70:T81" si="43">ROUND(P70*(LEFT(U70,5)+1),0)</f>
        <v>0</v>
      </c>
      <c r="U70" s="81" t="str">
        <f>TEXT('MYP Assumptions'!H78,"0.00%")&amp;", CPI"</f>
        <v>3.23%, CPI</v>
      </c>
      <c r="W70" s="83" t="str">
        <f t="shared" si="39"/>
        <v>0.00%</v>
      </c>
      <c r="X70" s="2">
        <f t="shared" ref="X70:X81" si="44">ROUND(T70*(LEFT(Y70,5)+1),0)</f>
        <v>0</v>
      </c>
      <c r="Y70" s="81" t="str">
        <f>TEXT('MYP Assumptions'!I78,"0.00%")&amp;", CPI"</f>
        <v>2.73%, CPI</v>
      </c>
      <c r="AA70" s="83" t="str">
        <f t="shared" si="40"/>
        <v>0.00%</v>
      </c>
      <c r="AB70" s="2">
        <f t="shared" ref="AB70:AB81" si="45">ROUND(X70*(LEFT(AC70,5)+1),0)</f>
        <v>0</v>
      </c>
      <c r="AC70" s="81" t="str">
        <f>TEXT('MYP Assumptions'!J78,"0.00%")&amp;", CPI"</f>
        <v>2.73%, CPI</v>
      </c>
    </row>
    <row r="71" spans="1:29" x14ac:dyDescent="0.25">
      <c r="A71" s="149"/>
      <c r="B71" s="12"/>
      <c r="D71" s="2">
        <v>0</v>
      </c>
      <c r="E71" s="290"/>
      <c r="F71" s="2"/>
      <c r="G71" s="83" t="str">
        <f t="shared" si="35"/>
        <v>0.00%</v>
      </c>
      <c r="H71" s="2">
        <f t="shared" ref="H71:H76" si="46">ROUND(D71*(LEFT(I71,5)+1),0)</f>
        <v>0</v>
      </c>
      <c r="I71" s="312" t="str">
        <f>TEXT('MYP Assumptions'!E78,"0.00%")&amp;", CPI"</f>
        <v>3.37%, CPI</v>
      </c>
      <c r="J71" s="66"/>
      <c r="K71" s="83" t="str">
        <f t="shared" si="36"/>
        <v>0.00%</v>
      </c>
      <c r="L71" s="2">
        <f t="shared" si="41"/>
        <v>0</v>
      </c>
      <c r="M71" s="312" t="str">
        <f>TEXT('MYP Assumptions'!F78,"0.00%")&amp;", CPI"</f>
        <v>3.58%, CPI</v>
      </c>
      <c r="O71" s="83" t="str">
        <f t="shared" si="37"/>
        <v>0.00%</v>
      </c>
      <c r="P71" s="2">
        <f t="shared" si="42"/>
        <v>0</v>
      </c>
      <c r="Q71" s="312" t="str">
        <f>TEXT('MYP Assumptions'!G78,"0.00%")&amp;", CPI"</f>
        <v>3.36%, CPI</v>
      </c>
      <c r="S71" s="83" t="str">
        <f t="shared" si="38"/>
        <v>0.00%</v>
      </c>
      <c r="T71" s="2">
        <f t="shared" si="43"/>
        <v>0</v>
      </c>
      <c r="U71" s="81" t="str">
        <f>TEXT('MYP Assumptions'!H78,"0.00%")&amp;", CPI"</f>
        <v>3.23%, CPI</v>
      </c>
      <c r="W71" s="83" t="str">
        <f t="shared" si="39"/>
        <v>0.00%</v>
      </c>
      <c r="X71" s="2">
        <f t="shared" si="44"/>
        <v>0</v>
      </c>
      <c r="Y71" s="81" t="str">
        <f>TEXT('MYP Assumptions'!I78,"0.00%")&amp;", CPI"</f>
        <v>2.73%, CPI</v>
      </c>
      <c r="AA71" s="83" t="str">
        <f t="shared" si="40"/>
        <v>0.00%</v>
      </c>
      <c r="AB71" s="2">
        <f t="shared" si="45"/>
        <v>0</v>
      </c>
      <c r="AC71" s="81" t="str">
        <f>TEXT('MYP Assumptions'!J78,"0.00%")&amp;", CPI"</f>
        <v>2.73%, CPI</v>
      </c>
    </row>
    <row r="72" spans="1:29" x14ac:dyDescent="0.25">
      <c r="A72" s="149"/>
      <c r="B72" s="12"/>
      <c r="D72" s="2">
        <v>0</v>
      </c>
      <c r="E72" s="290"/>
      <c r="F72" s="2"/>
      <c r="G72" s="83" t="str">
        <f t="shared" si="35"/>
        <v>0.00%</v>
      </c>
      <c r="H72" s="2">
        <f t="shared" si="46"/>
        <v>0</v>
      </c>
      <c r="I72" s="312" t="str">
        <f>TEXT('MYP Assumptions'!E78,"0.00%")&amp;", CPI"</f>
        <v>3.37%, CPI</v>
      </c>
      <c r="J72" s="66"/>
      <c r="K72" s="83" t="str">
        <f t="shared" si="36"/>
        <v>0.00%</v>
      </c>
      <c r="L72" s="2">
        <f t="shared" si="41"/>
        <v>0</v>
      </c>
      <c r="M72" s="312" t="str">
        <f>TEXT('MYP Assumptions'!F78,"0.00%")&amp;", CPI"</f>
        <v>3.58%, CPI</v>
      </c>
      <c r="O72" s="83" t="str">
        <f t="shared" si="37"/>
        <v>0.00%</v>
      </c>
      <c r="P72" s="2">
        <f t="shared" si="42"/>
        <v>0</v>
      </c>
      <c r="Q72" s="312" t="str">
        <f>TEXT('MYP Assumptions'!G78,"0.00%")&amp;", CPI"</f>
        <v>3.36%, CPI</v>
      </c>
      <c r="S72" s="83" t="str">
        <f t="shared" si="38"/>
        <v>0.00%</v>
      </c>
      <c r="T72" s="2">
        <f t="shared" si="43"/>
        <v>0</v>
      </c>
      <c r="U72" s="81" t="str">
        <f>TEXT('MYP Assumptions'!H78,"0.00%")&amp;", CPI"</f>
        <v>3.23%, CPI</v>
      </c>
      <c r="W72" s="83" t="str">
        <f t="shared" si="39"/>
        <v>0.00%</v>
      </c>
      <c r="X72" s="2">
        <f t="shared" si="44"/>
        <v>0</v>
      </c>
      <c r="Y72" s="81" t="str">
        <f>TEXT('MYP Assumptions'!I78,"0.00%")&amp;", CPI"</f>
        <v>2.73%, CPI</v>
      </c>
      <c r="AA72" s="83" t="str">
        <f t="shared" si="40"/>
        <v>0.00%</v>
      </c>
      <c r="AB72" s="2">
        <f t="shared" si="45"/>
        <v>0</v>
      </c>
      <c r="AC72" s="81" t="str">
        <f>TEXT('MYP Assumptions'!J78,"0.00%")&amp;", CPI"</f>
        <v>2.73%, CPI</v>
      </c>
    </row>
    <row r="73" spans="1:29" x14ac:dyDescent="0.25">
      <c r="A73" s="149"/>
      <c r="B73" s="12"/>
      <c r="D73" s="2">
        <v>0</v>
      </c>
      <c r="E73" s="290"/>
      <c r="F73" s="2"/>
      <c r="G73" s="83" t="str">
        <f t="shared" si="35"/>
        <v>0.00%</v>
      </c>
      <c r="H73" s="2">
        <f t="shared" si="46"/>
        <v>0</v>
      </c>
      <c r="I73" s="312" t="str">
        <f>TEXT('MYP Assumptions'!E78,"0.00%")&amp;", CPI"</f>
        <v>3.37%, CPI</v>
      </c>
      <c r="J73" s="66"/>
      <c r="K73" s="83" t="str">
        <f t="shared" si="36"/>
        <v>0.00%</v>
      </c>
      <c r="L73" s="2">
        <f t="shared" si="41"/>
        <v>0</v>
      </c>
      <c r="M73" s="312" t="str">
        <f>TEXT('MYP Assumptions'!F78,"0.00%")&amp;", CPI"</f>
        <v>3.58%, CPI</v>
      </c>
      <c r="O73" s="83" t="str">
        <f t="shared" si="37"/>
        <v>0.00%</v>
      </c>
      <c r="P73" s="2">
        <f t="shared" si="42"/>
        <v>0</v>
      </c>
      <c r="Q73" s="312" t="str">
        <f>TEXT('MYP Assumptions'!G78,"0.00%")&amp;", CPI"</f>
        <v>3.36%, CPI</v>
      </c>
      <c r="S73" s="83" t="str">
        <f t="shared" si="38"/>
        <v>0.00%</v>
      </c>
      <c r="T73" s="2">
        <f t="shared" si="43"/>
        <v>0</v>
      </c>
      <c r="U73" s="81" t="str">
        <f>TEXT('MYP Assumptions'!H78,"0.00%")&amp;", CPI"</f>
        <v>3.23%, CPI</v>
      </c>
      <c r="W73" s="83" t="str">
        <f t="shared" si="39"/>
        <v>0.00%</v>
      </c>
      <c r="X73" s="2">
        <f t="shared" si="44"/>
        <v>0</v>
      </c>
      <c r="Y73" s="81" t="str">
        <f>TEXT('MYP Assumptions'!I78,"0.00%")&amp;", CPI"</f>
        <v>2.73%, CPI</v>
      </c>
      <c r="AA73" s="83" t="str">
        <f t="shared" si="40"/>
        <v>0.00%</v>
      </c>
      <c r="AB73" s="2">
        <f t="shared" si="45"/>
        <v>0</v>
      </c>
      <c r="AC73" s="81" t="str">
        <f>TEXT('MYP Assumptions'!J78,"0.00%")&amp;", CPI"</f>
        <v>2.73%, CPI</v>
      </c>
    </row>
    <row r="74" spans="1:29" x14ac:dyDescent="0.25">
      <c r="A74" s="149"/>
      <c r="B74" s="12"/>
      <c r="D74" s="2">
        <v>0</v>
      </c>
      <c r="E74" s="290"/>
      <c r="F74" s="2"/>
      <c r="G74" s="83" t="str">
        <f t="shared" si="35"/>
        <v>0.00%</v>
      </c>
      <c r="H74" s="2">
        <f t="shared" si="46"/>
        <v>0</v>
      </c>
      <c r="I74" s="312" t="str">
        <f>TEXT('MYP Assumptions'!E78,"0.00%")&amp;", CPI"</f>
        <v>3.37%, CPI</v>
      </c>
      <c r="J74" s="66"/>
      <c r="K74" s="83" t="str">
        <f t="shared" si="36"/>
        <v>0.00%</v>
      </c>
      <c r="L74" s="2">
        <f t="shared" si="41"/>
        <v>0</v>
      </c>
      <c r="M74" s="312" t="str">
        <f>TEXT('MYP Assumptions'!F78,"0.00%")&amp;", CPI"</f>
        <v>3.58%, CPI</v>
      </c>
      <c r="O74" s="83" t="str">
        <f t="shared" si="37"/>
        <v>0.00%</v>
      </c>
      <c r="P74" s="2">
        <f t="shared" si="42"/>
        <v>0</v>
      </c>
      <c r="Q74" s="312" t="str">
        <f>TEXT('MYP Assumptions'!G78,"0.00%")&amp;", CPI"</f>
        <v>3.36%, CPI</v>
      </c>
      <c r="S74" s="83" t="str">
        <f t="shared" si="38"/>
        <v>0.00%</v>
      </c>
      <c r="T74" s="2">
        <f t="shared" si="43"/>
        <v>0</v>
      </c>
      <c r="U74" s="81" t="str">
        <f>TEXT('MYP Assumptions'!H78,"0.00%")&amp;", CPI"</f>
        <v>3.23%, CPI</v>
      </c>
      <c r="W74" s="83" t="str">
        <f t="shared" si="39"/>
        <v>0.00%</v>
      </c>
      <c r="X74" s="2">
        <f t="shared" si="44"/>
        <v>0</v>
      </c>
      <c r="Y74" s="81" t="str">
        <f>TEXT('MYP Assumptions'!I78,"0.00%")&amp;", CPI"</f>
        <v>2.73%, CPI</v>
      </c>
      <c r="AA74" s="83" t="str">
        <f t="shared" si="40"/>
        <v>0.00%</v>
      </c>
      <c r="AB74" s="2">
        <f t="shared" si="45"/>
        <v>0</v>
      </c>
      <c r="AC74" s="81" t="str">
        <f>TEXT('MYP Assumptions'!J78,"0.00%")&amp;", CPI"</f>
        <v>2.73%, CPI</v>
      </c>
    </row>
    <row r="75" spans="1:29" x14ac:dyDescent="0.25">
      <c r="A75" s="149"/>
      <c r="B75" s="12"/>
      <c r="D75" s="2">
        <v>0</v>
      </c>
      <c r="E75" s="290"/>
      <c r="F75" s="2"/>
      <c r="G75" s="83" t="str">
        <f>IF(D75=0,"0.00%",(H75-D75)/D75)</f>
        <v>0.00%</v>
      </c>
      <c r="H75" s="2">
        <f t="shared" si="46"/>
        <v>0</v>
      </c>
      <c r="I75" s="312" t="str">
        <f>TEXT('MYP Assumptions'!E78,"0.00%")&amp;", CPI"</f>
        <v>3.37%, CPI</v>
      </c>
      <c r="J75" s="66"/>
      <c r="K75" s="83" t="str">
        <f t="shared" si="36"/>
        <v>0.00%</v>
      </c>
      <c r="L75" s="2">
        <f t="shared" si="41"/>
        <v>0</v>
      </c>
      <c r="M75" s="312" t="str">
        <f>TEXT('MYP Assumptions'!F78,"0.00%")&amp;", CPI"</f>
        <v>3.58%, CPI</v>
      </c>
      <c r="O75" s="83" t="str">
        <f t="shared" si="37"/>
        <v>0.00%</v>
      </c>
      <c r="P75" s="2">
        <f t="shared" si="42"/>
        <v>0</v>
      </c>
      <c r="Q75" s="312" t="str">
        <f>TEXT('MYP Assumptions'!G78,"0.00%")&amp;", CPI"</f>
        <v>3.36%, CPI</v>
      </c>
      <c r="S75" s="83" t="str">
        <f t="shared" si="38"/>
        <v>0.00%</v>
      </c>
      <c r="T75" s="2">
        <f t="shared" si="43"/>
        <v>0</v>
      </c>
      <c r="U75" s="81" t="str">
        <f>TEXT('MYP Assumptions'!H78,"0.00%")&amp;", CPI"</f>
        <v>3.23%, CPI</v>
      </c>
      <c r="W75" s="83" t="str">
        <f t="shared" si="39"/>
        <v>0.00%</v>
      </c>
      <c r="X75" s="2">
        <f t="shared" si="44"/>
        <v>0</v>
      </c>
      <c r="Y75" s="81" t="str">
        <f>TEXT('MYP Assumptions'!I78,"0.00%")&amp;", CPI"</f>
        <v>2.73%, CPI</v>
      </c>
      <c r="AA75" s="83" t="str">
        <f t="shared" si="40"/>
        <v>0.00%</v>
      </c>
      <c r="AB75" s="2">
        <f t="shared" si="45"/>
        <v>0</v>
      </c>
      <c r="AC75" s="81" t="str">
        <f>TEXT('MYP Assumptions'!J78,"0.00%")&amp;", CPI"</f>
        <v>2.73%, CPI</v>
      </c>
    </row>
    <row r="76" spans="1:29" x14ac:dyDescent="0.25">
      <c r="A76" s="149"/>
      <c r="B76" s="12"/>
      <c r="D76" s="2">
        <v>0</v>
      </c>
      <c r="E76" s="290"/>
      <c r="F76" s="2"/>
      <c r="G76" s="83" t="str">
        <f t="shared" ref="G76:G82" si="47">IF(D76=0,"0.00%",(H76-D76)/D76)</f>
        <v>0.00%</v>
      </c>
      <c r="H76" s="2">
        <f t="shared" si="46"/>
        <v>0</v>
      </c>
      <c r="I76" s="312" t="str">
        <f>TEXT('MYP Assumptions'!E78,"0.00%")&amp;", CPI"</f>
        <v>3.37%, CPI</v>
      </c>
      <c r="J76" s="66"/>
      <c r="K76" s="83" t="str">
        <f t="shared" si="36"/>
        <v>0.00%</v>
      </c>
      <c r="L76" s="2">
        <f t="shared" si="41"/>
        <v>0</v>
      </c>
      <c r="M76" s="312" t="str">
        <f>TEXT('MYP Assumptions'!F78,"0.00%")&amp;", CPI"</f>
        <v>3.58%, CPI</v>
      </c>
      <c r="O76" s="83" t="str">
        <f t="shared" si="37"/>
        <v>0.00%</v>
      </c>
      <c r="P76" s="2">
        <f t="shared" si="42"/>
        <v>0</v>
      </c>
      <c r="Q76" s="312" t="str">
        <f>TEXT('MYP Assumptions'!G78,"0.00%")&amp;", CPI"</f>
        <v>3.36%, CPI</v>
      </c>
      <c r="S76" s="83" t="str">
        <f t="shared" si="38"/>
        <v>0.00%</v>
      </c>
      <c r="T76" s="2">
        <f t="shared" si="43"/>
        <v>0</v>
      </c>
      <c r="U76" s="81" t="str">
        <f>TEXT('MYP Assumptions'!H78,"0.00%")&amp;", CPI"</f>
        <v>3.23%, CPI</v>
      </c>
      <c r="W76" s="83" t="str">
        <f t="shared" si="39"/>
        <v>0.00%</v>
      </c>
      <c r="X76" s="2">
        <f t="shared" si="44"/>
        <v>0</v>
      </c>
      <c r="Y76" s="81" t="str">
        <f>TEXT('MYP Assumptions'!I78,"0.00%")&amp;", CPI"</f>
        <v>2.73%, CPI</v>
      </c>
      <c r="AA76" s="83" t="str">
        <f t="shared" si="40"/>
        <v>0.00%</v>
      </c>
      <c r="AB76" s="2">
        <f t="shared" si="45"/>
        <v>0</v>
      </c>
      <c r="AC76" s="81" t="str">
        <f>TEXT('MYP Assumptions'!J78,"0.00%")&amp;", CPI"</f>
        <v>2.73%, CPI</v>
      </c>
    </row>
    <row r="77" spans="1:29" x14ac:dyDescent="0.25">
      <c r="A77" s="149"/>
      <c r="B77" s="12"/>
      <c r="D77" s="2">
        <v>0</v>
      </c>
      <c r="E77" s="290"/>
      <c r="F77" s="2"/>
      <c r="G77" s="83" t="str">
        <f t="shared" si="47"/>
        <v>0.00%</v>
      </c>
      <c r="H77" s="2">
        <f>ROUND(D77*(LEFT(I77,5)+1),0)</f>
        <v>0</v>
      </c>
      <c r="I77" s="312" t="str">
        <f>TEXT('MYP Assumptions'!E78,"0.00%")&amp;", CPI"</f>
        <v>3.37%, CPI</v>
      </c>
      <c r="J77" s="66"/>
      <c r="K77" s="83" t="str">
        <f t="shared" si="36"/>
        <v>0.00%</v>
      </c>
      <c r="L77" s="2">
        <f t="shared" si="41"/>
        <v>0</v>
      </c>
      <c r="M77" s="312" t="str">
        <f>TEXT('MYP Assumptions'!F78,"0.00%")&amp;", CPI"</f>
        <v>3.58%, CPI</v>
      </c>
      <c r="O77" s="83" t="str">
        <f t="shared" si="37"/>
        <v>0.00%</v>
      </c>
      <c r="P77" s="2">
        <f t="shared" si="42"/>
        <v>0</v>
      </c>
      <c r="Q77" s="312" t="str">
        <f>TEXT('MYP Assumptions'!G78,"0.00%")&amp;", CPI"</f>
        <v>3.36%, CPI</v>
      </c>
      <c r="S77" s="83" t="str">
        <f t="shared" si="38"/>
        <v>0.00%</v>
      </c>
      <c r="T77" s="2">
        <f t="shared" si="43"/>
        <v>0</v>
      </c>
      <c r="U77" s="81" t="str">
        <f>TEXT('MYP Assumptions'!H78,"0.00%")&amp;", CPI"</f>
        <v>3.23%, CPI</v>
      </c>
      <c r="W77" s="83" t="str">
        <f t="shared" si="39"/>
        <v>0.00%</v>
      </c>
      <c r="X77" s="2">
        <f t="shared" si="44"/>
        <v>0</v>
      </c>
      <c r="Y77" s="81" t="str">
        <f>TEXT('MYP Assumptions'!I78,"0.00%")&amp;", CPI"</f>
        <v>2.73%, CPI</v>
      </c>
      <c r="AA77" s="83" t="str">
        <f t="shared" si="40"/>
        <v>0.00%</v>
      </c>
      <c r="AB77" s="2">
        <f t="shared" si="45"/>
        <v>0</v>
      </c>
      <c r="AC77" s="81" t="str">
        <f>TEXT('MYP Assumptions'!J78,"0.00%")&amp;", CPI"</f>
        <v>2.73%, CPI</v>
      </c>
    </row>
    <row r="78" spans="1:29" x14ac:dyDescent="0.25">
      <c r="A78" s="149"/>
      <c r="B78" s="12"/>
      <c r="D78" s="2">
        <v>0</v>
      </c>
      <c r="E78" s="290"/>
      <c r="F78" s="2"/>
      <c r="G78" s="83" t="str">
        <f t="shared" si="47"/>
        <v>0.00%</v>
      </c>
      <c r="H78" s="2">
        <f>ROUND(D78*(LEFT(I78,5)+1),0)</f>
        <v>0</v>
      </c>
      <c r="I78" s="312" t="str">
        <f>TEXT('MYP Assumptions'!E78,"0.00%")&amp;", CPI"</f>
        <v>3.37%, CPI</v>
      </c>
      <c r="J78" s="66"/>
      <c r="K78" s="83" t="str">
        <f t="shared" si="36"/>
        <v>0.00%</v>
      </c>
      <c r="L78" s="2">
        <f t="shared" si="41"/>
        <v>0</v>
      </c>
      <c r="M78" s="312" t="str">
        <f>TEXT('MYP Assumptions'!F78,"0.00%")&amp;", CPI"</f>
        <v>3.58%, CPI</v>
      </c>
      <c r="O78" s="83" t="str">
        <f t="shared" si="37"/>
        <v>0.00%</v>
      </c>
      <c r="P78" s="2">
        <f t="shared" si="42"/>
        <v>0</v>
      </c>
      <c r="Q78" s="312" t="str">
        <f>TEXT('MYP Assumptions'!G78,"0.00%")&amp;", CPI"</f>
        <v>3.36%, CPI</v>
      </c>
      <c r="S78" s="83" t="str">
        <f t="shared" si="38"/>
        <v>0.00%</v>
      </c>
      <c r="T78" s="2">
        <f t="shared" si="43"/>
        <v>0</v>
      </c>
      <c r="U78" s="81" t="str">
        <f>TEXT('MYP Assumptions'!H78,"0.00%")&amp;", CPI"</f>
        <v>3.23%, CPI</v>
      </c>
      <c r="W78" s="83" t="str">
        <f t="shared" si="39"/>
        <v>0.00%</v>
      </c>
      <c r="X78" s="2">
        <f t="shared" si="44"/>
        <v>0</v>
      </c>
      <c r="Y78" s="81" t="str">
        <f>TEXT('MYP Assumptions'!I78,"0.00%")&amp;", CPI"</f>
        <v>2.73%, CPI</v>
      </c>
      <c r="AA78" s="83" t="str">
        <f t="shared" si="40"/>
        <v>0.00%</v>
      </c>
      <c r="AB78" s="2">
        <f t="shared" si="45"/>
        <v>0</v>
      </c>
      <c r="AC78" s="81" t="str">
        <f>TEXT('MYP Assumptions'!J78,"0.00%")&amp;", CPI"</f>
        <v>2.73%, CPI</v>
      </c>
    </row>
    <row r="79" spans="1:29" x14ac:dyDescent="0.25">
      <c r="A79" s="149"/>
      <c r="B79" s="12"/>
      <c r="D79" s="2">
        <v>0</v>
      </c>
      <c r="E79" s="290"/>
      <c r="F79" s="2"/>
      <c r="G79" s="83" t="str">
        <f t="shared" si="47"/>
        <v>0.00%</v>
      </c>
      <c r="H79" s="2">
        <f>ROUND(D79*(LEFT(I79,5)+1),0)</f>
        <v>0</v>
      </c>
      <c r="I79" s="312" t="str">
        <f>TEXT('MYP Assumptions'!E78,"0.00%")&amp;", CPI"</f>
        <v>3.37%, CPI</v>
      </c>
      <c r="J79" s="66"/>
      <c r="K79" s="83" t="str">
        <f t="shared" si="36"/>
        <v>0.00%</v>
      </c>
      <c r="L79" s="2">
        <f t="shared" si="41"/>
        <v>0</v>
      </c>
      <c r="M79" s="312" t="str">
        <f>TEXT('MYP Assumptions'!F78,"0.00%")&amp;", CPI"</f>
        <v>3.58%, CPI</v>
      </c>
      <c r="O79" s="83" t="str">
        <f t="shared" si="37"/>
        <v>0.00%</v>
      </c>
      <c r="P79" s="2">
        <f t="shared" si="42"/>
        <v>0</v>
      </c>
      <c r="Q79" s="312" t="str">
        <f>TEXT('MYP Assumptions'!G78,"0.00%")&amp;", CPI"</f>
        <v>3.36%, CPI</v>
      </c>
      <c r="S79" s="83" t="str">
        <f t="shared" si="38"/>
        <v>0.00%</v>
      </c>
      <c r="T79" s="2">
        <f t="shared" si="43"/>
        <v>0</v>
      </c>
      <c r="U79" s="81" t="str">
        <f>TEXT('MYP Assumptions'!H78,"0.00%")&amp;", CPI"</f>
        <v>3.23%, CPI</v>
      </c>
      <c r="W79" s="83" t="str">
        <f t="shared" si="39"/>
        <v>0.00%</v>
      </c>
      <c r="X79" s="2">
        <f t="shared" si="44"/>
        <v>0</v>
      </c>
      <c r="Y79" s="81" t="str">
        <f>TEXT('MYP Assumptions'!I78,"0.00%")&amp;", CPI"</f>
        <v>2.73%, CPI</v>
      </c>
      <c r="AA79" s="83" t="str">
        <f t="shared" si="40"/>
        <v>0.00%</v>
      </c>
      <c r="AB79" s="2">
        <f t="shared" si="45"/>
        <v>0</v>
      </c>
      <c r="AC79" s="81" t="str">
        <f>TEXT('MYP Assumptions'!J78,"0.00%")&amp;", CPI"</f>
        <v>2.73%, CPI</v>
      </c>
    </row>
    <row r="80" spans="1:29" x14ac:dyDescent="0.25">
      <c r="A80" s="149"/>
      <c r="B80" s="12"/>
      <c r="D80" s="2">
        <v>0</v>
      </c>
      <c r="E80" s="290"/>
      <c r="F80" s="2"/>
      <c r="G80" s="83" t="str">
        <f t="shared" si="47"/>
        <v>0.00%</v>
      </c>
      <c r="H80" s="2">
        <f>ROUND(D80*(LEFT(I80,5)+1),0)</f>
        <v>0</v>
      </c>
      <c r="I80" s="312" t="str">
        <f>TEXT('MYP Assumptions'!E78,"0.00%")&amp;", CPI"</f>
        <v>3.37%, CPI</v>
      </c>
      <c r="J80" s="66"/>
      <c r="K80" s="83" t="str">
        <f t="shared" si="36"/>
        <v>0.00%</v>
      </c>
      <c r="L80" s="2">
        <f t="shared" si="41"/>
        <v>0</v>
      </c>
      <c r="M80" s="312" t="str">
        <f>TEXT('MYP Assumptions'!F78,"0.00%")&amp;", CPI"</f>
        <v>3.58%, CPI</v>
      </c>
      <c r="O80" s="83" t="str">
        <f t="shared" si="37"/>
        <v>0.00%</v>
      </c>
      <c r="P80" s="2">
        <f t="shared" si="42"/>
        <v>0</v>
      </c>
      <c r="Q80" s="312" t="str">
        <f>TEXT('MYP Assumptions'!G78,"0.00%")&amp;", CPI"</f>
        <v>3.36%, CPI</v>
      </c>
      <c r="S80" s="83" t="str">
        <f t="shared" si="38"/>
        <v>0.00%</v>
      </c>
      <c r="T80" s="2">
        <f t="shared" si="43"/>
        <v>0</v>
      </c>
      <c r="U80" s="81" t="str">
        <f>TEXT('MYP Assumptions'!H78,"0.00%")&amp;", CPI"</f>
        <v>3.23%, CPI</v>
      </c>
      <c r="W80" s="83" t="str">
        <f t="shared" si="39"/>
        <v>0.00%</v>
      </c>
      <c r="X80" s="2">
        <f t="shared" si="44"/>
        <v>0</v>
      </c>
      <c r="Y80" s="81" t="str">
        <f>TEXT('MYP Assumptions'!I78,"0.00%")&amp;", CPI"</f>
        <v>2.73%, CPI</v>
      </c>
      <c r="AA80" s="83" t="str">
        <f t="shared" si="40"/>
        <v>0.00%</v>
      </c>
      <c r="AB80" s="2">
        <f t="shared" si="45"/>
        <v>0</v>
      </c>
      <c r="AC80" s="81" t="str">
        <f>TEXT('MYP Assumptions'!J78,"0.00%")&amp;", CPI"</f>
        <v>2.73%, CPI</v>
      </c>
    </row>
    <row r="81" spans="1:29" x14ac:dyDescent="0.25">
      <c r="A81" s="149"/>
      <c r="B81" s="12"/>
      <c r="D81" s="2">
        <f>'18-19 Budget RS 3010-ALL'!AF80</f>
        <v>0</v>
      </c>
      <c r="E81" s="290"/>
      <c r="F81" s="2"/>
      <c r="G81" s="83" t="str">
        <f t="shared" si="47"/>
        <v>0.00%</v>
      </c>
      <c r="H81" s="2">
        <f>ROUND(D81*(LEFT(I81,5)+1),0)</f>
        <v>0</v>
      </c>
      <c r="I81" s="312" t="str">
        <f>TEXT('MYP Assumptions'!E78,"0.00%")&amp;", CPI"</f>
        <v>3.37%, CPI</v>
      </c>
      <c r="J81" s="66"/>
      <c r="K81" s="83" t="str">
        <f t="shared" si="36"/>
        <v>0.00%</v>
      </c>
      <c r="L81" s="2">
        <f t="shared" si="41"/>
        <v>0</v>
      </c>
      <c r="M81" s="312" t="str">
        <f>TEXT('MYP Assumptions'!F78,"0.00%")&amp;", CPI"</f>
        <v>3.58%, CPI</v>
      </c>
      <c r="O81" s="83" t="str">
        <f t="shared" si="37"/>
        <v>0.00%</v>
      </c>
      <c r="P81" s="2">
        <f t="shared" si="42"/>
        <v>0</v>
      </c>
      <c r="Q81" s="312" t="str">
        <f>TEXT('MYP Assumptions'!G78,"0.00%")&amp;", CPI"</f>
        <v>3.36%, CPI</v>
      </c>
      <c r="S81" s="83" t="str">
        <f t="shared" si="38"/>
        <v>0.00%</v>
      </c>
      <c r="T81" s="2">
        <f t="shared" si="43"/>
        <v>0</v>
      </c>
      <c r="U81" s="81" t="str">
        <f>TEXT('MYP Assumptions'!H78,"0.00%")&amp;", CPI"</f>
        <v>3.23%, CPI</v>
      </c>
      <c r="W81" s="83" t="str">
        <f t="shared" si="39"/>
        <v>0.00%</v>
      </c>
      <c r="X81" s="2">
        <f t="shared" si="44"/>
        <v>0</v>
      </c>
      <c r="Y81" s="81" t="str">
        <f>TEXT('MYP Assumptions'!I78,"0.00%")&amp;", CPI"</f>
        <v>2.73%, CPI</v>
      </c>
      <c r="AA81" s="83" t="str">
        <f t="shared" si="40"/>
        <v>0.00%</v>
      </c>
      <c r="AB81" s="2">
        <f t="shared" si="45"/>
        <v>0</v>
      </c>
      <c r="AC81" s="81" t="str">
        <f>TEXT('MYP Assumptions'!J78,"0.00%")&amp;", CPI"</f>
        <v>2.73%, CPI</v>
      </c>
    </row>
    <row r="82" spans="1:29" x14ac:dyDescent="0.25">
      <c r="A82" s="150"/>
      <c r="D82" s="8">
        <f>SUM(D69:D81)</f>
        <v>0</v>
      </c>
      <c r="E82" s="290"/>
      <c r="F82" s="2"/>
      <c r="G82" s="83" t="str">
        <f t="shared" si="47"/>
        <v>0.00%</v>
      </c>
      <c r="H82" s="8">
        <f>SUM(H69:H81)</f>
        <v>0</v>
      </c>
      <c r="I82" s="315"/>
      <c r="J82" s="29"/>
      <c r="K82" s="83" t="str">
        <f t="shared" si="36"/>
        <v>0.00%</v>
      </c>
      <c r="L82" s="8">
        <f>SUM(L69:L81)</f>
        <v>0</v>
      </c>
      <c r="M82" s="322"/>
      <c r="O82" s="83" t="str">
        <f t="shared" si="37"/>
        <v>0.00%</v>
      </c>
      <c r="P82" s="8">
        <f>SUM(P69:P81)</f>
        <v>0</v>
      </c>
      <c r="Q82" s="322"/>
      <c r="S82" s="83" t="str">
        <f t="shared" si="38"/>
        <v>0.00%</v>
      </c>
      <c r="T82" s="8">
        <f>SUM(T69:T81)</f>
        <v>0</v>
      </c>
      <c r="U82" s="73"/>
      <c r="W82" s="83" t="str">
        <f t="shared" si="39"/>
        <v>0.00%</v>
      </c>
      <c r="X82" s="8">
        <f>SUM(X69:X81)</f>
        <v>0</v>
      </c>
      <c r="Y82" s="73"/>
      <c r="AA82" s="83" t="str">
        <f t="shared" si="40"/>
        <v>0.00%</v>
      </c>
      <c r="AB82" s="8">
        <f>SUM(AB69:AB81)</f>
        <v>0</v>
      </c>
      <c r="AC82" s="73"/>
    </row>
    <row r="83" spans="1:29" x14ac:dyDescent="0.25">
      <c r="A83" s="149"/>
      <c r="B83" s="21"/>
      <c r="E83" s="290"/>
      <c r="F83" s="2"/>
      <c r="G83" s="83"/>
      <c r="H83" s="2"/>
      <c r="I83" s="293"/>
      <c r="J83" s="66"/>
      <c r="L83" s="2"/>
      <c r="M83" s="322"/>
      <c r="Q83" s="322"/>
      <c r="T83" s="2"/>
      <c r="U83" s="73"/>
      <c r="X83" s="2"/>
      <c r="Y83" s="73"/>
      <c r="AB83" s="2"/>
      <c r="AC83" s="73"/>
    </row>
    <row r="84" spans="1:29" x14ac:dyDescent="0.25">
      <c r="A84" s="149"/>
      <c r="E84" s="290"/>
      <c r="F84" s="2"/>
      <c r="H84" s="2"/>
      <c r="I84" s="293"/>
      <c r="J84" s="66"/>
      <c r="L84" s="2"/>
      <c r="M84" s="322"/>
      <c r="Q84" s="322"/>
      <c r="T84" s="2"/>
      <c r="U84" s="73"/>
      <c r="X84" s="2"/>
      <c r="Y84" s="73"/>
      <c r="AB84" s="2"/>
      <c r="AC84" s="73"/>
    </row>
    <row r="85" spans="1:29" x14ac:dyDescent="0.25">
      <c r="A85" s="150"/>
      <c r="B85" s="21" t="s">
        <v>0</v>
      </c>
      <c r="D85" s="8">
        <f>SUM(D82,D66,D55,D13)</f>
        <v>0</v>
      </c>
      <c r="E85" s="290"/>
      <c r="F85" s="2"/>
      <c r="G85" s="83" t="str">
        <f>IF(D85=0,"0.00%",(H85-D85)/D85)</f>
        <v>0.00%</v>
      </c>
      <c r="H85" s="8">
        <f>SUM(H82,H66,H55,H13)</f>
        <v>0</v>
      </c>
      <c r="I85" s="315"/>
      <c r="J85" s="29"/>
      <c r="K85" s="83" t="str">
        <f>IF(H85=0,"0.00%",(L85-H85)/H85)</f>
        <v>0.00%</v>
      </c>
      <c r="L85" s="8">
        <f>SUM(L82,L66,L55,L13)</f>
        <v>0</v>
      </c>
      <c r="M85" s="322"/>
      <c r="O85" s="83" t="str">
        <f>IF(L85=0,"0.00%",(P85-L85)/L85)</f>
        <v>0.00%</v>
      </c>
      <c r="P85" s="8">
        <f>SUM(P82,P66,P55,P13)</f>
        <v>0</v>
      </c>
      <c r="Q85" s="322"/>
      <c r="S85" s="83" t="str">
        <f>IF(P85=0,"0.00%",(T85-P85)/P85)</f>
        <v>0.00%</v>
      </c>
      <c r="T85" s="8">
        <f>SUM(T82,T66,T55,T13)</f>
        <v>0</v>
      </c>
      <c r="U85" s="73"/>
      <c r="W85" s="83" t="str">
        <f>IF(T85=0,"0.00%",(X85-T85)/T85)</f>
        <v>0.00%</v>
      </c>
      <c r="X85" s="8">
        <f>SUM(X82,X66,X55,X13)</f>
        <v>0</v>
      </c>
      <c r="Y85" s="73"/>
      <c r="AA85" s="83" t="str">
        <f>IF(X85=0,"0.00%",(AB85-X85)/X85)</f>
        <v>0.00%</v>
      </c>
      <c r="AB85" s="8" t="e">
        <f>SUM(AB82,AB66,AB55,AB13)</f>
        <v>#VALUE!</v>
      </c>
      <c r="AC85" s="73"/>
    </row>
    <row r="86" spans="1:29" x14ac:dyDescent="0.25">
      <c r="A86" s="149"/>
      <c r="E86" s="290"/>
      <c r="F86" s="2"/>
      <c r="H86" s="2"/>
      <c r="I86" s="293"/>
      <c r="J86" s="66"/>
      <c r="L86" s="2"/>
      <c r="M86" s="322"/>
      <c r="Q86" s="322"/>
      <c r="T86" s="2"/>
      <c r="U86" s="73"/>
      <c r="X86" s="2"/>
      <c r="Y86" s="73"/>
      <c r="AB86" s="2"/>
      <c r="AC86" s="73"/>
    </row>
    <row r="87" spans="1:29" x14ac:dyDescent="0.25">
      <c r="A87" s="149"/>
      <c r="B87" s="21" t="s">
        <v>138</v>
      </c>
      <c r="D87" s="3">
        <f>D11-D85</f>
        <v>0</v>
      </c>
      <c r="G87" s="83" t="str">
        <f>IF(D87=0,"0.00%",(H87-D87)/D87)</f>
        <v>0.00%</v>
      </c>
      <c r="H87" s="3">
        <f>H11-H85</f>
        <v>0</v>
      </c>
      <c r="I87" s="293"/>
      <c r="J87" s="66"/>
      <c r="K87" s="83" t="str">
        <f>IF(H87=0,"0.00%",(L87-H87)/H87)</f>
        <v>0.00%</v>
      </c>
      <c r="L87" s="3">
        <f>L11-L85</f>
        <v>0</v>
      </c>
      <c r="M87" s="322"/>
      <c r="O87" s="83" t="str">
        <f>IF(L87=0,"0.00%",(P87-L87)/L87)</f>
        <v>0.00%</v>
      </c>
      <c r="P87" s="3">
        <f>P11-P85</f>
        <v>0</v>
      </c>
      <c r="Q87" s="322"/>
      <c r="S87" s="83" t="str">
        <f>IF(P87=0,"0.00%",(T87-P87)/P87)</f>
        <v>0.00%</v>
      </c>
      <c r="T87" s="3">
        <f>T11-T85</f>
        <v>0</v>
      </c>
      <c r="U87" s="73"/>
      <c r="W87" s="83" t="str">
        <f>IF(T87=0,"0.00%",(X87-T87)/T87)</f>
        <v>0.00%</v>
      </c>
      <c r="X87" s="3">
        <f>X11-X85</f>
        <v>0</v>
      </c>
      <c r="Y87" s="73"/>
      <c r="AA87" s="83" t="str">
        <f>IF(X87=0,"0.00%",(AB87-X87)/X87)</f>
        <v>0.00%</v>
      </c>
      <c r="AB87" s="3" t="e">
        <f>AB11-AB85</f>
        <v>#VALUE!</v>
      </c>
      <c r="AC87" s="73"/>
    </row>
    <row r="88" spans="1:29" x14ac:dyDescent="0.25">
      <c r="B88" s="21"/>
      <c r="C88" s="20"/>
      <c r="D88" s="3"/>
      <c r="H88" s="3"/>
      <c r="I88" s="293"/>
      <c r="J88" s="66"/>
      <c r="L88" s="3"/>
      <c r="M88" s="322"/>
      <c r="P88" s="3"/>
      <c r="Q88" s="322"/>
      <c r="T88" s="44"/>
      <c r="U88" s="73"/>
      <c r="X88" s="44"/>
      <c r="Y88" s="73"/>
      <c r="AB88" s="44"/>
      <c r="AC88" s="73"/>
    </row>
    <row r="89" spans="1:29" x14ac:dyDescent="0.25">
      <c r="B89" s="21" t="s">
        <v>136</v>
      </c>
      <c r="C89" s="102"/>
      <c r="D89" s="3">
        <f>D7+D87</f>
        <v>0</v>
      </c>
      <c r="G89" s="83" t="str">
        <f>IF(D89=0,"0.00%",(H89-D89)/D89)</f>
        <v>0.00%</v>
      </c>
      <c r="H89" s="3">
        <f>H7+H87</f>
        <v>0</v>
      </c>
      <c r="I89" s="293"/>
      <c r="J89" s="66"/>
      <c r="K89" s="83" t="str">
        <f>IF(H89=0,"0.00%",(L89-H89)/H89)</f>
        <v>0.00%</v>
      </c>
      <c r="L89" s="3">
        <f>L7+L87</f>
        <v>0</v>
      </c>
      <c r="M89" s="322"/>
      <c r="O89" s="83" t="str">
        <f>IF(L89=0,"0.00%",(P89-L89)/L89)</f>
        <v>0.00%</v>
      </c>
      <c r="P89" s="3">
        <f>P7+P87</f>
        <v>0</v>
      </c>
      <c r="Q89" s="322"/>
      <c r="S89" s="83" t="str">
        <f>IF(P89=0,"0.00%",(T89-P89)/P89)</f>
        <v>0.00%</v>
      </c>
      <c r="T89" s="49">
        <f>T7+T87</f>
        <v>0</v>
      </c>
      <c r="U89" s="73"/>
      <c r="W89" s="83" t="str">
        <f>IF(T89=0,"0.00%",(X89-T89)/T89)</f>
        <v>0.00%</v>
      </c>
      <c r="X89" s="49">
        <f>X7+X87</f>
        <v>0</v>
      </c>
      <c r="Y89" s="73"/>
      <c r="AA89" s="83" t="str">
        <f>IF(X89=0,"0.00%",(AB89-X89)/X89)</f>
        <v>0.00%</v>
      </c>
      <c r="AB89" s="49" t="e">
        <f>AB7+AB87</f>
        <v>#VALUE!</v>
      </c>
      <c r="AC89" s="73"/>
    </row>
    <row r="90" spans="1:29" x14ac:dyDescent="0.25">
      <c r="C90" s="299"/>
      <c r="G90" s="330"/>
      <c r="H90" s="5"/>
      <c r="I90" s="315"/>
      <c r="J90" s="29"/>
      <c r="L90" s="5"/>
      <c r="M90" s="322"/>
      <c r="P90" s="5"/>
      <c r="Q90" s="322"/>
      <c r="T90" s="5"/>
      <c r="U90" s="73"/>
      <c r="X90" s="5"/>
      <c r="Y90" s="73"/>
      <c r="AB90" s="5"/>
      <c r="AC90" s="73"/>
    </row>
    <row r="91" spans="1:29" x14ac:dyDescent="0.25">
      <c r="C91" s="301"/>
      <c r="G91" s="330"/>
      <c r="H91" s="36"/>
      <c r="I91" s="293"/>
      <c r="J91" s="66"/>
      <c r="L91" s="2"/>
      <c r="M91" s="322"/>
      <c r="Q91" s="322"/>
      <c r="T91" s="2"/>
      <c r="U91" s="73"/>
      <c r="X91" s="2"/>
      <c r="Y91" s="73"/>
      <c r="AB91" s="2"/>
      <c r="AC91" s="73"/>
    </row>
    <row r="92" spans="1:29" x14ac:dyDescent="0.25">
      <c r="C92" s="301"/>
      <c r="G92" s="330"/>
      <c r="H92" s="36"/>
      <c r="I92" s="293"/>
      <c r="J92" s="66"/>
      <c r="L92" s="2"/>
      <c r="M92" s="322"/>
      <c r="Q92" s="322"/>
      <c r="T92" s="2"/>
      <c r="U92" s="73"/>
      <c r="X92" s="2"/>
      <c r="Y92" s="73"/>
      <c r="AB92" s="2"/>
      <c r="AC92" s="73"/>
    </row>
    <row r="93" spans="1:29" x14ac:dyDescent="0.25">
      <c r="C93" s="301"/>
      <c r="G93" s="330"/>
      <c r="H93" s="36"/>
      <c r="I93" s="293"/>
      <c r="J93" s="66"/>
      <c r="L93" s="2"/>
      <c r="M93" s="322"/>
      <c r="Q93" s="322"/>
      <c r="T93" s="2"/>
      <c r="U93" s="73"/>
      <c r="X93" s="2"/>
      <c r="Y93" s="73"/>
      <c r="AB93" s="2"/>
      <c r="AC93" s="73"/>
    </row>
    <row r="94" spans="1:29" x14ac:dyDescent="0.25">
      <c r="C94" s="301"/>
      <c r="G94" s="330"/>
      <c r="H94" s="36"/>
      <c r="I94" s="293"/>
      <c r="J94" s="66"/>
      <c r="L94" s="2"/>
      <c r="M94" s="322"/>
      <c r="Q94" s="322"/>
      <c r="T94" s="2"/>
      <c r="U94" s="73"/>
      <c r="X94" s="2"/>
      <c r="Y94" s="73"/>
      <c r="AB94" s="2"/>
      <c r="AC94" s="73"/>
    </row>
    <row r="95" spans="1:29" s="134" customFormat="1" ht="11.25" x14ac:dyDescent="0.2">
      <c r="A95" s="153"/>
      <c r="B95" s="129"/>
      <c r="C95" s="302" t="s">
        <v>221</v>
      </c>
      <c r="D95" s="131">
        <f>+D82+D66+D53+D41+D30</f>
        <v>0</v>
      </c>
      <c r="E95" s="313"/>
      <c r="G95" s="130" t="s">
        <v>221</v>
      </c>
      <c r="H95" s="131">
        <f>+H82+H66+H53+H41+H30</f>
        <v>0</v>
      </c>
      <c r="I95" s="316"/>
      <c r="J95" s="132"/>
      <c r="K95" s="130" t="s">
        <v>221</v>
      </c>
      <c r="L95" s="131">
        <f>+L82+L66+L53+L41+L30</f>
        <v>0</v>
      </c>
      <c r="M95" s="319"/>
      <c r="O95" s="130" t="s">
        <v>221</v>
      </c>
      <c r="P95" s="131">
        <f>+P82+P66+P53+P41+P30</f>
        <v>0</v>
      </c>
      <c r="Q95" s="319"/>
      <c r="R95" s="136"/>
      <c r="S95" s="130" t="s">
        <v>221</v>
      </c>
      <c r="T95" s="131">
        <f>+T82+T66+T53+T41+T30</f>
        <v>0</v>
      </c>
      <c r="U95" s="135"/>
      <c r="W95" s="130" t="s">
        <v>221</v>
      </c>
      <c r="X95" s="131">
        <f>+X82+X66+X53+X41+X30</f>
        <v>0</v>
      </c>
      <c r="Y95" s="135"/>
      <c r="AA95" s="130" t="s">
        <v>221</v>
      </c>
      <c r="AB95" s="131" t="e">
        <f>+AB82+AB66+AB53+AB41+AB30</f>
        <v>#VALUE!</v>
      </c>
      <c r="AC95" s="135"/>
    </row>
    <row r="96" spans="1:29" s="134" customFormat="1" ht="11.25" x14ac:dyDescent="0.2">
      <c r="A96" s="154"/>
      <c r="B96" s="129"/>
      <c r="C96" s="303" t="s">
        <v>222</v>
      </c>
      <c r="D96" s="139">
        <f>+D13</f>
        <v>0</v>
      </c>
      <c r="E96" s="307"/>
      <c r="F96" s="141"/>
      <c r="G96" s="331" t="s">
        <v>222</v>
      </c>
      <c r="H96" s="139">
        <f>+H13</f>
        <v>0</v>
      </c>
      <c r="I96" s="314"/>
      <c r="J96" s="140"/>
      <c r="K96" s="331" t="s">
        <v>222</v>
      </c>
      <c r="L96" s="139">
        <f>+L13</f>
        <v>0</v>
      </c>
      <c r="M96" s="319"/>
      <c r="O96" s="331" t="s">
        <v>222</v>
      </c>
      <c r="P96" s="139">
        <f>+P13</f>
        <v>0</v>
      </c>
      <c r="Q96" s="313"/>
      <c r="R96" s="136"/>
      <c r="S96" s="138" t="s">
        <v>222</v>
      </c>
      <c r="T96" s="139">
        <f>+T13</f>
        <v>0</v>
      </c>
      <c r="W96" s="138" t="s">
        <v>222</v>
      </c>
      <c r="X96" s="139">
        <f>+X13</f>
        <v>0</v>
      </c>
      <c r="AA96" s="138" t="s">
        <v>222</v>
      </c>
      <c r="AB96" s="139">
        <f>+AB13</f>
        <v>0</v>
      </c>
    </row>
    <row r="97" spans="1:28" s="134" customFormat="1" ht="11.25" x14ac:dyDescent="0.2">
      <c r="A97" s="154"/>
      <c r="B97" s="129"/>
      <c r="C97" s="303"/>
      <c r="D97" s="142">
        <f>+D95+D96</f>
        <v>0</v>
      </c>
      <c r="E97" s="307"/>
      <c r="F97" s="141"/>
      <c r="G97" s="331"/>
      <c r="H97" s="142">
        <f>+H95+H96</f>
        <v>0</v>
      </c>
      <c r="I97" s="314"/>
      <c r="J97" s="140"/>
      <c r="K97" s="331"/>
      <c r="L97" s="142">
        <f>+L95+L96</f>
        <v>0</v>
      </c>
      <c r="M97" s="313"/>
      <c r="O97" s="331"/>
      <c r="P97" s="142">
        <f>+P95+P96</f>
        <v>0</v>
      </c>
      <c r="Q97" s="313"/>
      <c r="R97" s="136"/>
      <c r="S97" s="138"/>
      <c r="T97" s="142">
        <f>+T95+T96</f>
        <v>0</v>
      </c>
      <c r="W97" s="138"/>
      <c r="X97" s="142">
        <f>+X95+X96</f>
        <v>0</v>
      </c>
      <c r="AA97" s="138"/>
      <c r="AB97" s="142" t="e">
        <f>+AB95+AB96</f>
        <v>#VALUE!</v>
      </c>
    </row>
    <row r="98" spans="1:28" ht="15" customHeight="1" x14ac:dyDescent="0.25">
      <c r="A98" s="149"/>
      <c r="B98" s="304"/>
      <c r="C98" s="304"/>
      <c r="D98" s="5">
        <f>+D85-D97</f>
        <v>0</v>
      </c>
      <c r="E98" s="290"/>
      <c r="F98" s="2"/>
      <c r="G98" s="332"/>
      <c r="H98" s="5">
        <f>+H85-H97</f>
        <v>0</v>
      </c>
      <c r="K98" s="332"/>
      <c r="L98" s="5">
        <f>+L85-L97</f>
        <v>0</v>
      </c>
      <c r="O98" s="332"/>
      <c r="P98" s="5">
        <f>+P85-P97</f>
        <v>0</v>
      </c>
      <c r="S98" s="103"/>
      <c r="T98" s="5">
        <f>+T85-T97</f>
        <v>0</v>
      </c>
      <c r="W98" s="103"/>
      <c r="X98" s="5">
        <f>+X85-X97</f>
        <v>0</v>
      </c>
      <c r="AA98" s="103"/>
      <c r="AB98" s="5" t="e">
        <f>+AB85-AB97</f>
        <v>#VALUE!</v>
      </c>
    </row>
    <row r="99" spans="1:28" x14ac:dyDescent="0.25">
      <c r="A99" s="149"/>
      <c r="B99" s="304"/>
      <c r="C99" s="304"/>
      <c r="D99" s="36"/>
      <c r="E99" s="290"/>
      <c r="F99" s="2"/>
    </row>
    <row r="100" spans="1:28" x14ac:dyDescent="0.25">
      <c r="A100" s="149"/>
      <c r="B100" s="102"/>
      <c r="C100" s="301"/>
      <c r="D100" s="25"/>
      <c r="E100" s="290"/>
      <c r="F100" s="2"/>
    </row>
    <row r="101" spans="1:28" x14ac:dyDescent="0.25">
      <c r="B101" s="102"/>
      <c r="C101" s="301"/>
      <c r="D101" s="36"/>
    </row>
    <row r="102" spans="1:28" x14ac:dyDescent="0.25">
      <c r="B102" s="102"/>
      <c r="C102" s="301"/>
      <c r="D102" s="36"/>
    </row>
    <row r="103" spans="1:28" ht="15" customHeight="1" x14ac:dyDescent="0.25">
      <c r="B103" s="102"/>
      <c r="C103" s="301"/>
      <c r="D103" s="36"/>
    </row>
    <row r="104" spans="1:28" x14ac:dyDescent="0.25">
      <c r="B104" s="102"/>
      <c r="C104" s="301"/>
      <c r="D104" s="36"/>
    </row>
    <row r="105" spans="1:28" x14ac:dyDescent="0.25">
      <c r="B105" s="102"/>
      <c r="C105" s="301"/>
      <c r="D105" s="36"/>
    </row>
    <row r="106" spans="1:28" ht="15" customHeight="1" x14ac:dyDescent="0.25">
      <c r="B106" s="2573"/>
      <c r="C106" s="2573"/>
      <c r="D106" s="36"/>
    </row>
    <row r="107" spans="1:28" x14ac:dyDescent="0.25">
      <c r="B107" s="2573"/>
      <c r="C107" s="2573"/>
      <c r="D107" s="36"/>
    </row>
    <row r="108" spans="1:28" x14ac:dyDescent="0.25">
      <c r="B108" s="102"/>
      <c r="C108" s="301"/>
      <c r="D108" s="6"/>
    </row>
    <row r="109" spans="1:28" x14ac:dyDescent="0.25">
      <c r="B109" s="102"/>
      <c r="C109" s="301"/>
      <c r="D109" s="36"/>
    </row>
    <row r="110" spans="1:28" x14ac:dyDescent="0.25">
      <c r="B110" s="102"/>
      <c r="C110" s="301"/>
      <c r="D110" s="36"/>
    </row>
    <row r="111" spans="1:28" ht="28.5" customHeight="1" x14ac:dyDescent="0.25">
      <c r="B111" s="102"/>
      <c r="C111" s="301"/>
      <c r="D111" s="25"/>
    </row>
    <row r="112" spans="1:28" x14ac:dyDescent="0.25">
      <c r="B112" s="102"/>
      <c r="C112" s="301"/>
      <c r="D112" s="36"/>
    </row>
    <row r="113" spans="2:4" x14ac:dyDescent="0.25">
      <c r="B113" s="102"/>
      <c r="C113" s="301"/>
      <c r="D113" s="36"/>
    </row>
    <row r="114" spans="2:4" x14ac:dyDescent="0.25">
      <c r="B114" s="102"/>
      <c r="C114" s="301"/>
      <c r="D114" s="36"/>
    </row>
    <row r="115" spans="2:4" x14ac:dyDescent="0.25">
      <c r="B115" s="102"/>
      <c r="C115" s="301"/>
      <c r="D115" s="36"/>
    </row>
    <row r="116" spans="2:4" x14ac:dyDescent="0.25">
      <c r="B116" s="102"/>
      <c r="C116" s="301"/>
      <c r="D116" s="36"/>
    </row>
    <row r="117" spans="2:4" x14ac:dyDescent="0.25">
      <c r="B117" s="102"/>
      <c r="C117" s="301"/>
      <c r="D117" s="36"/>
    </row>
    <row r="118" spans="2:4" x14ac:dyDescent="0.25">
      <c r="B118" s="102"/>
      <c r="C118" s="301"/>
      <c r="D118" s="36"/>
    </row>
    <row r="119" spans="2:4" x14ac:dyDescent="0.25">
      <c r="B119" s="102"/>
      <c r="C119" s="301"/>
      <c r="D119" s="36"/>
    </row>
    <row r="120" spans="2:4" x14ac:dyDescent="0.25">
      <c r="B120" s="102"/>
      <c r="C120" s="301"/>
      <c r="D120" s="36"/>
    </row>
    <row r="121" spans="2:4" x14ac:dyDescent="0.25">
      <c r="B121" s="102"/>
      <c r="C121" s="301"/>
      <c r="D121" s="36"/>
    </row>
    <row r="122" spans="2:4" x14ac:dyDescent="0.25">
      <c r="B122" s="102"/>
      <c r="C122" s="301"/>
      <c r="D122" s="36"/>
    </row>
    <row r="123" spans="2:4" x14ac:dyDescent="0.25">
      <c r="B123" s="102"/>
      <c r="C123" s="301"/>
      <c r="D123" s="36"/>
    </row>
    <row r="124" spans="2:4" x14ac:dyDescent="0.25">
      <c r="B124" s="102"/>
      <c r="C124" s="301"/>
      <c r="D124" s="36"/>
    </row>
    <row r="125" spans="2:4" x14ac:dyDescent="0.25">
      <c r="B125" s="102"/>
      <c r="C125" s="301"/>
      <c r="D125" s="36"/>
    </row>
    <row r="126" spans="2:4" x14ac:dyDescent="0.25">
      <c r="B126" s="102"/>
      <c r="C126" s="301"/>
      <c r="D126" s="36"/>
    </row>
  </sheetData>
  <mergeCells count="1">
    <mergeCell ref="B106:C107"/>
  </mergeCells>
  <pageMargins left="0.25" right="0.25" top="0.17" bottom="0.17" header="0.17" footer="0.17"/>
  <pageSetup paperSize="17" scale="39" orientation="landscape" r:id="rId1"/>
  <headerFooter>
    <oddHeader>&amp;R&amp;A</oddHeader>
    <oddFooter>&amp;L&amp;F&amp;R&amp;A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sheetPr>
  <dimension ref="A1:Z143"/>
  <sheetViews>
    <sheetView showGridLines="0" zoomScaleNormal="100" workbookViewId="0">
      <pane ySplit="3" topLeftCell="A4" activePane="bottomLeft" state="frozen"/>
      <selection activeCell="F15" sqref="F15"/>
      <selection pane="bottomLeft" activeCell="A4" sqref="A4"/>
    </sheetView>
  </sheetViews>
  <sheetFormatPr defaultColWidth="0" defaultRowHeight="15.75" zeroHeight="1" x14ac:dyDescent="0.25"/>
  <cols>
    <col min="1" max="1" width="1.28515625" style="1322" customWidth="1"/>
    <col min="2" max="3" width="2" style="1322" customWidth="1"/>
    <col min="4" max="4" width="61.85546875" style="1322" customWidth="1"/>
    <col min="5" max="5" width="1.42578125" style="177" hidden="1" customWidth="1"/>
    <col min="6" max="6" width="21.7109375" style="177" hidden="1" customWidth="1"/>
    <col min="7" max="10" width="21.7109375" style="177" customWidth="1"/>
    <col min="11" max="12" width="21.7109375" style="177" hidden="1" customWidth="1"/>
    <col min="13" max="13" width="18.7109375" style="1733" hidden="1" customWidth="1"/>
    <col min="14" max="14" width="18.7109375" style="1703" hidden="1" customWidth="1"/>
    <col min="15" max="15" width="18.7109375" style="1735" hidden="1" customWidth="1"/>
    <col min="16" max="16" width="13.140625" style="1698" hidden="1" customWidth="1"/>
    <col min="17" max="17" width="18.7109375" style="1735" hidden="1" customWidth="1"/>
    <col min="18" max="18" width="12.7109375" style="1603" hidden="1" customWidth="1"/>
    <col min="19" max="20" width="5.42578125" style="233" hidden="1" customWidth="1"/>
    <col min="21" max="24" width="20.140625" style="1396" hidden="1" customWidth="1"/>
    <col min="25" max="25" width="18.5703125" style="629" hidden="1" customWidth="1"/>
    <col min="26" max="26" width="30.85546875" style="186" hidden="1" customWidth="1"/>
    <col min="27" max="16384" width="9.140625" style="186" hidden="1"/>
  </cols>
  <sheetData>
    <row r="1" spans="1:26" ht="8.1" customHeight="1" thickBot="1" x14ac:dyDescent="0.3"/>
    <row r="2" spans="1:26" s="192" customFormat="1" ht="18" customHeight="1" thickTop="1" x14ac:dyDescent="0.25">
      <c r="A2" s="2550" t="s">
        <v>1071</v>
      </c>
      <c r="B2" s="2551"/>
      <c r="C2" s="2551"/>
      <c r="D2" s="2551"/>
      <c r="E2" s="1373" t="s">
        <v>395</v>
      </c>
      <c r="F2" s="1368" t="str">
        <f t="shared" ref="F2:L2" si="0">LEFT(E2,4)+1&amp;"-"&amp;RIGHT(E2,4)+1</f>
        <v>2016-2017</v>
      </c>
      <c r="G2" s="1368" t="str">
        <f>LEFT(F2,4)+1&amp;"-"&amp;RIGHT(F2,4)+1</f>
        <v>2017-2018</v>
      </c>
      <c r="H2" s="1374" t="str">
        <f t="shared" si="0"/>
        <v>2018-2019</v>
      </c>
      <c r="I2" s="1375" t="str">
        <f t="shared" si="0"/>
        <v>2019-2020</v>
      </c>
      <c r="J2" s="1375" t="str">
        <f t="shared" si="0"/>
        <v>2020-2021</v>
      </c>
      <c r="K2" s="1376" t="str">
        <f t="shared" si="0"/>
        <v>2021-2022</v>
      </c>
      <c r="L2" s="1375" t="str">
        <f t="shared" si="0"/>
        <v>2022-2023</v>
      </c>
      <c r="M2" s="1719"/>
      <c r="N2" s="1704"/>
      <c r="O2" s="1734"/>
      <c r="P2" s="1706"/>
      <c r="Q2" s="1734"/>
      <c r="R2" s="1705"/>
      <c r="S2" s="191"/>
      <c r="T2" s="191"/>
      <c r="U2" s="1394"/>
      <c r="V2" s="1394"/>
      <c r="W2" s="1394"/>
      <c r="X2" s="1394"/>
      <c r="Y2" s="790"/>
    </row>
    <row r="3" spans="1:26" s="192" customFormat="1" ht="36" x14ac:dyDescent="0.25">
      <c r="A3" s="2552"/>
      <c r="B3" s="2553"/>
      <c r="C3" s="2553"/>
      <c r="D3" s="2553"/>
      <c r="E3" s="1377"/>
      <c r="F3" s="1573" t="str">
        <f>+UNRESTRICTED!F3</f>
        <v>Actuals</v>
      </c>
      <c r="G3" s="1573" t="str">
        <f>+UNRESTRICTED!G3</f>
        <v>Estimated Actuals</v>
      </c>
      <c r="H3" s="1687" t="str">
        <f>+UNRESTRICTED!H3</f>
        <v>PROPOSED BUDGET</v>
      </c>
      <c r="I3" s="1887" t="str">
        <f>+UNRESTRICTED!I3</f>
        <v>Projections</v>
      </c>
      <c r="J3" s="1887" t="str">
        <f>+UNRESTRICTED!J3</f>
        <v>Projections</v>
      </c>
      <c r="K3" s="1378" t="s">
        <v>859</v>
      </c>
      <c r="L3" s="1574" t="s">
        <v>859</v>
      </c>
      <c r="M3" s="1719"/>
      <c r="N3" s="1704"/>
      <c r="O3" s="1734"/>
      <c r="P3" s="1706"/>
      <c r="Q3" s="1734"/>
      <c r="R3" s="1705"/>
      <c r="S3" s="191"/>
      <c r="T3" s="191"/>
      <c r="U3" s="1394"/>
      <c r="V3" s="1394"/>
      <c r="W3" s="1394"/>
      <c r="X3" s="1394"/>
      <c r="Y3" s="790"/>
    </row>
    <row r="4" spans="1:26" s="192" customFormat="1" ht="18" x14ac:dyDescent="0.25">
      <c r="A4" s="1185"/>
      <c r="B4" s="1194"/>
      <c r="C4" s="1194"/>
      <c r="D4" s="1194"/>
      <c r="E4" s="193"/>
      <c r="F4" s="1065"/>
      <c r="G4" s="2056"/>
      <c r="H4" s="2076"/>
      <c r="I4" s="2067"/>
      <c r="J4" s="1098"/>
      <c r="K4" s="697"/>
      <c r="L4" s="1098"/>
      <c r="M4" s="1720"/>
      <c r="N4" s="1703"/>
      <c r="O4" s="1735"/>
      <c r="P4" s="1698"/>
      <c r="Q4" s="1735"/>
      <c r="R4" s="1603"/>
      <c r="S4" s="194"/>
      <c r="T4" s="194"/>
      <c r="U4" s="1394"/>
      <c r="V4" s="1394"/>
      <c r="W4" s="1394"/>
      <c r="X4" s="1394"/>
      <c r="Y4" s="790"/>
    </row>
    <row r="5" spans="1:26" s="192" customFormat="1" ht="16.5" customHeight="1" x14ac:dyDescent="0.25">
      <c r="A5" s="1185"/>
      <c r="B5" s="1193" t="s">
        <v>344</v>
      </c>
      <c r="C5" s="1194"/>
      <c r="D5" s="1194"/>
      <c r="E5" s="195"/>
      <c r="F5" s="1065"/>
      <c r="G5" s="2057"/>
      <c r="H5" s="2076"/>
      <c r="I5" s="2068"/>
      <c r="J5" s="1098"/>
      <c r="K5" s="698"/>
      <c r="L5" s="1098"/>
      <c r="M5" s="1721"/>
      <c r="N5" s="1707"/>
      <c r="O5" s="1736"/>
      <c r="P5" s="1709"/>
      <c r="Q5" s="1736"/>
      <c r="R5" s="1708"/>
      <c r="S5" s="194"/>
      <c r="T5" s="194"/>
      <c r="U5" s="2549" t="s">
        <v>857</v>
      </c>
      <c r="V5" s="2549"/>
      <c r="W5" s="2549"/>
      <c r="X5" s="2549"/>
      <c r="Y5" s="790"/>
    </row>
    <row r="6" spans="1:26" s="192" customFormat="1" ht="16.5" customHeight="1" x14ac:dyDescent="0.25">
      <c r="A6" s="1277"/>
      <c r="B6" s="1278"/>
      <c r="C6" s="1278" t="s">
        <v>345</v>
      </c>
      <c r="D6" s="1278"/>
      <c r="E6" s="696">
        <f>+UNRESTRICTED!E6+RESTRICTED!E6</f>
        <v>0</v>
      </c>
      <c r="F6" s="1066">
        <f>+UNRESTRICTED!F6+RESTRICTED!F6</f>
        <v>65188597.060000002</v>
      </c>
      <c r="G6" s="2007">
        <f>+UNRESTRICTED!G6+RESTRICTED!G6</f>
        <v>66271302</v>
      </c>
      <c r="H6" s="2077">
        <f>+UNRESTRICTED!H6+RESTRICTED!H6</f>
        <v>69990265</v>
      </c>
      <c r="I6" s="2069">
        <f>+UNRESTRICTED!I6+RESTRICTED!I6</f>
        <v>71729875</v>
      </c>
      <c r="J6" s="1099">
        <f>+UNRESTRICTED!J6+RESTRICTED!J6</f>
        <v>73217810</v>
      </c>
      <c r="K6" s="699">
        <f>+UNRESTRICTED!K6+RESTRICTED!K6</f>
        <v>75135749.640399992</v>
      </c>
      <c r="L6" s="1099">
        <f>+UNRESTRICTED!L6+RESTRICTED!L6</f>
        <v>77104706.475234628</v>
      </c>
      <c r="M6" s="1722">
        <f>+G6-F6</f>
        <v>1082704.9399999976</v>
      </c>
      <c r="N6" s="1699">
        <f>IFERROR(M6/F6,0)</f>
        <v>1.6608808730819425E-2</v>
      </c>
      <c r="O6" s="1722">
        <f>+H6-G6</f>
        <v>3718963</v>
      </c>
      <c r="P6" s="1699">
        <f>IFERROR(O6/G6,0)</f>
        <v>5.6117246647726944E-2</v>
      </c>
      <c r="Q6" s="1722">
        <f>+I6-H6</f>
        <v>1739610</v>
      </c>
      <c r="R6" s="1699">
        <f>IFERROR(Q6/H6,0)</f>
        <v>2.4855028052829919E-2</v>
      </c>
      <c r="S6" s="197"/>
      <c r="T6" s="197"/>
      <c r="U6" s="1395">
        <f>+F6-UNRESTRICTED!F6-RESTRICTED!F6</f>
        <v>0</v>
      </c>
      <c r="V6" s="1395">
        <f>+G6-UNRESTRICTED!G6-RESTRICTED!G6</f>
        <v>0</v>
      </c>
      <c r="W6" s="1395">
        <f>+H6-UNRESTRICTED!H6-RESTRICTED!H6</f>
        <v>0</v>
      </c>
      <c r="X6" s="1395">
        <f>+I6-UNRESTRICTED!I6-RESTRICTED!I6</f>
        <v>0</v>
      </c>
      <c r="Y6" s="790"/>
    </row>
    <row r="7" spans="1:26" s="192" customFormat="1" ht="16.5" customHeight="1" x14ac:dyDescent="0.25">
      <c r="A7" s="1175"/>
      <c r="B7" s="739"/>
      <c r="C7" s="739"/>
      <c r="D7" s="1179" t="str">
        <f>+UNRESTRICTED!D7</f>
        <v>Estimated Increase in ADA</v>
      </c>
      <c r="E7" s="618"/>
      <c r="F7" s="1329">
        <f>+UNRESTRICTED!F7</f>
        <v>0</v>
      </c>
      <c r="G7" s="2058">
        <f>+UNRESTRICTED!G7</f>
        <v>0</v>
      </c>
      <c r="H7" s="2078">
        <f>+UNRESTRICTED!H7</f>
        <v>0</v>
      </c>
      <c r="I7" s="1917">
        <f>+UNRESTRICTED!I7</f>
        <v>0</v>
      </c>
      <c r="J7" s="1330">
        <f>+UNRESTRICTED!J7</f>
        <v>0</v>
      </c>
      <c r="K7" s="648"/>
      <c r="L7" s="1330"/>
      <c r="M7" s="1722">
        <f>+G7-F7</f>
        <v>0</v>
      </c>
      <c r="N7" s="1699">
        <f t="shared" ref="N7:N14" si="1">IFERROR(M7/F7,0)</f>
        <v>0</v>
      </c>
      <c r="O7" s="1722">
        <f>+H7-G7</f>
        <v>0</v>
      </c>
      <c r="P7" s="1699">
        <f t="shared" ref="P7:P14" si="2">IFERROR(O7/G7,0)</f>
        <v>0</v>
      </c>
      <c r="Q7" s="1722">
        <f t="shared" ref="Q7:Q14" si="3">+I7-H7</f>
        <v>0</v>
      </c>
      <c r="R7" s="1699">
        <f t="shared" ref="R7:R14" si="4">IFERROR(Q7/H7,0)</f>
        <v>0</v>
      </c>
      <c r="S7" s="197"/>
      <c r="T7" s="197"/>
      <c r="U7" s="1395">
        <f>+F7-UNRESTRICTED!F7-RESTRICTED!F7</f>
        <v>0</v>
      </c>
      <c r="V7" s="1395">
        <f>+G7-UNRESTRICTED!G7-RESTRICTED!G7</f>
        <v>0</v>
      </c>
      <c r="W7" s="1395">
        <f>+H7-UNRESTRICTED!H7-RESTRICTED!H7</f>
        <v>0</v>
      </c>
      <c r="X7" s="1395">
        <f>+I7-UNRESTRICTED!I7-RESTRICTED!I7</f>
        <v>0</v>
      </c>
      <c r="Y7" s="790"/>
      <c r="Z7" s="790"/>
    </row>
    <row r="8" spans="1:26" s="192" customFormat="1" ht="16.5" customHeight="1" x14ac:dyDescent="0.25">
      <c r="A8" s="1177"/>
      <c r="B8" s="731"/>
      <c r="C8" s="731" t="s">
        <v>346</v>
      </c>
      <c r="D8" s="731"/>
      <c r="E8" s="619">
        <f>UNRESTRICTED!E8+RESTRICTED!E8</f>
        <v>0</v>
      </c>
      <c r="F8" s="1067">
        <f>UNRESTRICTED!F8+RESTRICTED!F8</f>
        <v>3501352.5900000003</v>
      </c>
      <c r="G8" s="1893">
        <f>UNRESTRICTED!G8+RESTRICTED!G8</f>
        <v>3987905.81</v>
      </c>
      <c r="H8" s="2079">
        <f>UNRESTRICTED!H8+RESTRICTED!H8</f>
        <v>3902172</v>
      </c>
      <c r="I8" s="1918">
        <f>UNRESTRICTED!I8+RESTRICTED!I8</f>
        <v>3957778</v>
      </c>
      <c r="J8" s="1100">
        <f>UNRESTRICTED!J8+RESTRICTED!J8</f>
        <v>3960620</v>
      </c>
      <c r="K8" s="647" t="e">
        <f>UNRESTRICTED!K8+RESTRICTED!K8</f>
        <v>#REF!</v>
      </c>
      <c r="L8" s="1100" t="e">
        <f>UNRESTRICTED!L8+RESTRICTED!L8</f>
        <v>#REF!</v>
      </c>
      <c r="M8" s="1722">
        <f t="shared" ref="M8:M14" si="5">+G8-F8</f>
        <v>486553.21999999974</v>
      </c>
      <c r="N8" s="1699">
        <f t="shared" si="1"/>
        <v>0.13896150344572972</v>
      </c>
      <c r="O8" s="1722">
        <f>+H8-G8</f>
        <v>-85733.810000000056</v>
      </c>
      <c r="P8" s="1699">
        <f t="shared" si="2"/>
        <v>-2.1498454097139283E-2</v>
      </c>
      <c r="Q8" s="1722">
        <f t="shared" si="3"/>
        <v>55606</v>
      </c>
      <c r="R8" s="1699">
        <f t="shared" si="4"/>
        <v>1.4250012557109221E-2</v>
      </c>
      <c r="S8" s="198"/>
      <c r="T8" s="198"/>
      <c r="U8" s="1395">
        <f>+F8-UNRESTRICTED!F8-RESTRICTED!F8</f>
        <v>0</v>
      </c>
      <c r="V8" s="1395">
        <f>+G8-UNRESTRICTED!G8-RESTRICTED!G8</f>
        <v>0</v>
      </c>
      <c r="W8" s="1395">
        <f>+H8-UNRESTRICTED!H8-RESTRICTED!H8</f>
        <v>0</v>
      </c>
      <c r="X8" s="1395">
        <f>+I8-UNRESTRICTED!I8-RESTRICTED!I8</f>
        <v>0</v>
      </c>
      <c r="Y8" s="790"/>
    </row>
    <row r="9" spans="1:26" s="201" customFormat="1" ht="16.5" customHeight="1" x14ac:dyDescent="0.25">
      <c r="A9" s="1279"/>
      <c r="B9" s="1179"/>
      <c r="C9" s="1179"/>
      <c r="D9" s="1179" t="s">
        <v>378</v>
      </c>
      <c r="E9" s="620">
        <f>RESTRICTED!E9</f>
        <v>0</v>
      </c>
      <c r="F9" s="1068">
        <f>RESTRICTED!F9</f>
        <v>1102146.6500000001</v>
      </c>
      <c r="G9" s="1892">
        <f>RESTRICTED!G9</f>
        <v>750726.19</v>
      </c>
      <c r="H9" s="2080">
        <f>RESTRICTED!H9</f>
        <v>470603</v>
      </c>
      <c r="I9" s="1917">
        <f>RESTRICTED!I9</f>
        <v>0</v>
      </c>
      <c r="J9" s="1101">
        <f>RESTRICTED!J9</f>
        <v>0</v>
      </c>
      <c r="K9" s="648">
        <f>RESTRICTED!K9</f>
        <v>0</v>
      </c>
      <c r="L9" s="1101">
        <f>RESTRICTED!L9</f>
        <v>0</v>
      </c>
      <c r="M9" s="1722">
        <f t="shared" si="5"/>
        <v>-351420.4600000002</v>
      </c>
      <c r="N9" s="1699">
        <f t="shared" si="1"/>
        <v>-0.3188509079077636</v>
      </c>
      <c r="O9" s="1722">
        <f t="shared" ref="O9:O14" si="6">+H9-G9</f>
        <v>-280123.18999999994</v>
      </c>
      <c r="P9" s="1699">
        <f t="shared" si="2"/>
        <v>-0.37313629620407934</v>
      </c>
      <c r="Q9" s="1722">
        <f t="shared" si="3"/>
        <v>-470603</v>
      </c>
      <c r="R9" s="1699">
        <f t="shared" si="4"/>
        <v>-1</v>
      </c>
      <c r="S9" s="200"/>
      <c r="T9" s="200"/>
      <c r="U9" s="1395">
        <f>+F9-UNRESTRICTED!F9-RESTRICTED!F9</f>
        <v>0</v>
      </c>
      <c r="V9" s="1395">
        <f>+G9-UNRESTRICTED!G9-RESTRICTED!G9</f>
        <v>0</v>
      </c>
      <c r="W9" s="1395">
        <f>+H9-UNRESTRICTED!H9-RESTRICTED!H9</f>
        <v>0</v>
      </c>
      <c r="X9" s="1395">
        <f>+I9-UNRESTRICTED!I9-RESTRICTED!I9</f>
        <v>0</v>
      </c>
      <c r="Y9" s="791"/>
    </row>
    <row r="10" spans="1:26" s="192" customFormat="1" ht="16.5" customHeight="1" x14ac:dyDescent="0.25">
      <c r="A10" s="1177"/>
      <c r="B10" s="731"/>
      <c r="C10" s="731" t="s">
        <v>347</v>
      </c>
      <c r="D10" s="731"/>
      <c r="E10" s="619">
        <f>UNRESTRICTED!E10+RESTRICTED!E10</f>
        <v>0</v>
      </c>
      <c r="F10" s="1067">
        <f>UNRESTRICTED!F10+RESTRICTED!F10</f>
        <v>2046858.88</v>
      </c>
      <c r="G10" s="1893">
        <f>UNRESTRICTED!G10+RESTRICTED!G10</f>
        <v>2100527.6</v>
      </c>
      <c r="H10" s="2079">
        <f>UNRESTRICTED!H10+RESTRICTED!H10</f>
        <v>2025974</v>
      </c>
      <c r="I10" s="1918">
        <f>UNRESTRICTED!I10+RESTRICTED!I10</f>
        <v>2071045</v>
      </c>
      <c r="J10" s="1100">
        <f>UNRESTRICTED!J10+RESTRICTED!J10</f>
        <v>2094215</v>
      </c>
      <c r="K10" s="647" t="e">
        <f>UNRESTRICTED!K10+RESTRICTED!K10</f>
        <v>#REF!</v>
      </c>
      <c r="L10" s="1100" t="e">
        <f>UNRESTRICTED!L10+RESTRICTED!L10</f>
        <v>#REF!</v>
      </c>
      <c r="M10" s="1722">
        <f t="shared" si="5"/>
        <v>53668.720000000205</v>
      </c>
      <c r="N10" s="1699">
        <f t="shared" si="1"/>
        <v>2.6220039165572671E-2</v>
      </c>
      <c r="O10" s="1722">
        <f t="shared" si="6"/>
        <v>-74553.600000000093</v>
      </c>
      <c r="P10" s="1699">
        <f t="shared" si="2"/>
        <v>-3.5492797142965458E-2</v>
      </c>
      <c r="Q10" s="1722">
        <f t="shared" si="3"/>
        <v>45071</v>
      </c>
      <c r="R10" s="1699">
        <f t="shared" si="4"/>
        <v>2.2246583618545944E-2</v>
      </c>
      <c r="S10" s="198"/>
      <c r="T10" s="198"/>
      <c r="U10" s="1395">
        <f>+F10-UNRESTRICTED!F10-RESTRICTED!F10</f>
        <v>0</v>
      </c>
      <c r="V10" s="1395">
        <f>+G10-UNRESTRICTED!G10-RESTRICTED!G10</f>
        <v>0</v>
      </c>
      <c r="W10" s="1395">
        <f>+H10-UNRESTRICTED!H10-RESTRICTED!H10</f>
        <v>0</v>
      </c>
      <c r="X10" s="1395">
        <f>+I10-UNRESTRICTED!I10-RESTRICTED!I10</f>
        <v>0</v>
      </c>
      <c r="Y10" s="790"/>
    </row>
    <row r="11" spans="1:26" s="201" customFormat="1" ht="16.5" customHeight="1" x14ac:dyDescent="0.25">
      <c r="A11" s="1279"/>
      <c r="B11" s="1179"/>
      <c r="C11" s="1179"/>
      <c r="D11" s="1179" t="s">
        <v>386</v>
      </c>
      <c r="E11" s="620">
        <f>UNRESTRICTED!E11+RESTRICTED!E11</f>
        <v>0</v>
      </c>
      <c r="F11" s="1068">
        <f>UNRESTRICTED!F11+RESTRICTED!F11</f>
        <v>2154402</v>
      </c>
      <c r="G11" s="1892">
        <f>UNRESTRICTED!G11+RESTRICTED!G11</f>
        <v>1584683</v>
      </c>
      <c r="H11" s="2080">
        <f>UNRESTRICTED!H11+RESTRICTED!H11</f>
        <v>2654872</v>
      </c>
      <c r="I11" s="1917">
        <f>UNRESTRICTED!I11+RESTRICTED!I11</f>
        <v>0</v>
      </c>
      <c r="J11" s="1101">
        <f>UNRESTRICTED!J11+RESTRICTED!J11</f>
        <v>0</v>
      </c>
      <c r="K11" s="648">
        <f>UNRESTRICTED!K11+RESTRICTED!K11</f>
        <v>0</v>
      </c>
      <c r="L11" s="1101">
        <f>UNRESTRICTED!L11+RESTRICTED!L11</f>
        <v>0</v>
      </c>
      <c r="M11" s="1722">
        <f>+G11-F11</f>
        <v>-569719</v>
      </c>
      <c r="N11" s="1699">
        <f t="shared" si="1"/>
        <v>-0.26444414737825161</v>
      </c>
      <c r="O11" s="1722">
        <f t="shared" si="6"/>
        <v>1070189</v>
      </c>
      <c r="P11" s="1699">
        <f t="shared" si="2"/>
        <v>0.67533317389029857</v>
      </c>
      <c r="Q11" s="1722">
        <f t="shared" si="3"/>
        <v>-2654872</v>
      </c>
      <c r="R11" s="1699">
        <f t="shared" si="4"/>
        <v>-1</v>
      </c>
      <c r="S11" s="200"/>
      <c r="T11" s="200"/>
      <c r="U11" s="1395">
        <f>+F11-UNRESTRICTED!F11-RESTRICTED!F11</f>
        <v>0</v>
      </c>
      <c r="V11" s="1395">
        <f>+G11-UNRESTRICTED!G11-RESTRICTED!G11</f>
        <v>0</v>
      </c>
      <c r="W11" s="1395">
        <f>+H11-UNRESTRICTED!H11-RESTRICTED!H11</f>
        <v>0</v>
      </c>
      <c r="X11" s="1395">
        <f>+I11-UNRESTRICTED!I11-RESTRICTED!I11</f>
        <v>0</v>
      </c>
      <c r="Y11" s="791"/>
    </row>
    <row r="12" spans="1:26" s="192" customFormat="1" ht="16.5" customHeight="1" x14ac:dyDescent="0.25">
      <c r="A12" s="1177"/>
      <c r="B12" s="731"/>
      <c r="C12" s="731" t="s">
        <v>349</v>
      </c>
      <c r="D12" s="731"/>
      <c r="E12" s="619">
        <f>UNRESTRICTED!E12+RESTRICTED!E12</f>
        <v>0</v>
      </c>
      <c r="F12" s="1067">
        <f>UNRESTRICTED!F12+RESTRICTED!F12</f>
        <v>4067078.7699999996</v>
      </c>
      <c r="G12" s="1893">
        <f>UNRESTRICTED!G12+RESTRICTED!G12</f>
        <v>3911984</v>
      </c>
      <c r="H12" s="2079">
        <f>UNRESTRICTED!H12+RESTRICTED!H12</f>
        <v>4436479</v>
      </c>
      <c r="I12" s="1918">
        <f>UNRESTRICTED!I12+RESTRICTED!I12</f>
        <v>4550032</v>
      </c>
      <c r="J12" s="1100">
        <f>UNRESTRICTED!J12+RESTRICTED!J12</f>
        <v>4654050.0771000003</v>
      </c>
      <c r="K12" s="647">
        <f>UNRESTRICTED!K12+RESTRICTED!K12</f>
        <v>4654050.0771000003</v>
      </c>
      <c r="L12" s="1100">
        <f>UNRESTRICTED!L12+RESTRICTED!L12</f>
        <v>4654050.0771000003</v>
      </c>
      <c r="M12" s="1722">
        <f t="shared" si="5"/>
        <v>-155094.76999999955</v>
      </c>
      <c r="N12" s="1699">
        <f t="shared" si="1"/>
        <v>-3.8134193796300522E-2</v>
      </c>
      <c r="O12" s="1722">
        <f t="shared" si="6"/>
        <v>524495</v>
      </c>
      <c r="P12" s="1699">
        <f t="shared" si="2"/>
        <v>0.13407391236773974</v>
      </c>
      <c r="Q12" s="1722">
        <f t="shared" si="3"/>
        <v>113553</v>
      </c>
      <c r="R12" s="1699">
        <f t="shared" si="4"/>
        <v>2.5595297532119504E-2</v>
      </c>
      <c r="S12" s="198"/>
      <c r="T12" s="198"/>
      <c r="U12" s="1395">
        <f>+F12-UNRESTRICTED!F12-RESTRICTED!F12</f>
        <v>0</v>
      </c>
      <c r="V12" s="1395">
        <f>+G12-UNRESTRICTED!G12-RESTRICTED!G12</f>
        <v>0</v>
      </c>
      <c r="W12" s="1395">
        <f>+H12-UNRESTRICTED!H12-RESTRICTED!H12</f>
        <v>0</v>
      </c>
      <c r="X12" s="1395">
        <f>+I12-UNRESTRICTED!I12-RESTRICTED!I12</f>
        <v>0</v>
      </c>
      <c r="Y12" s="790"/>
    </row>
    <row r="13" spans="1:26" s="201" customFormat="1" ht="16.5" customHeight="1" x14ac:dyDescent="0.25">
      <c r="A13" s="1280"/>
      <c r="B13" s="1281"/>
      <c r="C13" s="1281"/>
      <c r="D13" s="1281" t="s">
        <v>387</v>
      </c>
      <c r="E13" s="725">
        <f>+UNRESTRICTED!E13</f>
        <v>0</v>
      </c>
      <c r="F13" s="1069">
        <f>+UNRESTRICTED!F13</f>
        <v>807000</v>
      </c>
      <c r="G13" s="2059">
        <f>+UNRESTRICTED!G13</f>
        <v>803000</v>
      </c>
      <c r="H13" s="2081">
        <f>+UNRESTRICTED!H13</f>
        <v>0</v>
      </c>
      <c r="I13" s="2070">
        <f>+UNRESTRICTED!I13</f>
        <v>0</v>
      </c>
      <c r="J13" s="1102">
        <f>+UNRESTRICTED!J13</f>
        <v>0</v>
      </c>
      <c r="K13" s="726">
        <f>+UNRESTRICTED!K13</f>
        <v>0</v>
      </c>
      <c r="L13" s="1102">
        <f>+UNRESTRICTED!L13</f>
        <v>0</v>
      </c>
      <c r="M13" s="1722">
        <f t="shared" si="5"/>
        <v>-4000</v>
      </c>
      <c r="N13" s="1699">
        <f t="shared" si="1"/>
        <v>-4.9566294919454771E-3</v>
      </c>
      <c r="O13" s="1722">
        <f t="shared" si="6"/>
        <v>-803000</v>
      </c>
      <c r="P13" s="1699">
        <f t="shared" si="2"/>
        <v>-1</v>
      </c>
      <c r="Q13" s="1722">
        <f t="shared" si="3"/>
        <v>0</v>
      </c>
      <c r="R13" s="1699">
        <f t="shared" si="4"/>
        <v>0</v>
      </c>
      <c r="S13" s="200"/>
      <c r="T13" s="200"/>
      <c r="U13" s="1395">
        <f>+F13-UNRESTRICTED!F13-RESTRICTED!F13</f>
        <v>0</v>
      </c>
      <c r="V13" s="1395">
        <f>+G13-UNRESTRICTED!G13-RESTRICTED!G13</f>
        <v>0</v>
      </c>
      <c r="W13" s="1395">
        <f>+H13-UNRESTRICTED!H13-RESTRICTED!H13</f>
        <v>0</v>
      </c>
      <c r="X13" s="1395">
        <f>+I13-UNRESTRICTED!I13-RESTRICTED!I13</f>
        <v>0</v>
      </c>
      <c r="Y13" s="791"/>
    </row>
    <row r="14" spans="1:26" s="192" customFormat="1" ht="16.5" customHeight="1" thickBot="1" x14ac:dyDescent="0.3">
      <c r="A14" s="1183"/>
      <c r="B14" s="1184" t="s">
        <v>350</v>
      </c>
      <c r="C14" s="1184"/>
      <c r="D14" s="1184"/>
      <c r="E14" s="641">
        <f>SUM(E6:E13)</f>
        <v>0</v>
      </c>
      <c r="F14" s="1070">
        <f>SUM(F6:F13)</f>
        <v>78867435.950000003</v>
      </c>
      <c r="G14" s="1894">
        <f t="shared" ref="G14:L14" si="7">SUM(G6:G13)</f>
        <v>79410128.599999994</v>
      </c>
      <c r="H14" s="2082">
        <f t="shared" si="7"/>
        <v>83480365</v>
      </c>
      <c r="I14" s="1920">
        <f>SUM(I6:I13)</f>
        <v>82308730</v>
      </c>
      <c r="J14" s="1103">
        <f>SUM(J6:J13)</f>
        <v>83926695.077099994</v>
      </c>
      <c r="K14" s="654" t="e">
        <f t="shared" si="7"/>
        <v>#REF!</v>
      </c>
      <c r="L14" s="1103" t="e">
        <f t="shared" si="7"/>
        <v>#REF!</v>
      </c>
      <c r="M14" s="1722">
        <f t="shared" si="5"/>
        <v>542692.64999999106</v>
      </c>
      <c r="N14" s="1699">
        <f t="shared" si="1"/>
        <v>6.8810738356454839E-3</v>
      </c>
      <c r="O14" s="1722">
        <f t="shared" si="6"/>
        <v>4070236.400000006</v>
      </c>
      <c r="P14" s="1699">
        <f t="shared" si="2"/>
        <v>5.1255884756242619E-2</v>
      </c>
      <c r="Q14" s="1722">
        <f t="shared" si="3"/>
        <v>-1171635</v>
      </c>
      <c r="R14" s="1699">
        <f t="shared" si="4"/>
        <v>-1.4034857178691061E-2</v>
      </c>
      <c r="S14" s="197"/>
      <c r="T14" s="197"/>
      <c r="U14" s="1395">
        <f>+F14-UNRESTRICTED!F14-RESTRICTED!F14</f>
        <v>0</v>
      </c>
      <c r="V14" s="1395">
        <f>+G14-UNRESTRICTED!G14-RESTRICTED!G14</f>
        <v>0</v>
      </c>
      <c r="W14" s="1395">
        <f>+H14-UNRESTRICTED!H14-RESTRICTED!H14</f>
        <v>0</v>
      </c>
      <c r="X14" s="1395">
        <f>+I14-UNRESTRICTED!I14-RESTRICTED!I14</f>
        <v>0</v>
      </c>
      <c r="Y14" s="790"/>
    </row>
    <row r="15" spans="1:26" s="192" customFormat="1" ht="18.75" thickTop="1" x14ac:dyDescent="0.25">
      <c r="A15" s="1335"/>
      <c r="B15" s="1194"/>
      <c r="C15" s="1194"/>
      <c r="D15" s="1194"/>
      <c r="E15" s="183"/>
      <c r="F15" s="1071"/>
      <c r="G15" s="2002"/>
      <c r="H15" s="2083"/>
      <c r="I15" s="2018"/>
      <c r="J15" s="1104"/>
      <c r="K15" s="652"/>
      <c r="L15" s="1104"/>
      <c r="M15" s="1722"/>
      <c r="N15" s="1699"/>
      <c r="O15" s="1722"/>
      <c r="P15" s="1699"/>
      <c r="Q15" s="1722"/>
      <c r="R15" s="1699"/>
      <c r="S15" s="203"/>
      <c r="T15" s="203"/>
      <c r="U15" s="1395">
        <f>+F15-UNRESTRICTED!F15-RESTRICTED!F15</f>
        <v>0</v>
      </c>
      <c r="V15" s="1395">
        <f>+G15-UNRESTRICTED!G15-RESTRICTED!G15</f>
        <v>0</v>
      </c>
      <c r="W15" s="1395">
        <f>+H15-UNRESTRICTED!H15-RESTRICTED!H15</f>
        <v>0</v>
      </c>
      <c r="X15" s="1395">
        <f>+I15-UNRESTRICTED!I15-RESTRICTED!I15</f>
        <v>0</v>
      </c>
      <c r="Y15" s="790"/>
    </row>
    <row r="16" spans="1:26" s="192" customFormat="1" ht="18" x14ac:dyDescent="0.25">
      <c r="A16" s="1175"/>
      <c r="B16" s="1176" t="s">
        <v>702</v>
      </c>
      <c r="C16" s="739"/>
      <c r="D16" s="739"/>
      <c r="E16" s="729"/>
      <c r="F16" s="1072"/>
      <c r="G16" s="2060"/>
      <c r="H16" s="2084"/>
      <c r="I16" s="2071"/>
      <c r="J16" s="1105"/>
      <c r="K16" s="730"/>
      <c r="L16" s="1105"/>
      <c r="M16" s="1722"/>
      <c r="N16" s="1699"/>
      <c r="O16" s="1722"/>
      <c r="P16" s="1699"/>
      <c r="Q16" s="1722"/>
      <c r="R16" s="1699"/>
      <c r="S16" s="203"/>
      <c r="T16" s="203"/>
      <c r="U16" s="1395">
        <f>+F16-UNRESTRICTED!F16-RESTRICTED!F16</f>
        <v>0</v>
      </c>
      <c r="V16" s="1395">
        <f>+G16-UNRESTRICTED!G16-RESTRICTED!G16</f>
        <v>0</v>
      </c>
      <c r="W16" s="1395">
        <f>+H16-UNRESTRICTED!H16-RESTRICTED!H16</f>
        <v>0</v>
      </c>
      <c r="X16" s="1395">
        <f>+I16-UNRESTRICTED!I16-RESTRICTED!I16</f>
        <v>0</v>
      </c>
      <c r="Y16" s="790"/>
    </row>
    <row r="17" spans="1:26" s="192" customFormat="1" ht="18" x14ac:dyDescent="0.25">
      <c r="A17" s="1177"/>
      <c r="B17" s="731"/>
      <c r="C17" s="731" t="s">
        <v>361</v>
      </c>
      <c r="D17" s="731"/>
      <c r="E17" s="626">
        <f>+UNRESTRICTED!E17+RESTRICTED!E17</f>
        <v>0</v>
      </c>
      <c r="F17" s="1073">
        <f>+UNRESTRICTED!F17+RESTRICTED!F17</f>
        <v>0</v>
      </c>
      <c r="G17" s="2003">
        <f>+UNRESTRICTED!G17+RESTRICTED!G17</f>
        <v>2671070</v>
      </c>
      <c r="H17" s="2085">
        <f>+UNRESTRICTED!H17+RESTRICTED!H17</f>
        <v>0</v>
      </c>
      <c r="I17" s="2019">
        <f>+UNRESTRICTED!I17+RESTRICTED!I17</f>
        <v>0</v>
      </c>
      <c r="J17" s="1106">
        <f>+UNRESTRICTED!J17+RESTRICTED!J17</f>
        <v>0</v>
      </c>
      <c r="K17" s="646">
        <f>+UNRESTRICTED!K17+RESTRICTED!K17</f>
        <v>0</v>
      </c>
      <c r="L17" s="1106">
        <f>+UNRESTRICTED!L17+RESTRICTED!L17</f>
        <v>0</v>
      </c>
      <c r="M17" s="1722">
        <f t="shared" ref="M17:M62" si="8">+G17-F17</f>
        <v>2671070</v>
      </c>
      <c r="N17" s="1699">
        <f t="shared" ref="N17:N62" si="9">IFERROR(M17/F17,0)</f>
        <v>0</v>
      </c>
      <c r="O17" s="1722">
        <f t="shared" ref="O17:O62" si="10">+H17-G17</f>
        <v>-2671070</v>
      </c>
      <c r="P17" s="1699">
        <f t="shared" ref="P17:P62" si="11">IFERROR(O17/G17,0)</f>
        <v>-1</v>
      </c>
      <c r="Q17" s="1722">
        <f t="shared" ref="Q17:Q62" si="12">+I17-H17</f>
        <v>0</v>
      </c>
      <c r="R17" s="1699">
        <f t="shared" ref="R17:R62" si="13">IFERROR(Q17/H17,0)</f>
        <v>0</v>
      </c>
      <c r="S17" s="197"/>
      <c r="T17" s="197"/>
      <c r="U17" s="1395">
        <f>+F17-UNRESTRICTED!F17-RESTRICTED!F17</f>
        <v>0</v>
      </c>
      <c r="V17" s="1395">
        <f>+G17-UNRESTRICTED!G17-RESTRICTED!G17</f>
        <v>0</v>
      </c>
      <c r="W17" s="1395">
        <f>+H17-UNRESTRICTED!H17-RESTRICTED!H17</f>
        <v>0</v>
      </c>
      <c r="X17" s="1395">
        <f>+I17-UNRESTRICTED!I17-RESTRICTED!I17</f>
        <v>0</v>
      </c>
      <c r="Y17" s="790"/>
    </row>
    <row r="18" spans="1:26" s="192" customFormat="1" ht="18" x14ac:dyDescent="0.25">
      <c r="A18" s="1177"/>
      <c r="B18" s="731"/>
      <c r="C18" s="731" t="s">
        <v>270</v>
      </c>
      <c r="D18" s="731"/>
      <c r="E18" s="619">
        <f>+UNRESTRICTED!E18+RESTRICTED!E18</f>
        <v>0</v>
      </c>
      <c r="F18" s="1067">
        <f>+UNRESTRICTED!F18+RESTRICTED!F18</f>
        <v>843860.64</v>
      </c>
      <c r="G18" s="1893">
        <f>+UNRESTRICTED!G18+RESTRICTED!G18</f>
        <v>0</v>
      </c>
      <c r="H18" s="2079">
        <f>+UNRESTRICTED!H18+RESTRICTED!H18</f>
        <v>0</v>
      </c>
      <c r="I18" s="1918">
        <f>+UNRESTRICTED!I18+RESTRICTED!I18</f>
        <v>0</v>
      </c>
      <c r="J18" s="1100">
        <f>+UNRESTRICTED!J18+RESTRICTED!J18</f>
        <v>0</v>
      </c>
      <c r="K18" s="647">
        <f>+UNRESTRICTED!K18+RESTRICTED!K18</f>
        <v>0</v>
      </c>
      <c r="L18" s="1100">
        <f>+UNRESTRICTED!L18+RESTRICTED!L18</f>
        <v>0</v>
      </c>
      <c r="M18" s="1722">
        <f t="shared" si="8"/>
        <v>-843860.64</v>
      </c>
      <c r="N18" s="1699">
        <f t="shared" si="9"/>
        <v>-1</v>
      </c>
      <c r="O18" s="1722">
        <f t="shared" si="10"/>
        <v>0</v>
      </c>
      <c r="P18" s="1699">
        <f t="shared" si="11"/>
        <v>0</v>
      </c>
      <c r="Q18" s="1722">
        <f t="shared" si="12"/>
        <v>0</v>
      </c>
      <c r="R18" s="1699">
        <f t="shared" si="13"/>
        <v>0</v>
      </c>
      <c r="S18" s="198"/>
      <c r="T18" s="198"/>
      <c r="U18" s="1395">
        <f>+F18-UNRESTRICTED!F18-RESTRICTED!F18</f>
        <v>0</v>
      </c>
      <c r="V18" s="1395">
        <f>+G18-UNRESTRICTED!G18-RESTRICTED!G18</f>
        <v>0</v>
      </c>
      <c r="W18" s="1395">
        <f>+H18-UNRESTRICTED!H18-RESTRICTED!H18</f>
        <v>0</v>
      </c>
      <c r="X18" s="1395">
        <f>+I18-UNRESTRICTED!I18-RESTRICTED!I18</f>
        <v>0</v>
      </c>
      <c r="Y18" s="790"/>
    </row>
    <row r="19" spans="1:26" s="192" customFormat="1" ht="18" x14ac:dyDescent="0.25">
      <c r="A19" s="1177"/>
      <c r="B19" s="731"/>
      <c r="C19" s="731" t="s">
        <v>363</v>
      </c>
      <c r="D19" s="731"/>
      <c r="E19" s="619">
        <f>+UNRESTRICTED!E19+RESTRICTED!E19</f>
        <v>0</v>
      </c>
      <c r="F19" s="1067">
        <f>+UNRESTRICTED!F19+RESTRICTED!F19</f>
        <v>0</v>
      </c>
      <c r="G19" s="1893">
        <f>+UNRESTRICTED!G19+RESTRICTED!G19</f>
        <v>0</v>
      </c>
      <c r="H19" s="2079">
        <f>+UNRESTRICTED!H19+RESTRICTED!H19</f>
        <v>0</v>
      </c>
      <c r="I19" s="1918">
        <f>+UNRESTRICTED!I19+RESTRICTED!I19</f>
        <v>0</v>
      </c>
      <c r="J19" s="1100">
        <f>+UNRESTRICTED!J19+RESTRICTED!J19</f>
        <v>0</v>
      </c>
      <c r="K19" s="647" t="e">
        <f>+UNRESTRICTED!K19+RESTRICTED!K19</f>
        <v>#REF!</v>
      </c>
      <c r="L19" s="1100" t="e">
        <f>+UNRESTRICTED!L19+RESTRICTED!L19</f>
        <v>#REF!</v>
      </c>
      <c r="M19" s="1722">
        <f t="shared" ref="M19:M23" si="14">+G19-F19</f>
        <v>0</v>
      </c>
      <c r="N19" s="1699">
        <f t="shared" ref="N19:N23" si="15">IFERROR(M19/F19,0)</f>
        <v>0</v>
      </c>
      <c r="O19" s="1722">
        <f t="shared" ref="O19:O23" si="16">+H19-G19</f>
        <v>0</v>
      </c>
      <c r="P19" s="1699">
        <f t="shared" ref="P19:P23" si="17">IFERROR(O19/G19,0)</f>
        <v>0</v>
      </c>
      <c r="Q19" s="1722">
        <f t="shared" ref="Q19:Q23" si="18">+I19-H19</f>
        <v>0</v>
      </c>
      <c r="R19" s="1699">
        <f t="shared" ref="R19:R23" si="19">IFERROR(Q19/H19,0)</f>
        <v>0</v>
      </c>
      <c r="S19" s="198"/>
      <c r="T19" s="198"/>
      <c r="U19" s="1395">
        <f>+F19-UNRESTRICTED!F19-RESTRICTED!F19</f>
        <v>0</v>
      </c>
      <c r="V19" s="1395">
        <f>+G19-UNRESTRICTED!G19-RESTRICTED!G19</f>
        <v>0</v>
      </c>
      <c r="W19" s="1395">
        <f>+H19-UNRESTRICTED!H19-RESTRICTED!H19</f>
        <v>0</v>
      </c>
      <c r="X19" s="1395">
        <f>+I19-UNRESTRICTED!I19-RESTRICTED!I19</f>
        <v>0</v>
      </c>
      <c r="Y19" s="790"/>
    </row>
    <row r="20" spans="1:26" s="192" customFormat="1" ht="18" hidden="1" x14ac:dyDescent="0.25">
      <c r="A20" s="1177"/>
      <c r="B20" s="731"/>
      <c r="C20" s="731"/>
      <c r="D20" s="731" t="str">
        <f>+RESTRICTED!D20</f>
        <v>Special Education (RS 6500)</v>
      </c>
      <c r="E20" s="619"/>
      <c r="F20" s="1067">
        <f>+UNRESTRICTED!F20+RESTRICTED!F20</f>
        <v>0</v>
      </c>
      <c r="G20" s="1893">
        <f>+UNRESTRICTED!G20+RESTRICTED!G20</f>
        <v>0</v>
      </c>
      <c r="H20" s="2079">
        <f>+UNRESTRICTED!H20+RESTRICTED!H20</f>
        <v>0</v>
      </c>
      <c r="I20" s="1918">
        <f>+UNRESTRICTED!I20+RESTRICTED!I20</f>
        <v>0</v>
      </c>
      <c r="J20" s="1100">
        <f>+UNRESTRICTED!J20+RESTRICTED!J20</f>
        <v>0</v>
      </c>
      <c r="K20" s="647"/>
      <c r="L20" s="1100"/>
      <c r="M20" s="1722">
        <f t="shared" si="14"/>
        <v>0</v>
      </c>
      <c r="N20" s="1699">
        <f t="shared" si="15"/>
        <v>0</v>
      </c>
      <c r="O20" s="1722">
        <f t="shared" si="16"/>
        <v>0</v>
      </c>
      <c r="P20" s="1699">
        <f t="shared" si="17"/>
        <v>0</v>
      </c>
      <c r="Q20" s="1722">
        <f t="shared" si="18"/>
        <v>0</v>
      </c>
      <c r="R20" s="1699">
        <f t="shared" si="19"/>
        <v>0</v>
      </c>
      <c r="S20" s="198"/>
      <c r="T20" s="198"/>
      <c r="U20" s="1395">
        <f>+F20-UNRESTRICTED!F20-RESTRICTED!F20</f>
        <v>0</v>
      </c>
      <c r="V20" s="1395"/>
      <c r="W20" s="1395"/>
      <c r="X20" s="1395"/>
      <c r="Y20" s="790"/>
    </row>
    <row r="21" spans="1:26" s="192" customFormat="1" ht="18" hidden="1" x14ac:dyDescent="0.25">
      <c r="A21" s="1177"/>
      <c r="B21" s="731"/>
      <c r="C21" s="731"/>
      <c r="D21" s="731" t="str">
        <f>+RESTRICTED!D21</f>
        <v>Ongoing &amp; Major Maintenance (RS 8150)</v>
      </c>
      <c r="E21" s="619"/>
      <c r="F21" s="1067">
        <f>+UNRESTRICTED!F21+RESTRICTED!F21</f>
        <v>0</v>
      </c>
      <c r="G21" s="1893">
        <f>+UNRESTRICTED!G21+RESTRICTED!G21</f>
        <v>0</v>
      </c>
      <c r="H21" s="2079">
        <f>+UNRESTRICTED!H21+RESTRICTED!H21</f>
        <v>0</v>
      </c>
      <c r="I21" s="1918">
        <f>+UNRESTRICTED!I21+RESTRICTED!I21</f>
        <v>0</v>
      </c>
      <c r="J21" s="1100">
        <f>+UNRESTRICTED!J21+RESTRICTED!J21</f>
        <v>0</v>
      </c>
      <c r="K21" s="647"/>
      <c r="L21" s="1100"/>
      <c r="M21" s="1722">
        <f t="shared" si="14"/>
        <v>0</v>
      </c>
      <c r="N21" s="1699">
        <f t="shared" si="15"/>
        <v>0</v>
      </c>
      <c r="O21" s="1722">
        <f t="shared" si="16"/>
        <v>0</v>
      </c>
      <c r="P21" s="1699">
        <f t="shared" si="17"/>
        <v>0</v>
      </c>
      <c r="Q21" s="1722">
        <f t="shared" si="18"/>
        <v>0</v>
      </c>
      <c r="R21" s="1699">
        <f t="shared" si="19"/>
        <v>0</v>
      </c>
      <c r="S21" s="198"/>
      <c r="T21" s="198"/>
      <c r="U21" s="1395">
        <f>+F21-UNRESTRICTED!F21-RESTRICTED!F21</f>
        <v>0</v>
      </c>
      <c r="V21" s="1395"/>
      <c r="W21" s="1395"/>
      <c r="X21" s="1395"/>
      <c r="Y21" s="790"/>
    </row>
    <row r="22" spans="1:26" s="192" customFormat="1" ht="18" hidden="1" x14ac:dyDescent="0.25">
      <c r="A22" s="1177"/>
      <c r="B22" s="1190"/>
      <c r="C22" s="1190"/>
      <c r="D22" s="1190" t="str">
        <f>+RESTRICTED!D22</f>
        <v>Facilities Improvement (RS 9225)</v>
      </c>
      <c r="E22" s="623"/>
      <c r="F22" s="1074">
        <f>+UNRESTRICTED!F22+RESTRICTED!F22</f>
        <v>0</v>
      </c>
      <c r="G22" s="2004">
        <f>+UNRESTRICTED!G22+RESTRICTED!G22</f>
        <v>0</v>
      </c>
      <c r="H22" s="2086">
        <f>+UNRESTRICTED!H22+RESTRICTED!H22</f>
        <v>0</v>
      </c>
      <c r="I22" s="2020">
        <f>+UNRESTRICTED!I22+RESTRICTED!I22</f>
        <v>0</v>
      </c>
      <c r="J22" s="1107">
        <f>+UNRESTRICTED!J22+RESTRICTED!J22</f>
        <v>0</v>
      </c>
      <c r="K22" s="653"/>
      <c r="L22" s="1107"/>
      <c r="M22" s="1722">
        <f t="shared" si="14"/>
        <v>0</v>
      </c>
      <c r="N22" s="1699">
        <f t="shared" si="15"/>
        <v>0</v>
      </c>
      <c r="O22" s="1722">
        <f t="shared" si="16"/>
        <v>0</v>
      </c>
      <c r="P22" s="1699">
        <f t="shared" si="17"/>
        <v>0</v>
      </c>
      <c r="Q22" s="1722">
        <f t="shared" si="18"/>
        <v>0</v>
      </c>
      <c r="R22" s="1699">
        <f t="shared" si="19"/>
        <v>0</v>
      </c>
      <c r="S22" s="198"/>
      <c r="T22" s="198"/>
      <c r="U22" s="1395">
        <f>+F22-UNRESTRICTED!F22-RESTRICTED!F22</f>
        <v>0</v>
      </c>
      <c r="V22" s="1395"/>
      <c r="W22" s="1395"/>
      <c r="X22" s="1395"/>
      <c r="Y22" s="790"/>
    </row>
    <row r="23" spans="1:26" s="192" customFormat="1" ht="18.75" thickBot="1" x14ac:dyDescent="0.3">
      <c r="A23" s="1191"/>
      <c r="B23" s="1282" t="s">
        <v>703</v>
      </c>
      <c r="C23" s="1283"/>
      <c r="D23" s="1283"/>
      <c r="E23" s="727"/>
      <c r="F23" s="1075">
        <f>SUM(F17:F19)</f>
        <v>843860.64</v>
      </c>
      <c r="G23" s="2061">
        <f>SUM(G17:G19)</f>
        <v>2671070</v>
      </c>
      <c r="H23" s="2087">
        <f t="shared" ref="H23" si="20">SUM(H17:H19)</f>
        <v>0</v>
      </c>
      <c r="I23" s="2072">
        <f>SUM(I17:I19)</f>
        <v>0</v>
      </c>
      <c r="J23" s="1108">
        <f>SUM(J17:J19)</f>
        <v>0</v>
      </c>
      <c r="K23" s="728" t="e">
        <f t="shared" ref="K23:L23" si="21">SUM(K17:K19)</f>
        <v>#REF!</v>
      </c>
      <c r="L23" s="1108" t="e">
        <f t="shared" si="21"/>
        <v>#REF!</v>
      </c>
      <c r="M23" s="1722">
        <f t="shared" si="14"/>
        <v>1827209.3599999999</v>
      </c>
      <c r="N23" s="1699">
        <f t="shared" si="15"/>
        <v>2.1652975306443962</v>
      </c>
      <c r="O23" s="1722">
        <f t="shared" si="16"/>
        <v>-2671070</v>
      </c>
      <c r="P23" s="1699">
        <f t="shared" si="17"/>
        <v>-1</v>
      </c>
      <c r="Q23" s="1722">
        <f t="shared" si="18"/>
        <v>0</v>
      </c>
      <c r="R23" s="1699">
        <f t="shared" si="19"/>
        <v>0</v>
      </c>
      <c r="S23" s="198"/>
      <c r="T23" s="198"/>
      <c r="U23" s="1395">
        <f>+F23-UNRESTRICTED!F23-RESTRICTED!F23</f>
        <v>0</v>
      </c>
      <c r="V23" s="1395">
        <f>+G23-UNRESTRICTED!G20-RESTRICTED!G20</f>
        <v>2671070</v>
      </c>
      <c r="W23" s="1395">
        <f>+H23-UNRESTRICTED!H20-RESTRICTED!H20</f>
        <v>0</v>
      </c>
      <c r="X23" s="1395">
        <f>+I23-UNRESTRICTED!I20-RESTRICTED!I20</f>
        <v>0</v>
      </c>
      <c r="Y23" s="790"/>
    </row>
    <row r="24" spans="1:26" s="192" customFormat="1" ht="18.75" thickTop="1" x14ac:dyDescent="0.25">
      <c r="A24" s="1185"/>
      <c r="B24" s="1194"/>
      <c r="C24" s="1194"/>
      <c r="D24" s="1194"/>
      <c r="E24" s="182"/>
      <c r="F24" s="1076"/>
      <c r="G24" s="1999"/>
      <c r="H24" s="2088"/>
      <c r="I24" s="2016"/>
      <c r="J24" s="1109"/>
      <c r="K24" s="700"/>
      <c r="L24" s="1109"/>
      <c r="M24" s="1722"/>
      <c r="N24" s="1699"/>
      <c r="O24" s="1722"/>
      <c r="P24" s="1699"/>
      <c r="Q24" s="1722"/>
      <c r="R24" s="1699"/>
      <c r="S24" s="198"/>
      <c r="T24" s="198"/>
      <c r="U24" s="1395">
        <f>+F24-UNRESTRICTED!F21-RESTRICTED!F21</f>
        <v>0</v>
      </c>
      <c r="V24" s="1395">
        <f>+G24-UNRESTRICTED!G21-RESTRICTED!G21</f>
        <v>0</v>
      </c>
      <c r="W24" s="1395">
        <f>+H24-UNRESTRICTED!H21-RESTRICTED!H21</f>
        <v>0</v>
      </c>
      <c r="X24" s="1395">
        <f>+I24-UNRESTRICTED!I21-RESTRICTED!I21</f>
        <v>0</v>
      </c>
      <c r="Y24" s="790"/>
    </row>
    <row r="25" spans="1:26" s="722" customFormat="1" ht="26.25" customHeight="1" x14ac:dyDescent="0.25">
      <c r="A25" s="1284"/>
      <c r="B25" s="1285" t="s">
        <v>704</v>
      </c>
      <c r="C25" s="1286"/>
      <c r="D25" s="1286"/>
      <c r="E25" s="723"/>
      <c r="F25" s="1077">
        <f>F14+F23</f>
        <v>79711296.590000004</v>
      </c>
      <c r="G25" s="1077">
        <f t="shared" ref="G25:L25" si="22">G14+G23</f>
        <v>82081198.599999994</v>
      </c>
      <c r="H25" s="1131">
        <f>H14+H23</f>
        <v>83480365</v>
      </c>
      <c r="I25" s="1110">
        <f>I14+I23</f>
        <v>82308730</v>
      </c>
      <c r="J25" s="1110">
        <f>J14+J23</f>
        <v>83926695.077099994</v>
      </c>
      <c r="K25" s="737" t="e">
        <f t="shared" si="22"/>
        <v>#REF!</v>
      </c>
      <c r="L25" s="1110" t="e">
        <f t="shared" si="22"/>
        <v>#REF!</v>
      </c>
      <c r="M25" s="1722">
        <f t="shared" si="8"/>
        <v>2369902.0099999905</v>
      </c>
      <c r="N25" s="1699">
        <f t="shared" si="9"/>
        <v>2.9731068385322201E-2</v>
      </c>
      <c r="O25" s="1722">
        <f t="shared" si="10"/>
        <v>1399166.400000006</v>
      </c>
      <c r="P25" s="1699">
        <f t="shared" si="11"/>
        <v>1.7046125347394792E-2</v>
      </c>
      <c r="Q25" s="1722">
        <f t="shared" si="12"/>
        <v>-1171635</v>
      </c>
      <c r="R25" s="1699">
        <f t="shared" si="13"/>
        <v>-1.4034857178691061E-2</v>
      </c>
      <c r="S25" s="738"/>
      <c r="T25" s="738"/>
      <c r="U25" s="1395">
        <f>+F25-UNRESTRICTED!F25-RESTRICTED!F25</f>
        <v>0</v>
      </c>
      <c r="V25" s="1395">
        <f>+G25-UNRESTRICTED!G25-RESTRICTED!G25</f>
        <v>0</v>
      </c>
      <c r="W25" s="1395">
        <f>+H25-UNRESTRICTED!H25-RESTRICTED!H25</f>
        <v>0</v>
      </c>
      <c r="X25" s="1395">
        <f>+I25-UNRESTRICTED!I25-RESTRICTED!I25</f>
        <v>0</v>
      </c>
      <c r="Y25" s="792"/>
    </row>
    <row r="26" spans="1:26" s="192" customFormat="1" ht="18" x14ac:dyDescent="0.25">
      <c r="A26" s="1185"/>
      <c r="B26" s="1194"/>
      <c r="C26" s="1194"/>
      <c r="D26" s="1194"/>
      <c r="E26" s="182"/>
      <c r="F26" s="1076"/>
      <c r="G26" s="1999"/>
      <c r="H26" s="2088"/>
      <c r="I26" s="2016"/>
      <c r="J26" s="1109"/>
      <c r="K26" s="700"/>
      <c r="L26" s="1109"/>
      <c r="M26" s="1722"/>
      <c r="N26" s="1699"/>
      <c r="O26" s="1722"/>
      <c r="P26" s="1699"/>
      <c r="Q26" s="1722"/>
      <c r="R26" s="1699"/>
      <c r="S26" s="198"/>
      <c r="T26" s="198"/>
      <c r="U26" s="1395">
        <f>+F26-UNRESTRICTED!F26-RESTRICTED!F26</f>
        <v>0</v>
      </c>
      <c r="V26" s="1395">
        <f>+G26-UNRESTRICTED!G26-RESTRICTED!G26</f>
        <v>0</v>
      </c>
      <c r="W26" s="1395">
        <f>+H26-UNRESTRICTED!H26-RESTRICTED!H26</f>
        <v>0</v>
      </c>
      <c r="X26" s="1395">
        <f>+I26-UNRESTRICTED!I26-RESTRICTED!I26</f>
        <v>0</v>
      </c>
      <c r="Y26" s="790"/>
    </row>
    <row r="27" spans="1:26" s="192" customFormat="1" ht="18" x14ac:dyDescent="0.25">
      <c r="A27" s="1172"/>
      <c r="B27" s="1173" t="s">
        <v>351</v>
      </c>
      <c r="C27" s="1174"/>
      <c r="D27" s="1174"/>
      <c r="E27" s="661"/>
      <c r="F27" s="1078"/>
      <c r="G27" s="1896"/>
      <c r="H27" s="2089"/>
      <c r="I27" s="749"/>
      <c r="J27" s="1111"/>
      <c r="K27" s="662"/>
      <c r="L27" s="1111"/>
      <c r="M27" s="1722"/>
      <c r="N27" s="1699"/>
      <c r="O27" s="1722"/>
      <c r="P27" s="1699"/>
      <c r="Q27" s="1722"/>
      <c r="R27" s="1699"/>
      <c r="S27" s="203"/>
      <c r="T27" s="203"/>
      <c r="U27" s="1395">
        <f>+F27-UNRESTRICTED!F27-RESTRICTED!F27</f>
        <v>0</v>
      </c>
      <c r="V27" s="1395">
        <f>+G27-UNRESTRICTED!G27-RESTRICTED!G27</f>
        <v>0</v>
      </c>
      <c r="W27" s="1395">
        <f>+H27-UNRESTRICTED!H27-RESTRICTED!H27</f>
        <v>0</v>
      </c>
      <c r="X27" s="1395">
        <f>+I27-UNRESTRICTED!I27-RESTRICTED!I27</f>
        <v>0</v>
      </c>
      <c r="Y27" s="790"/>
    </row>
    <row r="28" spans="1:26" s="192" customFormat="1" ht="16.5" customHeight="1" x14ac:dyDescent="0.25">
      <c r="A28" s="1175"/>
      <c r="B28" s="739"/>
      <c r="C28" s="739" t="s">
        <v>352</v>
      </c>
      <c r="D28" s="739"/>
      <c r="E28" s="618">
        <f>UNRESTRICTED!E28+RESTRICTED!E28</f>
        <v>0</v>
      </c>
      <c r="F28" s="1079">
        <f>UNRESTRICTED!F28+RESTRICTED!F28</f>
        <v>38407868.150000006</v>
      </c>
      <c r="G28" s="1891">
        <f>UNRESTRICTED!G28+RESTRICTED!G28</f>
        <v>39286569.079999998</v>
      </c>
      <c r="H28" s="2090">
        <f>UNRESTRICTED!H28+RESTRICTED!H28</f>
        <v>39443411</v>
      </c>
      <c r="I28" s="1916">
        <f>UNRESTRICTED!I28+RESTRICTED!I28</f>
        <v>39532365</v>
      </c>
      <c r="J28" s="1112">
        <f>UNRESTRICTED!J28+RESTRICTED!J28</f>
        <v>40171903</v>
      </c>
      <c r="K28" s="663" t="e">
        <f>UNRESTRICTED!K28+RESTRICTED!K28</f>
        <v>#REF!</v>
      </c>
      <c r="L28" s="1112" t="e">
        <f>UNRESTRICTED!L28+RESTRICTED!L28</f>
        <v>#REF!</v>
      </c>
      <c r="M28" s="1722">
        <f t="shared" si="8"/>
        <v>878700.92999999225</v>
      </c>
      <c r="N28" s="1699">
        <f t="shared" si="9"/>
        <v>2.2878148991979191E-2</v>
      </c>
      <c r="O28" s="1722">
        <f t="shared" si="10"/>
        <v>156841.92000000179</v>
      </c>
      <c r="P28" s="1699">
        <f t="shared" si="11"/>
        <v>3.9922529167823627E-3</v>
      </c>
      <c r="Q28" s="1722">
        <f t="shared" si="12"/>
        <v>88954</v>
      </c>
      <c r="R28" s="1699">
        <f t="shared" si="13"/>
        <v>2.255230918035968E-3</v>
      </c>
      <c r="S28" s="197"/>
      <c r="T28" s="197"/>
      <c r="U28" s="1395">
        <f>+F28-UNRESTRICTED!F28-RESTRICTED!F28</f>
        <v>0</v>
      </c>
      <c r="V28" s="1395">
        <f>+G28-UNRESTRICTED!G28-RESTRICTED!G28</f>
        <v>0</v>
      </c>
      <c r="W28" s="1395">
        <f>+H28-UNRESTRICTED!H28-RESTRICTED!H28</f>
        <v>0</v>
      </c>
      <c r="X28" s="1395">
        <f>+I28-UNRESTRICTED!I28-RESTRICTED!I28</f>
        <v>0</v>
      </c>
      <c r="Y28" s="790"/>
      <c r="Z28" s="790"/>
    </row>
    <row r="29" spans="1:26" s="192" customFormat="1" ht="16.5" customHeight="1" x14ac:dyDescent="0.25">
      <c r="A29" s="1177"/>
      <c r="B29" s="731"/>
      <c r="C29" s="731" t="s">
        <v>353</v>
      </c>
      <c r="D29" s="731"/>
      <c r="E29" s="619">
        <f>UNRESTRICTED!E29+RESTRICTED!E29</f>
        <v>0</v>
      </c>
      <c r="F29" s="1080">
        <f>UNRESTRICTED!F29+RESTRICTED!F29</f>
        <v>11561704.179999998</v>
      </c>
      <c r="G29" s="1893">
        <f>UNRESTRICTED!G29+RESTRICTED!G29</f>
        <v>12581205.280000001</v>
      </c>
      <c r="H29" s="2079">
        <f>UNRESTRICTED!H29+RESTRICTED!H29</f>
        <v>12983241</v>
      </c>
      <c r="I29" s="1918">
        <f>UNRESTRICTED!I29+RESTRICTED!I29</f>
        <v>13145861</v>
      </c>
      <c r="J29" s="1100">
        <f>UNRESTRICTED!J29+RESTRICTED!J29</f>
        <v>13292993</v>
      </c>
      <c r="K29" s="647" t="e">
        <f>UNRESTRICTED!K29+RESTRICTED!K29</f>
        <v>#REF!</v>
      </c>
      <c r="L29" s="1100" t="e">
        <f>UNRESTRICTED!L29+RESTRICTED!L29</f>
        <v>#REF!</v>
      </c>
      <c r="M29" s="1722">
        <f t="shared" si="8"/>
        <v>1019501.1000000034</v>
      </c>
      <c r="N29" s="1699">
        <f t="shared" si="9"/>
        <v>8.8179137273170019E-2</v>
      </c>
      <c r="O29" s="1722">
        <f t="shared" si="10"/>
        <v>402035.71999999881</v>
      </c>
      <c r="P29" s="1699">
        <f t="shared" si="11"/>
        <v>3.1955262715497063E-2</v>
      </c>
      <c r="Q29" s="1722">
        <f t="shared" si="12"/>
        <v>162620</v>
      </c>
      <c r="R29" s="1699">
        <f t="shared" si="13"/>
        <v>1.2525377908335831E-2</v>
      </c>
      <c r="S29" s="198"/>
      <c r="T29" s="198"/>
      <c r="U29" s="1395">
        <f>+F29-UNRESTRICTED!F29-RESTRICTED!F29</f>
        <v>0</v>
      </c>
      <c r="V29" s="1395">
        <f>+G29-UNRESTRICTED!G29-RESTRICTED!G29</f>
        <v>0</v>
      </c>
      <c r="W29" s="1395">
        <f>+H29-UNRESTRICTED!H29-RESTRICTED!H29</f>
        <v>0</v>
      </c>
      <c r="X29" s="1395">
        <f>+I29-UNRESTRICTED!I29-RESTRICTED!I29</f>
        <v>0</v>
      </c>
      <c r="Y29" s="790"/>
      <c r="Z29" s="790"/>
    </row>
    <row r="30" spans="1:26" s="192" customFormat="1" ht="16.5" hidden="1" customHeight="1" x14ac:dyDescent="0.25">
      <c r="A30" s="1287"/>
      <c r="B30" s="1288"/>
      <c r="C30" s="732" t="str">
        <f>IF(UNRESTRICTED!C30=0," ",UNRESTRICTED!C30)</f>
        <v xml:space="preserve"> </v>
      </c>
      <c r="D30" s="732"/>
      <c r="E30" s="630" t="str">
        <f>IF(UNRESTRICTED!E30=0," ",UNRESTRICTED!E30)</f>
        <v xml:space="preserve"> </v>
      </c>
      <c r="F30" s="1742" t="str">
        <f>IF(UNRESTRICTED!F30=0," ",UNRESTRICTED!F30)</f>
        <v xml:space="preserve"> </v>
      </c>
      <c r="G30" s="1899">
        <f>UNRESTRICTED!G30+RESTRICTED!G30</f>
        <v>0</v>
      </c>
      <c r="H30" s="1951">
        <f>UNRESTRICTED!H30+RESTRICTED!H30</f>
        <v>0</v>
      </c>
      <c r="I30" s="1888">
        <f>UNRESTRICTED!I30+RESTRICTED!I30</f>
        <v>0</v>
      </c>
      <c r="J30" s="1010">
        <f>UNRESTRICTED!J30+RESTRICTED!J30</f>
        <v>0</v>
      </c>
      <c r="K30" s="671"/>
      <c r="L30" s="1010"/>
      <c r="M30" s="1722" t="e">
        <f>+G30-F30</f>
        <v>#VALUE!</v>
      </c>
      <c r="N30" s="1699">
        <f t="shared" si="9"/>
        <v>0</v>
      </c>
      <c r="O30" s="1722">
        <f t="shared" si="10"/>
        <v>0</v>
      </c>
      <c r="P30" s="1699">
        <f t="shared" si="11"/>
        <v>0</v>
      </c>
      <c r="Q30" s="1722">
        <f t="shared" si="12"/>
        <v>0</v>
      </c>
      <c r="R30" s="1699">
        <f t="shared" si="13"/>
        <v>0</v>
      </c>
      <c r="S30" s="198"/>
      <c r="T30" s="198"/>
      <c r="U30" s="1395" t="e">
        <f>+F30-UNRESTRICTED!F30-RESTRICTED!F30</f>
        <v>#VALUE!</v>
      </c>
      <c r="V30" s="1395">
        <f>+G30-UNRESTRICTED!G30-RESTRICTED!G30</f>
        <v>0</v>
      </c>
      <c r="W30" s="1395">
        <f>+H30-UNRESTRICTED!H30-RESTRICTED!H30</f>
        <v>0</v>
      </c>
      <c r="X30" s="1395">
        <f>+I30-UNRESTRICTED!I30-RESTRICTED!I30</f>
        <v>0</v>
      </c>
      <c r="Y30" s="790"/>
    </row>
    <row r="31" spans="1:26" s="192" customFormat="1" ht="16.5" hidden="1" customHeight="1" x14ac:dyDescent="0.25">
      <c r="A31" s="1287"/>
      <c r="B31" s="1288"/>
      <c r="C31" s="732" t="str">
        <f>IF(UNRESTRICTED!C31=0," ",UNRESTRICTED!C31)</f>
        <v xml:space="preserve"> </v>
      </c>
      <c r="D31" s="732"/>
      <c r="E31" s="734" t="str">
        <f>IF(UNRESTRICTED!E31=0," ",UNRESTRICTED!E31)</f>
        <v xml:space="preserve"> </v>
      </c>
      <c r="F31" s="1742" t="str">
        <f>IF(UNRESTRICTED!F31=0," ",UNRESTRICTED!F31)</f>
        <v xml:space="preserve"> </v>
      </c>
      <c r="G31" s="1899">
        <f>UNRESTRICTED!G31+RESTRICTED!G31</f>
        <v>0</v>
      </c>
      <c r="H31" s="1951">
        <f>UNRESTRICTED!H31+RESTRICTED!H31</f>
        <v>0</v>
      </c>
      <c r="I31" s="1888">
        <f>UNRESTRICTED!I31+RESTRICTED!I31</f>
        <v>0</v>
      </c>
      <c r="J31" s="1010">
        <f>UNRESTRICTED!J31+RESTRICTED!J31</f>
        <v>0</v>
      </c>
      <c r="K31" s="671"/>
      <c r="L31" s="1010"/>
      <c r="M31" s="1722" t="e">
        <f t="shared" si="8"/>
        <v>#VALUE!</v>
      </c>
      <c r="N31" s="1699">
        <f t="shared" si="9"/>
        <v>0</v>
      </c>
      <c r="O31" s="1722">
        <f t="shared" si="10"/>
        <v>0</v>
      </c>
      <c r="P31" s="1699">
        <f t="shared" si="11"/>
        <v>0</v>
      </c>
      <c r="Q31" s="1722">
        <f t="shared" si="12"/>
        <v>0</v>
      </c>
      <c r="R31" s="1699">
        <f t="shared" si="13"/>
        <v>0</v>
      </c>
      <c r="S31" s="198"/>
      <c r="T31" s="198"/>
      <c r="U31" s="1395" t="e">
        <f>+F31-UNRESTRICTED!F31-RESTRICTED!F31</f>
        <v>#VALUE!</v>
      </c>
      <c r="V31" s="1395">
        <f>+G31-UNRESTRICTED!G31-RESTRICTED!G31</f>
        <v>0</v>
      </c>
      <c r="W31" s="1395">
        <f>+H31-UNRESTRICTED!H31-RESTRICTED!H31</f>
        <v>0</v>
      </c>
      <c r="X31" s="1395">
        <f>+I31-UNRESTRICTED!I31-RESTRICTED!I31</f>
        <v>0</v>
      </c>
      <c r="Y31" s="790"/>
    </row>
    <row r="32" spans="1:26" s="192" customFormat="1" ht="16.5" hidden="1" customHeight="1" x14ac:dyDescent="0.25">
      <c r="A32" s="1287"/>
      <c r="B32" s="1288"/>
      <c r="C32" s="733" t="str">
        <f>IF(UNRESTRICTED!C32=0," ",UNRESTRICTED!C32)</f>
        <v xml:space="preserve"> </v>
      </c>
      <c r="D32" s="732"/>
      <c r="E32" s="734" t="str">
        <f>IF(UNRESTRICTED!E32=0," ",UNRESTRICTED!E32)</f>
        <v xml:space="preserve"> </v>
      </c>
      <c r="F32" s="1742" t="str">
        <f>IF(UNRESTRICTED!F32=0," ",UNRESTRICTED!F32)</f>
        <v xml:space="preserve"> </v>
      </c>
      <c r="G32" s="1899" t="str">
        <f>IF(UNRESTRICTED!G32=0," ",UNRESTRICTED!G32)</f>
        <v xml:space="preserve"> </v>
      </c>
      <c r="H32" s="1951" t="str">
        <f>IF(UNRESTRICTED!H32=0," ",UNRESTRICTED!H32)</f>
        <v xml:space="preserve"> </v>
      </c>
      <c r="I32" s="1888" t="str">
        <f>IF(UNRESTRICTED!I32=0," ",UNRESTRICTED!I32)</f>
        <v xml:space="preserve"> </v>
      </c>
      <c r="J32" s="1010" t="str">
        <f>IF(UNRESTRICTED!J32=0," ",UNRESTRICTED!J32)</f>
        <v xml:space="preserve"> </v>
      </c>
      <c r="K32" s="671"/>
      <c r="L32" s="1010"/>
      <c r="M32" s="1722" t="e">
        <f t="shared" si="8"/>
        <v>#VALUE!</v>
      </c>
      <c r="N32" s="1699">
        <f t="shared" si="9"/>
        <v>0</v>
      </c>
      <c r="O32" s="1722" t="e">
        <f t="shared" si="10"/>
        <v>#VALUE!</v>
      </c>
      <c r="P32" s="1699">
        <f t="shared" si="11"/>
        <v>0</v>
      </c>
      <c r="Q32" s="1722" t="e">
        <f t="shared" si="12"/>
        <v>#VALUE!</v>
      </c>
      <c r="R32" s="1699">
        <f t="shared" si="13"/>
        <v>0</v>
      </c>
      <c r="S32" s="198"/>
      <c r="T32" s="198"/>
      <c r="U32" s="1395" t="e">
        <f>+F32-UNRESTRICTED!F32-RESTRICTED!F32</f>
        <v>#VALUE!</v>
      </c>
      <c r="V32" s="1395" t="e">
        <f>+G32-UNRESTRICTED!G32-RESTRICTED!G32</f>
        <v>#VALUE!</v>
      </c>
      <c r="W32" s="1395" t="e">
        <f>+H32-UNRESTRICTED!H32-RESTRICTED!H32</f>
        <v>#VALUE!</v>
      </c>
      <c r="X32" s="1395" t="e">
        <f>+I32-UNRESTRICTED!I32-RESTRICTED!I32</f>
        <v>#VALUE!</v>
      </c>
      <c r="Y32" s="790"/>
    </row>
    <row r="33" spans="1:25" s="192" customFormat="1" ht="16.5" hidden="1" customHeight="1" x14ac:dyDescent="0.25">
      <c r="A33" s="1287"/>
      <c r="B33" s="1288"/>
      <c r="C33" s="733" t="str">
        <f>IF(UNRESTRICTED!C33=0," ",UNRESTRICTED!C33)</f>
        <v xml:space="preserve"> </v>
      </c>
      <c r="D33" s="732"/>
      <c r="E33" s="734" t="str">
        <f>IF(UNRESTRICTED!E33=0," ",UNRESTRICTED!E33)</f>
        <v xml:space="preserve"> </v>
      </c>
      <c r="F33" s="1742" t="str">
        <f>IF(UNRESTRICTED!F33=0," ",UNRESTRICTED!F33)</f>
        <v xml:space="preserve"> </v>
      </c>
      <c r="G33" s="1899" t="str">
        <f>IF(UNRESTRICTED!G33=0," ",UNRESTRICTED!G33)</f>
        <v xml:space="preserve"> </v>
      </c>
      <c r="H33" s="1951" t="str">
        <f>IF(UNRESTRICTED!H33=0," ",UNRESTRICTED!H33)</f>
        <v xml:space="preserve"> </v>
      </c>
      <c r="I33" s="1888" t="str">
        <f>IF(UNRESTRICTED!I33=0," ",UNRESTRICTED!I33)</f>
        <v xml:space="preserve"> </v>
      </c>
      <c r="J33" s="1010" t="str">
        <f>IF(UNRESTRICTED!J33=0," ",UNRESTRICTED!J33)</f>
        <v xml:space="preserve"> </v>
      </c>
      <c r="K33" s="671"/>
      <c r="L33" s="1010"/>
      <c r="M33" s="1722" t="e">
        <f t="shared" si="8"/>
        <v>#VALUE!</v>
      </c>
      <c r="N33" s="1699">
        <f t="shared" si="9"/>
        <v>0</v>
      </c>
      <c r="O33" s="1722" t="e">
        <f t="shared" si="10"/>
        <v>#VALUE!</v>
      </c>
      <c r="P33" s="1699">
        <f t="shared" si="11"/>
        <v>0</v>
      </c>
      <c r="Q33" s="1722" t="e">
        <f t="shared" si="12"/>
        <v>#VALUE!</v>
      </c>
      <c r="R33" s="1699">
        <f t="shared" si="13"/>
        <v>0</v>
      </c>
      <c r="S33" s="198"/>
      <c r="T33" s="198"/>
      <c r="U33" s="1395" t="e">
        <f>+F33-UNRESTRICTED!F33-RESTRICTED!F33</f>
        <v>#VALUE!</v>
      </c>
      <c r="V33" s="1395" t="e">
        <f>+G33-UNRESTRICTED!G33-RESTRICTED!G33</f>
        <v>#VALUE!</v>
      </c>
      <c r="W33" s="1395" t="e">
        <f>+H33-UNRESTRICTED!H33-RESTRICTED!H33</f>
        <v>#VALUE!</v>
      </c>
      <c r="X33" s="1395" t="e">
        <f>+I33-UNRESTRICTED!I33-RESTRICTED!I33</f>
        <v>#VALUE!</v>
      </c>
      <c r="Y33" s="790"/>
    </row>
    <row r="34" spans="1:25" s="192" customFormat="1" ht="16.5" customHeight="1" x14ac:dyDescent="0.25">
      <c r="A34" s="1177"/>
      <c r="B34" s="731"/>
      <c r="C34" s="731" t="s">
        <v>354</v>
      </c>
      <c r="D34" s="731"/>
      <c r="E34" s="619">
        <f>UNRESTRICTED!E34+RESTRICTED!E34</f>
        <v>0</v>
      </c>
      <c r="F34" s="1080"/>
      <c r="G34" s="1893"/>
      <c r="H34" s="2091"/>
      <c r="I34" s="1918"/>
      <c r="J34" s="1113"/>
      <c r="K34" s="647">
        <f>UNRESTRICTED!K34+RESTRICTED!K34</f>
        <v>0</v>
      </c>
      <c r="L34" s="1113">
        <f>UNRESTRICTED!L34+RESTRICTED!L34</f>
        <v>0</v>
      </c>
      <c r="M34" s="1722">
        <f t="shared" si="8"/>
        <v>0</v>
      </c>
      <c r="N34" s="1699">
        <f t="shared" si="9"/>
        <v>0</v>
      </c>
      <c r="O34" s="1722">
        <f t="shared" si="10"/>
        <v>0</v>
      </c>
      <c r="P34" s="1699">
        <f t="shared" si="11"/>
        <v>0</v>
      </c>
      <c r="Q34" s="1722">
        <f t="shared" si="12"/>
        <v>0</v>
      </c>
      <c r="R34" s="1699">
        <f t="shared" si="13"/>
        <v>0</v>
      </c>
      <c r="S34" s="198"/>
      <c r="T34" s="198"/>
      <c r="U34" s="1395">
        <f>+F34-UNRESTRICTED!F34-RESTRICTED!F34</f>
        <v>0</v>
      </c>
      <c r="V34" s="1395">
        <f>+G34-UNRESTRICTED!G34-RESTRICTED!G34</f>
        <v>0</v>
      </c>
      <c r="W34" s="1395">
        <f>+H34-UNRESTRICTED!H34-RESTRICTED!H34</f>
        <v>0</v>
      </c>
      <c r="X34" s="1395">
        <f>+I34-UNRESTRICTED!I34-RESTRICTED!I34</f>
        <v>0</v>
      </c>
      <c r="Y34" s="790"/>
    </row>
    <row r="35" spans="1:25" s="201" customFormat="1" ht="16.5" customHeight="1" x14ac:dyDescent="0.25">
      <c r="A35" s="1279"/>
      <c r="B35" s="1179"/>
      <c r="C35" s="1179"/>
      <c r="D35" s="1203" t="s">
        <v>76</v>
      </c>
      <c r="E35" s="620">
        <f>UNRESTRICTED!E35+RESTRICTED!E35</f>
        <v>0</v>
      </c>
      <c r="F35" s="1081">
        <f>UNRESTRICTED!F35+RESTRICTED!F35</f>
        <v>4866944.53</v>
      </c>
      <c r="G35" s="1892">
        <f>UNRESTRICTED!G35+RESTRICTED!G35</f>
        <v>5726905.1500000004</v>
      </c>
      <c r="H35" s="2080">
        <f>UNRESTRICTED!H35+RESTRICTED!H35</f>
        <v>6465648</v>
      </c>
      <c r="I35" s="1917">
        <f>UNRESTRICTED!I35+RESTRICTED!I35</f>
        <v>7168272</v>
      </c>
      <c r="J35" s="1101">
        <f>UNRESTRICTED!J35+RESTRICTED!J35</f>
        <v>7672831</v>
      </c>
      <c r="K35" s="648">
        <f>UNRESTRICTED!K35+RESTRICTED!K35</f>
        <v>8471796.4247405529</v>
      </c>
      <c r="L35" s="1101">
        <f>UNRESTRICTED!L35+RESTRICTED!L35</f>
        <v>9358201.0912336912</v>
      </c>
      <c r="M35" s="1722">
        <f t="shared" si="8"/>
        <v>859960.62000000011</v>
      </c>
      <c r="N35" s="1699">
        <f t="shared" si="9"/>
        <v>0.17669414859758018</v>
      </c>
      <c r="O35" s="1722">
        <f t="shared" si="10"/>
        <v>738742.84999999963</v>
      </c>
      <c r="P35" s="1699">
        <f t="shared" si="11"/>
        <v>0.12899512575304301</v>
      </c>
      <c r="Q35" s="1722">
        <f t="shared" si="12"/>
        <v>702624</v>
      </c>
      <c r="R35" s="1699">
        <f t="shared" si="13"/>
        <v>0.10867031425156458</v>
      </c>
      <c r="S35" s="200"/>
      <c r="T35" s="200"/>
      <c r="U35" s="1395">
        <f>+F35-UNRESTRICTED!F35-RESTRICTED!F35</f>
        <v>0</v>
      </c>
      <c r="V35" s="1395">
        <f>+G35-UNRESTRICTED!G35-RESTRICTED!G35</f>
        <v>0</v>
      </c>
      <c r="W35" s="1395">
        <f>+H35-UNRESTRICTED!H35-RESTRICTED!H35</f>
        <v>0</v>
      </c>
      <c r="X35" s="1395">
        <f>+I35-UNRESTRICTED!I35-RESTRICTED!I35</f>
        <v>0</v>
      </c>
      <c r="Y35" s="791"/>
    </row>
    <row r="36" spans="1:25" s="201" customFormat="1" ht="16.5" customHeight="1" x14ac:dyDescent="0.25">
      <c r="A36" s="1279"/>
      <c r="B36" s="1179"/>
      <c r="C36" s="1179"/>
      <c r="D36" s="1203" t="s">
        <v>77</v>
      </c>
      <c r="E36" s="620">
        <f>UNRESTRICTED!E36+RESTRICTED!E36</f>
        <v>0</v>
      </c>
      <c r="F36" s="1081">
        <f>UNRESTRICTED!F36+RESTRICTED!F36</f>
        <v>1428052.88</v>
      </c>
      <c r="G36" s="1892">
        <f>UNRESTRICTED!G36+RESTRICTED!G36</f>
        <v>1796840</v>
      </c>
      <c r="H36" s="2080">
        <f>UNRESTRICTED!H36+RESTRICTED!H36</f>
        <v>2332907</v>
      </c>
      <c r="I36" s="1917">
        <f>UNRESTRICTED!I36+RESTRICTED!I36</f>
        <v>2720786</v>
      </c>
      <c r="J36" s="1101">
        <f>UNRESTRICTED!J36+RESTRICTED!J36</f>
        <v>3109791</v>
      </c>
      <c r="K36" s="648">
        <f>UNRESTRICTED!K36+RESTRICTED!K36</f>
        <v>3367323.0002952889</v>
      </c>
      <c r="L36" s="1101">
        <f>UNRESTRICTED!L36+RESTRICTED!L36</f>
        <v>3547296.2106519798</v>
      </c>
      <c r="M36" s="1722">
        <f t="shared" si="8"/>
        <v>368787.12000000011</v>
      </c>
      <c r="N36" s="1699">
        <f t="shared" si="9"/>
        <v>0.25824472270242549</v>
      </c>
      <c r="O36" s="1722">
        <f t="shared" si="10"/>
        <v>536067</v>
      </c>
      <c r="P36" s="1699">
        <f t="shared" si="11"/>
        <v>0.29833875025043965</v>
      </c>
      <c r="Q36" s="1722">
        <f t="shared" si="12"/>
        <v>387879</v>
      </c>
      <c r="R36" s="1699">
        <f t="shared" si="13"/>
        <v>0.16626423599397661</v>
      </c>
      <c r="S36" s="200"/>
      <c r="T36" s="200"/>
      <c r="U36" s="1395">
        <f>+F36-UNRESTRICTED!F36-RESTRICTED!F36</f>
        <v>0</v>
      </c>
      <c r="V36" s="1395">
        <f>+G36-UNRESTRICTED!G36-RESTRICTED!G36</f>
        <v>0</v>
      </c>
      <c r="W36" s="1395">
        <f>+H36-UNRESTRICTED!H36-RESTRICTED!H36</f>
        <v>0</v>
      </c>
      <c r="X36" s="1395">
        <f>+I36-UNRESTRICTED!I36-RESTRICTED!I36</f>
        <v>0</v>
      </c>
      <c r="Y36" s="791"/>
    </row>
    <row r="37" spans="1:25" s="192" customFormat="1" ht="16.5" customHeight="1" x14ac:dyDescent="0.25">
      <c r="A37" s="1177"/>
      <c r="B37" s="731"/>
      <c r="C37" s="731"/>
      <c r="D37" s="1200" t="s">
        <v>394</v>
      </c>
      <c r="E37" s="619">
        <f>UNRESTRICTED!E37+RESTRICTED!E37</f>
        <v>0</v>
      </c>
      <c r="F37" s="1080">
        <f>UNRESTRICTED!F37+RESTRICTED!F37</f>
        <v>642895.71</v>
      </c>
      <c r="G37" s="1893">
        <f>UNRESTRICTED!G37+RESTRICTED!G37</f>
        <v>733351</v>
      </c>
      <c r="H37" s="2079">
        <f>UNRESTRICTED!H37+RESTRICTED!H37</f>
        <v>805081</v>
      </c>
      <c r="I37" s="1918">
        <f>UNRESTRICTED!I37+RESTRICTED!I37</f>
        <v>814638</v>
      </c>
      <c r="J37" s="1100">
        <f>UNRESTRICTED!J37+RESTRICTED!J37</f>
        <v>824166</v>
      </c>
      <c r="K37" s="647">
        <f>UNRESTRICTED!K37+RESTRICTED!K37</f>
        <v>790810.70461480261</v>
      </c>
      <c r="L37" s="1100">
        <f>UNRESTRICTED!L37+RESTRICTED!L37</f>
        <v>802672.86518402456</v>
      </c>
      <c r="M37" s="1722">
        <f t="shared" si="8"/>
        <v>90455.290000000037</v>
      </c>
      <c r="N37" s="1699">
        <f t="shared" si="9"/>
        <v>0.14069978783961717</v>
      </c>
      <c r="O37" s="1722">
        <f t="shared" si="10"/>
        <v>71730</v>
      </c>
      <c r="P37" s="1699">
        <f t="shared" si="11"/>
        <v>9.7811280000981798E-2</v>
      </c>
      <c r="Q37" s="1722">
        <f t="shared" si="12"/>
        <v>9557</v>
      </c>
      <c r="R37" s="1699">
        <f t="shared" si="13"/>
        <v>1.1870855230715915E-2</v>
      </c>
      <c r="S37" s="198"/>
      <c r="T37" s="198"/>
      <c r="U37" s="1395">
        <f>+F37-UNRESTRICTED!F37-RESTRICTED!F37</f>
        <v>0</v>
      </c>
      <c r="V37" s="1395">
        <f>+G37-UNRESTRICTED!G37-RESTRICTED!G37</f>
        <v>0</v>
      </c>
      <c r="W37" s="1395">
        <f>+H37-UNRESTRICTED!H37-RESTRICTED!H37</f>
        <v>0</v>
      </c>
      <c r="X37" s="1395">
        <f>+I37-UNRESTRICTED!I37-RESTRICTED!I37</f>
        <v>0</v>
      </c>
      <c r="Y37" s="790"/>
    </row>
    <row r="38" spans="1:25" s="192" customFormat="1" ht="16.5" customHeight="1" x14ac:dyDescent="0.25">
      <c r="A38" s="1177"/>
      <c r="B38" s="731"/>
      <c r="C38" s="731"/>
      <c r="D38" s="1200" t="s">
        <v>79</v>
      </c>
      <c r="E38" s="619">
        <f>UNRESTRICTED!E38+RESTRICTED!E38</f>
        <v>0</v>
      </c>
      <c r="F38" s="1080">
        <f>UNRESTRICTED!F38+RESTRICTED!F38</f>
        <v>682476.8</v>
      </c>
      <c r="G38" s="1893">
        <f>UNRESTRICTED!G38+RESTRICTED!G38</f>
        <v>733653</v>
      </c>
      <c r="H38" s="2079">
        <f>UNRESTRICTED!H38+RESTRICTED!H38</f>
        <v>764180.5</v>
      </c>
      <c r="I38" s="1918">
        <f>UNRESTRICTED!I38+RESTRICTED!I38</f>
        <v>763835</v>
      </c>
      <c r="J38" s="1100">
        <f>UNRESTRICTED!J38+RESTRICTED!J38</f>
        <v>775240</v>
      </c>
      <c r="K38" s="647">
        <f>UNRESTRICTED!K38+RESTRICTED!K38</f>
        <v>771301.11662063072</v>
      </c>
      <c r="L38" s="1100">
        <f>UNRESTRICTED!L38+RESTRICTED!L38</f>
        <v>782870.6333699401</v>
      </c>
      <c r="M38" s="1722">
        <f t="shared" si="8"/>
        <v>51176.199999999953</v>
      </c>
      <c r="N38" s="1699">
        <f t="shared" si="9"/>
        <v>7.4985992197829948E-2</v>
      </c>
      <c r="O38" s="1722">
        <f t="shared" si="10"/>
        <v>30527.5</v>
      </c>
      <c r="P38" s="1699">
        <f t="shared" si="11"/>
        <v>4.1610270795594102E-2</v>
      </c>
      <c r="Q38" s="1722">
        <f t="shared" si="12"/>
        <v>-345.5</v>
      </c>
      <c r="R38" s="1699">
        <f t="shared" si="13"/>
        <v>-4.5211831497924901E-4</v>
      </c>
      <c r="S38" s="198"/>
      <c r="T38" s="198"/>
      <c r="U38" s="1395">
        <f>+F38-UNRESTRICTED!F38-RESTRICTED!F38</f>
        <v>0</v>
      </c>
      <c r="V38" s="1395">
        <f>+G38-UNRESTRICTED!G38-RESTRICTED!G38</f>
        <v>0</v>
      </c>
      <c r="W38" s="1395">
        <f>+H38-UNRESTRICTED!H38-RESTRICTED!H38</f>
        <v>0</v>
      </c>
      <c r="X38" s="1395">
        <f>+I38-UNRESTRICTED!I38-RESTRICTED!I38</f>
        <v>0</v>
      </c>
      <c r="Y38" s="790"/>
    </row>
    <row r="39" spans="1:25" s="192" customFormat="1" ht="16.5" customHeight="1" x14ac:dyDescent="0.25">
      <c r="A39" s="1177"/>
      <c r="B39" s="731"/>
      <c r="C39" s="731"/>
      <c r="D39" s="1200" t="s">
        <v>80</v>
      </c>
      <c r="E39" s="619">
        <f>UNRESTRICTED!E39+RESTRICTED!E40</f>
        <v>0</v>
      </c>
      <c r="F39" s="1080">
        <f>+UNRESTRICTED!F39+RESTRICTED!F39</f>
        <v>4756416.8600000003</v>
      </c>
      <c r="G39" s="1893">
        <f>+UNRESTRICTED!G39+RESTRICTED!G39</f>
        <v>4975707</v>
      </c>
      <c r="H39" s="2079">
        <f>+UNRESTRICTED!H39+RESTRICTED!H39</f>
        <v>5235813</v>
      </c>
      <c r="I39" s="1918">
        <f>+UNRESTRICTED!I39+RESTRICTED!I39</f>
        <v>5507604</v>
      </c>
      <c r="J39" s="1100">
        <f>+UNRESTRICTED!J39+RESTRICTED!J39</f>
        <v>5782986</v>
      </c>
      <c r="K39" s="647">
        <f>UNRESTRICTED!K39+RESTRICTED!K40</f>
        <v>26596.590228297613</v>
      </c>
      <c r="L39" s="1100">
        <f>UNRESTRICTED!L39+RESTRICTED!L40</f>
        <v>26995.539081722076</v>
      </c>
      <c r="M39" s="1722">
        <f t="shared" si="8"/>
        <v>219290.13999999966</v>
      </c>
      <c r="N39" s="1699">
        <f t="shared" si="9"/>
        <v>4.6104062460160328E-2</v>
      </c>
      <c r="O39" s="1722">
        <f t="shared" si="10"/>
        <v>260106</v>
      </c>
      <c r="P39" s="1699">
        <f t="shared" si="11"/>
        <v>5.2275184210002719E-2</v>
      </c>
      <c r="Q39" s="1722">
        <f t="shared" si="12"/>
        <v>271791</v>
      </c>
      <c r="R39" s="1699">
        <f t="shared" si="13"/>
        <v>5.1909989909876462E-2</v>
      </c>
      <c r="S39" s="198"/>
      <c r="T39" s="198"/>
      <c r="U39" s="1395">
        <f>+F39-UNRESTRICTED!F39-RESTRICTED!F39</f>
        <v>0</v>
      </c>
      <c r="V39" s="1395">
        <f>+G39-UNRESTRICTED!G39-RESTRICTED!G39</f>
        <v>0</v>
      </c>
      <c r="W39" s="1395">
        <f>+H39-UNRESTRICTED!H39-RESTRICTED!H39</f>
        <v>0</v>
      </c>
      <c r="X39" s="1395">
        <f>+I39-UNRESTRICTED!I39-RESTRICTED!I39</f>
        <v>0</v>
      </c>
      <c r="Y39" s="790"/>
    </row>
    <row r="40" spans="1:25" s="192" customFormat="1" ht="16.5" customHeight="1" x14ac:dyDescent="0.25">
      <c r="A40" s="1177"/>
      <c r="B40" s="731"/>
      <c r="C40" s="731"/>
      <c r="D40" s="1200" t="s">
        <v>81</v>
      </c>
      <c r="E40" s="619">
        <f>UNRESTRICTED!E40+RESTRICTED!E41</f>
        <v>0</v>
      </c>
      <c r="F40" s="1080">
        <f>+UNRESTRICTED!F40+RESTRICTED!F40</f>
        <v>23583.059999999998</v>
      </c>
      <c r="G40" s="1893">
        <f>+UNRESTRICTED!G40+RESTRICTED!G40</f>
        <v>25789</v>
      </c>
      <c r="H40" s="2079">
        <f>+UNRESTRICTED!H40+RESTRICTED!H40</f>
        <v>26414.5</v>
      </c>
      <c r="I40" s="1918">
        <f>+UNRESTRICTED!I40+RESTRICTED!I40</f>
        <v>26337</v>
      </c>
      <c r="J40" s="1100">
        <f>+UNRESTRICTED!J40+RESTRICTED!J40</f>
        <v>26732</v>
      </c>
      <c r="K40" s="647">
        <f>UNRESTRICTED!K40+RESTRICTED!K41</f>
        <v>531931.80456595216</v>
      </c>
      <c r="L40" s="1100">
        <f>UNRESTRICTED!L40+RESTRICTED!L41</f>
        <v>539910.78163444146</v>
      </c>
      <c r="M40" s="1722">
        <f t="shared" si="8"/>
        <v>2205.9400000000023</v>
      </c>
      <c r="N40" s="1699">
        <f t="shared" si="9"/>
        <v>9.3539176001757304E-2</v>
      </c>
      <c r="O40" s="1722">
        <f t="shared" si="10"/>
        <v>625.5</v>
      </c>
      <c r="P40" s="1699">
        <f t="shared" si="11"/>
        <v>2.4254527123967584E-2</v>
      </c>
      <c r="Q40" s="1722">
        <f t="shared" si="12"/>
        <v>-77.5</v>
      </c>
      <c r="R40" s="1699">
        <f t="shared" si="13"/>
        <v>-2.9339945863067632E-3</v>
      </c>
      <c r="S40" s="198"/>
      <c r="T40" s="198"/>
      <c r="U40" s="1395">
        <f>+F40-UNRESTRICTED!F40-RESTRICTED!F40</f>
        <v>0</v>
      </c>
      <c r="V40" s="1395">
        <f>+G40-UNRESTRICTED!G40-RESTRICTED!G40</f>
        <v>0</v>
      </c>
      <c r="W40" s="1395">
        <f>+H40-UNRESTRICTED!H40-RESTRICTED!H40</f>
        <v>0</v>
      </c>
      <c r="X40" s="1395">
        <f>+I40-UNRESTRICTED!I40-RESTRICTED!I40</f>
        <v>0</v>
      </c>
      <c r="Y40" s="790"/>
    </row>
    <row r="41" spans="1:25" s="205" customFormat="1" ht="18" x14ac:dyDescent="0.25">
      <c r="A41" s="1198"/>
      <c r="B41" s="1200"/>
      <c r="C41" s="1200"/>
      <c r="D41" s="1200" t="s">
        <v>82</v>
      </c>
      <c r="E41" s="621">
        <f>UNRESTRICTED!E41+RESTRICTED!E39</f>
        <v>0</v>
      </c>
      <c r="F41" s="1080">
        <f>+UNRESTRICTED!F41+RESTRICTED!F41</f>
        <v>517909.78</v>
      </c>
      <c r="G41" s="2008">
        <f>+UNRESTRICTED!G41+RESTRICTED!G41</f>
        <v>478417</v>
      </c>
      <c r="H41" s="2092">
        <f>+UNRESTRICTED!H41+RESTRICTED!H41</f>
        <v>421568</v>
      </c>
      <c r="I41" s="2023">
        <f>+UNRESTRICTED!I41+RESTRICTED!I41</f>
        <v>421425</v>
      </c>
      <c r="J41" s="1114">
        <f>+UNRESTRICTED!J41+RESTRICTED!J41</f>
        <v>427718</v>
      </c>
      <c r="K41" s="656">
        <f>UNRESTRICTED!K41+RESTRICTED!K39</f>
        <v>7242632.9541713409</v>
      </c>
      <c r="L41" s="1114">
        <f>UNRESTRICTED!L41+RESTRICTED!L39</f>
        <v>7604764.6018799078</v>
      </c>
      <c r="M41" s="1722">
        <f t="shared" si="8"/>
        <v>-39492.780000000028</v>
      </c>
      <c r="N41" s="1699">
        <f t="shared" si="9"/>
        <v>-7.6254169210706976E-2</v>
      </c>
      <c r="O41" s="1722">
        <f t="shared" si="10"/>
        <v>-56849</v>
      </c>
      <c r="P41" s="1699">
        <f t="shared" si="11"/>
        <v>-0.11882729919714391</v>
      </c>
      <c r="Q41" s="1722">
        <f t="shared" si="12"/>
        <v>-143</v>
      </c>
      <c r="R41" s="1699">
        <f t="shared" si="13"/>
        <v>-3.3920980719599211E-4</v>
      </c>
      <c r="S41" s="204"/>
      <c r="T41" s="204"/>
      <c r="U41" s="1395">
        <f>+F41-UNRESTRICTED!F41-RESTRICTED!F41</f>
        <v>0</v>
      </c>
      <c r="V41" s="1395">
        <f>+G41-UNRESTRICTED!G41-RESTRICTED!G41</f>
        <v>0</v>
      </c>
      <c r="W41" s="1395">
        <f>+H41-UNRESTRICTED!H41-RESTRICTED!H41</f>
        <v>0</v>
      </c>
      <c r="X41" s="1395">
        <f>+I41-UNRESTRICTED!I41-RESTRICTED!I41</f>
        <v>0</v>
      </c>
      <c r="Y41" s="793"/>
    </row>
    <row r="42" spans="1:25" s="205" customFormat="1" ht="18" x14ac:dyDescent="0.25">
      <c r="A42" s="1198"/>
      <c r="B42" s="1200"/>
      <c r="C42" s="1200"/>
      <c r="D42" s="1200" t="s">
        <v>92</v>
      </c>
      <c r="E42" s="621"/>
      <c r="F42" s="1080">
        <f>+UNRESTRICTED!F42+RESTRICTED!F42</f>
        <v>340626.19</v>
      </c>
      <c r="G42" s="2008">
        <f>+UNRESTRICTED!G42+RESTRICTED!G42</f>
        <v>329794</v>
      </c>
      <c r="H42" s="2092">
        <f>+UNRESTRICTED!H42+RESTRICTED!H42</f>
        <v>331389</v>
      </c>
      <c r="I42" s="2023">
        <f>+UNRESTRICTED!I42+RESTRICTED!I42</f>
        <v>331389</v>
      </c>
      <c r="J42" s="1114">
        <f>+UNRESTRICTED!J42+RESTRICTED!J42</f>
        <v>331389</v>
      </c>
      <c r="K42" s="656"/>
      <c r="L42" s="1114"/>
      <c r="M42" s="1722">
        <f t="shared" si="8"/>
        <v>-10832.190000000002</v>
      </c>
      <c r="N42" s="1699">
        <f t="shared" si="9"/>
        <v>-3.1800813672019763E-2</v>
      </c>
      <c r="O42" s="1722">
        <f t="shared" si="10"/>
        <v>1595</v>
      </c>
      <c r="P42" s="1699">
        <f t="shared" si="11"/>
        <v>4.8363523896735542E-3</v>
      </c>
      <c r="Q42" s="1722">
        <f t="shared" si="12"/>
        <v>0</v>
      </c>
      <c r="R42" s="1699">
        <f t="shared" si="13"/>
        <v>0</v>
      </c>
      <c r="S42" s="204"/>
      <c r="T42" s="204"/>
      <c r="U42" s="1395">
        <f>+F42-UNRESTRICTED!F42-RESTRICTED!F42</f>
        <v>0</v>
      </c>
      <c r="V42" s="1395">
        <f>+G42-UNRESTRICTED!G42-RESTRICTED!G42</f>
        <v>0</v>
      </c>
      <c r="W42" s="1395">
        <f>+H42-UNRESTRICTED!H42-RESTRICTED!H42</f>
        <v>0</v>
      </c>
      <c r="X42" s="1395">
        <f>+I42-UNRESTRICTED!I42-RESTRICTED!I42</f>
        <v>0</v>
      </c>
      <c r="Y42" s="793"/>
    </row>
    <row r="43" spans="1:25" s="205" customFormat="1" ht="18" x14ac:dyDescent="0.25">
      <c r="A43" s="1198"/>
      <c r="B43" s="1200"/>
      <c r="C43" s="1200"/>
      <c r="D43" s="1200" t="s">
        <v>93</v>
      </c>
      <c r="E43" s="621"/>
      <c r="F43" s="1080">
        <f>+UNRESTRICTED!F43+RESTRICTED!F43</f>
        <v>380853.18000000005</v>
      </c>
      <c r="G43" s="2008">
        <f>+UNRESTRICTED!G43+RESTRICTED!G43</f>
        <v>413879</v>
      </c>
      <c r="H43" s="2092">
        <f>+UNRESTRICTED!H43+RESTRICTED!H43</f>
        <v>402999</v>
      </c>
      <c r="I43" s="2023">
        <f>+UNRESTRICTED!I43+RESTRICTED!I43</f>
        <v>402999</v>
      </c>
      <c r="J43" s="1114">
        <f>+UNRESTRICTED!J43+RESTRICTED!J43</f>
        <v>402999</v>
      </c>
      <c r="K43" s="656"/>
      <c r="L43" s="1114"/>
      <c r="M43" s="1722">
        <f t="shared" si="8"/>
        <v>33025.819999999949</v>
      </c>
      <c r="N43" s="1699">
        <f t="shared" si="9"/>
        <v>8.6715358396114592E-2</v>
      </c>
      <c r="O43" s="1722">
        <f t="shared" si="10"/>
        <v>-10880</v>
      </c>
      <c r="P43" s="1699">
        <f t="shared" si="11"/>
        <v>-2.6287876408322239E-2</v>
      </c>
      <c r="Q43" s="1722">
        <f t="shared" si="12"/>
        <v>0</v>
      </c>
      <c r="R43" s="1699">
        <f t="shared" si="13"/>
        <v>0</v>
      </c>
      <c r="S43" s="204"/>
      <c r="T43" s="204"/>
      <c r="U43" s="1395">
        <f>+F43-UNRESTRICTED!F43-RESTRICTED!F43</f>
        <v>0</v>
      </c>
      <c r="V43" s="1395">
        <f>+G43-UNRESTRICTED!G43-RESTRICTED!G43</f>
        <v>0</v>
      </c>
      <c r="W43" s="1395">
        <f>+H43-UNRESTRICTED!H43-RESTRICTED!H43</f>
        <v>0</v>
      </c>
      <c r="X43" s="1395">
        <f>+I43-UNRESTRICTED!I43-RESTRICTED!I43</f>
        <v>0</v>
      </c>
      <c r="Y43" s="793"/>
    </row>
    <row r="44" spans="1:25" s="192" customFormat="1" ht="27" customHeight="1" x14ac:dyDescent="0.25">
      <c r="A44" s="1177"/>
      <c r="B44" s="731"/>
      <c r="C44" s="731" t="s">
        <v>355</v>
      </c>
      <c r="D44" s="731"/>
      <c r="E44" s="619">
        <f>UNRESTRICTED!E44+RESTRICTED!E44</f>
        <v>0</v>
      </c>
      <c r="F44" s="1067">
        <f>UNRESTRICTED!F44+RESTRICTED!F44</f>
        <v>1814731.7200000002</v>
      </c>
      <c r="G44" s="1893">
        <f>UNRESTRICTED!G44+RESTRICTED!G44</f>
        <v>1962283.47</v>
      </c>
      <c r="H44" s="2079">
        <f>UNRESTRICTED!H44+RESTRICTED!H44</f>
        <v>2526171</v>
      </c>
      <c r="I44" s="1918">
        <f>UNRESTRICTED!I44+RESTRICTED!I44</f>
        <v>2306477</v>
      </c>
      <c r="J44" s="1100">
        <f>UNRESTRICTED!J44+RESTRICTED!J44</f>
        <v>2347946</v>
      </c>
      <c r="K44" s="647" t="e">
        <f>UNRESTRICTED!K44+RESTRICTED!K44</f>
        <v>#REF!</v>
      </c>
      <c r="L44" s="1100" t="e">
        <f>UNRESTRICTED!L44+RESTRICTED!L44</f>
        <v>#REF!</v>
      </c>
      <c r="M44" s="1722">
        <f t="shared" si="8"/>
        <v>147551.74999999977</v>
      </c>
      <c r="N44" s="1699">
        <f t="shared" si="9"/>
        <v>8.1307748343099298E-2</v>
      </c>
      <c r="O44" s="1722">
        <f t="shared" si="10"/>
        <v>563887.53</v>
      </c>
      <c r="P44" s="1699">
        <f t="shared" si="11"/>
        <v>0.28736293130981733</v>
      </c>
      <c r="Q44" s="1722">
        <f t="shared" si="12"/>
        <v>-219694</v>
      </c>
      <c r="R44" s="1699">
        <f t="shared" si="13"/>
        <v>-8.6967192640561547E-2</v>
      </c>
      <c r="S44" s="198"/>
      <c r="T44" s="198"/>
      <c r="U44" s="1395">
        <f>+F44-UNRESTRICTED!F44-RESTRICTED!F44</f>
        <v>0</v>
      </c>
      <c r="V44" s="1395">
        <f>+G44-UNRESTRICTED!G44-RESTRICTED!G44</f>
        <v>0</v>
      </c>
      <c r="W44" s="1395">
        <f>+H44-UNRESTRICTED!H44-RESTRICTED!H44</f>
        <v>0</v>
      </c>
      <c r="X44" s="1395">
        <f>+I44-UNRESTRICTED!I44-RESTRICTED!I44</f>
        <v>0</v>
      </c>
      <c r="Y44" s="790"/>
    </row>
    <row r="45" spans="1:25" s="207" customFormat="1" ht="18" x14ac:dyDescent="0.25">
      <c r="A45" s="1201"/>
      <c r="B45" s="1203"/>
      <c r="C45" s="1203"/>
      <c r="D45" s="1204" t="s">
        <v>689</v>
      </c>
      <c r="E45" s="622">
        <f>UNRESTRICTED!E45+RESTRICTED!E45</f>
        <v>0</v>
      </c>
      <c r="F45" s="1082">
        <f>UNRESTRICTED!F45+RESTRICTED!F45</f>
        <v>2573856.8199999998</v>
      </c>
      <c r="G45" s="1900">
        <f>UNRESTRICTED!G45+RESTRICTED!G45</f>
        <v>661120</v>
      </c>
      <c r="H45" s="2093">
        <f>UNRESTRICTED!H45+RESTRICTED!H45</f>
        <v>3100000</v>
      </c>
      <c r="I45" s="1924">
        <f>UNRESTRICTED!I45+RESTRICTED!I45</f>
        <v>2800000</v>
      </c>
      <c r="J45" s="1115">
        <f>UNRESTRICTED!J45+RESTRICTED!J45</f>
        <v>0</v>
      </c>
      <c r="K45" s="657">
        <f>UNRESTRICTED!K45+RESTRICTED!K45</f>
        <v>350000</v>
      </c>
      <c r="L45" s="1115">
        <f>UNRESTRICTED!L45+RESTRICTED!L45</f>
        <v>2550000</v>
      </c>
      <c r="M45" s="1722">
        <f t="shared" si="8"/>
        <v>-1912736.8199999998</v>
      </c>
      <c r="N45" s="1699">
        <f t="shared" si="9"/>
        <v>-0.74314033521103162</v>
      </c>
      <c r="O45" s="1722">
        <f t="shared" si="10"/>
        <v>2438880</v>
      </c>
      <c r="P45" s="1699">
        <f t="shared" si="11"/>
        <v>3.6890125847047432</v>
      </c>
      <c r="Q45" s="1722">
        <f t="shared" si="12"/>
        <v>-300000</v>
      </c>
      <c r="R45" s="1699">
        <f t="shared" si="13"/>
        <v>-9.6774193548387094E-2</v>
      </c>
      <c r="S45" s="206"/>
      <c r="T45" s="206"/>
      <c r="U45" s="1395">
        <f>+F45-UNRESTRICTED!F45-RESTRICTED!F45</f>
        <v>0</v>
      </c>
      <c r="V45" s="1395">
        <f>+G45-UNRESTRICTED!G45-RESTRICTED!G45</f>
        <v>0</v>
      </c>
      <c r="W45" s="1395">
        <f>+H45-UNRESTRICTED!H45-RESTRICTED!H45</f>
        <v>0</v>
      </c>
      <c r="X45" s="1395">
        <f>+I45-UNRESTRICTED!I45-RESTRICTED!I45</f>
        <v>0</v>
      </c>
      <c r="Y45" s="794"/>
    </row>
    <row r="46" spans="1:25" s="192" customFormat="1" ht="21" customHeight="1" x14ac:dyDescent="0.25">
      <c r="A46" s="1177"/>
      <c r="B46" s="731"/>
      <c r="C46" s="731" t="s">
        <v>356</v>
      </c>
      <c r="D46" s="731"/>
      <c r="E46" s="619">
        <f>+UNRESTRICTED!E46+RESTRICTED!E46</f>
        <v>0</v>
      </c>
      <c r="F46" s="1067">
        <f>+UNRESTRICTED!F46+RESTRICTED!F46</f>
        <v>8292403.5700000003</v>
      </c>
      <c r="G46" s="1893">
        <f>+UNRESTRICTED!G46+RESTRICTED!G46</f>
        <v>8754476.5299999993</v>
      </c>
      <c r="H46" s="2079">
        <f>+UNRESTRICTED!H46+RESTRICTED!H46</f>
        <v>8719749</v>
      </c>
      <c r="I46" s="1918">
        <f>+UNRESTRICTED!I46+RESTRICTED!I46</f>
        <v>8240161</v>
      </c>
      <c r="J46" s="1100">
        <f>+UNRESTRICTED!J46+RESTRICTED!J46</f>
        <v>8267567</v>
      </c>
      <c r="K46" s="647" t="e">
        <f>+UNRESTRICTED!K46+RESTRICTED!K46</f>
        <v>#REF!</v>
      </c>
      <c r="L46" s="1100" t="e">
        <f>+UNRESTRICTED!L46+RESTRICTED!L46</f>
        <v>#REF!</v>
      </c>
      <c r="M46" s="1722">
        <f t="shared" si="8"/>
        <v>462072.95999999903</v>
      </c>
      <c r="N46" s="1699">
        <f t="shared" si="9"/>
        <v>5.5722439953558488E-2</v>
      </c>
      <c r="O46" s="1722">
        <f t="shared" si="10"/>
        <v>-34727.529999999329</v>
      </c>
      <c r="P46" s="1699">
        <f t="shared" si="11"/>
        <v>-3.9668311270233464E-3</v>
      </c>
      <c r="Q46" s="1722">
        <f t="shared" si="12"/>
        <v>-479588</v>
      </c>
      <c r="R46" s="1699">
        <f t="shared" si="13"/>
        <v>-5.5000207001371253E-2</v>
      </c>
      <c r="S46" s="198"/>
      <c r="T46" s="198"/>
      <c r="U46" s="1395">
        <f>+F46-UNRESTRICTED!F46-RESTRICTED!F46</f>
        <v>0</v>
      </c>
      <c r="V46" s="1395">
        <f>+G46-UNRESTRICTED!G46-RESTRICTED!G46</f>
        <v>0</v>
      </c>
      <c r="W46" s="1395">
        <f>+H46-UNRESTRICTED!H46-RESTRICTED!H46</f>
        <v>0</v>
      </c>
      <c r="X46" s="1395">
        <f>+I46-UNRESTRICTED!I46-RESTRICTED!I46</f>
        <v>0</v>
      </c>
      <c r="Y46" s="790"/>
    </row>
    <row r="47" spans="1:25" s="192" customFormat="1" ht="16.5" customHeight="1" x14ac:dyDescent="0.25">
      <c r="A47" s="1177"/>
      <c r="B47" s="731"/>
      <c r="C47" s="731"/>
      <c r="D47" s="1179" t="str">
        <f>+UNRESTRICTED!D47</f>
        <v>Printing Services for Adopted Textbook Consumables</v>
      </c>
      <c r="E47" s="619"/>
      <c r="F47" s="1068">
        <f>+UNRESTRICTED!F47</f>
        <v>33700.58</v>
      </c>
      <c r="G47" s="1892">
        <f>+UNRESTRICTED!G47</f>
        <v>48576</v>
      </c>
      <c r="H47" s="2080">
        <f>+UNRESTRICTED!H47</f>
        <v>300895</v>
      </c>
      <c r="I47" s="1917">
        <f>+UNRESTRICTED!I47</f>
        <v>300000</v>
      </c>
      <c r="J47" s="1101">
        <f>+UNRESTRICTED!J47</f>
        <v>300000</v>
      </c>
      <c r="K47" s="648"/>
      <c r="L47" s="1101"/>
      <c r="M47" s="1722">
        <f t="shared" si="8"/>
        <v>14875.419999999998</v>
      </c>
      <c r="N47" s="1699">
        <f t="shared" si="9"/>
        <v>0.44139952487464601</v>
      </c>
      <c r="O47" s="1722">
        <f t="shared" si="10"/>
        <v>252319</v>
      </c>
      <c r="P47" s="1699">
        <f t="shared" si="11"/>
        <v>5.1943140645586299</v>
      </c>
      <c r="Q47" s="1722">
        <f t="shared" si="12"/>
        <v>-895</v>
      </c>
      <c r="R47" s="1699">
        <f t="shared" si="13"/>
        <v>-2.974459529071603E-3</v>
      </c>
      <c r="S47" s="198"/>
      <c r="T47" s="198"/>
      <c r="U47" s="1395">
        <f>+F47-UNRESTRICTED!F47-RESTRICTED!F47</f>
        <v>0</v>
      </c>
      <c r="V47" s="1395">
        <f>+G47-UNRESTRICTED!G47-RESTRICTED!G47</f>
        <v>0</v>
      </c>
      <c r="W47" s="1395">
        <f>+H47-UNRESTRICTED!H47-RESTRICTED!H47</f>
        <v>0</v>
      </c>
      <c r="X47" s="1395">
        <f>+I47-UNRESTRICTED!I47-RESTRICTED!I47</f>
        <v>0</v>
      </c>
      <c r="Y47" s="790"/>
    </row>
    <row r="48" spans="1:25" s="192" customFormat="1" ht="21" customHeight="1" x14ac:dyDescent="0.25">
      <c r="A48" s="1177"/>
      <c r="B48" s="731"/>
      <c r="C48" s="731" t="s">
        <v>328</v>
      </c>
      <c r="D48" s="731"/>
      <c r="E48" s="619">
        <f>+UNRESTRICTED!E48+RESTRICTED!E48</f>
        <v>0</v>
      </c>
      <c r="F48" s="1067">
        <f>+UNRESTRICTED!F48+RESTRICTED!F48</f>
        <v>1680374.5500000003</v>
      </c>
      <c r="G48" s="1893">
        <f>+UNRESTRICTED!G48+RESTRICTED!G48</f>
        <v>3997505.33</v>
      </c>
      <c r="H48" s="2079">
        <f>+UNRESTRICTED!H48+RESTRICTED!H48</f>
        <v>997000</v>
      </c>
      <c r="I48" s="1918">
        <f>+UNRESTRICTED!I48+RESTRICTED!I48</f>
        <v>0</v>
      </c>
      <c r="J48" s="1100">
        <f>+UNRESTRICTED!J48+RESTRICTED!J48</f>
        <v>0</v>
      </c>
      <c r="K48" s="647" t="e">
        <f>+UNRESTRICTED!K48+RESTRICTED!K48</f>
        <v>#REF!</v>
      </c>
      <c r="L48" s="1100" t="e">
        <f>+UNRESTRICTED!L48+RESTRICTED!L48</f>
        <v>#REF!</v>
      </c>
      <c r="M48" s="1722">
        <f t="shared" si="8"/>
        <v>2317130.7799999998</v>
      </c>
      <c r="N48" s="1699">
        <f t="shared" si="9"/>
        <v>1.378937082806925</v>
      </c>
      <c r="O48" s="1722">
        <f t="shared" si="10"/>
        <v>-3000505.33</v>
      </c>
      <c r="P48" s="1699">
        <f t="shared" si="11"/>
        <v>-0.75059445386655688</v>
      </c>
      <c r="Q48" s="1722">
        <f t="shared" si="12"/>
        <v>-997000</v>
      </c>
      <c r="R48" s="1699">
        <f t="shared" si="13"/>
        <v>-1</v>
      </c>
      <c r="S48" s="198"/>
      <c r="T48" s="198"/>
      <c r="U48" s="1395">
        <f>+F48-UNRESTRICTED!F48-RESTRICTED!F48</f>
        <v>0</v>
      </c>
      <c r="V48" s="1395">
        <f>+G48-UNRESTRICTED!G48-RESTRICTED!G48</f>
        <v>0</v>
      </c>
      <c r="W48" s="1395">
        <f>+H48-UNRESTRICTED!H48-RESTRICTED!H48</f>
        <v>0</v>
      </c>
      <c r="X48" s="1395">
        <f>+I48-UNRESTRICTED!I48-RESTRICTED!I48</f>
        <v>0</v>
      </c>
      <c r="Y48" s="790"/>
    </row>
    <row r="49" spans="1:25" s="192" customFormat="1" ht="16.5" customHeight="1" x14ac:dyDescent="0.25">
      <c r="A49" s="1177"/>
      <c r="B49" s="731"/>
      <c r="C49" s="731" t="s">
        <v>388</v>
      </c>
      <c r="D49" s="731"/>
      <c r="E49" s="619">
        <f>+UNRESTRICTED!E49+RESTRICTED!E49</f>
        <v>0</v>
      </c>
      <c r="F49" s="1067">
        <f>+UNRESTRICTED!F49+RESTRICTED!F49</f>
        <v>1581094.7000000002</v>
      </c>
      <c r="G49" s="1893">
        <f>+UNRESTRICTED!G49+RESTRICTED!G49</f>
        <v>1914222</v>
      </c>
      <c r="H49" s="2079">
        <f>+UNRESTRICTED!H49+RESTRICTED!H49</f>
        <v>1777076</v>
      </c>
      <c r="I49" s="1918">
        <f>+UNRESTRICTED!I49+RESTRICTED!I49</f>
        <v>1777076</v>
      </c>
      <c r="J49" s="1100">
        <f>+UNRESTRICTED!J49+RESTRICTED!J49</f>
        <v>1777076</v>
      </c>
      <c r="K49" s="647" t="e">
        <f>+UNRESTRICTED!K49+RESTRICTED!K49</f>
        <v>#REF!</v>
      </c>
      <c r="L49" s="1100" t="e">
        <f>+UNRESTRICTED!L49+RESTRICTED!L49</f>
        <v>#REF!</v>
      </c>
      <c r="M49" s="1722">
        <f t="shared" si="8"/>
        <v>333127.29999999981</v>
      </c>
      <c r="N49" s="1699">
        <f t="shared" si="9"/>
        <v>0.21069408429488745</v>
      </c>
      <c r="O49" s="1722">
        <f t="shared" si="10"/>
        <v>-137146</v>
      </c>
      <c r="P49" s="1699">
        <f t="shared" si="11"/>
        <v>-7.164581746526788E-2</v>
      </c>
      <c r="Q49" s="1722">
        <f t="shared" si="12"/>
        <v>0</v>
      </c>
      <c r="R49" s="1699">
        <f t="shared" si="13"/>
        <v>0</v>
      </c>
      <c r="S49" s="198"/>
      <c r="T49" s="198"/>
      <c r="U49" s="1395">
        <f>+F49-UNRESTRICTED!F49-RESTRICTED!F49</f>
        <v>0</v>
      </c>
      <c r="V49" s="1395">
        <f>+G49-UNRESTRICTED!G49-RESTRICTED!G49</f>
        <v>0</v>
      </c>
      <c r="W49" s="1395">
        <f>+H49-UNRESTRICTED!H49-RESTRICTED!H49</f>
        <v>0</v>
      </c>
      <c r="X49" s="1395">
        <f>+I49-UNRESTRICTED!I49-RESTRICTED!I49</f>
        <v>0</v>
      </c>
      <c r="Y49" s="790"/>
    </row>
    <row r="50" spans="1:25" s="192" customFormat="1" ht="16.5" customHeight="1" x14ac:dyDescent="0.25">
      <c r="A50" s="1188"/>
      <c r="B50" s="1190"/>
      <c r="C50" s="1190" t="s">
        <v>389</v>
      </c>
      <c r="D50" s="1190"/>
      <c r="E50" s="623">
        <f>+UNRESTRICTED!E50+RESTRICTED!E50</f>
        <v>0</v>
      </c>
      <c r="F50" s="1074">
        <f>+UNRESTRICTED!F50+RESTRICTED!F50</f>
        <v>-118817.66000000003</v>
      </c>
      <c r="G50" s="2004">
        <f>+UNRESTRICTED!G50+RESTRICTED!G50</f>
        <v>-147408</v>
      </c>
      <c r="H50" s="2086">
        <f>+UNRESTRICTED!H50+RESTRICTED!H50</f>
        <v>-209960</v>
      </c>
      <c r="I50" s="2020">
        <f>+UNRESTRICTED!I50+RESTRICTED!I50</f>
        <v>-368403</v>
      </c>
      <c r="J50" s="1107">
        <f>+UNRESTRICTED!J50+RESTRICTED!J50</f>
        <v>-495956</v>
      </c>
      <c r="K50" s="653" t="e">
        <f>+UNRESTRICTED!K50+RESTRICTED!K50</f>
        <v>#REF!</v>
      </c>
      <c r="L50" s="1107" t="e">
        <f>+UNRESTRICTED!L50+RESTRICTED!L50</f>
        <v>#REF!</v>
      </c>
      <c r="M50" s="1722">
        <f t="shared" si="8"/>
        <v>-28590.339999999967</v>
      </c>
      <c r="N50" s="1699">
        <f t="shared" si="9"/>
        <v>0.24062365813297418</v>
      </c>
      <c r="O50" s="1722">
        <f t="shared" si="10"/>
        <v>-62552</v>
      </c>
      <c r="P50" s="1699">
        <f t="shared" si="11"/>
        <v>0.42434603277976773</v>
      </c>
      <c r="Q50" s="1722">
        <f t="shared" si="12"/>
        <v>-158443</v>
      </c>
      <c r="R50" s="1699">
        <f t="shared" si="13"/>
        <v>0.75463421604115066</v>
      </c>
      <c r="S50" s="198"/>
      <c r="T50" s="198"/>
      <c r="U50" s="1395">
        <f>+F50-UNRESTRICTED!F50-RESTRICTED!F50</f>
        <v>0</v>
      </c>
      <c r="V50" s="1395">
        <f>+G50-UNRESTRICTED!G50-RESTRICTED!G50</f>
        <v>0</v>
      </c>
      <c r="W50" s="1395">
        <f>+H50-UNRESTRICTED!H50-RESTRICTED!H50</f>
        <v>0</v>
      </c>
      <c r="X50" s="1395">
        <f>+I50-UNRESTRICTED!I50-RESTRICTED!I50</f>
        <v>0</v>
      </c>
      <c r="Y50" s="790"/>
    </row>
    <row r="51" spans="1:25" s="192" customFormat="1" ht="16.5" customHeight="1" thickBot="1" x14ac:dyDescent="0.3">
      <c r="A51" s="1183"/>
      <c r="B51" s="1184" t="s">
        <v>359</v>
      </c>
      <c r="C51" s="1184"/>
      <c r="D51" s="1184"/>
      <c r="E51" s="641">
        <f>SUM(E28:E50)</f>
        <v>0</v>
      </c>
      <c r="F51" s="1070">
        <f>SUM(F28:F50)</f>
        <v>79466675.600000009</v>
      </c>
      <c r="G51" s="1894">
        <f t="shared" ref="G51:L51" si="23">SUM(G28:G50)</f>
        <v>84272884.840000004</v>
      </c>
      <c r="H51" s="2082">
        <f t="shared" si="23"/>
        <v>86423583</v>
      </c>
      <c r="I51" s="1920">
        <f>SUM(I28:I50)</f>
        <v>85890822</v>
      </c>
      <c r="J51" s="1103">
        <f>SUM(J28:J50)</f>
        <v>85015381</v>
      </c>
      <c r="K51" s="654" t="e">
        <f t="shared" si="23"/>
        <v>#REF!</v>
      </c>
      <c r="L51" s="1103" t="e">
        <f t="shared" si="23"/>
        <v>#REF!</v>
      </c>
      <c r="M51" s="1722">
        <f t="shared" si="8"/>
        <v>4806209.2399999946</v>
      </c>
      <c r="N51" s="1699">
        <f t="shared" si="9"/>
        <v>6.0480814174136588E-2</v>
      </c>
      <c r="O51" s="1722">
        <f t="shared" si="10"/>
        <v>2150698.1599999964</v>
      </c>
      <c r="P51" s="1699">
        <f t="shared" si="11"/>
        <v>2.5520642423518539E-2</v>
      </c>
      <c r="Q51" s="1722">
        <f t="shared" si="12"/>
        <v>-532761</v>
      </c>
      <c r="R51" s="1699">
        <f t="shared" si="13"/>
        <v>-6.1645326600263724E-3</v>
      </c>
      <c r="S51" s="197"/>
      <c r="T51" s="197"/>
      <c r="U51" s="1395">
        <f>+F51-UNRESTRICTED!F51-RESTRICTED!F51</f>
        <v>0</v>
      </c>
      <c r="V51" s="1395">
        <f>+G51-UNRESTRICTED!G51-RESTRICTED!G51</f>
        <v>0</v>
      </c>
      <c r="W51" s="1395">
        <f>+H51-UNRESTRICTED!H51-RESTRICTED!H51</f>
        <v>0</v>
      </c>
      <c r="X51" s="1395">
        <f>+I51-UNRESTRICTED!I51-RESTRICTED!I51</f>
        <v>0</v>
      </c>
      <c r="Y51" s="790"/>
    </row>
    <row r="52" spans="1:25" s="192" customFormat="1" ht="18.75" thickTop="1" x14ac:dyDescent="0.25">
      <c r="A52" s="1185"/>
      <c r="B52" s="1194"/>
      <c r="C52" s="1194"/>
      <c r="D52" s="1194"/>
      <c r="E52" s="183"/>
      <c r="F52" s="1071"/>
      <c r="G52" s="2002"/>
      <c r="H52" s="2083"/>
      <c r="I52" s="2018"/>
      <c r="J52" s="1104"/>
      <c r="K52" s="652"/>
      <c r="L52" s="1104"/>
      <c r="M52" s="1722"/>
      <c r="N52" s="1699"/>
      <c r="O52" s="1722"/>
      <c r="P52" s="1699"/>
      <c r="Q52" s="1722"/>
      <c r="R52" s="1699"/>
      <c r="S52" s="203"/>
      <c r="T52" s="203"/>
      <c r="U52" s="1395">
        <f>+F52-UNRESTRICTED!F52-RESTRICTED!F52</f>
        <v>0</v>
      </c>
      <c r="V52" s="1395">
        <f>+G52-UNRESTRICTED!G52-RESTRICTED!G52</f>
        <v>0</v>
      </c>
      <c r="W52" s="1395">
        <f>+H52-UNRESTRICTED!H52-RESTRICTED!H52</f>
        <v>0</v>
      </c>
      <c r="X52" s="1395">
        <f>+I52-UNRESTRICTED!I52-RESTRICTED!I52</f>
        <v>0</v>
      </c>
      <c r="Y52" s="790"/>
    </row>
    <row r="53" spans="1:25" s="192" customFormat="1" ht="18" x14ac:dyDescent="0.25">
      <c r="A53" s="1185"/>
      <c r="B53" s="1193" t="s">
        <v>705</v>
      </c>
      <c r="C53" s="1194"/>
      <c r="D53" s="1194"/>
      <c r="E53" s="183"/>
      <c r="F53" s="1071"/>
      <c r="G53" s="2002"/>
      <c r="H53" s="2083"/>
      <c r="I53" s="2018"/>
      <c r="J53" s="1104"/>
      <c r="K53" s="652"/>
      <c r="L53" s="1104"/>
      <c r="M53" s="1722"/>
      <c r="N53" s="1699"/>
      <c r="O53" s="1722"/>
      <c r="P53" s="1699"/>
      <c r="Q53" s="1722"/>
      <c r="R53" s="1699"/>
      <c r="S53" s="203"/>
      <c r="T53" s="203"/>
      <c r="U53" s="1395">
        <f>+F53-UNRESTRICTED!F53-RESTRICTED!F53</f>
        <v>0</v>
      </c>
      <c r="V53" s="1395">
        <f>+G53-UNRESTRICTED!G53-RESTRICTED!G53</f>
        <v>0</v>
      </c>
      <c r="W53" s="1395">
        <f>+H53-UNRESTRICTED!H53-RESTRICTED!H53</f>
        <v>0</v>
      </c>
      <c r="X53" s="1395">
        <f>+I53-UNRESTRICTED!I53-RESTRICTED!I53</f>
        <v>0</v>
      </c>
      <c r="Y53" s="790"/>
    </row>
    <row r="54" spans="1:25" s="192" customFormat="1" ht="18" x14ac:dyDescent="0.25">
      <c r="A54" s="1277"/>
      <c r="B54" s="1278"/>
      <c r="C54" s="1278" t="s">
        <v>390</v>
      </c>
      <c r="D54" s="1278"/>
      <c r="E54" s="735">
        <f>+UNRESTRICTED!E54+RESTRICTED!E54</f>
        <v>0</v>
      </c>
      <c r="F54" s="1083">
        <f>+UNRESTRICTED!F54+RESTRICTED!F54</f>
        <v>562000</v>
      </c>
      <c r="G54" s="2062">
        <f>+UNRESTRICTED!G54+RESTRICTED!G54</f>
        <v>2521794.7199999997</v>
      </c>
      <c r="H54" s="2094">
        <f>+UNRESTRICTED!H54+RESTRICTED!H54</f>
        <v>662000</v>
      </c>
      <c r="I54" s="2073">
        <f>+UNRESTRICTED!I54+RESTRICTED!I54</f>
        <v>662000</v>
      </c>
      <c r="J54" s="1116">
        <f>+UNRESTRICTED!J54+RESTRICTED!J54</f>
        <v>662000</v>
      </c>
      <c r="K54" s="736">
        <f>+UNRESTRICTED!K54+RESTRICTED!K54</f>
        <v>662000</v>
      </c>
      <c r="L54" s="1116">
        <f>+UNRESTRICTED!L54+RESTRICTED!L54</f>
        <v>662000</v>
      </c>
      <c r="M54" s="1722">
        <f t="shared" si="8"/>
        <v>1959794.7199999997</v>
      </c>
      <c r="N54" s="1699">
        <f t="shared" si="9"/>
        <v>3.4871792170818501</v>
      </c>
      <c r="O54" s="1722">
        <f t="shared" si="10"/>
        <v>-1859794.7199999997</v>
      </c>
      <c r="P54" s="1699">
        <f t="shared" si="11"/>
        <v>-0.73748854545940201</v>
      </c>
      <c r="Q54" s="1722">
        <f t="shared" si="12"/>
        <v>0</v>
      </c>
      <c r="R54" s="1699">
        <f t="shared" si="13"/>
        <v>0</v>
      </c>
      <c r="S54" s="198"/>
      <c r="T54" s="198"/>
      <c r="U54" s="1395">
        <f>+F54-UNRESTRICTED!F54-RESTRICTED!F54</f>
        <v>0</v>
      </c>
      <c r="V54" s="1395">
        <f>+G54-UNRESTRICTED!G54-RESTRICTED!G54</f>
        <v>0</v>
      </c>
      <c r="W54" s="1395">
        <f>+H54-UNRESTRICTED!H54-RESTRICTED!H54</f>
        <v>0</v>
      </c>
      <c r="X54" s="1395">
        <f>+I54-UNRESTRICTED!I54-RESTRICTED!I54</f>
        <v>0</v>
      </c>
      <c r="Y54" s="790"/>
    </row>
    <row r="55" spans="1:25" s="192" customFormat="1" ht="18" x14ac:dyDescent="0.25">
      <c r="A55" s="1188"/>
      <c r="B55" s="1190"/>
      <c r="C55" s="1190" t="s">
        <v>362</v>
      </c>
      <c r="D55" s="1190"/>
      <c r="E55" s="623">
        <f>+UNRESTRICTED!E55+RESTRICTED!E55</f>
        <v>0</v>
      </c>
      <c r="F55" s="1074">
        <f>+UNRESTRICTED!F55+RESTRICTED!F55</f>
        <v>0</v>
      </c>
      <c r="G55" s="2004">
        <f>+UNRESTRICTED!G55+RESTRICTED!G55</f>
        <v>0</v>
      </c>
      <c r="H55" s="2086">
        <f>+UNRESTRICTED!H55+RESTRICTED!H55</f>
        <v>0</v>
      </c>
      <c r="I55" s="2020">
        <f>+UNRESTRICTED!I55+RESTRICTED!I55</f>
        <v>0</v>
      </c>
      <c r="J55" s="1107">
        <f>+UNRESTRICTED!J55+RESTRICTED!J55</f>
        <v>0</v>
      </c>
      <c r="K55" s="653">
        <f>+UNRESTRICTED!K55+RESTRICTED!K55</f>
        <v>0</v>
      </c>
      <c r="L55" s="1107">
        <f>+UNRESTRICTED!L55+RESTRICTED!L55</f>
        <v>0</v>
      </c>
      <c r="M55" s="1722">
        <f t="shared" si="8"/>
        <v>0</v>
      </c>
      <c r="N55" s="1699">
        <f t="shared" si="9"/>
        <v>0</v>
      </c>
      <c r="O55" s="1722">
        <f t="shared" si="10"/>
        <v>0</v>
      </c>
      <c r="P55" s="1699">
        <f t="shared" si="11"/>
        <v>0</v>
      </c>
      <c r="Q55" s="1722">
        <f t="shared" si="12"/>
        <v>0</v>
      </c>
      <c r="R55" s="1699">
        <f t="shared" si="13"/>
        <v>0</v>
      </c>
      <c r="S55" s="198"/>
      <c r="T55" s="198"/>
      <c r="U55" s="1395">
        <f>+F55-UNRESTRICTED!F55-RESTRICTED!F55</f>
        <v>0</v>
      </c>
      <c r="V55" s="1395">
        <f>+G55-UNRESTRICTED!G55-RESTRICTED!G55</f>
        <v>0</v>
      </c>
      <c r="W55" s="1395">
        <f>+H55-UNRESTRICTED!H55-RESTRICTED!H55</f>
        <v>0</v>
      </c>
      <c r="X55" s="1395">
        <f>+I55-UNRESTRICTED!I55-RESTRICTED!I55</f>
        <v>0</v>
      </c>
      <c r="Y55" s="790"/>
    </row>
    <row r="56" spans="1:25" s="192" customFormat="1" ht="18.75" thickBot="1" x14ac:dyDescent="0.3">
      <c r="A56" s="1183"/>
      <c r="B56" s="1184" t="s">
        <v>707</v>
      </c>
      <c r="C56" s="1184"/>
      <c r="D56" s="1184"/>
      <c r="E56" s="641">
        <f>+E17-E54+E18-E55+E19</f>
        <v>0</v>
      </c>
      <c r="F56" s="1070">
        <f>SUM(F54:F55)</f>
        <v>562000</v>
      </c>
      <c r="G56" s="1894">
        <f t="shared" ref="G56:H56" si="24">SUM(G54:G55)</f>
        <v>2521794.7199999997</v>
      </c>
      <c r="H56" s="2082">
        <f t="shared" si="24"/>
        <v>662000</v>
      </c>
      <c r="I56" s="1920">
        <f>SUM(I54:I55)</f>
        <v>662000</v>
      </c>
      <c r="J56" s="1103">
        <f>SUM(J54:J55)</f>
        <v>662000</v>
      </c>
      <c r="K56" s="654" t="e">
        <f>+K17-K54+K18-K55+K19</f>
        <v>#REF!</v>
      </c>
      <c r="L56" s="1103" t="e">
        <f>+L17-L54+L18-L55+L19</f>
        <v>#REF!</v>
      </c>
      <c r="M56" s="1722">
        <f t="shared" si="8"/>
        <v>1959794.7199999997</v>
      </c>
      <c r="N56" s="1699">
        <f t="shared" si="9"/>
        <v>3.4871792170818501</v>
      </c>
      <c r="O56" s="1722">
        <f t="shared" si="10"/>
        <v>-1859794.7199999997</v>
      </c>
      <c r="P56" s="1699">
        <f t="shared" si="11"/>
        <v>-0.73748854545940201</v>
      </c>
      <c r="Q56" s="1722">
        <f t="shared" si="12"/>
        <v>0</v>
      </c>
      <c r="R56" s="1699">
        <f t="shared" si="13"/>
        <v>0</v>
      </c>
      <c r="S56" s="197"/>
      <c r="T56" s="197"/>
      <c r="U56" s="1395">
        <f>+F56-UNRESTRICTED!F56-RESTRICTED!F56</f>
        <v>0</v>
      </c>
      <c r="V56" s="1395">
        <f>+G56-UNRESTRICTED!G56-RESTRICTED!G56</f>
        <v>0</v>
      </c>
      <c r="W56" s="1395">
        <f>+H56-UNRESTRICTED!H56-RESTRICTED!H56</f>
        <v>0</v>
      </c>
      <c r="X56" s="1395">
        <f>+I56-UNRESTRICTED!I56-RESTRICTED!I56</f>
        <v>0</v>
      </c>
      <c r="Y56" s="790"/>
    </row>
    <row r="57" spans="1:25" s="192" customFormat="1" ht="18.75" thickTop="1" x14ac:dyDescent="0.25">
      <c r="A57" s="1185"/>
      <c r="B57" s="1194"/>
      <c r="C57" s="1194"/>
      <c r="D57" s="1289"/>
      <c r="E57" s="747"/>
      <c r="F57" s="1084"/>
      <c r="G57" s="2063"/>
      <c r="H57" s="2095"/>
      <c r="I57" s="748"/>
      <c r="J57" s="1117"/>
      <c r="K57" s="748"/>
      <c r="L57" s="1117"/>
      <c r="M57" s="1722"/>
      <c r="N57" s="1699"/>
      <c r="O57" s="1722"/>
      <c r="P57" s="1699"/>
      <c r="Q57" s="1722"/>
      <c r="R57" s="1699"/>
      <c r="S57" s="203"/>
      <c r="T57" s="203"/>
      <c r="U57" s="1395">
        <f>+F57-UNRESTRICTED!F57-RESTRICTED!F57</f>
        <v>0</v>
      </c>
      <c r="V57" s="1395">
        <f>+G57-UNRESTRICTED!G57-RESTRICTED!G57</f>
        <v>0</v>
      </c>
      <c r="W57" s="1395">
        <f>+H57-UNRESTRICTED!H57-RESTRICTED!H57</f>
        <v>0</v>
      </c>
      <c r="X57" s="1395">
        <f>+I57-UNRESTRICTED!I57-RESTRICTED!I57</f>
        <v>0</v>
      </c>
      <c r="Y57" s="790"/>
    </row>
    <row r="58" spans="1:25" s="192" customFormat="1" ht="25.5" customHeight="1" x14ac:dyDescent="0.25">
      <c r="A58" s="1290"/>
      <c r="B58" s="1285" t="s">
        <v>708</v>
      </c>
      <c r="C58" s="1286"/>
      <c r="D58" s="1286"/>
      <c r="E58" s="740"/>
      <c r="F58" s="1085">
        <f>SUM(F51,F56)</f>
        <v>80028675.600000009</v>
      </c>
      <c r="G58" s="1085">
        <f t="shared" ref="G58:H58" si="25">SUM(G51,G56)</f>
        <v>86794679.560000002</v>
      </c>
      <c r="H58" s="1132">
        <f t="shared" si="25"/>
        <v>87085583</v>
      </c>
      <c r="I58" s="1118">
        <f>SUM(I51,I56)</f>
        <v>86552822</v>
      </c>
      <c r="J58" s="741">
        <f>SUM(J51,J56)</f>
        <v>85677381</v>
      </c>
      <c r="K58" s="741" t="e">
        <f t="shared" ref="K58:L58" si="26">SUM(K51,K56)</f>
        <v>#REF!</v>
      </c>
      <c r="L58" s="741" t="e">
        <f t="shared" si="26"/>
        <v>#REF!</v>
      </c>
      <c r="M58" s="1722">
        <f t="shared" si="8"/>
        <v>6766003.9599999934</v>
      </c>
      <c r="N58" s="1699">
        <f t="shared" si="9"/>
        <v>8.4544744858928947E-2</v>
      </c>
      <c r="O58" s="1722">
        <f t="shared" si="10"/>
        <v>290903.43999999762</v>
      </c>
      <c r="P58" s="1699">
        <f t="shared" si="11"/>
        <v>3.3516275591397278E-3</v>
      </c>
      <c r="Q58" s="1722">
        <f t="shared" si="12"/>
        <v>-532761</v>
      </c>
      <c r="R58" s="1699">
        <f t="shared" si="13"/>
        <v>-6.1176716242457721E-3</v>
      </c>
      <c r="S58" s="203"/>
      <c r="T58" s="203"/>
      <c r="U58" s="1395">
        <f>+F58-UNRESTRICTED!F58-RESTRICTED!F58</f>
        <v>0</v>
      </c>
      <c r="V58" s="1395">
        <f>+G58-UNRESTRICTED!G58-RESTRICTED!G58</f>
        <v>0</v>
      </c>
      <c r="W58" s="1395">
        <f>+H58-UNRESTRICTED!H58-RESTRICTED!H58</f>
        <v>0</v>
      </c>
      <c r="X58" s="1395">
        <f>+I58-UNRESTRICTED!I58-RESTRICTED!I58</f>
        <v>0</v>
      </c>
      <c r="Y58" s="790"/>
    </row>
    <row r="59" spans="1:25" s="192" customFormat="1" ht="18" x14ac:dyDescent="0.25">
      <c r="A59" s="1185"/>
      <c r="B59" s="1193"/>
      <c r="C59" s="1194"/>
      <c r="D59" s="1197"/>
      <c r="E59" s="1197"/>
      <c r="F59" s="1197"/>
      <c r="G59" s="1197"/>
      <c r="H59" s="2096"/>
      <c r="I59" s="1197"/>
      <c r="J59" s="1197"/>
      <c r="K59" s="746"/>
      <c r="L59" s="686"/>
      <c r="M59" s="1722"/>
      <c r="N59" s="1699"/>
      <c r="O59" s="1722"/>
      <c r="P59" s="1699"/>
      <c r="Q59" s="1722"/>
      <c r="R59" s="1699"/>
      <c r="S59" s="203"/>
      <c r="T59" s="203"/>
      <c r="U59" s="1395">
        <f>+F59-UNRESTRICTED!F59-RESTRICTED!F59</f>
        <v>0</v>
      </c>
      <c r="V59" s="1395">
        <f>+G59-UNRESTRICTED!G59-RESTRICTED!G59</f>
        <v>0</v>
      </c>
      <c r="W59" s="1395">
        <f>+H59-UNRESTRICTED!H59-RESTRICTED!H59</f>
        <v>0</v>
      </c>
      <c r="X59" s="1395">
        <f>+I59-UNRESTRICTED!I59-RESTRICTED!I59</f>
        <v>0</v>
      </c>
      <c r="Y59" s="790"/>
    </row>
    <row r="60" spans="1:25" s="722" customFormat="1" ht="35.25" customHeight="1" x14ac:dyDescent="0.25">
      <c r="A60" s="1284"/>
      <c r="B60" s="1285" t="s">
        <v>383</v>
      </c>
      <c r="C60" s="1286"/>
      <c r="D60" s="1286"/>
      <c r="E60" s="719">
        <f>+D62</f>
        <v>0</v>
      </c>
      <c r="F60" s="1086">
        <f>+RESTRICTED!F60+UNRESTRICTED!F60</f>
        <v>21415859.420000002</v>
      </c>
      <c r="G60" s="1086">
        <f>+F62</f>
        <v>21098480.409999996</v>
      </c>
      <c r="H60" s="1133">
        <f>+G62</f>
        <v>16384999.449999988</v>
      </c>
      <c r="I60" s="1119">
        <f>+H62</f>
        <v>12779781.449999988</v>
      </c>
      <c r="J60" s="1119">
        <f>+I62</f>
        <v>8535689.4499999881</v>
      </c>
      <c r="K60" s="720">
        <f t="shared" ref="K60:L60" si="27">+J62</f>
        <v>6785003.5270999819</v>
      </c>
      <c r="L60" s="1119" t="e">
        <f t="shared" si="27"/>
        <v>#REF!</v>
      </c>
      <c r="M60" s="1722">
        <f t="shared" si="8"/>
        <v>-317379.01000000536</v>
      </c>
      <c r="N60" s="1699">
        <f t="shared" si="9"/>
        <v>-1.4819811980256515E-2</v>
      </c>
      <c r="O60" s="1722">
        <f t="shared" si="10"/>
        <v>-4713480.9600000083</v>
      </c>
      <c r="P60" s="1699">
        <f t="shared" si="11"/>
        <v>-0.22340381242650872</v>
      </c>
      <c r="Q60" s="1722">
        <f t="shared" si="12"/>
        <v>-3605218</v>
      </c>
      <c r="R60" s="1699">
        <f t="shared" si="13"/>
        <v>-0.22003162166721968</v>
      </c>
      <c r="S60" s="721"/>
      <c r="T60" s="721"/>
      <c r="U60" s="1395">
        <f>+F60-UNRESTRICTED!F60-RESTRICTED!F60</f>
        <v>0</v>
      </c>
      <c r="V60" s="1395">
        <f>+G60-UNRESTRICTED!G60-RESTRICTED!G60</f>
        <v>0</v>
      </c>
      <c r="W60" s="1395">
        <f>+H60-UNRESTRICTED!H60-RESTRICTED!H60</f>
        <v>-1.7695128917694092E-8</v>
      </c>
      <c r="X60" s="1395">
        <f>+I60-UNRESTRICTED!I60-RESTRICTED!I60</f>
        <v>-1.7695128917694092E-8</v>
      </c>
      <c r="Y60" s="792"/>
    </row>
    <row r="61" spans="1:25" s="722" customFormat="1" ht="35.25" customHeight="1" x14ac:dyDescent="0.25">
      <c r="A61" s="1284"/>
      <c r="B61" s="1285" t="s">
        <v>365</v>
      </c>
      <c r="C61" s="1286"/>
      <c r="D61" s="1286"/>
      <c r="E61" s="723">
        <f t="shared" ref="E61:L61" si="28">SUM(E60:E60)</f>
        <v>0</v>
      </c>
      <c r="F61" s="1087">
        <f>F25-F58</f>
        <v>-317379.01000000536</v>
      </c>
      <c r="G61" s="1087">
        <f>G25-G58</f>
        <v>-4713480.9600000083</v>
      </c>
      <c r="H61" s="1134">
        <f>H25-H58</f>
        <v>-3605218</v>
      </c>
      <c r="I61" s="1120">
        <f>I25-I58</f>
        <v>-4244092</v>
      </c>
      <c r="J61" s="1120">
        <f>J25-J58</f>
        <v>-1750685.9229000062</v>
      </c>
      <c r="K61" s="724">
        <f t="shared" si="28"/>
        <v>6785003.5270999819</v>
      </c>
      <c r="L61" s="1120" t="e">
        <f t="shared" si="28"/>
        <v>#REF!</v>
      </c>
      <c r="M61" s="1722">
        <f t="shared" si="8"/>
        <v>-4396101.950000003</v>
      </c>
      <c r="N61" s="1699">
        <f t="shared" si="9"/>
        <v>13.851268708664536</v>
      </c>
      <c r="O61" s="1722">
        <f t="shared" si="10"/>
        <v>1108262.9600000083</v>
      </c>
      <c r="P61" s="1699">
        <f t="shared" si="11"/>
        <v>-0.23512621975246217</v>
      </c>
      <c r="Q61" s="1722">
        <f t="shared" si="12"/>
        <v>-638874</v>
      </c>
      <c r="R61" s="1699">
        <f t="shared" si="13"/>
        <v>0.17720814663634765</v>
      </c>
      <c r="S61" s="721"/>
      <c r="T61" s="721"/>
      <c r="U61" s="1395">
        <f>+F61-UNRESTRICTED!F61-RESTRICTED!F61</f>
        <v>-3.7252902984619141E-9</v>
      </c>
      <c r="V61" s="1395">
        <f>+G61-UNRESTRICTED!G61-RESTRICTED!G61</f>
        <v>-1.4901161193847656E-8</v>
      </c>
      <c r="W61" s="1395">
        <f>+H61-UNRESTRICTED!H61-RESTRICTED!H61</f>
        <v>0</v>
      </c>
      <c r="X61" s="1395">
        <f>+I61-UNRESTRICTED!I61-RESTRICTED!I61</f>
        <v>0</v>
      </c>
      <c r="Y61" s="792"/>
    </row>
    <row r="62" spans="1:25" s="211" customFormat="1" ht="26.25" customHeight="1" x14ac:dyDescent="0.25">
      <c r="A62" s="1291"/>
      <c r="B62" s="1292" t="s">
        <v>136</v>
      </c>
      <c r="C62" s="1292"/>
      <c r="D62" s="1292"/>
      <c r="E62" s="213" t="e">
        <f>+E61+#REF!</f>
        <v>#REF!</v>
      </c>
      <c r="F62" s="1088">
        <f>SUM(F60:F61)</f>
        <v>21098480.409999996</v>
      </c>
      <c r="G62" s="1088">
        <f t="shared" ref="G62:I62" si="29">SUM(G60:G61)</f>
        <v>16384999.449999988</v>
      </c>
      <c r="H62" s="1135">
        <f t="shared" si="29"/>
        <v>12779781.449999988</v>
      </c>
      <c r="I62" s="1121">
        <f t="shared" si="29"/>
        <v>8535689.4499999881</v>
      </c>
      <c r="J62" s="1121">
        <f t="shared" ref="J62" si="30">SUM(J60:J61)</f>
        <v>6785003.5270999819</v>
      </c>
      <c r="K62" s="701" t="e">
        <f>+K61+#REF!</f>
        <v>#REF!</v>
      </c>
      <c r="L62" s="1121" t="e">
        <f>+L60+#REF!</f>
        <v>#REF!</v>
      </c>
      <c r="M62" s="1722">
        <f t="shared" si="8"/>
        <v>-4713480.9600000083</v>
      </c>
      <c r="N62" s="1699">
        <f t="shared" si="9"/>
        <v>-0.22340381242650872</v>
      </c>
      <c r="O62" s="1722">
        <f t="shared" si="10"/>
        <v>-3605218</v>
      </c>
      <c r="P62" s="1699">
        <f t="shared" si="11"/>
        <v>-0.22003162166721968</v>
      </c>
      <c r="Q62" s="1722">
        <f t="shared" si="12"/>
        <v>-4244092</v>
      </c>
      <c r="R62" s="1699">
        <f t="shared" si="13"/>
        <v>-0.33209425502343032</v>
      </c>
      <c r="S62" s="704"/>
      <c r="T62" s="704"/>
      <c r="U62" s="1395">
        <f>+F62-UNRESTRICTED!F62-RESTRICTED!F62</f>
        <v>0</v>
      </c>
      <c r="V62" s="1395">
        <f>+G62-UNRESTRICTED!G62-RESTRICTED!G62</f>
        <v>-1.7695128917694092E-8</v>
      </c>
      <c r="W62" s="1395">
        <f>+H62-UNRESTRICTED!H62-RESTRICTED!H62</f>
        <v>-1.7695128917694092E-8</v>
      </c>
      <c r="X62" s="1395">
        <f>+I62-UNRESTRICTED!I62-RESTRICTED!I62</f>
        <v>-1.7695128917694092E-8</v>
      </c>
      <c r="Y62" s="792"/>
    </row>
    <row r="63" spans="1:25" s="192" customFormat="1" ht="18.75" thickBot="1" x14ac:dyDescent="0.3">
      <c r="A63" s="1293"/>
      <c r="B63" s="1294"/>
      <c r="C63" s="1294"/>
      <c r="D63" s="1294"/>
      <c r="E63" s="215"/>
      <c r="F63" s="1089">
        <f>F62/F58</f>
        <v>0.26363650593762911</v>
      </c>
      <c r="G63" s="1089">
        <f>G62/G58</f>
        <v>0.18877884604289893</v>
      </c>
      <c r="H63" s="1136">
        <f t="shared" ref="H63" si="31">H62/H58</f>
        <v>0.14674968013936346</v>
      </c>
      <c r="I63" s="1122">
        <f>I62/I58</f>
        <v>9.8618268622136754E-2</v>
      </c>
      <c r="J63" s="1122">
        <f>J62/J58</f>
        <v>7.9192471197269465E-2</v>
      </c>
      <c r="K63" s="702"/>
      <c r="L63" s="1122"/>
      <c r="M63" s="1722"/>
      <c r="N63" s="1710"/>
      <c r="O63" s="1722"/>
      <c r="P63" s="1711"/>
      <c r="Q63" s="1722"/>
      <c r="R63" s="1712"/>
      <c r="S63" s="214"/>
      <c r="T63" s="214"/>
      <c r="U63" s="1395">
        <f>+F63-UNRESTRICTED!F63-RESTRICTED!F63</f>
        <v>7.5449801770804181E-2</v>
      </c>
      <c r="V63" s="1395">
        <f>+G63-UNRESTRICTED!G63-RESTRICTED!G63</f>
        <v>3.2300311542275612E-2</v>
      </c>
      <c r="W63" s="1395">
        <f>+H63-UNRESTRICTED!H63-RESTRICTED!H63</f>
        <v>1.8691086789876382E-2</v>
      </c>
      <c r="X63" s="1395">
        <f>+I63-UNRESTRICTED!I63-RESTRICTED!I63</f>
        <v>8.323668522305927E-5</v>
      </c>
      <c r="Y63" s="792"/>
    </row>
    <row r="64" spans="1:25" s="192" customFormat="1" ht="18.75" thickTop="1" x14ac:dyDescent="0.25">
      <c r="A64" s="1185"/>
      <c r="B64" s="1193"/>
      <c r="C64" s="1194"/>
      <c r="D64" s="1228"/>
      <c r="E64" s="1228"/>
      <c r="F64" s="1228"/>
      <c r="G64" s="1228"/>
      <c r="H64" s="2097"/>
      <c r="I64" s="1228"/>
      <c r="J64" s="1228"/>
      <c r="K64" s="744"/>
      <c r="L64" s="743"/>
      <c r="M64" s="1723"/>
      <c r="N64" s="1700"/>
      <c r="O64" s="1737"/>
      <c r="P64" s="1695"/>
      <c r="Q64" s="1737"/>
      <c r="R64" s="1589"/>
      <c r="S64" s="208"/>
      <c r="T64" s="208"/>
      <c r="U64" s="1395">
        <f>+F64-UNRESTRICTED!F64-RESTRICTED!F64</f>
        <v>0</v>
      </c>
      <c r="V64" s="1395">
        <f>+G64-UNRESTRICTED!G64-RESTRICTED!G64</f>
        <v>0</v>
      </c>
      <c r="W64" s="1395">
        <f>+H64-UNRESTRICTED!H64-RESTRICTED!H64</f>
        <v>0</v>
      </c>
      <c r="X64" s="1395">
        <f>+I64-UNRESTRICTED!I64-RESTRICTED!I64</f>
        <v>0</v>
      </c>
      <c r="Y64" s="792"/>
    </row>
    <row r="65" spans="1:25" s="192" customFormat="1" ht="42.75" customHeight="1" x14ac:dyDescent="0.25">
      <c r="A65" s="1295" t="str">
        <f>+UNRESTRICTED!A65</f>
        <v>GENERAL FUND - COMPONENTS OF ENDING FUND BALANCE</v>
      </c>
      <c r="B65" s="1296"/>
      <c r="C65" s="1297"/>
      <c r="D65" s="1297"/>
      <c r="E65" s="703"/>
      <c r="F65" s="703"/>
      <c r="G65" s="2064"/>
      <c r="H65" s="1137"/>
      <c r="I65" s="745"/>
      <c r="J65" s="703"/>
      <c r="K65" s="745"/>
      <c r="L65" s="703"/>
      <c r="M65" s="1720"/>
      <c r="N65" s="1700"/>
      <c r="O65" s="1737"/>
      <c r="P65" s="1695"/>
      <c r="Q65" s="1737"/>
      <c r="R65" s="1589"/>
      <c r="S65" s="208"/>
      <c r="T65" s="208"/>
      <c r="U65" s="1395">
        <f>+F65-UNRESTRICTED!F65-RESTRICTED!F65</f>
        <v>0</v>
      </c>
      <c r="V65" s="1395">
        <f>+G65-UNRESTRICTED!G65-RESTRICTED!G65</f>
        <v>0</v>
      </c>
      <c r="W65" s="1395">
        <f>+H65-UNRESTRICTED!H65-RESTRICTED!H65</f>
        <v>0</v>
      </c>
      <c r="X65" s="1395">
        <f>+I65-UNRESTRICTED!I65-RESTRICTED!I65</f>
        <v>0</v>
      </c>
      <c r="Y65" s="792"/>
    </row>
    <row r="66" spans="1:25" s="192" customFormat="1" ht="21.75" customHeight="1" x14ac:dyDescent="0.25">
      <c r="A66" s="1298"/>
      <c r="B66" s="1299" t="str">
        <f>+UNRESTRICTED!B66</f>
        <v>Nonspendable: Revolving Cash &amp; Prepaid</v>
      </c>
      <c r="C66" s="1300"/>
      <c r="D66" s="1300"/>
      <c r="E66" s="707">
        <f>+UNRESTRICTED!E66</f>
        <v>0</v>
      </c>
      <c r="F66" s="1090">
        <f>+UNRESTRICTED!F66</f>
        <v>90800</v>
      </c>
      <c r="G66" s="2065">
        <f>+UNRESTRICTED!G66</f>
        <v>10000</v>
      </c>
      <c r="H66" s="2098">
        <f>+UNRESTRICTED!H66</f>
        <v>10000</v>
      </c>
      <c r="I66" s="2074">
        <f>+UNRESTRICTED!I66</f>
        <v>10000</v>
      </c>
      <c r="J66" s="1123">
        <f>+UNRESTRICTED!J66</f>
        <v>10000</v>
      </c>
      <c r="K66" s="708">
        <f>+UNRESTRICTED!K66</f>
        <v>10000</v>
      </c>
      <c r="L66" s="1123">
        <f>+UNRESTRICTED!L66</f>
        <v>10000</v>
      </c>
      <c r="M66" s="1724"/>
      <c r="N66" s="1700"/>
      <c r="O66" s="1737"/>
      <c r="P66" s="1695"/>
      <c r="Q66" s="1737"/>
      <c r="R66" s="1589"/>
      <c r="S66" s="198"/>
      <c r="T66" s="198"/>
      <c r="U66" s="1395">
        <f>+F66-UNRESTRICTED!F66-RESTRICTED!F66</f>
        <v>0</v>
      </c>
      <c r="V66" s="1395">
        <f>+G66-UNRESTRICTED!G66-RESTRICTED!G66</f>
        <v>0</v>
      </c>
      <c r="W66" s="1395">
        <f>+H66-UNRESTRICTED!H66-RESTRICTED!H66</f>
        <v>0</v>
      </c>
      <c r="X66" s="1395">
        <f>+I66-UNRESTRICTED!I66-RESTRICTED!I66</f>
        <v>0</v>
      </c>
      <c r="Y66" s="792"/>
    </row>
    <row r="67" spans="1:25" s="192" customFormat="1" ht="21.75" customHeight="1" x14ac:dyDescent="0.25">
      <c r="A67" s="742"/>
      <c r="B67" s="709" t="str">
        <f>+UNRESTRICTED!B67</f>
        <v>Restricted</v>
      </c>
      <c r="C67" s="710"/>
      <c r="D67" s="710"/>
      <c r="E67" s="637">
        <f>+RESTRICTED!E81</f>
        <v>0</v>
      </c>
      <c r="F67" s="1091">
        <f>+RESTRICTED!F81</f>
        <v>6038147.7099999962</v>
      </c>
      <c r="G67" s="1905">
        <f>+RESTRICTED!G81</f>
        <v>2803495.1900000004</v>
      </c>
      <c r="H67" s="2099">
        <f>+RESTRICTED!H81</f>
        <v>1627724.1900000004</v>
      </c>
      <c r="I67" s="1928">
        <f>+RESTRICTED!I81</f>
        <v>7204.3700000001118</v>
      </c>
      <c r="J67" s="1124">
        <f>+RESTRICTED!J81</f>
        <v>165587.79999999981</v>
      </c>
      <c r="K67" s="674" t="e">
        <f>+RESTRICTED!K81</f>
        <v>#REF!</v>
      </c>
      <c r="L67" s="1124" t="e">
        <f>+RESTRICTED!L81</f>
        <v>#REF!</v>
      </c>
      <c r="M67" s="1724"/>
      <c r="N67" s="1700"/>
      <c r="O67" s="1737"/>
      <c r="P67" s="1695"/>
      <c r="Q67" s="1737"/>
      <c r="R67" s="1589"/>
      <c r="S67" s="198"/>
      <c r="T67" s="198"/>
      <c r="U67" s="1395">
        <f>+F67-UNRESTRICTED!F67-RESTRICTED!F67</f>
        <v>0</v>
      </c>
      <c r="V67" s="1395">
        <f>+G67-UNRESTRICTED!G67-RESTRICTED!G67</f>
        <v>0</v>
      </c>
      <c r="W67" s="1395">
        <f>+H67-UNRESTRICTED!H67-RESTRICTED!H67</f>
        <v>0</v>
      </c>
      <c r="X67" s="1395">
        <f>+I67-UNRESTRICTED!I67-RESTRICTED!I67</f>
        <v>0</v>
      </c>
      <c r="Y67" s="792"/>
    </row>
    <row r="68" spans="1:25" s="192" customFormat="1" ht="21.75" customHeight="1" x14ac:dyDescent="0.25">
      <c r="A68" s="742"/>
      <c r="B68" s="709" t="str">
        <f>+UNRESTRICTED!B68</f>
        <v>Committed</v>
      </c>
      <c r="C68" s="710"/>
      <c r="D68" s="710"/>
      <c r="E68" s="637">
        <f>+UNRESTRICTED!E68</f>
        <v>0</v>
      </c>
      <c r="F68" s="1091">
        <f>+UNRESTRICTED!F68</f>
        <v>0</v>
      </c>
      <c r="G68" s="1905">
        <f>+UNRESTRICTED!G68</f>
        <v>0</v>
      </c>
      <c r="H68" s="2099">
        <f>+UNRESTRICTED!H68</f>
        <v>0</v>
      </c>
      <c r="I68" s="1928">
        <f>+UNRESTRICTED!I68</f>
        <v>0</v>
      </c>
      <c r="J68" s="1124">
        <f>+UNRESTRICTED!J68</f>
        <v>0</v>
      </c>
      <c r="K68" s="674">
        <f>+UNRESTRICTED!K68</f>
        <v>0</v>
      </c>
      <c r="L68" s="1124">
        <f>+UNRESTRICTED!L68</f>
        <v>0</v>
      </c>
      <c r="M68" s="1724"/>
      <c r="N68" s="1700"/>
      <c r="O68" s="1737"/>
      <c r="P68" s="1695"/>
      <c r="Q68" s="1737"/>
      <c r="R68" s="1589"/>
      <c r="S68" s="198"/>
      <c r="T68" s="198"/>
      <c r="U68" s="1395">
        <f>+F68-UNRESTRICTED!F68-RESTRICTED!F68</f>
        <v>0</v>
      </c>
      <c r="V68" s="1395">
        <f>+G68-UNRESTRICTED!G68-RESTRICTED!G68</f>
        <v>0</v>
      </c>
      <c r="W68" s="1395">
        <f>+H68-UNRESTRICTED!H68-RESTRICTED!H68</f>
        <v>0</v>
      </c>
      <c r="X68" s="1395">
        <f>+I68-UNRESTRICTED!I68-RESTRICTED!I68</f>
        <v>0</v>
      </c>
      <c r="Y68" s="792"/>
    </row>
    <row r="69" spans="1:25" s="192" customFormat="1" ht="24" customHeight="1" x14ac:dyDescent="0.25">
      <c r="A69" s="742"/>
      <c r="B69" s="709" t="str">
        <f>+UNRESTRICTED!B69</f>
        <v>Assigned</v>
      </c>
      <c r="C69" s="710"/>
      <c r="D69" s="710"/>
      <c r="E69" s="637">
        <f>+SUM(E70:E75)</f>
        <v>1427000</v>
      </c>
      <c r="F69" s="1091">
        <f>+SUM(F70:F75)</f>
        <v>1842391.51</v>
      </c>
      <c r="G69" s="1905">
        <f>+SUM(G70:G75)</f>
        <v>2208344.5099999998</v>
      </c>
      <c r="H69" s="2099">
        <f>+SUM(H70:H75)</f>
        <v>1091459.51</v>
      </c>
      <c r="I69" s="1928">
        <f t="shared" ref="I69:K69" si="32">+SUM(I70:I75)</f>
        <v>209064.51</v>
      </c>
      <c r="J69" s="1124">
        <f t="shared" si="32"/>
        <v>317344</v>
      </c>
      <c r="K69" s="674">
        <f t="shared" si="32"/>
        <v>317344</v>
      </c>
      <c r="L69" s="1124">
        <f>+SUM(L70:L75)</f>
        <v>317344</v>
      </c>
      <c r="M69" s="1724"/>
      <c r="N69" s="1700"/>
      <c r="O69" s="1737"/>
      <c r="P69" s="1695"/>
      <c r="Q69" s="1737"/>
      <c r="R69" s="1589"/>
      <c r="S69" s="198"/>
      <c r="T69" s="198"/>
      <c r="U69" s="1395">
        <f>+F69-UNRESTRICTED!F69-RESTRICTED!F69</f>
        <v>0</v>
      </c>
      <c r="V69" s="1395">
        <f>+G69-UNRESTRICTED!G69-RESTRICTED!G69</f>
        <v>0</v>
      </c>
      <c r="W69" s="1395">
        <f>+H69-UNRESTRICTED!H69-RESTRICTED!H69</f>
        <v>0</v>
      </c>
      <c r="X69" s="1395">
        <f>+I69-UNRESTRICTED!I69-RESTRICTED!I69</f>
        <v>0</v>
      </c>
      <c r="Y69" s="792"/>
    </row>
    <row r="70" spans="1:25" s="192" customFormat="1" ht="18" x14ac:dyDescent="0.25">
      <c r="A70" s="742"/>
      <c r="B70" s="709"/>
      <c r="C70" s="710" t="str">
        <f>IF(UNRESTRICTED!C70=0," ",UNRESTRICTED!C70)</f>
        <v>Insurance Deductibles</v>
      </c>
      <c r="D70" s="710"/>
      <c r="E70" s="638">
        <f>IF(UNRESTRICTED!E70=0," ",UNRESTRICTED!E70)</f>
        <v>200000</v>
      </c>
      <c r="F70" s="1092">
        <f>IF(UNRESTRICTED!F70=0," ",UNRESTRICTED!F70)</f>
        <v>200000</v>
      </c>
      <c r="G70" s="1906">
        <f>IF(UNRESTRICTED!G70=0," ",UNRESTRICTED!G70)</f>
        <v>200000</v>
      </c>
      <c r="H70" s="2100">
        <f>IF(UNRESTRICTED!H70=0," ",UNRESTRICTED!H70)</f>
        <v>200000</v>
      </c>
      <c r="I70" s="1932">
        <f>IF(UNRESTRICTED!I70=0," ",UNRESTRICTED!I70)</f>
        <v>200000</v>
      </c>
      <c r="J70" s="1125">
        <f>+UNRESTRICTED!J70</f>
        <v>200000</v>
      </c>
      <c r="K70" s="675">
        <f>+UNRESTRICTED!K70</f>
        <v>200000</v>
      </c>
      <c r="L70" s="1125">
        <f>+UNRESTRICTED!L70</f>
        <v>200000</v>
      </c>
      <c r="M70" s="1725"/>
      <c r="N70" s="1703"/>
      <c r="O70" s="1735"/>
      <c r="P70" s="1698"/>
      <c r="Q70" s="1735"/>
      <c r="R70" s="1603"/>
      <c r="S70" s="209"/>
      <c r="T70" s="209"/>
      <c r="U70" s="1395">
        <f>+F70-UNRESTRICTED!F70-RESTRICTED!F70</f>
        <v>0</v>
      </c>
      <c r="V70" s="1395">
        <f>+G70-UNRESTRICTED!G70-RESTRICTED!G70</f>
        <v>0</v>
      </c>
      <c r="W70" s="1395">
        <f>+H70-UNRESTRICTED!H70-RESTRICTED!H70</f>
        <v>0</v>
      </c>
      <c r="X70" s="1395">
        <f>+I70-UNRESTRICTED!I70-RESTRICTED!I70</f>
        <v>0</v>
      </c>
      <c r="Y70" s="792"/>
    </row>
    <row r="71" spans="1:25" s="192" customFormat="1" ht="18.75" x14ac:dyDescent="0.3">
      <c r="A71" s="742"/>
      <c r="B71" s="709"/>
      <c r="C71" s="710" t="str">
        <f>IF(UNRESTRICTED!C71=0," ",UNRESTRICTED!C71)</f>
        <v>Professional Learning</v>
      </c>
      <c r="D71" s="710"/>
      <c r="E71" s="638">
        <f>IF(UNRESTRICTED!E71=0," ",UNRESTRICTED!E71)</f>
        <v>425000</v>
      </c>
      <c r="F71" s="1092">
        <f>IF(UNRESTRICTED!F71=0," ",UNRESTRICTED!F71)</f>
        <v>425000</v>
      </c>
      <c r="G71" s="1906">
        <f>IF(UNRESTRICTED!G71=0," ",UNRESTRICTED!G71)</f>
        <v>287663</v>
      </c>
      <c r="H71" s="2266" t="str">
        <f>IF(UNRESTRICTED!H71=0," ",UNRESTRICTED!H71)</f>
        <v xml:space="preserve"> </v>
      </c>
      <c r="I71" s="1931" t="str">
        <f>IF(UNRESTRICTED!I71=0," ",UNRESTRICTED!I71)</f>
        <v xml:space="preserve"> </v>
      </c>
      <c r="J71" s="2267" t="str">
        <f>IF(UNRESTRICTED!J71=0," ",UNRESTRICTED!J71)</f>
        <v xml:space="preserve"> </v>
      </c>
      <c r="K71" s="675">
        <f>+UNRESTRICTED!K71</f>
        <v>0</v>
      </c>
      <c r="L71" s="1125">
        <f>+UNRESTRICTED!L71</f>
        <v>0</v>
      </c>
      <c r="M71" s="1726"/>
      <c r="N71" s="1701"/>
      <c r="O71" s="1738"/>
      <c r="P71" s="1696"/>
      <c r="Q71" s="1738"/>
      <c r="R71" s="1584"/>
      <c r="S71" s="198"/>
      <c r="T71" s="198"/>
      <c r="U71" s="1395">
        <f>+F71-UNRESTRICTED!F71-RESTRICTED!F71</f>
        <v>0</v>
      </c>
      <c r="V71" s="1395">
        <f>+G71-UNRESTRICTED!G71-RESTRICTED!G71</f>
        <v>0</v>
      </c>
      <c r="W71" s="1395" t="e">
        <f>+H71-UNRESTRICTED!H71-RESTRICTED!H71</f>
        <v>#VALUE!</v>
      </c>
      <c r="X71" s="1395" t="e">
        <f>+I71-UNRESTRICTED!I71-RESTRICTED!I71</f>
        <v>#VALUE!</v>
      </c>
      <c r="Y71" s="792"/>
    </row>
    <row r="72" spans="1:25" s="211" customFormat="1" ht="18" x14ac:dyDescent="0.25">
      <c r="A72" s="742"/>
      <c r="B72" s="709"/>
      <c r="C72" s="710" t="str">
        <f>IF(UNRESTRICTED!C72=0," ",UNRESTRICTED!C72)</f>
        <v>Textbook Adoptions</v>
      </c>
      <c r="D72" s="710"/>
      <c r="E72" s="638">
        <f>IF(UNRESTRICTED!E72=0," ",UNRESTRICTED!E72)</f>
        <v>225000</v>
      </c>
      <c r="F72" s="1092">
        <f>IF(UNRESTRICTED!F72=0," ",UNRESTRICTED!F72)</f>
        <v>401134</v>
      </c>
      <c r="G72" s="1906">
        <f>IF(UNRESTRICTED!G72=0," ",UNRESTRICTED!G72)</f>
        <v>1720681.51</v>
      </c>
      <c r="H72" s="2266">
        <f>IF(UNRESTRICTED!H72=0," ",UNRESTRICTED!H72)</f>
        <v>891459.51</v>
      </c>
      <c r="I72" s="1931">
        <f>IF(UNRESTRICTED!I72=0," ",UNRESTRICTED!I72)</f>
        <v>9064.5100000000093</v>
      </c>
      <c r="J72" s="2267">
        <f>+UNRESTRICTED!J72</f>
        <v>117344</v>
      </c>
      <c r="K72" s="675">
        <f>+UNRESTRICTED!K72</f>
        <v>117344</v>
      </c>
      <c r="L72" s="1125">
        <f>+UNRESTRICTED!L72</f>
        <v>117344</v>
      </c>
      <c r="M72" s="1725"/>
      <c r="N72" s="1702"/>
      <c r="O72" s="1739"/>
      <c r="P72" s="1697"/>
      <c r="Q72" s="1739"/>
      <c r="R72" s="1599"/>
      <c r="S72" s="210"/>
      <c r="T72" s="210"/>
      <c r="U72" s="1395">
        <f>+F72-UNRESTRICTED!F72-RESTRICTED!F72</f>
        <v>0</v>
      </c>
      <c r="V72" s="1395">
        <f>+G72-UNRESTRICTED!G72-RESTRICTED!G72</f>
        <v>0</v>
      </c>
      <c r="W72" s="1395">
        <f>+H72-UNRESTRICTED!H72-RESTRICTED!H72</f>
        <v>0</v>
      </c>
      <c r="X72" s="1395">
        <f>+I72-UNRESTRICTED!I72-RESTRICTED!I72</f>
        <v>0</v>
      </c>
      <c r="Y72" s="792"/>
    </row>
    <row r="73" spans="1:25" s="192" customFormat="1" ht="18" hidden="1" x14ac:dyDescent="0.25">
      <c r="A73" s="742"/>
      <c r="B73" s="709"/>
      <c r="C73" s="710" t="str">
        <f>IF(UNRESTRICTED!C73=0," ",UNRESTRICTED!C73)</f>
        <v xml:space="preserve"> </v>
      </c>
      <c r="D73" s="710"/>
      <c r="E73" s="638">
        <f>IF(UNRESTRICTED!E73=0," ",UNRESTRICTED!E73)</f>
        <v>577000</v>
      </c>
      <c r="F73" s="1092">
        <f>IF(UNRESTRICTED!F73=0," ",UNRESTRICTED!F73)</f>
        <v>816257.51</v>
      </c>
      <c r="G73" s="1906" t="str">
        <f>IF(UNRESTRICTED!G73=0," ",UNRESTRICTED!G73)</f>
        <v xml:space="preserve"> </v>
      </c>
      <c r="H73" s="2100" t="str">
        <f>IF(UNRESTRICTED!H73=0," ",UNRESTRICTED!H73)</f>
        <v xml:space="preserve"> </v>
      </c>
      <c r="I73" s="1932" t="str">
        <f>IF(UNRESTRICTED!I73=0," ",UNRESTRICTED!I73)</f>
        <v xml:space="preserve"> </v>
      </c>
      <c r="J73" s="1125" t="str">
        <f>IF(UNRESTRICTED!J73=0," ",UNRESTRICTED!J73)</f>
        <v xml:space="preserve"> </v>
      </c>
      <c r="K73" s="675">
        <f>+UNRESTRICTED!K73</f>
        <v>0</v>
      </c>
      <c r="L73" s="1125">
        <f>+UNRESTRICTED!L73</f>
        <v>0</v>
      </c>
      <c r="M73" s="1725"/>
      <c r="N73" s="1703"/>
      <c r="O73" s="1735"/>
      <c r="P73" s="1698"/>
      <c r="Q73" s="1735"/>
      <c r="R73" s="1603"/>
      <c r="S73" s="198"/>
      <c r="T73" s="198"/>
      <c r="U73" s="1395">
        <f>+F73-UNRESTRICTED!F73-RESTRICTED!F73</f>
        <v>0</v>
      </c>
      <c r="V73" s="1395" t="e">
        <f>+G73-UNRESTRICTED!G73-RESTRICTED!G73</f>
        <v>#VALUE!</v>
      </c>
      <c r="W73" s="1395" t="e">
        <f>+H73-UNRESTRICTED!H73-RESTRICTED!H73</f>
        <v>#VALUE!</v>
      </c>
      <c r="X73" s="1395" t="e">
        <f>+I73-UNRESTRICTED!I73-RESTRICTED!I73</f>
        <v>#VALUE!</v>
      </c>
      <c r="Y73" s="792"/>
    </row>
    <row r="74" spans="1:25" s="192" customFormat="1" ht="18" hidden="1" x14ac:dyDescent="0.25">
      <c r="A74" s="742"/>
      <c r="B74" s="709"/>
      <c r="C74" s="710" t="str">
        <f>IF(UNRESTRICTED!C74=0," ",UNRESTRICTED!C74)</f>
        <v xml:space="preserve"> </v>
      </c>
      <c r="D74" s="710"/>
      <c r="E74" s="638"/>
      <c r="F74" s="1092" t="str">
        <f>IF(UNRESTRICTED!F74=0," ",UNRESTRICTED!F74)</f>
        <v xml:space="preserve"> </v>
      </c>
      <c r="G74" s="2066" t="str">
        <f>IF(UNRESTRICTED!G74=0," ",UNRESTRICTED!G74)</f>
        <v xml:space="preserve"> </v>
      </c>
      <c r="H74" s="2101" t="str">
        <f>IF(UNRESTRICTED!H74=0," ",UNRESTRICTED!H74)</f>
        <v xml:space="preserve"> </v>
      </c>
      <c r="I74" s="2075" t="str">
        <f>IF(UNRESTRICTED!I74=0," ",UNRESTRICTED!I74)</f>
        <v xml:space="preserve"> </v>
      </c>
      <c r="J74" s="1125" t="str">
        <f>IF(UNRESTRICTED!J74=0," ",UNRESTRICTED!J74)</f>
        <v xml:space="preserve"> </v>
      </c>
      <c r="K74" s="675"/>
      <c r="L74" s="1125"/>
      <c r="M74" s="1725"/>
      <c r="N74" s="1703"/>
      <c r="O74" s="1735"/>
      <c r="P74" s="1698"/>
      <c r="Q74" s="1735"/>
      <c r="R74" s="1603"/>
      <c r="S74" s="198"/>
      <c r="T74" s="198"/>
      <c r="U74" s="1395" t="e">
        <f>+F74-UNRESTRICTED!F74-RESTRICTED!F74</f>
        <v>#VALUE!</v>
      </c>
      <c r="V74" s="1395" t="e">
        <f>+G74-UNRESTRICTED!G74-RESTRICTED!G74</f>
        <v>#VALUE!</v>
      </c>
      <c r="W74" s="1395" t="e">
        <f>+H74-UNRESTRICTED!H74-RESTRICTED!H74</f>
        <v>#VALUE!</v>
      </c>
      <c r="X74" s="1395" t="e">
        <f>+I74-UNRESTRICTED!I74-RESTRICTED!I74</f>
        <v>#VALUE!</v>
      </c>
      <c r="Y74" s="792"/>
    </row>
    <row r="75" spans="1:25" s="205" customFormat="1" ht="18" hidden="1" x14ac:dyDescent="0.25">
      <c r="A75" s="742"/>
      <c r="B75" s="709"/>
      <c r="C75" s="710" t="str">
        <f>IF(UNRESTRICTED!C75=0," ",UNRESTRICTED!C75)</f>
        <v xml:space="preserve"> </v>
      </c>
      <c r="D75" s="710"/>
      <c r="E75" s="638"/>
      <c r="F75" s="1092" t="str">
        <f>IF(UNRESTRICTED!F75=0," ",UNRESTRICTED!F75)</f>
        <v xml:space="preserve"> </v>
      </c>
      <c r="G75" s="1906" t="str">
        <f>IF(UNRESTRICTED!G75=0," ",UNRESTRICTED!G75)</f>
        <v xml:space="preserve"> </v>
      </c>
      <c r="H75" s="2100" t="str">
        <f>IF(UNRESTRICTED!H75=0," ",UNRESTRICTED!H75)</f>
        <v xml:space="preserve"> </v>
      </c>
      <c r="I75" s="1932" t="str">
        <f>IF(UNRESTRICTED!I75=0," ",UNRESTRICTED!I75)</f>
        <v xml:space="preserve"> </v>
      </c>
      <c r="J75" s="1125" t="str">
        <f>IF(UNRESTRICTED!J75=0," ",UNRESTRICTED!J75)</f>
        <v xml:space="preserve"> </v>
      </c>
      <c r="K75" s="675"/>
      <c r="L75" s="1125"/>
      <c r="M75" s="1725"/>
      <c r="N75" s="1703"/>
      <c r="O75" s="1735"/>
      <c r="P75" s="1698"/>
      <c r="Q75" s="1735"/>
      <c r="R75" s="1603"/>
      <c r="S75" s="204"/>
      <c r="T75" s="204"/>
      <c r="U75" s="1395" t="e">
        <f>+F75-UNRESTRICTED!F75-RESTRICTED!F75</f>
        <v>#VALUE!</v>
      </c>
      <c r="V75" s="1395" t="e">
        <f>+G75-UNRESTRICTED!G75-RESTRICTED!G75</f>
        <v>#VALUE!</v>
      </c>
      <c r="W75" s="1395" t="e">
        <f>+H75-UNRESTRICTED!H75-RESTRICTED!H75</f>
        <v>#VALUE!</v>
      </c>
      <c r="X75" s="1395" t="e">
        <f>+I75-UNRESTRICTED!I75-RESTRICTED!I75</f>
        <v>#VALUE!</v>
      </c>
      <c r="Y75" s="792"/>
    </row>
    <row r="76" spans="1:25" s="192" customFormat="1" ht="30" customHeight="1" x14ac:dyDescent="0.25">
      <c r="A76" s="742"/>
      <c r="B76" s="709" t="str">
        <f>+UNRESTRICTED!B76</f>
        <v>Unassigned/Unappropriated</v>
      </c>
      <c r="C76" s="710"/>
      <c r="D76" s="710"/>
      <c r="E76" s="639"/>
      <c r="F76" s="1093"/>
      <c r="G76" s="1909"/>
      <c r="H76" s="2102"/>
      <c r="I76" s="1933"/>
      <c r="J76" s="1126"/>
      <c r="K76" s="676"/>
      <c r="L76" s="1126"/>
      <c r="M76" s="1727"/>
      <c r="N76" s="1703"/>
      <c r="O76" s="1735"/>
      <c r="P76" s="1698"/>
      <c r="Q76" s="1735"/>
      <c r="R76" s="1603"/>
      <c r="S76" s="198"/>
      <c r="T76" s="198"/>
      <c r="U76" s="1395">
        <f>+F76-UNRESTRICTED!F76-RESTRICTED!F76</f>
        <v>0</v>
      </c>
      <c r="V76" s="1395">
        <f>+G76-UNRESTRICTED!G76-RESTRICTED!G76</f>
        <v>0</v>
      </c>
      <c r="W76" s="1395">
        <f>+H76-UNRESTRICTED!H76-RESTRICTED!H76</f>
        <v>0</v>
      </c>
      <c r="X76" s="1395">
        <f>+I76-UNRESTRICTED!I76-RESTRICTED!I76</f>
        <v>0</v>
      </c>
      <c r="Y76" s="792"/>
    </row>
    <row r="77" spans="1:25" s="192" customFormat="1" ht="18" x14ac:dyDescent="0.25">
      <c r="A77" s="1301"/>
      <c r="B77" s="1302"/>
      <c r="C77" s="1256" t="str">
        <f>+UNRESTRICTED!C77</f>
        <v>Reserve for Economic Uncertainties (REU)</v>
      </c>
      <c r="D77" s="1302"/>
      <c r="E77" s="711">
        <f>ROUND((+COMBINED!E51+COMBINED!E54+COMBINED!E55)*0.03,0)</f>
        <v>0</v>
      </c>
      <c r="F77" s="1094">
        <f>ROUND(F58*0.03,0)</f>
        <v>2400860</v>
      </c>
      <c r="G77" s="1910">
        <f t="shared" ref="G77:I77" si="33">ROUND(G58*0.03,0)</f>
        <v>2603840</v>
      </c>
      <c r="H77" s="2103">
        <f t="shared" si="33"/>
        <v>2612567</v>
      </c>
      <c r="I77" s="1934">
        <f t="shared" si="33"/>
        <v>2596585</v>
      </c>
      <c r="J77" s="1127">
        <f>ROUND((+COMBINED!J51+COMBINED!J54+COMBINED!J55)*0.03,0)</f>
        <v>2570321</v>
      </c>
      <c r="K77" s="712" t="e">
        <f>ROUND((+COMBINED!K51+COMBINED!K54+COMBINED!K55)*0.03,0)</f>
        <v>#REF!</v>
      </c>
      <c r="L77" s="1127" t="e">
        <f>ROUND((+COMBINED!L51+COMBINED!L54+COMBINED!L55)*0.03,0)</f>
        <v>#REF!</v>
      </c>
      <c r="M77" s="1724"/>
      <c r="N77" s="1703"/>
      <c r="O77" s="1735"/>
      <c r="P77" s="1698"/>
      <c r="Q77" s="1735"/>
      <c r="R77" s="1603"/>
      <c r="S77" s="198"/>
      <c r="T77" s="198"/>
      <c r="U77" s="1395">
        <f>+F77-UNRESTRICTED!F77-RESTRICTED!F77</f>
        <v>0</v>
      </c>
      <c r="V77" s="1395">
        <f>+G77-UNRESTRICTED!G77-RESTRICTED!G77</f>
        <v>0</v>
      </c>
      <c r="W77" s="1395">
        <f>+H77-UNRESTRICTED!H77-RESTRICTED!H77</f>
        <v>0</v>
      </c>
      <c r="X77" s="1395">
        <f>+I77-UNRESTRICTED!I77-RESTRICTED!I77</f>
        <v>0</v>
      </c>
      <c r="Y77" s="792"/>
    </row>
    <row r="78" spans="1:25" s="192" customFormat="1" ht="18" x14ac:dyDescent="0.25">
      <c r="A78" s="1303"/>
      <c r="B78" s="1304"/>
      <c r="C78" s="1259"/>
      <c r="D78" s="1305"/>
      <c r="E78" s="705">
        <f>+E77/(COMBINED!$G$51+COMBINED!$G$54+COMBINED!$G$55)</f>
        <v>0</v>
      </c>
      <c r="F78" s="1095">
        <f>+F77/F58</f>
        <v>2.9999996651200359E-2</v>
      </c>
      <c r="G78" s="1911">
        <f t="shared" ref="G78:I78" si="34">+G77/G58</f>
        <v>2.9999995543505638E-2</v>
      </c>
      <c r="H78" s="2104">
        <f t="shared" si="34"/>
        <v>2.9999994373351099E-2</v>
      </c>
      <c r="I78" s="1935">
        <f t="shared" si="34"/>
        <v>3.0000003928237026E-2</v>
      </c>
      <c r="J78" s="1128">
        <f>+J77/(COMBINED!$J$51+COMBINED!$J$54+COMBINED!$J$55)</f>
        <v>2.9999994981172451E-2</v>
      </c>
      <c r="K78" s="706" t="e">
        <f>+K77/(COMBINED!$K$51+COMBINED!$K$54+COMBINED!$K$55)</f>
        <v>#REF!</v>
      </c>
      <c r="L78" s="1128" t="e">
        <f>+L77/(COMBINED!$L$51+COMBINED!$L$54+COMBINED!$L$55)</f>
        <v>#REF!</v>
      </c>
      <c r="M78" s="1728"/>
      <c r="N78" s="1703"/>
      <c r="O78" s="1735"/>
      <c r="P78" s="1698"/>
      <c r="Q78" s="1735"/>
      <c r="R78" s="1603"/>
      <c r="S78" s="198"/>
      <c r="T78" s="198"/>
      <c r="U78" s="1395">
        <f>+F78-UNRESTRICTED!F78-RESTRICTED!F78</f>
        <v>0</v>
      </c>
      <c r="V78" s="1395">
        <f>+G78-UNRESTRICTED!G78-RESTRICTED!G78</f>
        <v>0</v>
      </c>
      <c r="W78" s="1395">
        <f>+H78-UNRESTRICTED!H78-RESTRICTED!H78</f>
        <v>0</v>
      </c>
      <c r="X78" s="1395">
        <f>+I78-UNRESTRICTED!I78-RESTRICTED!I78</f>
        <v>0</v>
      </c>
      <c r="Y78" s="792"/>
    </row>
    <row r="79" spans="1:25" s="192" customFormat="1" ht="24" customHeight="1" x14ac:dyDescent="0.25">
      <c r="A79" s="1185"/>
      <c r="B79" s="1306"/>
      <c r="C79" s="1262" t="str">
        <f>+UNRESTRICTED!C79</f>
        <v>Unassigned/Unappropriated Amount</v>
      </c>
      <c r="D79" s="1262"/>
      <c r="E79" s="188" t="e">
        <f>+E62-SUM(E66:E69,E77)</f>
        <v>#REF!</v>
      </c>
      <c r="F79" s="1096">
        <f>+F62-SUM(F66:F69,F77)</f>
        <v>10726281.190000001</v>
      </c>
      <c r="G79" s="1912">
        <f>+G62-SUM(G66:G69,G77)</f>
        <v>8759319.7499999888</v>
      </c>
      <c r="H79" s="2105">
        <f>+H62-SUM(H66:H69,H77)</f>
        <v>7438030.7499999879</v>
      </c>
      <c r="I79" s="1936">
        <f t="shared" ref="I79:L79" si="35">+I62-SUM(I66:I69,I77)</f>
        <v>5712835.5699999882</v>
      </c>
      <c r="J79" s="1129">
        <f t="shared" si="35"/>
        <v>3721750.7270999821</v>
      </c>
      <c r="K79" s="677" t="e">
        <f t="shared" si="35"/>
        <v>#REF!</v>
      </c>
      <c r="L79" s="1129" t="e">
        <f t="shared" si="35"/>
        <v>#REF!</v>
      </c>
      <c r="M79" s="1729"/>
      <c r="N79" s="1703"/>
      <c r="O79" s="1735"/>
      <c r="P79" s="1698"/>
      <c r="Q79" s="1735"/>
      <c r="R79" s="1603"/>
      <c r="S79" s="198"/>
      <c r="T79" s="198"/>
      <c r="U79" s="1395">
        <f>+F79-UNRESTRICTED!F79-RESTRICTED!F79</f>
        <v>-1.862645149230957E-9</v>
      </c>
      <c r="V79" s="1395">
        <f>+G79-UNRESTRICTED!G79-RESTRICTED!G79</f>
        <v>-1.6763806343078613E-8</v>
      </c>
      <c r="W79" s="1395">
        <f>+H79-UNRESTRICTED!H79-RESTRICTED!H79</f>
        <v>-1.7695128917694092E-8</v>
      </c>
      <c r="X79" s="1395">
        <f>+I79-UNRESTRICTED!I79-RESTRICTED!I79</f>
        <v>-1.7695128917694092E-8</v>
      </c>
      <c r="Y79" s="792"/>
    </row>
    <row r="80" spans="1:25" s="192" customFormat="1" ht="18" x14ac:dyDescent="0.25">
      <c r="A80" s="1185"/>
      <c r="B80" s="1194"/>
      <c r="C80" s="1194"/>
      <c r="D80" s="1194"/>
      <c r="E80" s="189" t="e">
        <f>+E79/(+COMBINED!$G$51+COMBINED!$G$54+COMBINED!$G$55)</f>
        <v>#REF!</v>
      </c>
      <c r="F80" s="1097">
        <f>F79/F58</f>
        <v>0.13403047232234841</v>
      </c>
      <c r="G80" s="1913">
        <f t="shared" ref="G80:J80" si="36">G79/G58</f>
        <v>0.10092000793602549</v>
      </c>
      <c r="H80" s="2106">
        <f t="shared" si="36"/>
        <v>8.5410586847652931E-2</v>
      </c>
      <c r="I80" s="1937">
        <f t="shared" si="36"/>
        <v>6.600403589382664E-2</v>
      </c>
      <c r="J80" s="1130">
        <f t="shared" si="36"/>
        <v>4.3439128083291693E-2</v>
      </c>
      <c r="K80" s="678" t="e">
        <f>+K79/(+COMBINED!$G$51+COMBINED!$G$54+COMBINED!$G$55)</f>
        <v>#REF!</v>
      </c>
      <c r="L80" s="1130" t="e">
        <f>+L79/(+COMBINED!$H$51+COMBINED!$H$54+COMBINED!$H$55)</f>
        <v>#REF!</v>
      </c>
      <c r="M80" s="1730"/>
      <c r="N80" s="1703"/>
      <c r="O80" s="1735"/>
      <c r="P80" s="1698"/>
      <c r="Q80" s="1735"/>
      <c r="R80" s="1603"/>
      <c r="S80" s="212"/>
      <c r="T80" s="212"/>
      <c r="U80" s="1395">
        <f>+F80-UNRESTRICTED!F80-RESTRICTED!F80</f>
        <v>-2.7755575615628914E-17</v>
      </c>
      <c r="V80" s="1395">
        <f>+G80-UNRESTRICTED!G80-RESTRICTED!G80</f>
        <v>-1.9428902930940239E-16</v>
      </c>
      <c r="W80" s="1395">
        <f>+H80-UNRESTRICTED!H80-RESTRICTED!H80</f>
        <v>-2.0816681711721685E-16</v>
      </c>
      <c r="X80" s="1395">
        <f>+I80-UNRESTRICTED!I80-RESTRICTED!I80</f>
        <v>-2.0816681711721685E-16</v>
      </c>
      <c r="Y80" s="792"/>
    </row>
    <row r="81" spans="1:25" s="211" customFormat="1" ht="28.5" customHeight="1" x14ac:dyDescent="0.25">
      <c r="A81" s="1291" t="str">
        <f>+UNRESTRICTED!A81</f>
        <v>TOTAL COMPONENTS OF ENDING FUND BALANCE</v>
      </c>
      <c r="B81" s="1307"/>
      <c r="C81" s="1292"/>
      <c r="D81" s="1292"/>
      <c r="E81" s="213" t="e">
        <f>+SUM(E66:E69,E77,E79)</f>
        <v>#REF!</v>
      </c>
      <c r="F81" s="1088">
        <f>+SUM(F66:F69,F77,F79)</f>
        <v>21098480.409999996</v>
      </c>
      <c r="G81" s="1088">
        <f>+SUM(G66:G69,G77,G79)</f>
        <v>16384999.449999988</v>
      </c>
      <c r="H81" s="1135">
        <f>+SUM(H66:H69,H77,H79)</f>
        <v>12779781.449999988</v>
      </c>
      <c r="I81" s="1121">
        <f t="shared" ref="I81:L81" si="37">+SUM(I66:I69,I77,I79)</f>
        <v>8535689.4499999881</v>
      </c>
      <c r="J81" s="1121">
        <f t="shared" si="37"/>
        <v>6785003.5270999819</v>
      </c>
      <c r="K81" s="701" t="e">
        <f t="shared" si="37"/>
        <v>#REF!</v>
      </c>
      <c r="L81" s="1121" t="e">
        <f t="shared" si="37"/>
        <v>#REF!</v>
      </c>
      <c r="M81" s="1731"/>
      <c r="N81" s="1703"/>
      <c r="O81" s="1735"/>
      <c r="P81" s="1698"/>
      <c r="Q81" s="1735"/>
      <c r="R81" s="1603"/>
      <c r="S81" s="704"/>
      <c r="T81" s="704"/>
      <c r="U81" s="1395">
        <f>+F81-UNRESTRICTED!F81-RESTRICTED!F81</f>
        <v>0</v>
      </c>
      <c r="V81" s="1395">
        <f>+G81-UNRESTRICTED!G81-RESTRICTED!G81</f>
        <v>-1.7695128917694092E-8</v>
      </c>
      <c r="W81" s="1395">
        <f>+H81-UNRESTRICTED!H81-RESTRICTED!H81</f>
        <v>-1.7695128917694092E-8</v>
      </c>
      <c r="X81" s="1395">
        <f>+I81-UNRESTRICTED!I81-RESTRICTED!I81</f>
        <v>-1.7695128917694092E-8</v>
      </c>
      <c r="Y81" s="792"/>
    </row>
    <row r="82" spans="1:25" s="192" customFormat="1" ht="24.75" customHeight="1" thickBot="1" x14ac:dyDescent="0.3">
      <c r="A82" s="1293"/>
      <c r="B82" s="1294"/>
      <c r="C82" s="1294"/>
      <c r="D82" s="1294"/>
      <c r="E82" s="215" t="e">
        <f>+E81/(+COMBINED!$G$51+COMBINED!$G$54+COMBINED!$G$55)</f>
        <v>#REF!</v>
      </c>
      <c r="F82" s="1089">
        <f>F81/F58</f>
        <v>0.26363650593762911</v>
      </c>
      <c r="G82" s="1089">
        <f>G81/G58</f>
        <v>0.18877884604289893</v>
      </c>
      <c r="H82" s="1136">
        <f t="shared" ref="H82:J82" si="38">H81/H58</f>
        <v>0.14674968013936346</v>
      </c>
      <c r="I82" s="1122">
        <f>I81/I58</f>
        <v>9.8618268622136754E-2</v>
      </c>
      <c r="J82" s="1122">
        <f t="shared" si="38"/>
        <v>7.9192471197269465E-2</v>
      </c>
      <c r="K82" s="702" t="e">
        <f>+K81/(COMBINED!$K$51+COMBINED!$K$54+COMBINED!$K$55)</f>
        <v>#REF!</v>
      </c>
      <c r="L82" s="1122" t="e">
        <f>+L81/(COMBINED!$L$51+COMBINED!$L$54+COMBINED!$L$55)</f>
        <v>#REF!</v>
      </c>
      <c r="M82" s="1732"/>
      <c r="N82" s="1703"/>
      <c r="O82" s="1735"/>
      <c r="P82" s="1698"/>
      <c r="Q82" s="1735"/>
      <c r="R82" s="1603"/>
      <c r="S82" s="214"/>
      <c r="T82" s="214"/>
      <c r="U82" s="1575">
        <f>+F82-UNRESTRICTED!F82-RESTRICTED!F82</f>
        <v>7.5449801770804181E-2</v>
      </c>
      <c r="V82" s="1575">
        <f>+G82-UNRESTRICTED!G82-RESTRICTED!G82</f>
        <v>3.2300311542275612E-2</v>
      </c>
      <c r="W82" s="1575">
        <f>+H82-UNRESTRICTED!H82-RESTRICTED!H82</f>
        <v>1.8691086789876382E-2</v>
      </c>
      <c r="X82" s="1575">
        <f>+I82-UNRESTRICTED!I82-RESTRICTED!I82</f>
        <v>8.323668522305927E-5</v>
      </c>
      <c r="Y82" s="792"/>
    </row>
    <row r="83" spans="1:25" s="192" customFormat="1" ht="8.1" customHeight="1" thickTop="1" thickBot="1" x14ac:dyDescent="0.3">
      <c r="A83" s="1187"/>
      <c r="B83" s="1308"/>
      <c r="C83" s="1309"/>
      <c r="D83" s="1309"/>
      <c r="E83" s="179"/>
      <c r="F83" s="179"/>
      <c r="G83" s="2055"/>
      <c r="H83" s="1064"/>
      <c r="I83" s="1348"/>
      <c r="J83" s="179"/>
      <c r="K83" s="1348"/>
      <c r="L83" s="179"/>
      <c r="M83" s="1733"/>
      <c r="N83" s="1713"/>
      <c r="O83" s="1740"/>
      <c r="P83" s="1715"/>
      <c r="Q83" s="1740"/>
      <c r="R83" s="1714"/>
      <c r="S83" s="214"/>
      <c r="T83" s="214"/>
      <c r="U83" s="1576"/>
      <c r="V83" s="1395"/>
      <c r="W83" s="1395"/>
      <c r="X83" s="1395"/>
      <c r="Y83" s="792"/>
    </row>
    <row r="84" spans="1:25" ht="8.1" customHeight="1" thickTop="1" x14ac:dyDescent="0.25">
      <c r="A84" s="1187"/>
      <c r="B84" s="1187"/>
      <c r="C84" s="1187"/>
      <c r="D84" s="1187"/>
      <c r="E84" s="216"/>
      <c r="F84" s="216"/>
      <c r="G84" s="216"/>
      <c r="H84" s="216"/>
      <c r="I84" s="216"/>
      <c r="J84" s="216"/>
      <c r="K84" s="216"/>
      <c r="L84" s="216"/>
      <c r="N84" s="1713"/>
      <c r="O84" s="1740"/>
      <c r="P84" s="1715"/>
      <c r="Q84" s="1740"/>
      <c r="R84" s="1714"/>
      <c r="U84" s="1394"/>
      <c r="V84" s="1394"/>
      <c r="W84" s="1394"/>
      <c r="X84" s="1394"/>
    </row>
    <row r="85" spans="1:25" ht="18" hidden="1" x14ac:dyDescent="0.25">
      <c r="A85" s="1187"/>
      <c r="B85" s="1187"/>
      <c r="C85" s="1187"/>
      <c r="D85" s="1187"/>
      <c r="E85" s="217"/>
      <c r="F85" s="261"/>
      <c r="G85" s="217"/>
      <c r="H85" s="217"/>
      <c r="I85" s="217"/>
      <c r="J85" s="217"/>
      <c r="K85" s="217"/>
      <c r="L85" s="217"/>
      <c r="M85" s="1722"/>
      <c r="N85" s="1716"/>
      <c r="O85" s="1741"/>
      <c r="P85" s="1718"/>
      <c r="Q85" s="1741"/>
      <c r="R85" s="1717"/>
      <c r="U85" s="1394"/>
      <c r="V85" s="1394"/>
      <c r="W85" s="1394"/>
      <c r="X85" s="1394"/>
    </row>
    <row r="86" spans="1:25" ht="18" hidden="1" x14ac:dyDescent="0.25">
      <c r="A86" s="1187"/>
      <c r="B86" s="1187"/>
      <c r="C86" s="1187"/>
      <c r="D86" s="1187"/>
      <c r="E86" s="218"/>
      <c r="F86" s="218"/>
      <c r="G86" s="218"/>
      <c r="H86" s="218"/>
      <c r="I86" s="218"/>
      <c r="J86" s="218"/>
      <c r="K86" s="218"/>
      <c r="L86" s="218"/>
      <c r="M86" s="1722"/>
      <c r="N86" s="1716"/>
      <c r="O86" s="1741"/>
      <c r="P86" s="1718"/>
      <c r="Q86" s="1741"/>
      <c r="R86" s="1717"/>
    </row>
    <row r="87" spans="1:25" ht="18" hidden="1" x14ac:dyDescent="0.25">
      <c r="A87" s="1187"/>
      <c r="B87" s="1187"/>
      <c r="C87" s="1309"/>
      <c r="D87" s="1309"/>
      <c r="E87" s="218"/>
      <c r="F87" s="219"/>
      <c r="G87" s="218"/>
      <c r="H87" s="218"/>
      <c r="I87" s="218"/>
      <c r="J87" s="218"/>
      <c r="K87" s="218"/>
      <c r="L87" s="218"/>
      <c r="M87" s="1722"/>
      <c r="N87" s="1716"/>
      <c r="O87" s="1741"/>
      <c r="P87" s="1718"/>
      <c r="Q87" s="1741"/>
      <c r="R87" s="1717"/>
    </row>
    <row r="88" spans="1:25" ht="18" hidden="1" x14ac:dyDescent="0.25">
      <c r="A88" s="1187"/>
      <c r="B88" s="1187"/>
      <c r="C88" s="1309"/>
      <c r="D88" s="1309"/>
      <c r="E88" s="219"/>
      <c r="F88" s="219"/>
      <c r="G88" s="219"/>
      <c r="H88" s="219"/>
      <c r="I88" s="219"/>
      <c r="J88" s="219"/>
      <c r="K88" s="219"/>
      <c r="L88" s="219"/>
      <c r="M88" s="1722"/>
      <c r="N88" s="1716"/>
      <c r="O88" s="1741"/>
      <c r="P88" s="1718"/>
      <c r="Q88" s="1741"/>
      <c r="R88" s="1717"/>
    </row>
    <row r="89" spans="1:25" ht="18" hidden="1" x14ac:dyDescent="0.25">
      <c r="A89" s="1310"/>
      <c r="B89" s="1311"/>
      <c r="C89" s="1311"/>
      <c r="D89" s="1311"/>
      <c r="E89" s="220"/>
      <c r="F89" s="220"/>
      <c r="G89" s="220"/>
      <c r="H89" s="220"/>
      <c r="I89" s="220"/>
      <c r="J89" s="220"/>
      <c r="K89" s="220"/>
      <c r="L89" s="220"/>
      <c r="M89" s="1722"/>
      <c r="N89" s="1716"/>
      <c r="O89" s="1741"/>
      <c r="P89" s="1718"/>
      <c r="Q89" s="1741"/>
      <c r="R89" s="1717"/>
    </row>
    <row r="90" spans="1:25" ht="18" hidden="1" x14ac:dyDescent="0.25">
      <c r="A90" s="1187"/>
      <c r="B90" s="1187"/>
      <c r="C90" s="1187"/>
      <c r="D90" s="1187"/>
      <c r="E90" s="221"/>
      <c r="F90" s="262"/>
      <c r="G90" s="221"/>
      <c r="H90" s="263"/>
      <c r="I90" s="221"/>
      <c r="J90" s="263"/>
      <c r="K90" s="221"/>
      <c r="L90" s="263"/>
      <c r="M90" s="1722"/>
      <c r="N90" s="1716"/>
      <c r="O90" s="1741"/>
      <c r="P90" s="1718"/>
      <c r="Q90" s="1741"/>
      <c r="R90" s="1717"/>
    </row>
    <row r="91" spans="1:25" ht="18" hidden="1" x14ac:dyDescent="0.25">
      <c r="A91" s="1187"/>
      <c r="B91" s="1187"/>
      <c r="C91" s="1187"/>
      <c r="D91" s="1187"/>
      <c r="E91" s="222"/>
      <c r="F91" s="222"/>
      <c r="G91" s="222"/>
      <c r="H91" s="222"/>
      <c r="I91" s="222"/>
      <c r="J91" s="222"/>
      <c r="K91" s="222"/>
      <c r="L91" s="222"/>
      <c r="M91" s="1722"/>
      <c r="N91" s="1716"/>
      <c r="O91" s="1741"/>
      <c r="P91" s="1718"/>
      <c r="Q91" s="1741"/>
      <c r="R91" s="1717"/>
      <c r="S91" s="264"/>
      <c r="T91" s="264"/>
    </row>
    <row r="92" spans="1:25" ht="18" hidden="1" x14ac:dyDescent="0.25">
      <c r="A92" s="1187"/>
      <c r="B92" s="1187"/>
      <c r="C92" s="1187"/>
      <c r="D92" s="1187"/>
      <c r="E92" s="222"/>
      <c r="F92" s="222"/>
      <c r="G92" s="222"/>
      <c r="H92" s="222"/>
      <c r="I92" s="222"/>
      <c r="J92" s="222"/>
      <c r="K92" s="222"/>
      <c r="L92" s="222"/>
      <c r="M92" s="1722"/>
      <c r="N92" s="1716"/>
      <c r="O92" s="1741"/>
      <c r="P92" s="1718"/>
      <c r="Q92" s="1741"/>
      <c r="R92" s="1717"/>
      <c r="S92" s="265"/>
      <c r="T92" s="265"/>
    </row>
    <row r="93" spans="1:25" ht="18" hidden="1" x14ac:dyDescent="0.25">
      <c r="A93" s="1187"/>
      <c r="B93" s="1187"/>
      <c r="C93" s="1187"/>
      <c r="D93" s="1187"/>
      <c r="E93" s="222"/>
      <c r="F93" s="222"/>
      <c r="G93" s="222"/>
      <c r="H93" s="222"/>
      <c r="I93" s="222"/>
      <c r="J93" s="222"/>
      <c r="K93" s="222"/>
      <c r="L93" s="222"/>
      <c r="M93" s="1722"/>
      <c r="N93" s="1716"/>
      <c r="O93" s="1741"/>
      <c r="P93" s="1718"/>
      <c r="Q93" s="1741"/>
      <c r="R93" s="1717"/>
      <c r="S93" s="265"/>
      <c r="T93" s="265"/>
    </row>
    <row r="94" spans="1:25" ht="18" hidden="1" x14ac:dyDescent="0.25">
      <c r="A94" s="1187"/>
      <c r="B94" s="1187"/>
      <c r="C94" s="1187"/>
      <c r="D94" s="1187"/>
      <c r="E94" s="222"/>
      <c r="F94" s="220"/>
      <c r="G94" s="222"/>
      <c r="H94" s="220"/>
      <c r="I94" s="222"/>
      <c r="J94" s="220"/>
      <c r="K94" s="222"/>
      <c r="L94" s="220"/>
      <c r="M94" s="1722"/>
      <c r="N94" s="1716"/>
      <c r="O94" s="1741"/>
      <c r="P94" s="1718"/>
      <c r="Q94" s="1741"/>
      <c r="R94" s="1717"/>
      <c r="S94" s="265"/>
      <c r="T94" s="265"/>
    </row>
    <row r="95" spans="1:25" ht="18" hidden="1" x14ac:dyDescent="0.25">
      <c r="A95" s="1187"/>
      <c r="B95" s="1187"/>
      <c r="C95" s="1187"/>
      <c r="D95" s="1187"/>
      <c r="E95" s="221"/>
      <c r="F95" s="221"/>
      <c r="G95" s="221"/>
      <c r="H95" s="221"/>
      <c r="I95" s="221"/>
      <c r="J95" s="221"/>
      <c r="K95" s="221"/>
      <c r="L95" s="221"/>
      <c r="S95" s="264"/>
      <c r="T95" s="264"/>
    </row>
    <row r="96" spans="1:25" ht="18" hidden="1" x14ac:dyDescent="0.25">
      <c r="A96" s="1187"/>
      <c r="B96" s="1187"/>
      <c r="C96" s="1187"/>
      <c r="D96" s="1187"/>
      <c r="E96" s="222"/>
      <c r="F96" s="222"/>
      <c r="G96" s="222"/>
      <c r="H96" s="222"/>
      <c r="I96" s="222"/>
      <c r="J96" s="222"/>
      <c r="K96" s="222"/>
      <c r="L96" s="222"/>
      <c r="S96" s="264"/>
      <c r="T96" s="264"/>
    </row>
    <row r="97" spans="1:25" ht="18" hidden="1" x14ac:dyDescent="0.25">
      <c r="A97" s="1187"/>
      <c r="B97" s="1187"/>
      <c r="C97" s="1187"/>
      <c r="D97" s="1187"/>
      <c r="E97" s="222"/>
      <c r="F97" s="222"/>
      <c r="G97" s="222"/>
      <c r="H97" s="222"/>
      <c r="I97" s="222"/>
      <c r="J97" s="222"/>
      <c r="K97" s="222"/>
      <c r="L97" s="222"/>
      <c r="S97" s="264"/>
      <c r="T97" s="264"/>
    </row>
    <row r="98" spans="1:25" ht="18" hidden="1" x14ac:dyDescent="0.25">
      <c r="A98" s="1187"/>
      <c r="B98" s="1187"/>
      <c r="C98" s="1187"/>
      <c r="D98" s="1187"/>
      <c r="E98" s="222"/>
      <c r="F98" s="222"/>
      <c r="G98" s="222"/>
      <c r="H98" s="222"/>
      <c r="I98" s="222"/>
      <c r="J98" s="222"/>
      <c r="K98" s="222"/>
      <c r="L98" s="222"/>
      <c r="S98" s="264"/>
      <c r="T98" s="264"/>
    </row>
    <row r="99" spans="1:25" ht="18" hidden="1" x14ac:dyDescent="0.25">
      <c r="A99" s="1187"/>
      <c r="B99" s="1187"/>
      <c r="C99" s="1187"/>
      <c r="D99" s="1187"/>
      <c r="E99" s="222"/>
      <c r="F99" s="222"/>
      <c r="G99" s="222"/>
      <c r="H99" s="222"/>
      <c r="I99" s="222"/>
      <c r="J99" s="222"/>
      <c r="K99" s="222"/>
      <c r="L99" s="222"/>
      <c r="S99" s="264"/>
      <c r="T99" s="264"/>
    </row>
    <row r="100" spans="1:25" ht="18" hidden="1" x14ac:dyDescent="0.25">
      <c r="A100" s="1187"/>
      <c r="B100" s="1187"/>
      <c r="C100" s="1187"/>
      <c r="D100" s="1187"/>
      <c r="E100" s="222"/>
      <c r="F100" s="222"/>
      <c r="G100" s="222"/>
      <c r="H100" s="222"/>
      <c r="I100" s="222"/>
      <c r="J100" s="222"/>
      <c r="K100" s="222"/>
      <c r="L100" s="222"/>
      <c r="S100" s="264"/>
      <c r="T100" s="264"/>
    </row>
    <row r="101" spans="1:25" ht="18" hidden="1" x14ac:dyDescent="0.25">
      <c r="A101" s="1187"/>
      <c r="B101" s="1187"/>
      <c r="C101" s="1187"/>
      <c r="D101" s="1187"/>
      <c r="E101" s="222"/>
      <c r="F101" s="222"/>
      <c r="G101" s="222"/>
      <c r="H101" s="222"/>
      <c r="I101" s="222"/>
      <c r="J101" s="222"/>
      <c r="K101" s="222"/>
      <c r="L101" s="222"/>
      <c r="S101" s="265"/>
      <c r="T101" s="265"/>
    </row>
    <row r="102" spans="1:25" s="176" customFormat="1" ht="18" hidden="1" x14ac:dyDescent="0.25">
      <c r="A102" s="1187"/>
      <c r="B102" s="1187"/>
      <c r="C102" s="1187"/>
      <c r="D102" s="1187"/>
      <c r="E102" s="222"/>
      <c r="F102" s="222"/>
      <c r="G102" s="222"/>
      <c r="H102" s="222"/>
      <c r="I102" s="222"/>
      <c r="J102" s="222"/>
      <c r="K102" s="222"/>
      <c r="L102" s="222"/>
      <c r="M102" s="1733"/>
      <c r="N102" s="1703"/>
      <c r="O102" s="1735"/>
      <c r="P102" s="1698"/>
      <c r="Q102" s="1735"/>
      <c r="R102" s="1603"/>
      <c r="S102" s="184"/>
      <c r="T102" s="184"/>
      <c r="U102" s="1397"/>
      <c r="V102" s="1397"/>
      <c r="W102" s="1397"/>
      <c r="X102" s="1397"/>
      <c r="Y102" s="795"/>
    </row>
    <row r="103" spans="1:25" s="176" customFormat="1" ht="18" hidden="1" x14ac:dyDescent="0.25">
      <c r="A103" s="1187"/>
      <c r="B103" s="1187"/>
      <c r="C103" s="1187"/>
      <c r="D103" s="1187"/>
      <c r="E103" s="180"/>
      <c r="F103" s="220"/>
      <c r="G103" s="180"/>
      <c r="H103" s="220"/>
      <c r="I103" s="180"/>
      <c r="J103" s="220"/>
      <c r="K103" s="180"/>
      <c r="L103" s="220"/>
      <c r="M103" s="1733"/>
      <c r="N103" s="1703"/>
      <c r="O103" s="1735"/>
      <c r="P103" s="1698"/>
      <c r="Q103" s="1735"/>
      <c r="R103" s="1603"/>
      <c r="S103" s="184"/>
      <c r="T103" s="184"/>
      <c r="U103" s="1397"/>
      <c r="V103" s="1397"/>
      <c r="W103" s="1397"/>
      <c r="X103" s="1397"/>
      <c r="Y103" s="795"/>
    </row>
    <row r="104" spans="1:25" ht="22.5" hidden="1" x14ac:dyDescent="0.55000000000000004">
      <c r="A104" s="1310"/>
      <c r="B104" s="1311"/>
      <c r="C104" s="1311"/>
      <c r="D104" s="1311"/>
      <c r="E104" s="223"/>
      <c r="F104" s="266"/>
      <c r="G104" s="223"/>
      <c r="H104" s="266"/>
      <c r="I104" s="223"/>
      <c r="J104" s="266"/>
      <c r="K104" s="223"/>
      <c r="L104" s="266"/>
      <c r="S104" s="267"/>
      <c r="T104" s="267"/>
    </row>
    <row r="105" spans="1:25" s="269" customFormat="1" ht="18.75" hidden="1" x14ac:dyDescent="0.3">
      <c r="A105" s="1186"/>
      <c r="B105" s="1186"/>
      <c r="C105" s="1186"/>
      <c r="D105" s="1186"/>
      <c r="E105" s="224"/>
      <c r="F105" s="224"/>
      <c r="G105" s="224"/>
      <c r="H105" s="224"/>
      <c r="I105" s="224"/>
      <c r="J105" s="224"/>
      <c r="K105" s="224"/>
      <c r="L105" s="224"/>
      <c r="M105" s="1733"/>
      <c r="N105" s="1703"/>
      <c r="O105" s="1735"/>
      <c r="P105" s="1698"/>
      <c r="Q105" s="1735"/>
      <c r="R105" s="1603"/>
      <c r="S105" s="268"/>
      <c r="T105" s="268"/>
      <c r="U105" s="1398"/>
      <c r="V105" s="1398"/>
      <c r="W105" s="1398"/>
      <c r="X105" s="1398"/>
      <c r="Y105" s="796"/>
    </row>
    <row r="106" spans="1:25" ht="18" hidden="1" x14ac:dyDescent="0.25">
      <c r="A106" s="1187"/>
      <c r="B106" s="1187"/>
      <c r="C106" s="1187"/>
      <c r="D106" s="1187"/>
      <c r="E106" s="225"/>
      <c r="F106" s="225"/>
      <c r="G106" s="225"/>
      <c r="H106" s="225"/>
      <c r="I106" s="225"/>
      <c r="J106" s="225"/>
      <c r="K106" s="225"/>
      <c r="L106" s="225"/>
      <c r="S106" s="270"/>
      <c r="T106" s="270"/>
    </row>
    <row r="107" spans="1:25" s="269" customFormat="1" ht="18.75" hidden="1" x14ac:dyDescent="0.3">
      <c r="A107" s="1186"/>
      <c r="B107" s="1186"/>
      <c r="C107" s="1186"/>
      <c r="D107" s="1186"/>
      <c r="E107" s="224"/>
      <c r="F107" s="224"/>
      <c r="G107" s="224"/>
      <c r="H107" s="224"/>
      <c r="I107" s="224"/>
      <c r="J107" s="224"/>
      <c r="K107" s="224"/>
      <c r="L107" s="224"/>
      <c r="M107" s="1733"/>
      <c r="N107" s="1703"/>
      <c r="O107" s="1735"/>
      <c r="P107" s="1698"/>
      <c r="Q107" s="1735"/>
      <c r="R107" s="1603"/>
      <c r="S107" s="268"/>
      <c r="T107" s="268"/>
      <c r="U107" s="1398"/>
      <c r="V107" s="1398"/>
      <c r="W107" s="1398"/>
      <c r="X107" s="1398"/>
      <c r="Y107" s="796"/>
    </row>
    <row r="108" spans="1:25" ht="18" hidden="1" x14ac:dyDescent="0.25">
      <c r="A108" s="1187"/>
      <c r="B108" s="1187"/>
      <c r="C108" s="1187"/>
      <c r="D108" s="1187"/>
      <c r="E108" s="225"/>
      <c r="F108" s="225"/>
      <c r="G108" s="225"/>
      <c r="H108" s="225"/>
      <c r="I108" s="225"/>
      <c r="J108" s="225"/>
      <c r="K108" s="225"/>
      <c r="L108" s="225"/>
      <c r="S108" s="270"/>
      <c r="T108" s="270"/>
    </row>
    <row r="109" spans="1:25" s="269" customFormat="1" ht="18.75" hidden="1" x14ac:dyDescent="0.3">
      <c r="A109" s="1186"/>
      <c r="B109" s="1186"/>
      <c r="C109" s="1186"/>
      <c r="D109" s="1186"/>
      <c r="E109" s="224"/>
      <c r="F109" s="224"/>
      <c r="G109" s="224"/>
      <c r="H109" s="224"/>
      <c r="I109" s="224"/>
      <c r="J109" s="224"/>
      <c r="K109" s="224"/>
      <c r="L109" s="224"/>
      <c r="M109" s="1733"/>
      <c r="N109" s="1703"/>
      <c r="O109" s="1735"/>
      <c r="P109" s="1698"/>
      <c r="Q109" s="1735"/>
      <c r="R109" s="1603"/>
      <c r="S109" s="268"/>
      <c r="T109" s="268"/>
      <c r="U109" s="1398"/>
      <c r="V109" s="1398"/>
      <c r="W109" s="1398"/>
      <c r="X109" s="1398"/>
      <c r="Y109" s="796"/>
    </row>
    <row r="110" spans="1:25" ht="18" hidden="1" x14ac:dyDescent="0.25">
      <c r="A110" s="1186"/>
      <c r="B110" s="1187"/>
      <c r="C110" s="1187"/>
      <c r="D110" s="1187"/>
      <c r="E110" s="225"/>
      <c r="F110" s="225"/>
      <c r="G110" s="225"/>
      <c r="H110" s="225"/>
      <c r="I110" s="225"/>
      <c r="J110" s="225"/>
      <c r="K110" s="225"/>
      <c r="L110" s="225"/>
      <c r="S110" s="270"/>
      <c r="T110" s="270"/>
    </row>
    <row r="111" spans="1:25" ht="18" hidden="1" x14ac:dyDescent="0.25">
      <c r="A111" s="1187"/>
      <c r="B111" s="1187"/>
      <c r="C111" s="1312"/>
      <c r="D111" s="1312"/>
      <c r="E111" s="225"/>
      <c r="F111" s="225"/>
      <c r="G111" s="225"/>
      <c r="H111" s="225"/>
      <c r="I111" s="225"/>
      <c r="J111" s="225"/>
      <c r="K111" s="225"/>
      <c r="L111" s="225"/>
      <c r="S111" s="270"/>
      <c r="T111" s="270"/>
    </row>
    <row r="112" spans="1:25" ht="18" hidden="1" x14ac:dyDescent="0.25">
      <c r="A112" s="1310"/>
      <c r="B112" s="1187"/>
      <c r="C112" s="1187"/>
      <c r="D112" s="1187"/>
      <c r="E112" s="225"/>
      <c r="F112" s="225"/>
      <c r="G112" s="225"/>
      <c r="H112" s="225"/>
      <c r="I112" s="225"/>
      <c r="J112" s="225"/>
      <c r="K112" s="225"/>
      <c r="L112" s="225"/>
    </row>
    <row r="113" spans="1:25" s="272" customFormat="1" ht="22.5" hidden="1" customHeight="1" x14ac:dyDescent="0.25">
      <c r="A113" s="1313"/>
      <c r="B113" s="1314"/>
      <c r="C113" s="1315"/>
      <c r="D113" s="1315"/>
      <c r="E113" s="224"/>
      <c r="F113" s="224"/>
      <c r="G113" s="224"/>
      <c r="H113" s="224"/>
      <c r="I113" s="224"/>
      <c r="J113" s="224"/>
      <c r="K113" s="224"/>
      <c r="L113" s="224"/>
      <c r="M113" s="1733"/>
      <c r="N113" s="1703"/>
      <c r="O113" s="1735"/>
      <c r="P113" s="1698"/>
      <c r="Q113" s="1735"/>
      <c r="R113" s="1603"/>
      <c r="S113" s="271"/>
      <c r="T113" s="271"/>
      <c r="U113" s="1399"/>
      <c r="V113" s="1399"/>
      <c r="W113" s="1399"/>
      <c r="X113" s="1399"/>
      <c r="Y113" s="797"/>
    </row>
    <row r="114" spans="1:25" s="274" customFormat="1" ht="18" hidden="1" x14ac:dyDescent="0.25">
      <c r="A114" s="1316"/>
      <c r="B114" s="1317"/>
      <c r="C114" s="1316"/>
      <c r="D114" s="1316"/>
      <c r="E114" s="226"/>
      <c r="F114" s="226"/>
      <c r="G114" s="226"/>
      <c r="H114" s="226"/>
      <c r="I114" s="226"/>
      <c r="J114" s="226"/>
      <c r="K114" s="226"/>
      <c r="L114" s="226"/>
      <c r="M114" s="1733"/>
      <c r="N114" s="1703"/>
      <c r="O114" s="1735"/>
      <c r="P114" s="1698"/>
      <c r="Q114" s="1735"/>
      <c r="R114" s="1603"/>
      <c r="S114" s="273"/>
      <c r="T114" s="273"/>
      <c r="U114" s="1400"/>
      <c r="V114" s="1400"/>
      <c r="W114" s="1400"/>
      <c r="X114" s="1400"/>
      <c r="Y114" s="798"/>
    </row>
    <row r="115" spans="1:25" s="272" customFormat="1" ht="22.5" hidden="1" customHeight="1" x14ac:dyDescent="0.25">
      <c r="A115" s="1313"/>
      <c r="B115" s="1318"/>
      <c r="C115" s="1313"/>
      <c r="D115" s="1313"/>
      <c r="E115" s="224"/>
      <c r="F115" s="224"/>
      <c r="G115" s="224"/>
      <c r="H115" s="224"/>
      <c r="I115" s="224"/>
      <c r="J115" s="224"/>
      <c r="K115" s="224"/>
      <c r="L115" s="224"/>
      <c r="M115" s="1733"/>
      <c r="N115" s="1703"/>
      <c r="O115" s="1735"/>
      <c r="P115" s="1698"/>
      <c r="Q115" s="1735"/>
      <c r="R115" s="1603"/>
      <c r="S115" s="271"/>
      <c r="T115" s="271"/>
      <c r="U115" s="1399"/>
      <c r="V115" s="1399"/>
      <c r="W115" s="1399"/>
      <c r="X115" s="1399"/>
      <c r="Y115" s="797"/>
    </row>
    <row r="116" spans="1:25" s="274" customFormat="1" ht="18" hidden="1" x14ac:dyDescent="0.25">
      <c r="A116" s="1316"/>
      <c r="B116" s="1317"/>
      <c r="C116" s="1316"/>
      <c r="D116" s="1316"/>
      <c r="E116" s="226"/>
      <c r="F116" s="226"/>
      <c r="G116" s="226"/>
      <c r="H116" s="226"/>
      <c r="I116" s="226"/>
      <c r="J116" s="226"/>
      <c r="K116" s="226"/>
      <c r="L116" s="226"/>
      <c r="M116" s="1733"/>
      <c r="N116" s="1703"/>
      <c r="O116" s="1735"/>
      <c r="P116" s="1698"/>
      <c r="Q116" s="1735"/>
      <c r="R116" s="1603"/>
      <c r="S116" s="273"/>
      <c r="T116" s="273"/>
      <c r="U116" s="1400"/>
      <c r="V116" s="1400"/>
      <c r="W116" s="1400"/>
      <c r="X116" s="1400"/>
      <c r="Y116" s="798"/>
    </row>
    <row r="117" spans="1:25" s="272" customFormat="1" ht="22.5" hidden="1" customHeight="1" x14ac:dyDescent="0.25">
      <c r="A117" s="1313"/>
      <c r="B117" s="1318"/>
      <c r="C117" s="1313"/>
      <c r="D117" s="1313"/>
      <c r="E117" s="224"/>
      <c r="F117" s="224"/>
      <c r="G117" s="224"/>
      <c r="H117" s="224"/>
      <c r="I117" s="224"/>
      <c r="J117" s="224"/>
      <c r="K117" s="224"/>
      <c r="L117" s="224"/>
      <c r="M117" s="1733"/>
      <c r="N117" s="1703"/>
      <c r="O117" s="1735"/>
      <c r="P117" s="1698"/>
      <c r="Q117" s="1735"/>
      <c r="R117" s="1603"/>
      <c r="S117" s="271"/>
      <c r="T117" s="271"/>
      <c r="U117" s="1399"/>
      <c r="V117" s="1399"/>
      <c r="W117" s="1399"/>
      <c r="X117" s="1399"/>
      <c r="Y117" s="797"/>
    </row>
    <row r="118" spans="1:25" s="274" customFormat="1" ht="18" hidden="1" x14ac:dyDescent="0.25">
      <c r="A118" s="1316"/>
      <c r="B118" s="1317"/>
      <c r="C118" s="1316"/>
      <c r="D118" s="1316"/>
      <c r="E118" s="226"/>
      <c r="F118" s="226"/>
      <c r="G118" s="226"/>
      <c r="H118" s="226"/>
      <c r="I118" s="226"/>
      <c r="J118" s="226"/>
      <c r="K118" s="226"/>
      <c r="L118" s="226"/>
      <c r="M118" s="1733"/>
      <c r="N118" s="1703"/>
      <c r="O118" s="1735"/>
      <c r="P118" s="1698"/>
      <c r="Q118" s="1735"/>
      <c r="R118" s="1603"/>
      <c r="S118" s="273"/>
      <c r="T118" s="273"/>
      <c r="U118" s="1400"/>
      <c r="V118" s="1400"/>
      <c r="W118" s="1400"/>
      <c r="X118" s="1400"/>
      <c r="Y118" s="798"/>
    </row>
    <row r="119" spans="1:25" s="272" customFormat="1" ht="18" hidden="1" customHeight="1" x14ac:dyDescent="0.25">
      <c r="A119" s="1313"/>
      <c r="B119" s="1313"/>
      <c r="C119" s="1318"/>
      <c r="D119" s="1318"/>
      <c r="E119" s="224"/>
      <c r="F119" s="224"/>
      <c r="G119" s="224"/>
      <c r="H119" s="224"/>
      <c r="I119" s="224"/>
      <c r="J119" s="224"/>
      <c r="K119" s="224"/>
      <c r="L119" s="224"/>
      <c r="M119" s="1733"/>
      <c r="N119" s="1703"/>
      <c r="O119" s="1735"/>
      <c r="P119" s="1698"/>
      <c r="Q119" s="1735"/>
      <c r="R119" s="1603"/>
      <c r="S119" s="271"/>
      <c r="T119" s="271"/>
      <c r="U119" s="1399"/>
      <c r="V119" s="1399"/>
      <c r="W119" s="1399"/>
      <c r="X119" s="1399"/>
      <c r="Y119" s="797"/>
    </row>
    <row r="120" spans="1:25" ht="18" hidden="1" x14ac:dyDescent="0.25">
      <c r="A120" s="1310"/>
      <c r="B120" s="1187"/>
      <c r="C120" s="1187"/>
      <c r="D120" s="1187"/>
      <c r="E120" s="227"/>
      <c r="F120" s="275"/>
      <c r="G120" s="227"/>
      <c r="H120" s="227"/>
      <c r="I120" s="227"/>
      <c r="J120" s="227"/>
      <c r="K120" s="227"/>
      <c r="L120" s="227"/>
    </row>
    <row r="121" spans="1:25" ht="18" hidden="1" x14ac:dyDescent="0.25">
      <c r="A121" s="1313"/>
      <c r="B121" s="1314"/>
      <c r="C121" s="1315"/>
      <c r="D121" s="1315"/>
      <c r="E121" s="224"/>
      <c r="F121" s="224"/>
      <c r="G121" s="224"/>
      <c r="H121" s="224"/>
      <c r="I121" s="224"/>
      <c r="J121" s="224"/>
      <c r="K121" s="224"/>
      <c r="L121" s="224"/>
    </row>
    <row r="122" spans="1:25" ht="18" hidden="1" x14ac:dyDescent="0.25">
      <c r="A122" s="1316"/>
      <c r="B122" s="1317"/>
      <c r="C122" s="1316"/>
      <c r="D122" s="1316"/>
      <c r="E122" s="226"/>
      <c r="F122" s="226"/>
      <c r="G122" s="226"/>
      <c r="H122" s="226"/>
      <c r="I122" s="226"/>
      <c r="J122" s="226"/>
      <c r="K122" s="226"/>
      <c r="L122" s="226"/>
    </row>
    <row r="123" spans="1:25" ht="18" hidden="1" x14ac:dyDescent="0.25">
      <c r="A123" s="1313"/>
      <c r="B123" s="1318"/>
      <c r="C123" s="1313"/>
      <c r="D123" s="1313"/>
      <c r="E123" s="224"/>
      <c r="F123" s="224"/>
      <c r="G123" s="224"/>
      <c r="H123" s="224"/>
      <c r="I123" s="224"/>
      <c r="J123" s="224"/>
      <c r="K123" s="224"/>
      <c r="L123" s="224"/>
    </row>
    <row r="124" spans="1:25" ht="18" hidden="1" x14ac:dyDescent="0.25">
      <c r="A124" s="1316"/>
      <c r="B124" s="1317"/>
      <c r="C124" s="1316"/>
      <c r="D124" s="1316"/>
      <c r="E124" s="226"/>
      <c r="F124" s="226"/>
      <c r="G124" s="226"/>
      <c r="H124" s="226"/>
      <c r="I124" s="226"/>
      <c r="J124" s="226"/>
      <c r="K124" s="226"/>
      <c r="L124" s="226"/>
    </row>
    <row r="125" spans="1:25" ht="18" hidden="1" x14ac:dyDescent="0.25">
      <c r="A125" s="1313"/>
      <c r="B125" s="1318"/>
      <c r="C125" s="1313"/>
      <c r="D125" s="1313"/>
      <c r="E125" s="224"/>
      <c r="F125" s="224"/>
      <c r="G125" s="224"/>
      <c r="H125" s="224"/>
      <c r="I125" s="224"/>
      <c r="J125" s="224"/>
      <c r="K125" s="224"/>
      <c r="L125" s="224"/>
    </row>
    <row r="126" spans="1:25" ht="20.25" hidden="1" x14ac:dyDescent="0.25">
      <c r="A126" s="1316"/>
      <c r="B126" s="1317"/>
      <c r="C126" s="1316"/>
      <c r="D126" s="1316"/>
      <c r="E126" s="228"/>
      <c r="F126" s="226"/>
      <c r="G126" s="228"/>
      <c r="H126" s="228"/>
      <c r="I126" s="228"/>
      <c r="J126" s="228"/>
      <c r="K126" s="228"/>
      <c r="L126" s="228"/>
    </row>
    <row r="127" spans="1:25" ht="18" hidden="1" x14ac:dyDescent="0.25">
      <c r="A127" s="1313"/>
      <c r="B127" s="1313"/>
      <c r="C127" s="1318"/>
      <c r="D127" s="1318"/>
      <c r="E127" s="224"/>
      <c r="F127" s="224"/>
      <c r="G127" s="224"/>
      <c r="H127" s="224"/>
      <c r="I127" s="224"/>
      <c r="J127" s="224"/>
      <c r="K127" s="224"/>
      <c r="L127" s="224"/>
    </row>
    <row r="128" spans="1:25" ht="18" hidden="1" x14ac:dyDescent="0.25">
      <c r="A128" s="1310"/>
      <c r="B128" s="1187"/>
      <c r="C128" s="1187"/>
      <c r="D128" s="1319"/>
      <c r="E128" s="224"/>
      <c r="F128" s="224"/>
      <c r="G128" s="224"/>
      <c r="H128" s="224"/>
      <c r="I128" s="224"/>
      <c r="J128" s="224"/>
      <c r="K128" s="224"/>
      <c r="L128" s="224"/>
    </row>
    <row r="129" spans="1:12" ht="18" hidden="1" x14ac:dyDescent="0.25">
      <c r="A129" s="1310"/>
      <c r="B129" s="1187"/>
      <c r="C129" s="1187"/>
      <c r="D129" s="1320"/>
      <c r="E129" s="229"/>
      <c r="F129" s="276"/>
      <c r="G129" s="229"/>
      <c r="H129" s="276"/>
      <c r="I129" s="229"/>
      <c r="J129" s="276"/>
      <c r="K129" s="229"/>
      <c r="L129" s="276"/>
    </row>
    <row r="130" spans="1:12" ht="18" hidden="1" x14ac:dyDescent="0.25">
      <c r="A130" s="1310"/>
      <c r="B130" s="1186"/>
      <c r="C130" s="1187"/>
      <c r="D130" s="1319"/>
      <c r="E130" s="230"/>
      <c r="F130" s="230"/>
      <c r="G130" s="230"/>
      <c r="H130" s="230"/>
      <c r="I130" s="230"/>
      <c r="J130" s="230"/>
      <c r="K130" s="230"/>
      <c r="L130" s="230"/>
    </row>
    <row r="131" spans="1:12" ht="18" hidden="1" x14ac:dyDescent="0.25">
      <c r="A131" s="1310"/>
      <c r="B131" s="1186"/>
      <c r="C131" s="1187"/>
      <c r="D131" s="1321"/>
      <c r="E131" s="231"/>
      <c r="F131" s="277"/>
      <c r="G131" s="231"/>
      <c r="H131" s="231"/>
      <c r="I131" s="231"/>
      <c r="J131" s="231"/>
      <c r="K131" s="231"/>
      <c r="L131" s="231"/>
    </row>
    <row r="132" spans="1:12" ht="18" hidden="1" x14ac:dyDescent="0.25">
      <c r="A132" s="1310"/>
      <c r="B132" s="1186"/>
      <c r="C132" s="1187"/>
      <c r="D132" s="1319"/>
      <c r="E132" s="232"/>
      <c r="F132" s="230"/>
      <c r="G132" s="232"/>
      <c r="H132" s="232"/>
      <c r="I132" s="232"/>
      <c r="J132" s="232"/>
      <c r="K132" s="232"/>
      <c r="L132" s="232"/>
    </row>
    <row r="133" spans="1:12" ht="18" hidden="1" x14ac:dyDescent="0.25">
      <c r="A133" s="1310"/>
      <c r="B133" s="1186"/>
      <c r="C133" s="1187"/>
      <c r="D133" s="1321"/>
      <c r="E133" s="230"/>
      <c r="F133" s="230"/>
      <c r="G133" s="230"/>
      <c r="H133" s="230"/>
      <c r="I133" s="230"/>
      <c r="J133" s="230"/>
      <c r="K133" s="230"/>
      <c r="L133" s="230"/>
    </row>
    <row r="134" spans="1:12" ht="18" hidden="1" x14ac:dyDescent="0.25">
      <c r="A134" s="1310"/>
      <c r="B134" s="1186"/>
      <c r="C134" s="1187"/>
      <c r="D134" s="1319"/>
      <c r="E134" s="219"/>
      <c r="F134" s="278"/>
      <c r="G134" s="219"/>
      <c r="H134" s="278"/>
      <c r="I134" s="219"/>
      <c r="J134" s="278"/>
      <c r="K134" s="219"/>
      <c r="L134" s="278"/>
    </row>
    <row r="135" spans="1:12" ht="18" hidden="1" x14ac:dyDescent="0.25">
      <c r="B135" s="1186"/>
      <c r="E135" s="234"/>
      <c r="F135" s="235"/>
      <c r="G135" s="234"/>
      <c r="H135" s="235"/>
      <c r="I135" s="234"/>
      <c r="J135" s="235"/>
      <c r="K135" s="234"/>
      <c r="L135" s="235"/>
    </row>
    <row r="136" spans="1:12" ht="18" hidden="1" x14ac:dyDescent="0.25">
      <c r="B136" s="1186"/>
      <c r="E136" s="235"/>
      <c r="F136" s="235"/>
      <c r="G136" s="235"/>
      <c r="H136" s="235"/>
      <c r="I136" s="235"/>
      <c r="J136" s="235"/>
      <c r="K136" s="235"/>
      <c r="L136" s="235"/>
    </row>
    <row r="137" spans="1:12" hidden="1" x14ac:dyDescent="0.25"/>
    <row r="138" spans="1:12" hidden="1" x14ac:dyDescent="0.25"/>
    <row r="139" spans="1:12" hidden="1" x14ac:dyDescent="0.25"/>
    <row r="140" spans="1:12" hidden="1" x14ac:dyDescent="0.25"/>
    <row r="141" spans="1:12" hidden="1" x14ac:dyDescent="0.25">
      <c r="E141" s="236"/>
      <c r="F141" s="236"/>
      <c r="G141" s="236"/>
      <c r="H141" s="236"/>
      <c r="I141" s="236"/>
      <c r="J141" s="236"/>
      <c r="K141" s="236"/>
      <c r="L141" s="236"/>
    </row>
    <row r="142" spans="1:12" hidden="1" x14ac:dyDescent="0.25">
      <c r="D142" s="1323"/>
      <c r="E142" s="236"/>
      <c r="F142" s="236"/>
      <c r="G142" s="236"/>
      <c r="H142" s="236"/>
      <c r="I142" s="236"/>
      <c r="J142" s="236"/>
      <c r="K142" s="236"/>
      <c r="L142" s="236"/>
    </row>
    <row r="143" spans="1:12" hidden="1" x14ac:dyDescent="0.25">
      <c r="D143" s="1323"/>
    </row>
  </sheetData>
  <sheetProtection password="E247" sheet="1" objects="1" scenarios="1"/>
  <mergeCells count="2">
    <mergeCell ref="U5:X5"/>
    <mergeCell ref="A2:D3"/>
  </mergeCells>
  <printOptions horizontalCentered="1"/>
  <pageMargins left="0.17" right="0.17" top="0.56000000000000005" bottom="0.44" header="0.23" footer="0.17"/>
  <pageSetup paperSize="5" scale="59" pageOrder="overThenDown" orientation="portrait" r:id="rId1"/>
  <headerFooter>
    <oddHeader>&amp;C&amp;"Cambria,Bold"&amp;14Sylvan Union School District
2017-18 Budget</oddHeader>
    <oddFooter>&amp;L2017-18 2nd Interim Updated for SEA TA
March. 15, 2018</oddFooter>
  </headerFooter>
  <colBreaks count="1" manualBreakCount="1">
    <brk id="10" max="83" man="1"/>
  </colBreaks>
  <ignoredErrors>
    <ignoredError sqref="F81:I81 G79:I79"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D109"/>
  <sheetViews>
    <sheetView topLeftCell="A37" zoomScaleNormal="100" workbookViewId="0">
      <selection activeCell="AE82" sqref="AE82"/>
    </sheetView>
  </sheetViews>
  <sheetFormatPr defaultRowHeight="15" x14ac:dyDescent="0.25"/>
  <cols>
    <col min="1" max="1" width="8.5703125" style="20" customWidth="1"/>
    <col min="2" max="2" width="15.7109375" style="39" customWidth="1"/>
    <col min="3" max="3" width="16" style="44" customWidth="1"/>
    <col min="4" max="4" width="41.28515625" style="43" bestFit="1" customWidth="1"/>
    <col min="5" max="5" width="16" style="39" customWidth="1"/>
    <col min="6" max="6" width="10.5703125" style="39" bestFit="1" customWidth="1"/>
    <col min="7" max="7" width="16" style="39" customWidth="1"/>
    <col min="8" max="8" width="9.85546875" style="39" bestFit="1" customWidth="1"/>
    <col min="9" max="9" width="16" style="2" customWidth="1"/>
    <col min="10" max="10" width="7.7109375" style="39" bestFit="1" customWidth="1"/>
    <col min="11" max="11" width="16" style="39" customWidth="1"/>
    <col min="12" max="12" width="7.7109375" style="39" bestFit="1" customWidth="1"/>
    <col min="13" max="13" width="16" style="39" customWidth="1"/>
    <col min="14" max="14" width="7.7109375" style="39" bestFit="1" customWidth="1"/>
    <col min="15" max="15" width="16" style="39" customWidth="1"/>
    <col min="16" max="16" width="10.5703125" style="39" bestFit="1" customWidth="1"/>
    <col min="17" max="17" width="16" style="39" customWidth="1"/>
    <col min="18" max="18" width="9.85546875" style="39" bestFit="1" customWidth="1"/>
    <col min="19" max="19" width="16" style="39" customWidth="1"/>
    <col min="20" max="20" width="7.7109375" style="39" bestFit="1" customWidth="1"/>
    <col min="21" max="21" width="16" style="39" customWidth="1"/>
    <col min="22" max="22" width="7.7109375" style="39" bestFit="1" customWidth="1"/>
    <col min="23" max="23" width="16" style="39" customWidth="1"/>
    <col min="24" max="24" width="7.7109375" style="39" bestFit="1" customWidth="1"/>
    <col min="25" max="25" width="16" style="39" customWidth="1"/>
    <col min="26" max="26" width="7.7109375" style="39" bestFit="1" customWidth="1"/>
    <col min="27" max="27" width="16" style="39" customWidth="1"/>
    <col min="28" max="28" width="7.7109375" style="39" bestFit="1" customWidth="1"/>
    <col min="29" max="29" width="7.7109375" style="56" customWidth="1"/>
    <col min="30" max="30" width="8.5703125" style="20" customWidth="1"/>
    <col min="31" max="31" width="18.28515625" style="39" customWidth="1"/>
    <col min="32" max="32" width="16" style="39" customWidth="1"/>
    <col min="33" max="33" width="6" style="39" customWidth="1"/>
    <col min="34" max="34" width="9.42578125" style="46" bestFit="1" customWidth="1"/>
    <col min="35" max="35" width="13.85546875" style="75" bestFit="1" customWidth="1"/>
    <col min="36" max="36" width="26" style="51" bestFit="1" customWidth="1"/>
    <col min="37" max="37" width="5.7109375" style="59" customWidth="1"/>
    <col min="38" max="38" width="8.7109375" style="39" bestFit="1" customWidth="1"/>
    <col min="39" max="39" width="14" style="73" bestFit="1" customWidth="1"/>
    <col min="40" max="40" width="26" style="39" bestFit="1" customWidth="1"/>
    <col min="41" max="41" width="5.7109375" style="39" customWidth="1"/>
    <col min="42" max="42" width="9.42578125" style="39" bestFit="1" customWidth="1"/>
    <col min="43" max="43" width="14" style="39" bestFit="1" customWidth="1"/>
    <col min="44" max="44" width="24.85546875" style="39" bestFit="1" customWidth="1"/>
    <col min="45" max="45" width="5.7109375" style="39" customWidth="1"/>
    <col min="46" max="46" width="9.42578125" style="39" bestFit="1" customWidth="1"/>
    <col min="47" max="47" width="14" style="39" bestFit="1" customWidth="1"/>
    <col min="48" max="48" width="24.85546875" style="39" bestFit="1" customWidth="1"/>
    <col min="49" max="49" width="5.7109375" style="39" customWidth="1"/>
    <col min="50" max="50" width="9.42578125" style="39" bestFit="1" customWidth="1"/>
    <col min="51" max="51" width="14" style="39" bestFit="1" customWidth="1"/>
    <col min="52" max="52" width="24.85546875" style="39" bestFit="1" customWidth="1"/>
    <col min="53" max="53" width="5.7109375" style="39" customWidth="1"/>
    <col min="54" max="54" width="9.42578125" style="39" bestFit="1" customWidth="1"/>
    <col min="55" max="55" width="14" style="39" bestFit="1" customWidth="1"/>
    <col min="56" max="56" width="24.85546875" style="39" bestFit="1" customWidth="1"/>
    <col min="57" max="16384" width="9.140625" style="39"/>
  </cols>
  <sheetData>
    <row r="1" spans="1:56" x14ac:dyDescent="0.25">
      <c r="A1" s="20" t="s">
        <v>61</v>
      </c>
      <c r="B1" s="40" t="s">
        <v>60</v>
      </c>
      <c r="C1" s="41"/>
      <c r="D1" s="26" t="s">
        <v>59</v>
      </c>
      <c r="E1" s="42">
        <v>3010</v>
      </c>
      <c r="AD1" s="55" t="s">
        <v>56</v>
      </c>
      <c r="AE1" s="51"/>
      <c r="AI1" s="86">
        <f>E8*0.9</f>
        <v>1766198.7</v>
      </c>
      <c r="AJ1" s="51" t="s">
        <v>167</v>
      </c>
      <c r="AM1" s="86">
        <f>AI1*0.95</f>
        <v>1677888.7649999999</v>
      </c>
      <c r="AN1" s="51" t="s">
        <v>170</v>
      </c>
      <c r="AQ1" s="86">
        <f>AM1</f>
        <v>1677888.7649999999</v>
      </c>
      <c r="AR1" s="51" t="s">
        <v>172</v>
      </c>
      <c r="AU1" s="86">
        <f>AQ1</f>
        <v>1677888.7649999999</v>
      </c>
      <c r="AV1" s="51" t="s">
        <v>172</v>
      </c>
      <c r="AY1" s="86">
        <f>AU1</f>
        <v>1677888.7649999999</v>
      </c>
      <c r="AZ1" s="51" t="s">
        <v>172</v>
      </c>
      <c r="BC1" s="86">
        <f>AY1</f>
        <v>1677888.7649999999</v>
      </c>
      <c r="BD1" s="51" t="s">
        <v>172</v>
      </c>
    </row>
    <row r="2" spans="1:56" ht="17.25" x14ac:dyDescent="0.4">
      <c r="A2" s="20" t="s">
        <v>58</v>
      </c>
      <c r="B2" s="40" t="s">
        <v>57</v>
      </c>
      <c r="C2" s="41"/>
      <c r="AE2" s="51"/>
      <c r="AI2" s="87">
        <f>-AI1*0.15</f>
        <v>-264929.80499999999</v>
      </c>
      <c r="AJ2" s="51" t="s">
        <v>168</v>
      </c>
      <c r="AM2" s="87">
        <v>0</v>
      </c>
      <c r="AN2" s="51" t="s">
        <v>169</v>
      </c>
      <c r="AQ2" s="87">
        <v>0</v>
      </c>
      <c r="AR2" s="51"/>
      <c r="AU2" s="87">
        <v>0</v>
      </c>
      <c r="AV2" s="51"/>
      <c r="AY2" s="87">
        <v>0</v>
      </c>
      <c r="AZ2" s="51"/>
      <c r="BC2" s="87">
        <v>0</v>
      </c>
      <c r="BD2" s="51"/>
    </row>
    <row r="3" spans="1:56" x14ac:dyDescent="0.25">
      <c r="AI3" s="86">
        <f>SUM(AI1:AI2)</f>
        <v>1501268.895</v>
      </c>
      <c r="AM3" s="86">
        <f>SUM(AM1:AM2)</f>
        <v>1677888.7649999999</v>
      </c>
      <c r="AN3" s="51"/>
      <c r="AQ3" s="86">
        <f>SUM(AQ1:AQ2)</f>
        <v>1677888.7649999999</v>
      </c>
      <c r="AR3" s="51"/>
      <c r="AU3" s="86">
        <f>SUM(AU1:AU2)</f>
        <v>1677888.7649999999</v>
      </c>
      <c r="AV3" s="51"/>
      <c r="AY3" s="86">
        <f>SUM(AY1:AY2)</f>
        <v>1677888.7649999999</v>
      </c>
      <c r="AZ3" s="51"/>
      <c r="BC3" s="86">
        <f>SUM(BC1:BC2)</f>
        <v>1677888.7649999999</v>
      </c>
      <c r="BD3" s="51"/>
    </row>
    <row r="4" spans="1:56" x14ac:dyDescent="0.25">
      <c r="AI4" s="86"/>
      <c r="AM4" s="86"/>
      <c r="AN4" s="51"/>
      <c r="AQ4" s="86"/>
      <c r="AR4" s="51"/>
      <c r="AU4" s="86"/>
      <c r="AV4" s="51"/>
      <c r="AY4" s="86"/>
      <c r="AZ4" s="51"/>
      <c r="BC4" s="86"/>
      <c r="BD4" s="51"/>
    </row>
    <row r="5" spans="1:56" x14ac:dyDescent="0.25">
      <c r="AQ5" s="73"/>
      <c r="AU5" s="73"/>
      <c r="AY5" s="73"/>
      <c r="BC5" s="73"/>
    </row>
    <row r="6" spans="1:56" s="89" customFormat="1" ht="15.75" x14ac:dyDescent="0.25">
      <c r="A6" s="2555" t="s">
        <v>1083</v>
      </c>
      <c r="B6" s="2555"/>
      <c r="C6" s="2555"/>
      <c r="D6" s="2555"/>
      <c r="E6" s="2555"/>
      <c r="F6" s="2555"/>
      <c r="G6" s="2555"/>
      <c r="H6" s="2555" t="str">
        <f>+A6</f>
        <v>2018-19 Budget</v>
      </c>
      <c r="I6" s="2555"/>
      <c r="J6" s="2555"/>
      <c r="K6" s="2555"/>
      <c r="L6" s="2555"/>
      <c r="M6" s="2555"/>
      <c r="N6" s="2555"/>
      <c r="O6" s="2555" t="str">
        <f>+H6</f>
        <v>2018-19 Budget</v>
      </c>
      <c r="P6" s="2555"/>
      <c r="Q6" s="2555"/>
      <c r="R6" s="2555"/>
      <c r="S6" s="2555"/>
      <c r="T6" s="2555"/>
      <c r="U6" s="2555"/>
      <c r="V6" s="2555" t="str">
        <f>+O6</f>
        <v>2018-19 Budget</v>
      </c>
      <c r="W6" s="2555"/>
      <c r="X6" s="2555"/>
      <c r="Y6" s="2555"/>
      <c r="Z6" s="2555"/>
      <c r="AA6" s="2555"/>
      <c r="AB6" s="2555"/>
      <c r="AC6" s="88"/>
      <c r="AF6" s="90" t="s">
        <v>668</v>
      </c>
      <c r="AH6" s="91"/>
      <c r="AI6" s="91" t="str">
        <f>LEFT(AF6,4)+1&amp;"-"&amp;RIGHT(AF6,4)+1</f>
        <v>2019-2020</v>
      </c>
      <c r="AJ6" s="92"/>
      <c r="AK6" s="93"/>
      <c r="AL6" s="94"/>
      <c r="AM6" s="95" t="str">
        <f>LEFT(AI6,4)+1&amp;"-"&amp;RIGHT(AI6,4)+1</f>
        <v>2020-2021</v>
      </c>
      <c r="AN6" s="95"/>
      <c r="AO6" s="96"/>
      <c r="AP6" s="95"/>
      <c r="AQ6" s="95" t="str">
        <f>LEFT(AM6,4)+1&amp;"-"&amp;RIGHT(AM6,4)+1</f>
        <v>2021-2022</v>
      </c>
      <c r="AR6" s="95"/>
      <c r="AS6" s="96"/>
      <c r="AT6" s="95"/>
      <c r="AU6" s="95" t="str">
        <f>LEFT(AQ6,4)+1&amp;"-"&amp;RIGHT(AQ6,4)+1</f>
        <v>2022-2023</v>
      </c>
      <c r="AV6" s="95"/>
      <c r="AW6" s="96"/>
      <c r="AX6" s="95"/>
      <c r="AY6" s="95" t="str">
        <f>LEFT(AU6,4)+1&amp;"-"&amp;RIGHT(AU6,4)+1</f>
        <v>2023-2024</v>
      </c>
      <c r="AZ6" s="95"/>
      <c r="BA6" s="96"/>
      <c r="BB6" s="95"/>
      <c r="BC6" s="95" t="str">
        <f>LEFT(AY6,4)+1&amp;"-"&amp;RIGHT(AY6,4)+1</f>
        <v>2024-2025</v>
      </c>
      <c r="BD6" s="95"/>
    </row>
    <row r="7" spans="1:56" x14ac:dyDescent="0.25">
      <c r="A7" s="21" t="s">
        <v>54</v>
      </c>
      <c r="C7" s="3">
        <v>0</v>
      </c>
      <c r="AD7" s="21" t="s">
        <v>54</v>
      </c>
      <c r="AF7" s="45">
        <f>C7</f>
        <v>0</v>
      </c>
      <c r="AI7" s="45">
        <f>AF88</f>
        <v>135963</v>
      </c>
      <c r="AJ7" s="67"/>
      <c r="AK7" s="60"/>
      <c r="AM7" s="2">
        <f>AI88</f>
        <v>-386968.10499999998</v>
      </c>
      <c r="AN7" s="73"/>
      <c r="AQ7" s="2">
        <f>AM88</f>
        <v>-1225636.5350000001</v>
      </c>
      <c r="AR7" s="73"/>
      <c r="AU7" s="2">
        <f>AQ88</f>
        <v>-2429305.7700000005</v>
      </c>
      <c r="AV7" s="73"/>
      <c r="AY7" s="2">
        <f>AU88</f>
        <v>-3724066.0050000008</v>
      </c>
      <c r="AZ7" s="73"/>
      <c r="BC7" s="2">
        <f>AY88</f>
        <v>-5092599.2400000012</v>
      </c>
      <c r="BD7" s="73"/>
    </row>
    <row r="8" spans="1:56" x14ac:dyDescent="0.25">
      <c r="D8" s="1" t="s">
        <v>113</v>
      </c>
      <c r="E8" s="3">
        <v>1962443</v>
      </c>
      <c r="G8" s="37" t="s">
        <v>112</v>
      </c>
      <c r="AI8" s="39"/>
      <c r="AM8" s="39"/>
      <c r="AN8" s="73"/>
      <c r="AR8" s="73"/>
      <c r="AV8" s="73"/>
      <c r="AZ8" s="73"/>
      <c r="BD8" s="73"/>
    </row>
    <row r="9" spans="1:56" x14ac:dyDescent="0.25">
      <c r="A9" s="20" t="s">
        <v>52</v>
      </c>
      <c r="B9" s="39" t="s">
        <v>53</v>
      </c>
      <c r="C9" s="3">
        <f>+E10</f>
        <v>1668077</v>
      </c>
      <c r="D9" s="1" t="s">
        <v>111</v>
      </c>
      <c r="E9" s="2">
        <f>ROUND(+E8*0.15,0)</f>
        <v>294366</v>
      </c>
      <c r="F9" s="46" t="s">
        <v>62</v>
      </c>
      <c r="G9" s="2">
        <v>400423.37</v>
      </c>
      <c r="AD9" s="20" t="s">
        <v>52</v>
      </c>
      <c r="AE9" s="39" t="s">
        <v>53</v>
      </c>
      <c r="AF9" s="45">
        <f>C9</f>
        <v>1668077</v>
      </c>
      <c r="AH9" s="84">
        <f>IF(AF9=0," ",(AI9-AF9)/AF9)</f>
        <v>-0.10000024279454724</v>
      </c>
      <c r="AI9" s="3">
        <f>AI3</f>
        <v>1501268.895</v>
      </c>
      <c r="AJ9" s="75" t="s">
        <v>139</v>
      </c>
      <c r="AK9" s="61"/>
      <c r="AL9" s="83">
        <f>IF(AI9=0,"0.00%",(AM9-AI9)/AI9)</f>
        <v>0.11764705882352933</v>
      </c>
      <c r="AM9" s="3">
        <f>AM3</f>
        <v>1677888.7649999999</v>
      </c>
      <c r="AN9" s="80" t="s">
        <v>171</v>
      </c>
      <c r="AP9" s="83">
        <f>IF(AM9=0,"0.00%",(AQ9-AM9)/AM9)</f>
        <v>0</v>
      </c>
      <c r="AQ9" s="3">
        <f>AQ3</f>
        <v>1677888.7649999999</v>
      </c>
      <c r="AR9" s="80" t="s">
        <v>173</v>
      </c>
      <c r="AT9" s="83">
        <f>IF(AQ9=0,"0.00%",(AU9-AQ9)/AQ9)</f>
        <v>0</v>
      </c>
      <c r="AU9" s="3">
        <f>AU3</f>
        <v>1677888.7649999999</v>
      </c>
      <c r="AV9" s="80" t="s">
        <v>173</v>
      </c>
      <c r="AX9" s="83">
        <f>IF(AU9=0,"0.00%",(AY9-AU9)/AU9)</f>
        <v>0</v>
      </c>
      <c r="AY9" s="3">
        <f>AY3</f>
        <v>1677888.7649999999</v>
      </c>
      <c r="AZ9" s="80" t="s">
        <v>173</v>
      </c>
      <c r="BB9" s="83">
        <f>IF(AY9=0,"0.00%",(BC9-AY9)/AY9)</f>
        <v>0</v>
      </c>
      <c r="BC9" s="3">
        <f>BC3</f>
        <v>1677888.7649999999</v>
      </c>
      <c r="BD9" s="80" t="s">
        <v>173</v>
      </c>
    </row>
    <row r="10" spans="1:56" x14ac:dyDescent="0.25">
      <c r="B10" s="39" t="s">
        <v>51</v>
      </c>
      <c r="C10" s="3">
        <v>1062358.3700000001</v>
      </c>
      <c r="E10" s="38">
        <f>+E8-E9</f>
        <v>1668077</v>
      </c>
      <c r="F10" s="46" t="s">
        <v>62</v>
      </c>
      <c r="G10" s="2">
        <v>449954</v>
      </c>
      <c r="AE10" s="39" t="s">
        <v>51</v>
      </c>
      <c r="AF10" s="45">
        <f>C10</f>
        <v>1062358.3700000001</v>
      </c>
      <c r="AH10" s="84">
        <f>IF(AF10=0," ",(AI10-AF10)/AF10)</f>
        <v>-0.38027880365831734</v>
      </c>
      <c r="AI10" s="3">
        <f>E9+C99+C100</f>
        <v>658366</v>
      </c>
      <c r="AJ10" s="25"/>
      <c r="AK10" s="61"/>
      <c r="AL10" s="83">
        <f>IF(AI10=0,"0.00%",(AM10-AI10)/AI10)</f>
        <v>-0.59759494718743067</v>
      </c>
      <c r="AM10" s="3">
        <f>(E8*0.9)*0.15</f>
        <v>264929.80499999999</v>
      </c>
      <c r="AN10" s="73"/>
      <c r="AP10" s="83">
        <f>IF(AM10=0,"0.00%",(AQ10-AM10)/AM10)</f>
        <v>-1</v>
      </c>
      <c r="AQ10" s="3">
        <f>(I8*0.9)*0.15</f>
        <v>0</v>
      </c>
      <c r="AR10" s="73"/>
      <c r="AT10" s="83" t="str">
        <f>IF(AQ10=0,"0.00%",(AU10-AQ10)/AQ10)</f>
        <v>0.00%</v>
      </c>
      <c r="AU10" s="3">
        <f>(M8*0.9)*0.15</f>
        <v>0</v>
      </c>
      <c r="AV10" s="73"/>
      <c r="AX10" s="83" t="str">
        <f>IF(AU10=0,"0.00%",(AY10-AU10)/AU10)</f>
        <v>0.00%</v>
      </c>
      <c r="AY10" s="3">
        <f>(Q8*0.9)*0.15</f>
        <v>0</v>
      </c>
      <c r="AZ10" s="73"/>
      <c r="BB10" s="83" t="str">
        <f>IF(AY10=0,"0.00%",(BC10-AY10)/AY10)</f>
        <v>0.00%</v>
      </c>
      <c r="BC10" s="3">
        <f>(U8*0.9)*0.15</f>
        <v>0</v>
      </c>
      <c r="BD10" s="73"/>
    </row>
    <row r="11" spans="1:56" x14ac:dyDescent="0.25">
      <c r="C11" s="47">
        <f>SUM(C9:C10)</f>
        <v>2730435.37</v>
      </c>
      <c r="F11" s="46" t="s">
        <v>63</v>
      </c>
      <c r="G11" s="17">
        <v>211981</v>
      </c>
      <c r="AD11" s="21" t="s">
        <v>137</v>
      </c>
      <c r="AF11" s="78">
        <f>SUM(AF9:AF10)</f>
        <v>2730435.37</v>
      </c>
      <c r="AH11" s="84">
        <f>IF(AF11=0," ",(AI11-AF11)/AF11)</f>
        <v>-0.20905108440636705</v>
      </c>
      <c r="AI11" s="78">
        <f>SUM(AI9:AI10)</f>
        <v>2159634.895</v>
      </c>
      <c r="AJ11" s="68"/>
      <c r="AK11" s="62"/>
      <c r="AL11" s="83">
        <f>IF(AI11=0,"0.00%",(AM11-AI11)/AI11)</f>
        <v>-0.10039489799964553</v>
      </c>
      <c r="AM11" s="78">
        <f>SUM(AM9:AM10)</f>
        <v>1942818.5699999998</v>
      </c>
      <c r="AN11" s="73"/>
      <c r="AP11" s="83">
        <f>IF(AM11=0,"0.00%",(AQ11-AM11)/AM11)</f>
        <v>-0.13636363636363635</v>
      </c>
      <c r="AQ11" s="78">
        <f>SUM(AQ9:AQ10)</f>
        <v>1677888.7649999999</v>
      </c>
      <c r="AR11" s="73"/>
      <c r="AT11" s="83">
        <f>IF(AQ11=0,"0.00%",(AU11-AQ11)/AQ11)</f>
        <v>0</v>
      </c>
      <c r="AU11" s="78">
        <f>SUM(AU9:AU10)</f>
        <v>1677888.7649999999</v>
      </c>
      <c r="AV11" s="73"/>
      <c r="AX11" s="83">
        <f>IF(AU11=0,"0.00%",(AY11-AU11)/AU11)</f>
        <v>0</v>
      </c>
      <c r="AY11" s="78">
        <f>SUM(AY9:AY10)</f>
        <v>1677888.7649999999</v>
      </c>
      <c r="AZ11" s="73"/>
      <c r="BB11" s="83">
        <f>IF(AY11=0,"0.00%",(BC11-AY11)/AY11)</f>
        <v>0</v>
      </c>
      <c r="BC11" s="78">
        <f>SUM(BC9:BC10)</f>
        <v>1677888.7649999999</v>
      </c>
      <c r="BD11" s="73"/>
    </row>
    <row r="12" spans="1:56" x14ac:dyDescent="0.25">
      <c r="F12" s="46"/>
      <c r="G12" s="10">
        <f>SUM(G9:G11)</f>
        <v>1062358.3700000001</v>
      </c>
      <c r="AI12" s="44"/>
      <c r="AJ12" s="69"/>
      <c r="AK12" s="63"/>
      <c r="AL12" s="46"/>
      <c r="AM12" s="44"/>
      <c r="AN12" s="73"/>
      <c r="AP12" s="46"/>
      <c r="AQ12" s="44"/>
      <c r="AR12" s="73"/>
      <c r="AT12" s="46"/>
      <c r="AU12" s="44"/>
      <c r="AV12" s="73"/>
      <c r="AX12" s="46"/>
      <c r="AY12" s="44"/>
      <c r="AZ12" s="73"/>
      <c r="BB12" s="46"/>
      <c r="BC12" s="44"/>
      <c r="BD12" s="73"/>
    </row>
    <row r="13" spans="1:56" x14ac:dyDescent="0.25">
      <c r="A13" s="52">
        <v>3.6999999999999998E-2</v>
      </c>
      <c r="B13" s="39" t="s">
        <v>64</v>
      </c>
      <c r="C13" s="18">
        <f>ROUND(C11-(C11/(1+A13)),0)</f>
        <v>97422</v>
      </c>
      <c r="G13" s="2"/>
      <c r="AD13" s="52">
        <v>3.6999999999999998E-2</v>
      </c>
      <c r="AE13" s="13" t="s">
        <v>64</v>
      </c>
      <c r="AF13" s="53">
        <f>C13</f>
        <v>97422</v>
      </c>
      <c r="AH13" s="84">
        <f>IF(AF13=0," ",(AI13-AF13)/AF13)</f>
        <v>-0.20905955533657694</v>
      </c>
      <c r="AI13" s="77">
        <f>ROUND(AI11-(AI11/(1+AD13)),0)</f>
        <v>77055</v>
      </c>
      <c r="AJ13" s="27"/>
      <c r="AK13" s="64"/>
      <c r="AL13" s="83">
        <f>IF(AI13=0,"0.00%",(AM13-AI13)/AI13)</f>
        <v>-0.10039582116669911</v>
      </c>
      <c r="AM13" s="77">
        <f>ROUND(AM11-(AM11/(1+AD13)),0)</f>
        <v>69319</v>
      </c>
      <c r="AN13" s="73"/>
      <c r="AP13" s="83">
        <f>IF(AM13=0,"0.00%",(AQ13-AM13)/AM13)</f>
        <v>-0.13635511187408936</v>
      </c>
      <c r="AQ13" s="77">
        <f>ROUND(AQ11-(AQ11/(1+AD13)),0)</f>
        <v>59867</v>
      </c>
      <c r="AR13" s="73"/>
      <c r="AT13" s="83">
        <f>IF(AQ13=0,"0.00%",(AU13-AQ13)/AQ13)</f>
        <v>0</v>
      </c>
      <c r="AU13" s="77">
        <f>ROUND(AU11-(AU11/(1+AD13)),0)</f>
        <v>59867</v>
      </c>
      <c r="AV13" s="73"/>
      <c r="AX13" s="83">
        <f>IF(AU13=0,"0.00%",(AY13-AU13)/AU13)</f>
        <v>0</v>
      </c>
      <c r="AY13" s="77">
        <f>ROUND(AY11-(AY11/(1+AD13)),0)</f>
        <v>59867</v>
      </c>
      <c r="AZ13" s="73"/>
      <c r="BB13" s="83">
        <f>IF(AY13=0,"0.00%",(BC13-AY13)/AY13)</f>
        <v>-8.4080211134681875</v>
      </c>
      <c r="BC13" s="77">
        <f>ROUND(BC11-(BC11/(1+AH13)),0)</f>
        <v>-443496</v>
      </c>
      <c r="BD13" s="73"/>
    </row>
    <row r="14" spans="1:56" x14ac:dyDescent="0.25">
      <c r="AI14" s="44"/>
      <c r="AJ14" s="69"/>
      <c r="AK14" s="63"/>
      <c r="AL14" s="46"/>
      <c r="AM14" s="44"/>
      <c r="AN14" s="73"/>
      <c r="AP14" s="46"/>
      <c r="AQ14" s="44"/>
      <c r="AR14" s="73"/>
      <c r="AT14" s="46"/>
      <c r="AU14" s="44"/>
      <c r="AV14" s="73"/>
      <c r="AX14" s="46"/>
      <c r="AY14" s="44"/>
      <c r="AZ14" s="73"/>
      <c r="BB14" s="46"/>
      <c r="BC14" s="44"/>
      <c r="BD14" s="73"/>
    </row>
    <row r="15" spans="1:56" x14ac:dyDescent="0.25">
      <c r="A15" s="21" t="s">
        <v>50</v>
      </c>
      <c r="C15" s="19">
        <f>SUM(C7,C11)-C13</f>
        <v>2633013.37</v>
      </c>
      <c r="D15" s="31"/>
      <c r="AD15" s="21" t="s">
        <v>50</v>
      </c>
      <c r="AF15" s="53">
        <f>AF11-AF13</f>
        <v>2633013.37</v>
      </c>
      <c r="AH15" s="84">
        <f>IF(AF15=0," ",(AI15-AF15)/AF15)</f>
        <v>-0.2090507709803236</v>
      </c>
      <c r="AI15" s="19">
        <f>AI11-AI13</f>
        <v>2082579.895</v>
      </c>
      <c r="AJ15" s="68"/>
      <c r="AK15" s="62"/>
      <c r="AL15" s="83">
        <f>IF(AI15=0,"0.00%",(AM15-AI15)/AI15)</f>
        <v>-0.10039486384266673</v>
      </c>
      <c r="AM15" s="19">
        <f>AM11-AM13</f>
        <v>1873499.5699999998</v>
      </c>
      <c r="AN15" s="73"/>
      <c r="AP15" s="83">
        <f>IF(AM15=0,"0.00%",(AQ15-AM15)/AM15)</f>
        <v>-0.13636395176754695</v>
      </c>
      <c r="AQ15" s="19">
        <f>AQ11-AQ13</f>
        <v>1618021.7649999999</v>
      </c>
      <c r="AR15" s="73"/>
      <c r="AT15" s="83">
        <f>IF(AQ15=0,"0.00%",(AU15-AQ15)/AQ15)</f>
        <v>0</v>
      </c>
      <c r="AU15" s="19">
        <f>AU11-AU13</f>
        <v>1618021.7649999999</v>
      </c>
      <c r="AV15" s="73"/>
      <c r="AX15" s="83">
        <f>IF(AU15=0,"0.00%",(AY15-AU15)/AU15)</f>
        <v>0</v>
      </c>
      <c r="AY15" s="19">
        <f>AY11-AY13</f>
        <v>1618021.7649999999</v>
      </c>
      <c r="AZ15" s="73"/>
      <c r="BB15" s="83">
        <f>IF(AY15=0,"0.00%",(BC15-AY15)/AY15)</f>
        <v>0.31109779292740219</v>
      </c>
      <c r="BC15" s="19">
        <f>BC11-BC13</f>
        <v>2121384.7649999997</v>
      </c>
      <c r="BD15" s="73"/>
    </row>
    <row r="16" spans="1:56" x14ac:dyDescent="0.25">
      <c r="D16" s="48"/>
      <c r="AI16" s="49"/>
      <c r="AJ16" s="68"/>
      <c r="AK16" s="62"/>
      <c r="AM16" s="49"/>
      <c r="AN16" s="73"/>
      <c r="AQ16" s="49"/>
      <c r="AR16" s="73"/>
      <c r="AU16" s="49"/>
      <c r="AV16" s="73"/>
      <c r="AY16" s="49"/>
      <c r="AZ16" s="73"/>
      <c r="BC16" s="49"/>
      <c r="BD16" s="73"/>
    </row>
    <row r="17" spans="1:56" x14ac:dyDescent="0.25">
      <c r="B17" s="20" t="s">
        <v>98</v>
      </c>
      <c r="C17" s="23">
        <v>42782</v>
      </c>
      <c r="D17" s="28"/>
      <c r="AE17" s="20"/>
      <c r="AI17" s="44"/>
      <c r="AJ17" s="69"/>
      <c r="AK17" s="63"/>
      <c r="AM17" s="44"/>
      <c r="AN17" s="73"/>
      <c r="AQ17" s="44"/>
      <c r="AR17" s="73"/>
      <c r="AU17" s="44"/>
      <c r="AV17" s="73"/>
      <c r="AY17" s="44"/>
      <c r="AZ17" s="73"/>
      <c r="BC17" s="44"/>
      <c r="BD17" s="73"/>
    </row>
    <row r="18" spans="1:56" x14ac:dyDescent="0.25">
      <c r="C18" s="9"/>
      <c r="D18" s="32"/>
      <c r="E18" s="9"/>
      <c r="F18" s="32"/>
      <c r="G18" s="9"/>
      <c r="H18" s="32"/>
      <c r="I18" s="9"/>
      <c r="J18" s="32"/>
      <c r="K18" s="9"/>
      <c r="L18" s="32"/>
      <c r="M18" s="32"/>
      <c r="N18" s="32"/>
      <c r="O18" s="32"/>
      <c r="P18" s="32"/>
      <c r="Q18" s="32"/>
      <c r="R18" s="32"/>
      <c r="S18" s="32"/>
      <c r="T18" s="32"/>
      <c r="U18" s="32"/>
      <c r="V18" s="32"/>
      <c r="W18" s="32"/>
      <c r="X18" s="32"/>
      <c r="Y18" s="32"/>
      <c r="Z18" s="32"/>
      <c r="AA18" s="32"/>
      <c r="AB18" s="32"/>
      <c r="AC18" s="32"/>
      <c r="AF18" s="32"/>
      <c r="AG18" s="32"/>
      <c r="AI18" s="15">
        <v>0.02</v>
      </c>
      <c r="AJ18" s="70"/>
      <c r="AK18" s="65"/>
      <c r="AM18" s="15">
        <v>0.02</v>
      </c>
      <c r="AN18" s="73"/>
      <c r="AQ18" s="15">
        <v>0.02</v>
      </c>
      <c r="AR18" s="73"/>
      <c r="AU18" s="15">
        <v>0.02</v>
      </c>
      <c r="AV18" s="73"/>
      <c r="AY18" s="15">
        <v>0.02</v>
      </c>
      <c r="AZ18" s="73"/>
      <c r="BC18" s="15">
        <v>0.02</v>
      </c>
      <c r="BD18" s="73"/>
    </row>
    <row r="19" spans="1:56" ht="17.25" x14ac:dyDescent="0.4">
      <c r="C19" s="35" t="s">
        <v>75</v>
      </c>
      <c r="D19" s="34" t="s">
        <v>47</v>
      </c>
      <c r="E19" s="35" t="s">
        <v>99</v>
      </c>
      <c r="F19" s="34" t="s">
        <v>47</v>
      </c>
      <c r="G19" s="35" t="s">
        <v>100</v>
      </c>
      <c r="H19" s="34" t="s">
        <v>47</v>
      </c>
      <c r="I19" s="35" t="s">
        <v>101</v>
      </c>
      <c r="J19" s="34" t="s">
        <v>47</v>
      </c>
      <c r="K19" s="35" t="s">
        <v>102</v>
      </c>
      <c r="L19" s="34" t="s">
        <v>47</v>
      </c>
      <c r="M19" s="35" t="s">
        <v>103</v>
      </c>
      <c r="N19" s="34" t="s">
        <v>47</v>
      </c>
      <c r="O19" s="35" t="s">
        <v>104</v>
      </c>
      <c r="P19" s="34" t="s">
        <v>47</v>
      </c>
      <c r="Q19" s="35" t="s">
        <v>105</v>
      </c>
      <c r="R19" s="34" t="s">
        <v>47</v>
      </c>
      <c r="S19" s="35" t="s">
        <v>106</v>
      </c>
      <c r="T19" s="34" t="s">
        <v>47</v>
      </c>
      <c r="U19" s="35" t="s">
        <v>107</v>
      </c>
      <c r="V19" s="34" t="s">
        <v>47</v>
      </c>
      <c r="W19" s="35" t="s">
        <v>108</v>
      </c>
      <c r="X19" s="34" t="s">
        <v>47</v>
      </c>
      <c r="Y19" s="35" t="s">
        <v>109</v>
      </c>
      <c r="Z19" s="34" t="s">
        <v>47</v>
      </c>
      <c r="AA19" s="35" t="s">
        <v>110</v>
      </c>
      <c r="AB19" s="34" t="s">
        <v>47</v>
      </c>
      <c r="AC19" s="79"/>
      <c r="AF19" s="35" t="s">
        <v>118</v>
      </c>
      <c r="AG19" s="34"/>
      <c r="AI19" s="14" t="s">
        <v>48</v>
      </c>
      <c r="AJ19" s="5"/>
      <c r="AK19" s="29"/>
      <c r="AM19" s="14" t="s">
        <v>48</v>
      </c>
      <c r="AN19" s="72"/>
      <c r="AQ19" s="14" t="s">
        <v>48</v>
      </c>
      <c r="AR19" s="72"/>
      <c r="AU19" s="14" t="s">
        <v>48</v>
      </c>
      <c r="AV19" s="72"/>
      <c r="AY19" s="14" t="s">
        <v>48</v>
      </c>
      <c r="AZ19" s="72"/>
      <c r="BC19" s="14" t="s">
        <v>48</v>
      </c>
      <c r="BD19" s="72"/>
    </row>
    <row r="20" spans="1:56" s="13" customFormat="1" x14ac:dyDescent="0.25">
      <c r="A20" s="21" t="s">
        <v>46</v>
      </c>
      <c r="D20" s="7"/>
      <c r="F20" s="4"/>
      <c r="H20" s="4"/>
      <c r="J20" s="4"/>
      <c r="L20" s="4"/>
      <c r="N20" s="4"/>
      <c r="P20" s="4"/>
      <c r="R20" s="4"/>
      <c r="T20" s="4"/>
      <c r="V20" s="4"/>
      <c r="X20" s="4"/>
      <c r="Z20" s="4"/>
      <c r="AB20" s="4"/>
      <c r="AC20" s="58"/>
      <c r="AD20" s="21" t="str">
        <f t="shared" ref="AD20:AD27" si="0">A20</f>
        <v xml:space="preserve">Certificated </v>
      </c>
      <c r="AF20" s="10"/>
      <c r="AG20" s="10"/>
      <c r="AH20" s="1"/>
      <c r="AI20" s="10"/>
      <c r="AJ20" s="6"/>
      <c r="AK20" s="57"/>
      <c r="AM20" s="10"/>
      <c r="AN20" s="74"/>
      <c r="AQ20" s="10"/>
      <c r="AR20" s="74"/>
      <c r="AU20" s="10"/>
      <c r="AV20" s="74"/>
      <c r="AY20" s="10"/>
      <c r="AZ20" s="74"/>
      <c r="BC20" s="10"/>
      <c r="BD20" s="74"/>
    </row>
    <row r="21" spans="1:56" x14ac:dyDescent="0.25">
      <c r="A21" s="12" t="s">
        <v>65</v>
      </c>
      <c r="B21" s="39" t="s">
        <v>66</v>
      </c>
      <c r="C21" s="25">
        <v>0</v>
      </c>
      <c r="D21" s="30"/>
      <c r="E21" s="25">
        <v>7250</v>
      </c>
      <c r="F21" s="25"/>
      <c r="G21" s="25">
        <v>1000</v>
      </c>
      <c r="H21" s="25"/>
      <c r="I21" s="25">
        <v>7313</v>
      </c>
      <c r="J21" s="25"/>
      <c r="K21" s="25">
        <v>3657</v>
      </c>
      <c r="L21" s="25"/>
      <c r="M21" s="25">
        <v>2600</v>
      </c>
      <c r="N21" s="25"/>
      <c r="O21" s="25">
        <v>3741</v>
      </c>
      <c r="P21" s="25"/>
      <c r="Q21" s="25">
        <v>4307</v>
      </c>
      <c r="R21" s="25"/>
      <c r="S21" s="25">
        <v>8207</v>
      </c>
      <c r="T21" s="25"/>
      <c r="U21" s="25">
        <v>3605</v>
      </c>
      <c r="V21" s="25"/>
      <c r="W21" s="25">
        <v>4662</v>
      </c>
      <c r="X21" s="25"/>
      <c r="Y21" s="25">
        <v>7800</v>
      </c>
      <c r="Z21" s="25"/>
      <c r="AA21" s="25">
        <v>8778</v>
      </c>
      <c r="AB21" s="25"/>
      <c r="AC21" s="61"/>
      <c r="AD21" s="12" t="str">
        <f t="shared" si="0"/>
        <v>1110</v>
      </c>
      <c r="AE21" s="39" t="str">
        <f t="shared" ref="AE21:AE27" si="1">B21</f>
        <v>Intervention Tchr.</v>
      </c>
      <c r="AF21" s="2">
        <f>SUM(C21,E21,G21,I21,K21,M21,O21,Q21,S21,U21,W21,Y21,AA21)</f>
        <v>62920</v>
      </c>
      <c r="AG21" s="2"/>
      <c r="AH21" s="83">
        <f t="shared" ref="AH21:AH29" si="2">IF(AF21=0,"0.00%",(AI21-AF21)/AF21)</f>
        <v>1.9993642720915448E-2</v>
      </c>
      <c r="AI21" s="2">
        <f t="shared" ref="AI21:AI27" si="3">ROUND(AF21*(1+$AI$18),0)</f>
        <v>64178</v>
      </c>
      <c r="AJ21" s="36" t="str">
        <f t="shared" ref="AJ21:AJ26" si="4">TEXT($AI$18,"0.0%")&amp;" = Est. S &amp; C"</f>
        <v>2.0% = Est. S &amp; C</v>
      </c>
      <c r="AK21" s="66"/>
      <c r="AL21" s="83">
        <f t="shared" ref="AL21:AL27" si="5">IF(AI21=0,"0.00%",(AM21-AI21)/AI21)</f>
        <v>2.0006855931939294E-2</v>
      </c>
      <c r="AM21" s="2">
        <f>ROUND(AI21*(1+AM18),0)</f>
        <v>65462</v>
      </c>
      <c r="AN21" s="36" t="str">
        <f>TEXT(AM18,"0.0%")&amp;" = Est. S &amp; C"</f>
        <v>2.0% = Est. S &amp; C</v>
      </c>
      <c r="AP21" s="83">
        <f t="shared" ref="AP21:AP27" si="6">IF(AM21=0,"0.00%",(AQ21-AM21)/AM21)</f>
        <v>1.9996333750878371E-2</v>
      </c>
      <c r="AQ21" s="2">
        <f>ROUND(AM21*(1+AQ18),0)</f>
        <v>66771</v>
      </c>
      <c r="AR21" s="36" t="str">
        <f>TEXT(AQ18,"0.0%")&amp;" = Est. S &amp; C"</f>
        <v>2.0% = Est. S &amp; C</v>
      </c>
      <c r="AT21" s="83">
        <f t="shared" ref="AT21:AT27" si="7">IF(AQ21=0,"0.00%",(AU21-AQ21)/AQ21)</f>
        <v>1.9993709844093994E-2</v>
      </c>
      <c r="AU21" s="2">
        <f>ROUND(AQ21*(1+AU18),0)</f>
        <v>68106</v>
      </c>
      <c r="AV21" s="36" t="str">
        <f>TEXT(AU18,"0.0%")&amp;" = Est. S &amp; C"</f>
        <v>2.0% = Est. S &amp; C</v>
      </c>
      <c r="AX21" s="83">
        <f t="shared" ref="AX21:AX27" si="8">IF(AU21=0,"0.00%",(AY21-AU21)/AU21)</f>
        <v>1.999823804070126E-2</v>
      </c>
      <c r="AY21" s="2">
        <f>ROUND(AU21*(1+AY18),0)</f>
        <v>69468</v>
      </c>
      <c r="AZ21" s="36" t="str">
        <f>TEXT(AY18,"0.0%")&amp;" = Est. S &amp; C"</f>
        <v>2.0% = Est. S &amp; C</v>
      </c>
      <c r="BB21" s="83">
        <f t="shared" ref="BB21:BB27" si="9">IF(AY21=0,"0.00%",(BC21-AY21)/AY21)</f>
        <v>1.9994817757816547E-2</v>
      </c>
      <c r="BC21" s="2">
        <f>ROUND(AY21*(1+BC18),0)</f>
        <v>70857</v>
      </c>
      <c r="BD21" s="36" t="str">
        <f>TEXT(BC18,"0.0%")&amp;" = Est. S &amp; C"</f>
        <v>2.0% = Est. S &amp; C</v>
      </c>
    </row>
    <row r="22" spans="1:56" x14ac:dyDescent="0.25">
      <c r="A22" s="12" t="s">
        <v>45</v>
      </c>
      <c r="B22" s="39" t="s">
        <v>44</v>
      </c>
      <c r="C22" s="3">
        <v>9089</v>
      </c>
      <c r="D22" s="30"/>
      <c r="E22" s="2">
        <v>0</v>
      </c>
      <c r="F22" s="36"/>
      <c r="G22" s="2">
        <v>0</v>
      </c>
      <c r="H22" s="36"/>
      <c r="I22" s="2">
        <v>0</v>
      </c>
      <c r="J22" s="36"/>
      <c r="K22" s="2">
        <v>0</v>
      </c>
      <c r="L22" s="36"/>
      <c r="M22" s="2">
        <v>1050</v>
      </c>
      <c r="N22" s="36"/>
      <c r="O22" s="2">
        <v>0</v>
      </c>
      <c r="P22" s="36"/>
      <c r="Q22" s="2">
        <v>0</v>
      </c>
      <c r="R22" s="36"/>
      <c r="S22" s="2">
        <v>150</v>
      </c>
      <c r="T22" s="36"/>
      <c r="U22" s="2">
        <v>0</v>
      </c>
      <c r="V22" s="36"/>
      <c r="W22" s="2">
        <v>0</v>
      </c>
      <c r="X22" s="36"/>
      <c r="Y22" s="2">
        <v>0</v>
      </c>
      <c r="Z22" s="36"/>
      <c r="AA22" s="2">
        <v>0</v>
      </c>
      <c r="AB22" s="36"/>
      <c r="AC22" s="66"/>
      <c r="AD22" s="12" t="str">
        <f t="shared" si="0"/>
        <v>1112</v>
      </c>
      <c r="AE22" s="39" t="str">
        <f t="shared" si="1"/>
        <v>Supplemental Tchr.</v>
      </c>
      <c r="AF22" s="2">
        <f t="shared" ref="AF22:AF27" si="10">SUM(C22,E22,G22,I22,K22,M22,O22,Q22,S22,U22,W22,Y22,AA22)</f>
        <v>10289</v>
      </c>
      <c r="AG22" s="2"/>
      <c r="AH22" s="83">
        <f t="shared" si="2"/>
        <v>2.0021382058509087E-2</v>
      </c>
      <c r="AI22" s="2">
        <f t="shared" si="3"/>
        <v>10495</v>
      </c>
      <c r="AJ22" s="36" t="str">
        <f t="shared" si="4"/>
        <v>2.0% = Est. S &amp; C</v>
      </c>
      <c r="AK22" s="66"/>
      <c r="AL22" s="83">
        <f t="shared" si="5"/>
        <v>2.0009528346831826E-2</v>
      </c>
      <c r="AM22" s="2">
        <f>ROUND(AI22*(1+AM18),0)</f>
        <v>10705</v>
      </c>
      <c r="AN22" s="36" t="str">
        <f>TEXT(AM18,"0.0%")&amp;" = Est. S &amp; C"</f>
        <v>2.0% = Est. S &amp; C</v>
      </c>
      <c r="AP22" s="83">
        <f t="shared" si="6"/>
        <v>1.9990658570761325E-2</v>
      </c>
      <c r="AQ22" s="2">
        <f>ROUND(AM22*(1+AQ18),0)</f>
        <v>10919</v>
      </c>
      <c r="AR22" s="36" t="str">
        <f>TEXT(AQ18,"0.0%")&amp;" = Est. S &amp; C"</f>
        <v>2.0% = Est. S &amp; C</v>
      </c>
      <c r="AT22" s="83">
        <f t="shared" si="7"/>
        <v>1.9965198278230609E-2</v>
      </c>
      <c r="AU22" s="2">
        <f>ROUND(AQ22*(1+AU18),0)</f>
        <v>11137</v>
      </c>
      <c r="AV22" s="36" t="str">
        <f>TEXT(AU18,"0.0%")&amp;" = Est. S &amp; C"</f>
        <v>2.0% = Est. S &amp; C</v>
      </c>
      <c r="AX22" s="83">
        <f t="shared" si="8"/>
        <v>2.0023345604740953E-2</v>
      </c>
      <c r="AY22" s="2">
        <f>ROUND(AU22*(1+AY18),0)</f>
        <v>11360</v>
      </c>
      <c r="AZ22" s="36" t="str">
        <f>TEXT(AY18,"0.0%")&amp;" = Est. S &amp; C"</f>
        <v>2.0% = Est. S &amp; C</v>
      </c>
      <c r="BB22" s="83">
        <f t="shared" si="9"/>
        <v>1.9982394366197184E-2</v>
      </c>
      <c r="BC22" s="2">
        <f>ROUND(AY22*(1+BC18),0)</f>
        <v>11587</v>
      </c>
      <c r="BD22" s="36" t="str">
        <f>TEXT(BC18,"0.0%")&amp;" = Est. S &amp; C"</f>
        <v>2.0% = Est. S &amp; C</v>
      </c>
    </row>
    <row r="23" spans="1:56" x14ac:dyDescent="0.25">
      <c r="A23" s="12" t="s">
        <v>43</v>
      </c>
      <c r="B23" s="39" t="s">
        <v>42</v>
      </c>
      <c r="C23" s="3">
        <v>69521</v>
      </c>
      <c r="D23" s="30"/>
      <c r="E23" s="2">
        <v>8400</v>
      </c>
      <c r="F23" s="36"/>
      <c r="G23" s="2">
        <v>4175</v>
      </c>
      <c r="H23" s="36"/>
      <c r="I23" s="2">
        <v>12600</v>
      </c>
      <c r="J23" s="36"/>
      <c r="K23" s="2">
        <v>9672</v>
      </c>
      <c r="L23" s="36"/>
      <c r="M23" s="2">
        <v>9310</v>
      </c>
      <c r="N23" s="36"/>
      <c r="O23" s="2">
        <v>1050</v>
      </c>
      <c r="P23" s="36"/>
      <c r="Q23" s="2">
        <v>4340</v>
      </c>
      <c r="R23" s="36"/>
      <c r="S23" s="2">
        <v>6591</v>
      </c>
      <c r="T23" s="36"/>
      <c r="U23" s="2">
        <v>7280</v>
      </c>
      <c r="V23" s="36"/>
      <c r="W23" s="2">
        <v>3310</v>
      </c>
      <c r="X23" s="36"/>
      <c r="Y23" s="2">
        <v>6300</v>
      </c>
      <c r="Z23" s="36"/>
      <c r="AA23" s="2">
        <v>10000</v>
      </c>
      <c r="AB23" s="36"/>
      <c r="AC23" s="66"/>
      <c r="AD23" s="12" t="str">
        <f t="shared" si="0"/>
        <v>1181</v>
      </c>
      <c r="AE23" s="39" t="str">
        <f t="shared" si="1"/>
        <v>Subs</v>
      </c>
      <c r="AF23" s="2">
        <f t="shared" si="10"/>
        <v>152549</v>
      </c>
      <c r="AG23" s="2"/>
      <c r="AH23" s="83">
        <f t="shared" si="2"/>
        <v>2.0000131105415309E-2</v>
      </c>
      <c r="AI23" s="2">
        <f t="shared" si="3"/>
        <v>155600</v>
      </c>
      <c r="AJ23" s="36" t="str">
        <f t="shared" si="4"/>
        <v>2.0% = Est. S &amp; C</v>
      </c>
      <c r="AK23" s="66"/>
      <c r="AL23" s="83">
        <f t="shared" si="5"/>
        <v>0.02</v>
      </c>
      <c r="AM23" s="2">
        <f>ROUND(AI23*(1+AM18),0)</f>
        <v>158712</v>
      </c>
      <c r="AN23" s="36" t="str">
        <f>TEXT(AM18,"0.0%")&amp;" = Est. S &amp; C"</f>
        <v>2.0% = Est. S &amp; C</v>
      </c>
      <c r="AP23" s="83">
        <f t="shared" si="6"/>
        <v>1.9998487827007409E-2</v>
      </c>
      <c r="AQ23" s="2">
        <f>ROUND(AM23*(1+AQ18),0)</f>
        <v>161886</v>
      </c>
      <c r="AR23" s="36" t="str">
        <f>TEXT(AQ18,"0.0%")&amp;" = Est. S &amp; C"</f>
        <v>2.0% = Est. S &amp; C</v>
      </c>
      <c r="AT23" s="83">
        <f t="shared" si="7"/>
        <v>2.0001729612196237E-2</v>
      </c>
      <c r="AU23" s="2">
        <f>ROUND(AQ23*(1+AU18),0)</f>
        <v>165124</v>
      </c>
      <c r="AV23" s="36" t="str">
        <f>TEXT(AU18,"0.0%")&amp;" = Est. S &amp; C"</f>
        <v>2.0% = Est. S &amp; C</v>
      </c>
      <c r="AX23" s="83">
        <f t="shared" si="8"/>
        <v>1.9997093093675058E-2</v>
      </c>
      <c r="AY23" s="2">
        <f>ROUND(AU23*(1+AY18),0)</f>
        <v>168426</v>
      </c>
      <c r="AZ23" s="36" t="str">
        <f>TEXT(AY18,"0.0%")&amp;" = Est. S &amp; C"</f>
        <v>2.0% = Est. S &amp; C</v>
      </c>
      <c r="BB23" s="83">
        <f t="shared" si="9"/>
        <v>2.0002849916283708E-2</v>
      </c>
      <c r="BC23" s="2">
        <f>ROUND(AY23*(1+BC18),0)</f>
        <v>171795</v>
      </c>
      <c r="BD23" s="36" t="str">
        <f>TEXT(BC18,"0.0%")&amp;" = Est. S &amp; C"</f>
        <v>2.0% = Est. S &amp; C</v>
      </c>
    </row>
    <row r="24" spans="1:56" x14ac:dyDescent="0.25">
      <c r="A24" s="12" t="s">
        <v>41</v>
      </c>
      <c r="B24" s="39" t="s">
        <v>40</v>
      </c>
      <c r="C24" s="3">
        <v>250203</v>
      </c>
      <c r="D24" s="30" t="s">
        <v>119</v>
      </c>
      <c r="E24" s="2">
        <v>0</v>
      </c>
      <c r="F24" s="36"/>
      <c r="G24" s="2">
        <v>0</v>
      </c>
      <c r="H24" s="36"/>
      <c r="I24" s="2">
        <v>0</v>
      </c>
      <c r="J24" s="36"/>
      <c r="K24" s="2">
        <v>0</v>
      </c>
      <c r="L24" s="36"/>
      <c r="M24" s="2">
        <v>0</v>
      </c>
      <c r="N24" s="36"/>
      <c r="O24" s="2">
        <v>0</v>
      </c>
      <c r="P24" s="36"/>
      <c r="Q24" s="2">
        <v>0</v>
      </c>
      <c r="R24" s="36"/>
      <c r="S24" s="2">
        <v>0</v>
      </c>
      <c r="T24" s="36"/>
      <c r="U24" s="2">
        <v>0</v>
      </c>
      <c r="V24" s="36"/>
      <c r="W24" s="2">
        <v>0</v>
      </c>
      <c r="X24" s="36"/>
      <c r="Y24" s="2">
        <v>0</v>
      </c>
      <c r="Z24" s="36"/>
      <c r="AA24" s="2">
        <v>0</v>
      </c>
      <c r="AB24" s="36"/>
      <c r="AC24" s="66"/>
      <c r="AD24" s="12" t="str">
        <f t="shared" si="0"/>
        <v>1204</v>
      </c>
      <c r="AE24" s="39" t="str">
        <f t="shared" si="1"/>
        <v>Counselor</v>
      </c>
      <c r="AF24" s="2">
        <f t="shared" si="10"/>
        <v>250203</v>
      </c>
      <c r="AG24" s="2"/>
      <c r="AH24" s="83">
        <f t="shared" si="2"/>
        <v>1.9999760194721886E-2</v>
      </c>
      <c r="AI24" s="2">
        <f t="shared" si="3"/>
        <v>255207</v>
      </c>
      <c r="AJ24" s="36" t="str">
        <f t="shared" si="4"/>
        <v>2.0% = Est. S &amp; C</v>
      </c>
      <c r="AK24" s="66"/>
      <c r="AL24" s="83">
        <f t="shared" si="5"/>
        <v>1.9999451425705406E-2</v>
      </c>
      <c r="AM24" s="2">
        <f>ROUND(AI24*(1+AM18),0)</f>
        <v>260311</v>
      </c>
      <c r="AN24" s="36" t="str">
        <f>TEXT(AM18,"0.0%")&amp;" = Est. S &amp; C"</f>
        <v>2.0% = Est. S &amp; C</v>
      </c>
      <c r="AP24" s="83">
        <f t="shared" si="6"/>
        <v>1.9999154857074805E-2</v>
      </c>
      <c r="AQ24" s="2">
        <f>ROUND(AM24*(1+AQ18),0)</f>
        <v>265517</v>
      </c>
      <c r="AR24" s="36" t="str">
        <f>TEXT(AQ18,"0.0%")&amp;" = Est. S &amp; C"</f>
        <v>2.0% = Est. S &amp; C</v>
      </c>
      <c r="AT24" s="83">
        <f t="shared" si="7"/>
        <v>1.999871947935537E-2</v>
      </c>
      <c r="AU24" s="2">
        <f>ROUND(AQ24*(1+AU18),0)</f>
        <v>270827</v>
      </c>
      <c r="AV24" s="36" t="str">
        <f>TEXT(AU18,"0.0%")&amp;" = Est. S &amp; C"</f>
        <v>2.0% = Est. S &amp; C</v>
      </c>
      <c r="AX24" s="83">
        <f t="shared" si="8"/>
        <v>2.000169850125726E-2</v>
      </c>
      <c r="AY24" s="2">
        <f>ROUND(AU24*(1+AY18),0)</f>
        <v>276244</v>
      </c>
      <c r="AZ24" s="36" t="str">
        <f>TEXT(AY18,"0.0%")&amp;" = Est. S &amp; C"</f>
        <v>2.0% = Est. S &amp; C</v>
      </c>
      <c r="BB24" s="83">
        <f t="shared" si="9"/>
        <v>2.0000434398575174E-2</v>
      </c>
      <c r="BC24" s="2">
        <f>ROUND(AY24*(1+BC18),0)</f>
        <v>281769</v>
      </c>
      <c r="BD24" s="36" t="str">
        <f>TEXT(BC18,"0.0%")&amp;" = Est. S &amp; C"</f>
        <v>2.0% = Est. S &amp; C</v>
      </c>
    </row>
    <row r="25" spans="1:56" x14ac:dyDescent="0.25">
      <c r="A25" s="12" t="s">
        <v>67</v>
      </c>
      <c r="B25" s="39" t="s">
        <v>68</v>
      </c>
      <c r="C25" s="3">
        <v>0</v>
      </c>
      <c r="D25" s="30"/>
      <c r="E25" s="2">
        <v>1219</v>
      </c>
      <c r="F25" s="36"/>
      <c r="G25" s="2">
        <v>0</v>
      </c>
      <c r="H25" s="36"/>
      <c r="I25" s="2">
        <v>457</v>
      </c>
      <c r="J25" s="36"/>
      <c r="K25" s="2">
        <v>0</v>
      </c>
      <c r="L25" s="36"/>
      <c r="M25" s="2">
        <v>0</v>
      </c>
      <c r="N25" s="36"/>
      <c r="O25" s="2">
        <v>1016</v>
      </c>
      <c r="P25" s="36"/>
      <c r="Q25" s="2">
        <v>863</v>
      </c>
      <c r="R25" s="36"/>
      <c r="S25" s="2">
        <v>0</v>
      </c>
      <c r="T25" s="36"/>
      <c r="U25" s="2">
        <v>0</v>
      </c>
      <c r="V25" s="36"/>
      <c r="W25" s="2">
        <v>609</v>
      </c>
      <c r="X25" s="36"/>
      <c r="Y25" s="2">
        <v>0</v>
      </c>
      <c r="Z25" s="36"/>
      <c r="AA25" s="2">
        <v>1016</v>
      </c>
      <c r="AB25" s="36"/>
      <c r="AC25" s="66"/>
      <c r="AD25" s="12" t="str">
        <f t="shared" si="0"/>
        <v>1208</v>
      </c>
      <c r="AE25" s="39" t="str">
        <f t="shared" si="1"/>
        <v>Parent Instruction</v>
      </c>
      <c r="AF25" s="2">
        <f t="shared" si="10"/>
        <v>5180</v>
      </c>
      <c r="AG25" s="2"/>
      <c r="AH25" s="83">
        <f t="shared" si="2"/>
        <v>2.0077220077220077E-2</v>
      </c>
      <c r="AI25" s="2">
        <f t="shared" si="3"/>
        <v>5284</v>
      </c>
      <c r="AJ25" s="36" t="str">
        <f t="shared" si="4"/>
        <v>2.0% = Est. S &amp; C</v>
      </c>
      <c r="AK25" s="66"/>
      <c r="AL25" s="83">
        <f t="shared" si="5"/>
        <v>2.0060560181680544E-2</v>
      </c>
      <c r="AM25" s="2">
        <f>ROUND(AI25*(1+AM18),0)</f>
        <v>5390</v>
      </c>
      <c r="AN25" s="36" t="str">
        <f>TEXT(AM18,"0.0%")&amp;" = Est. S &amp; C"</f>
        <v>2.0% = Est. S &amp; C</v>
      </c>
      <c r="AP25" s="83">
        <f t="shared" si="6"/>
        <v>2.0037105751391466E-2</v>
      </c>
      <c r="AQ25" s="2">
        <f>ROUND(AM25*(1+AQ18),0)</f>
        <v>5498</v>
      </c>
      <c r="AR25" s="36" t="str">
        <f>TEXT(AQ18,"0.0%")&amp;" = Est. S &amp; C"</f>
        <v>2.0% = Est. S &amp; C</v>
      </c>
      <c r="AT25" s="83">
        <f t="shared" si="7"/>
        <v>2.000727537286286E-2</v>
      </c>
      <c r="AU25" s="2">
        <f>ROUND(AQ25*(1+AU18),0)</f>
        <v>5608</v>
      </c>
      <c r="AV25" s="36" t="str">
        <f>TEXT(AU18,"0.0%")&amp;" = Est. S &amp; C"</f>
        <v>2.0% = Est. S &amp; C</v>
      </c>
      <c r="AX25" s="83">
        <f t="shared" si="8"/>
        <v>1.9971469329529243E-2</v>
      </c>
      <c r="AY25" s="2">
        <f>ROUND(AU25*(1+AY18),0)</f>
        <v>5720</v>
      </c>
      <c r="AZ25" s="36" t="str">
        <f>TEXT(AY18,"0.0%")&amp;" = Est. S &amp; C"</f>
        <v>2.0% = Est. S &amp; C</v>
      </c>
      <c r="BB25" s="83">
        <f t="shared" si="9"/>
        <v>1.9930069930069929E-2</v>
      </c>
      <c r="BC25" s="2">
        <f>ROUND(AY25*(1+BC18),0)</f>
        <v>5834</v>
      </c>
      <c r="BD25" s="36" t="str">
        <f>TEXT(BC18,"0.0%")&amp;" = Est. S &amp; C"</f>
        <v>2.0% = Est. S &amp; C</v>
      </c>
    </row>
    <row r="26" spans="1:56" x14ac:dyDescent="0.25">
      <c r="A26" s="12" t="s">
        <v>39</v>
      </c>
      <c r="B26" s="39" t="s">
        <v>38</v>
      </c>
      <c r="C26" s="3">
        <v>60345</v>
      </c>
      <c r="D26" s="30" t="s">
        <v>116</v>
      </c>
      <c r="E26" s="2">
        <v>0</v>
      </c>
      <c r="F26" s="36"/>
      <c r="G26" s="2">
        <v>0</v>
      </c>
      <c r="H26" s="36"/>
      <c r="I26" s="2">
        <v>0</v>
      </c>
      <c r="J26" s="36"/>
      <c r="K26" s="2">
        <v>0</v>
      </c>
      <c r="L26" s="36"/>
      <c r="M26" s="2">
        <v>0</v>
      </c>
      <c r="N26" s="36"/>
      <c r="O26" s="2">
        <v>0</v>
      </c>
      <c r="P26" s="36"/>
      <c r="Q26" s="2">
        <v>0</v>
      </c>
      <c r="R26" s="36"/>
      <c r="S26" s="2">
        <v>0</v>
      </c>
      <c r="T26" s="36"/>
      <c r="U26" s="2">
        <v>0</v>
      </c>
      <c r="V26" s="36"/>
      <c r="W26" s="2">
        <v>0</v>
      </c>
      <c r="X26" s="36"/>
      <c r="Y26" s="2">
        <v>0</v>
      </c>
      <c r="Z26" s="36"/>
      <c r="AA26" s="2">
        <v>0</v>
      </c>
      <c r="AB26" s="36"/>
      <c r="AC26" s="66"/>
      <c r="AD26" s="12" t="str">
        <f t="shared" si="0"/>
        <v>1305</v>
      </c>
      <c r="AE26" s="39" t="str">
        <f t="shared" si="1"/>
        <v>Director</v>
      </c>
      <c r="AF26" s="2">
        <f t="shared" si="10"/>
        <v>60345</v>
      </c>
      <c r="AG26" s="2"/>
      <c r="AH26" s="83">
        <f t="shared" si="2"/>
        <v>2.0001657138122464E-2</v>
      </c>
      <c r="AI26" s="2">
        <f t="shared" si="3"/>
        <v>61552</v>
      </c>
      <c r="AJ26" s="36" t="str">
        <f t="shared" si="4"/>
        <v>2.0% = Est. S &amp; C</v>
      </c>
      <c r="AK26" s="66"/>
      <c r="AL26" s="83">
        <f t="shared" si="5"/>
        <v>1.9999350142968546E-2</v>
      </c>
      <c r="AM26" s="2">
        <f>ROUND(AI26*(1+AM18),0)</f>
        <v>62783</v>
      </c>
      <c r="AN26" s="36" t="str">
        <f>TEXT(AM18,"0.0%")&amp;" = Est. S &amp; C"</f>
        <v>2.0% = Est. S &amp; C</v>
      </c>
      <c r="AP26" s="83">
        <f t="shared" si="6"/>
        <v>2.0005415478712391E-2</v>
      </c>
      <c r="AQ26" s="2">
        <f>ROUND(AM26*(1+AQ18),0)</f>
        <v>64039</v>
      </c>
      <c r="AR26" s="36" t="str">
        <f>TEXT(AQ18,"0.0%")&amp;" = Est. S &amp; C"</f>
        <v>2.0% = Est. S &amp; C</v>
      </c>
      <c r="AT26" s="83">
        <f t="shared" si="7"/>
        <v>2.0003435406549135E-2</v>
      </c>
      <c r="AU26" s="2">
        <f>ROUND(AQ26*(1+AU18),0)</f>
        <v>65320</v>
      </c>
      <c r="AV26" s="36" t="str">
        <f>TEXT(AU18,"0.0%")&amp;" = Est. S &amp; C"</f>
        <v>2.0% = Est. S &amp; C</v>
      </c>
      <c r="AX26" s="83">
        <f t="shared" si="8"/>
        <v>1.9993876301285976E-2</v>
      </c>
      <c r="AY26" s="2">
        <f>ROUND(AU26*(1+AY18),0)</f>
        <v>66626</v>
      </c>
      <c r="AZ26" s="36" t="str">
        <f>TEXT(AY18,"0.0%")&amp;" = Est. S &amp; C"</f>
        <v>2.0% = Est. S &amp; C</v>
      </c>
      <c r="BB26" s="83">
        <f t="shared" si="9"/>
        <v>2.0007204394680754E-2</v>
      </c>
      <c r="BC26" s="2">
        <f>ROUND(AY26*(1+BC18),0)</f>
        <v>67959</v>
      </c>
      <c r="BD26" s="36" t="str">
        <f>TEXT(BC18,"0.0%")&amp;" = Est. S &amp; C"</f>
        <v>2.0% = Est. S &amp; C</v>
      </c>
    </row>
    <row r="27" spans="1:56" x14ac:dyDescent="0.25">
      <c r="A27" s="12" t="s">
        <v>37</v>
      </c>
      <c r="B27" s="39" t="s">
        <v>36</v>
      </c>
      <c r="C27" s="25">
        <v>578217</v>
      </c>
      <c r="D27" s="50"/>
      <c r="E27" s="36">
        <v>0</v>
      </c>
      <c r="F27" s="36"/>
      <c r="G27" s="36">
        <v>0</v>
      </c>
      <c r="H27" s="36"/>
      <c r="I27" s="36">
        <v>0</v>
      </c>
      <c r="J27" s="36"/>
      <c r="K27" s="36">
        <v>0</v>
      </c>
      <c r="L27" s="36"/>
      <c r="M27" s="36">
        <v>0</v>
      </c>
      <c r="N27" s="36"/>
      <c r="O27" s="36">
        <v>0</v>
      </c>
      <c r="P27" s="36"/>
      <c r="Q27" s="36">
        <v>0</v>
      </c>
      <c r="R27" s="36"/>
      <c r="S27" s="36">
        <v>0</v>
      </c>
      <c r="T27" s="36"/>
      <c r="U27" s="36">
        <v>0</v>
      </c>
      <c r="V27" s="36"/>
      <c r="W27" s="36">
        <v>0</v>
      </c>
      <c r="X27" s="36"/>
      <c r="Y27" s="36">
        <v>0</v>
      </c>
      <c r="Z27" s="36"/>
      <c r="AA27" s="36">
        <v>0</v>
      </c>
      <c r="AB27" s="36"/>
      <c r="AC27" s="66"/>
      <c r="AD27" s="12" t="str">
        <f t="shared" si="0"/>
        <v>1901</v>
      </c>
      <c r="AE27" s="39" t="str">
        <f t="shared" si="1"/>
        <v>Inst. Coaches</v>
      </c>
      <c r="AF27" s="2">
        <f t="shared" si="10"/>
        <v>578217</v>
      </c>
      <c r="AG27" s="2"/>
      <c r="AH27" s="83">
        <f t="shared" si="2"/>
        <v>1.9999411985465666E-2</v>
      </c>
      <c r="AI27" s="2">
        <f t="shared" si="3"/>
        <v>589781</v>
      </c>
      <c r="AJ27" s="36" t="str">
        <f>TEXT($AI$18,"0.0%")&amp;" = Est. S &amp; C"</f>
        <v>2.0% = Est. S &amp; C</v>
      </c>
      <c r="AK27" s="66"/>
      <c r="AL27" s="83">
        <f t="shared" si="5"/>
        <v>2.0000644306954616E-2</v>
      </c>
      <c r="AM27" s="2">
        <f>ROUND(AI27*(1+AM18),0)</f>
        <v>601577</v>
      </c>
      <c r="AN27" s="36" t="str">
        <f>TEXT(AM18,"0.0%")&amp;" = Est. S &amp; C"</f>
        <v>2.0% = Est. S &amp; C</v>
      </c>
      <c r="AP27" s="83">
        <f t="shared" si="6"/>
        <v>2.0000764656893464E-2</v>
      </c>
      <c r="AQ27" s="2">
        <f>ROUND(AM27*(1+AQ18),0)</f>
        <v>613609</v>
      </c>
      <c r="AR27" s="36" t="str">
        <f>TEXT(AQ18,"0.0%")&amp;" = Est. S &amp; C"</f>
        <v>2.0% = Est. S &amp; C</v>
      </c>
      <c r="AT27" s="83">
        <f t="shared" si="7"/>
        <v>1.9999706653585591E-2</v>
      </c>
      <c r="AU27" s="2">
        <f>ROUND(AQ27*(1+AU18),0)</f>
        <v>625881</v>
      </c>
      <c r="AV27" s="36" t="str">
        <f>TEXT(AU18,"0.0%")&amp;" = Est. S &amp; C"</f>
        <v>2.0% = Est. S &amp; C</v>
      </c>
      <c r="AX27" s="83">
        <f t="shared" si="8"/>
        <v>2.0000607144169579E-2</v>
      </c>
      <c r="AY27" s="2">
        <f>ROUND(AU27*(1+AY18),0)</f>
        <v>638399</v>
      </c>
      <c r="AZ27" s="36" t="str">
        <f>TEXT(AY18,"0.0%")&amp;" = Est. S &amp; C"</f>
        <v>2.0% = Est. S &amp; C</v>
      </c>
      <c r="BB27" s="83">
        <f t="shared" si="9"/>
        <v>2.0000031328369874E-2</v>
      </c>
      <c r="BC27" s="2">
        <f>ROUND(AY27*(1+BC18),0)</f>
        <v>651167</v>
      </c>
      <c r="BD27" s="36" t="str">
        <f>TEXT(BC18,"0.0%")&amp;" = Est. S &amp; C"</f>
        <v>2.0% = Est. S &amp; C</v>
      </c>
    </row>
    <row r="28" spans="1:56" ht="6" customHeight="1" x14ac:dyDescent="0.25">
      <c r="A28" s="12"/>
      <c r="C28" s="25"/>
      <c r="D28" s="30"/>
      <c r="E28" s="36"/>
      <c r="F28" s="36"/>
      <c r="G28" s="36"/>
      <c r="H28" s="36"/>
      <c r="I28" s="36"/>
      <c r="J28" s="36"/>
      <c r="K28" s="36"/>
      <c r="L28" s="36"/>
      <c r="M28" s="36"/>
      <c r="N28" s="36"/>
      <c r="O28" s="36"/>
      <c r="P28" s="36"/>
      <c r="Q28" s="36"/>
      <c r="R28" s="36"/>
      <c r="S28" s="36"/>
      <c r="T28" s="36"/>
      <c r="U28" s="36"/>
      <c r="V28" s="36"/>
      <c r="W28" s="36"/>
      <c r="X28" s="36"/>
      <c r="Y28" s="36"/>
      <c r="Z28" s="36"/>
      <c r="AA28" s="36"/>
      <c r="AB28" s="36"/>
      <c r="AC28" s="66"/>
      <c r="AD28" s="12"/>
      <c r="AF28" s="2"/>
      <c r="AG28" s="2"/>
      <c r="AH28" s="83"/>
      <c r="AI28" s="2"/>
      <c r="AJ28" s="36"/>
      <c r="AK28" s="66"/>
      <c r="AM28" s="2"/>
      <c r="AN28" s="73"/>
      <c r="AQ28" s="2"/>
      <c r="AR28" s="73"/>
      <c r="AU28" s="2"/>
      <c r="AV28" s="73"/>
      <c r="AY28" s="2"/>
      <c r="AZ28" s="73"/>
      <c r="BC28" s="2"/>
      <c r="BD28" s="73"/>
    </row>
    <row r="29" spans="1:56" x14ac:dyDescent="0.25">
      <c r="A29" s="12"/>
      <c r="C29" s="8">
        <f>SUM(C21:C28)</f>
        <v>967375</v>
      </c>
      <c r="D29" s="33"/>
      <c r="E29" s="8">
        <f>SUM(E21:E28)</f>
        <v>16869</v>
      </c>
      <c r="F29" s="5"/>
      <c r="G29" s="8">
        <f>SUM(G21:G28)</f>
        <v>5175</v>
      </c>
      <c r="H29" s="5"/>
      <c r="I29" s="8">
        <f>SUM(I21:I28)</f>
        <v>20370</v>
      </c>
      <c r="J29" s="5"/>
      <c r="K29" s="8">
        <f>SUM(K21:K28)</f>
        <v>13329</v>
      </c>
      <c r="L29" s="5"/>
      <c r="M29" s="8">
        <f>SUM(M21:M28)</f>
        <v>12960</v>
      </c>
      <c r="N29" s="5"/>
      <c r="O29" s="8">
        <f>SUM(O21:O28)</f>
        <v>5807</v>
      </c>
      <c r="P29" s="5"/>
      <c r="Q29" s="8">
        <f>SUM(Q21:Q28)</f>
        <v>9510</v>
      </c>
      <c r="R29" s="5"/>
      <c r="S29" s="8">
        <f>SUM(S21:S28)</f>
        <v>14948</v>
      </c>
      <c r="T29" s="5"/>
      <c r="U29" s="8">
        <f>SUM(U21:U28)</f>
        <v>10885</v>
      </c>
      <c r="V29" s="5"/>
      <c r="W29" s="8">
        <f>SUM(W21:W28)</f>
        <v>8581</v>
      </c>
      <c r="X29" s="5"/>
      <c r="Y29" s="8">
        <f>SUM(Y21:Y28)</f>
        <v>14100</v>
      </c>
      <c r="Z29" s="5"/>
      <c r="AA29" s="8">
        <f>SUM(AA21:AA28)</f>
        <v>19794</v>
      </c>
      <c r="AB29" s="5"/>
      <c r="AC29" s="29"/>
      <c r="AD29" s="12"/>
      <c r="AF29" s="8">
        <f>SUM(AF21:AF28)</f>
        <v>1119703</v>
      </c>
      <c r="AG29" s="2"/>
      <c r="AH29" s="83">
        <f t="shared" si="2"/>
        <v>1.9999946414361664E-2</v>
      </c>
      <c r="AI29" s="8">
        <f>SUM(AI21:AI28)</f>
        <v>1142097</v>
      </c>
      <c r="AJ29" s="5"/>
      <c r="AK29" s="29"/>
      <c r="AL29" s="83">
        <f>IF(AI29=0,"0.00%",(AM29-AI29)/AI29)</f>
        <v>2.0000928117314028E-2</v>
      </c>
      <c r="AM29" s="8">
        <f>SUM(AM21:AM28)</f>
        <v>1164940</v>
      </c>
      <c r="AN29" s="73"/>
      <c r="AP29" s="83">
        <f>IF(AM29=0,"0.00%",(AQ29-AM29)/AM29)</f>
        <v>2.0000171682661768E-2</v>
      </c>
      <c r="AQ29" s="8">
        <f>SUM(AQ21:AQ28)</f>
        <v>1188239</v>
      </c>
      <c r="AR29" s="73"/>
      <c r="AT29" s="83">
        <f>IF(AQ29=0,"0.00%",(AU29-AQ29)/AQ29)</f>
        <v>1.9999343566403729E-2</v>
      </c>
      <c r="AU29" s="8">
        <f>SUM(AU21:AU28)</f>
        <v>1212003</v>
      </c>
      <c r="AV29" s="73"/>
      <c r="AX29" s="83">
        <f>IF(AU29=0,"0.00%",(AY29-AU29)/AU29)</f>
        <v>1.9999950495172041E-2</v>
      </c>
      <c r="AY29" s="8">
        <f>SUM(AY21:AY28)</f>
        <v>1236243</v>
      </c>
      <c r="AZ29" s="73"/>
      <c r="BB29" s="83">
        <f>IF(AY29=0,"0.00%",(BC29-AY29)/AY29)</f>
        <v>2.0000113246343963E-2</v>
      </c>
      <c r="BC29" s="8">
        <f>SUM(BC21:BC28)</f>
        <v>1260968</v>
      </c>
      <c r="BD29" s="73"/>
    </row>
    <row r="30" spans="1:56" x14ac:dyDescent="0.25">
      <c r="C30" s="3"/>
      <c r="D30" s="30"/>
      <c r="E30" s="2"/>
      <c r="F30" s="36"/>
      <c r="G30" s="2"/>
      <c r="H30" s="36"/>
      <c r="J30" s="36"/>
      <c r="K30" s="2"/>
      <c r="L30" s="36"/>
      <c r="M30" s="2"/>
      <c r="N30" s="36"/>
      <c r="O30" s="2"/>
      <c r="P30" s="36"/>
      <c r="Q30" s="2"/>
      <c r="R30" s="36"/>
      <c r="S30" s="2"/>
      <c r="T30" s="36"/>
      <c r="U30" s="2"/>
      <c r="V30" s="36"/>
      <c r="W30" s="2"/>
      <c r="X30" s="36"/>
      <c r="Y30" s="2"/>
      <c r="Z30" s="36"/>
      <c r="AA30" s="2"/>
      <c r="AB30" s="36"/>
      <c r="AC30" s="66"/>
      <c r="AF30" s="2"/>
      <c r="AG30" s="2"/>
      <c r="AI30" s="2"/>
      <c r="AJ30" s="36"/>
      <c r="AK30" s="66"/>
      <c r="AM30" s="2"/>
      <c r="AN30" s="73"/>
      <c r="AQ30" s="2"/>
      <c r="AR30" s="73"/>
      <c r="AU30" s="2"/>
      <c r="AV30" s="73"/>
      <c r="AY30" s="2"/>
      <c r="AZ30" s="73"/>
      <c r="BC30" s="2"/>
      <c r="BD30" s="73"/>
    </row>
    <row r="31" spans="1:56" s="4" customFormat="1" x14ac:dyDescent="0.25">
      <c r="A31" s="22" t="s">
        <v>35</v>
      </c>
      <c r="D31" s="7"/>
      <c r="AC31" s="58"/>
      <c r="AD31" s="22" t="str">
        <f t="shared" ref="AD31:AD38" si="11">A31</f>
        <v>Classified</v>
      </c>
      <c r="AF31" s="6"/>
      <c r="AG31" s="6"/>
      <c r="AH31" s="26"/>
      <c r="AI31" s="6"/>
      <c r="AJ31" s="6"/>
      <c r="AK31" s="57"/>
      <c r="AM31" s="6"/>
      <c r="AN31" s="71"/>
      <c r="AQ31" s="6"/>
      <c r="AR31" s="71"/>
      <c r="AU31" s="6"/>
      <c r="AV31" s="71"/>
      <c r="AY31" s="6"/>
      <c r="AZ31" s="71"/>
      <c r="BC31" s="6"/>
      <c r="BD31" s="71"/>
    </row>
    <row r="32" spans="1:56" x14ac:dyDescent="0.25">
      <c r="A32" s="12" t="s">
        <v>69</v>
      </c>
      <c r="B32" s="39" t="s">
        <v>70</v>
      </c>
      <c r="C32" s="3">
        <v>0</v>
      </c>
      <c r="D32" s="30"/>
      <c r="E32" s="2">
        <v>0</v>
      </c>
      <c r="F32" s="36"/>
      <c r="G32" s="2">
        <v>16243</v>
      </c>
      <c r="H32" s="36"/>
      <c r="I32" s="2">
        <v>28486</v>
      </c>
      <c r="J32" s="36"/>
      <c r="K32" s="2">
        <v>0</v>
      </c>
      <c r="L32" s="36"/>
      <c r="M32" s="2">
        <v>0</v>
      </c>
      <c r="N32" s="36"/>
      <c r="O32" s="2">
        <v>0</v>
      </c>
      <c r="P32" s="36"/>
      <c r="Q32" s="2">
        <v>0</v>
      </c>
      <c r="R32" s="36"/>
      <c r="S32" s="2">
        <v>25204</v>
      </c>
      <c r="T32" s="36"/>
      <c r="U32" s="2">
        <v>0</v>
      </c>
      <c r="V32" s="36"/>
      <c r="W32" s="2">
        <v>27270</v>
      </c>
      <c r="X32" s="36"/>
      <c r="Y32" s="2">
        <v>0</v>
      </c>
      <c r="Z32" s="36"/>
      <c r="AA32" s="2">
        <v>0</v>
      </c>
      <c r="AB32" s="36"/>
      <c r="AC32" s="66"/>
      <c r="AD32" s="12" t="str">
        <f t="shared" si="11"/>
        <v>2101</v>
      </c>
      <c r="AE32" s="39" t="str">
        <f t="shared" ref="AE32:AE38" si="12">B32</f>
        <v>Para Lrning Asstnt</v>
      </c>
      <c r="AF32" s="2">
        <f>SUM(C32,E32,G32,I32,K32,M32,O32,Q32,S32,U32,W32,Y32,AA32)</f>
        <v>97203</v>
      </c>
      <c r="AG32" s="2"/>
      <c r="AH32" s="83">
        <f t="shared" ref="AH32:AH38" si="13">IF(AF32=0,"0.00%",(AI32-AF32)/AF32)</f>
        <v>1.9999382735100768E-2</v>
      </c>
      <c r="AI32" s="2">
        <f t="shared" ref="AI32:AI38" si="14">ROUND(AF32*(1+$AI$18),0)</f>
        <v>99147</v>
      </c>
      <c r="AJ32" s="36" t="str">
        <f t="shared" ref="AJ32:AJ38" si="15">TEXT($AI$18,"0.0%")&amp;" = Est. S &amp; C"</f>
        <v>2.0% = Est. S &amp; C</v>
      </c>
      <c r="AK32" s="66"/>
      <c r="AL32" s="83">
        <f t="shared" ref="AL32:AL38" si="16">IF(AI32=0,"0.00%",(AM32-AI32)/AI32)</f>
        <v>2.0000605162032135E-2</v>
      </c>
      <c r="AM32" s="2">
        <f>ROUND(AI32*(1+AM18),0)</f>
        <v>101130</v>
      </c>
      <c r="AN32" s="36" t="str">
        <f>TEXT(AM18,"0.0%")&amp;" = Est. S &amp; C"</f>
        <v>2.0% = Est. S &amp; C</v>
      </c>
      <c r="AP32" s="83">
        <f t="shared" ref="AP32:AP38" si="17">IF(AM32=0,"0.00%",(AQ32-AM32)/AM32)</f>
        <v>2.0003955305052903E-2</v>
      </c>
      <c r="AQ32" s="2">
        <f>ROUND(AM32*(1+AQ18),0)</f>
        <v>103153</v>
      </c>
      <c r="AR32" s="36" t="str">
        <f>TEXT(AQ18,"0.0%")&amp;" = Est. S &amp; C"</f>
        <v>2.0% = Est. S &amp; C</v>
      </c>
      <c r="AT32" s="83">
        <f t="shared" ref="AT32:AT38" si="18">IF(AQ32=0,"0.00%",(AU32-AQ32)/AQ32)</f>
        <v>1.9999418339747752E-2</v>
      </c>
      <c r="AU32" s="2">
        <f>ROUND(AQ32*(1+AU18),0)</f>
        <v>105216</v>
      </c>
      <c r="AV32" s="36" t="str">
        <f>TEXT(AU18,"0.0%")&amp;" = Est. S &amp; C"</f>
        <v>2.0% = Est. S &amp; C</v>
      </c>
      <c r="AX32" s="83">
        <f t="shared" ref="AX32:AX38" si="19">IF(AU32=0,"0.00%",(AY32-AU32)/AU32)</f>
        <v>1.9996958637469586E-2</v>
      </c>
      <c r="AY32" s="2">
        <f>ROUND(AU32*(1+AY18),0)</f>
        <v>107320</v>
      </c>
      <c r="AZ32" s="36" t="str">
        <f>TEXT(AY18,"0.0%")&amp;" = Est. S &amp; C"</f>
        <v>2.0% = Est. S &amp; C</v>
      </c>
      <c r="BB32" s="83">
        <f t="shared" ref="BB32:BB38" si="20">IF(AY32=0,"0.00%",(BC32-AY32)/AY32)</f>
        <v>1.9996272828922846E-2</v>
      </c>
      <c r="BC32" s="2">
        <f>ROUND(AY32*(1+BC18),0)</f>
        <v>109466</v>
      </c>
      <c r="BD32" s="36" t="str">
        <f>TEXT(BC18,"0.0%")&amp;" = Est. S &amp; C"</f>
        <v>2.0% = Est. S &amp; C</v>
      </c>
    </row>
    <row r="33" spans="1:56" x14ac:dyDescent="0.25">
      <c r="A33" s="12" t="s">
        <v>34</v>
      </c>
      <c r="B33" s="39" t="s">
        <v>33</v>
      </c>
      <c r="C33" s="3">
        <v>0</v>
      </c>
      <c r="D33" s="30"/>
      <c r="E33" s="2">
        <v>0</v>
      </c>
      <c r="F33" s="36"/>
      <c r="G33" s="2">
        <v>0</v>
      </c>
      <c r="H33" s="36"/>
      <c r="I33" s="2">
        <v>0</v>
      </c>
      <c r="J33" s="36"/>
      <c r="K33" s="2">
        <v>0</v>
      </c>
      <c r="L33" s="36"/>
      <c r="M33" s="2">
        <v>0</v>
      </c>
      <c r="N33" s="36"/>
      <c r="O33" s="2">
        <v>0</v>
      </c>
      <c r="P33" s="36"/>
      <c r="Q33" s="2">
        <v>0</v>
      </c>
      <c r="R33" s="36"/>
      <c r="S33" s="2">
        <v>0</v>
      </c>
      <c r="T33" s="36"/>
      <c r="U33" s="2">
        <v>0</v>
      </c>
      <c r="V33" s="36"/>
      <c r="W33" s="2">
        <v>0</v>
      </c>
      <c r="X33" s="36"/>
      <c r="Y33" s="2">
        <v>0</v>
      </c>
      <c r="Z33" s="36"/>
      <c r="AA33" s="2">
        <v>0</v>
      </c>
      <c r="AB33" s="36"/>
      <c r="AC33" s="66"/>
      <c r="AD33" s="12" t="str">
        <f t="shared" si="11"/>
        <v>2273</v>
      </c>
      <c r="AE33" s="39" t="str">
        <f t="shared" si="12"/>
        <v>Extra Clss Support</v>
      </c>
      <c r="AF33" s="2">
        <f t="shared" ref="AF33:AF38" si="21">SUM(C33,E33,G33,I33,K33,M33,O33,Q33,S33,U33,W33,Y33,AA33)</f>
        <v>0</v>
      </c>
      <c r="AG33" s="2"/>
      <c r="AH33" s="83" t="str">
        <f t="shared" si="13"/>
        <v>0.00%</v>
      </c>
      <c r="AI33" s="2">
        <f t="shared" si="14"/>
        <v>0</v>
      </c>
      <c r="AJ33" s="36" t="str">
        <f t="shared" si="15"/>
        <v>2.0% = Est. S &amp; C</v>
      </c>
      <c r="AK33" s="66"/>
      <c r="AL33" s="83" t="str">
        <f t="shared" si="16"/>
        <v>0.00%</v>
      </c>
      <c r="AM33" s="2">
        <f>ROUND(AI33*(1+AM18),0)</f>
        <v>0</v>
      </c>
      <c r="AN33" s="36" t="str">
        <f>TEXT(AM18,"0.0%")&amp;" = Est. S &amp; C"</f>
        <v>2.0% = Est. S &amp; C</v>
      </c>
      <c r="AP33" s="83" t="str">
        <f t="shared" si="17"/>
        <v>0.00%</v>
      </c>
      <c r="AQ33" s="2">
        <f>ROUND(AM33*(1+AQ18),0)</f>
        <v>0</v>
      </c>
      <c r="AR33" s="36" t="str">
        <f>TEXT(AQ18,"0.0%")&amp;" = Est. S &amp; C"</f>
        <v>2.0% = Est. S &amp; C</v>
      </c>
      <c r="AT33" s="83" t="str">
        <f t="shared" si="18"/>
        <v>0.00%</v>
      </c>
      <c r="AU33" s="2">
        <f>ROUND(AQ33*(1+AU18),0)</f>
        <v>0</v>
      </c>
      <c r="AV33" s="36" t="str">
        <f>TEXT(AU18,"0.0%")&amp;" = Est. S &amp; C"</f>
        <v>2.0% = Est. S &amp; C</v>
      </c>
      <c r="AX33" s="83" t="str">
        <f t="shared" si="19"/>
        <v>0.00%</v>
      </c>
      <c r="AY33" s="2">
        <f>ROUND(AU33*(1+AY18),0)</f>
        <v>0</v>
      </c>
      <c r="AZ33" s="36" t="str">
        <f>TEXT(AY18,"0.0%")&amp;" = Est. S &amp; C"</f>
        <v>2.0% = Est. S &amp; C</v>
      </c>
      <c r="BB33" s="83" t="str">
        <f t="shared" si="20"/>
        <v>0.00%</v>
      </c>
      <c r="BC33" s="2">
        <f>ROUND(AY33*(1+BC18),0)</f>
        <v>0</v>
      </c>
      <c r="BD33" s="36" t="str">
        <f>TEXT(BC18,"0.0%")&amp;" = Est. S &amp; C"</f>
        <v>2.0% = Est. S &amp; C</v>
      </c>
    </row>
    <row r="34" spans="1:56" x14ac:dyDescent="0.25">
      <c r="A34" s="12" t="s">
        <v>32</v>
      </c>
      <c r="B34" s="39" t="s">
        <v>31</v>
      </c>
      <c r="C34" s="3">
        <v>18222</v>
      </c>
      <c r="D34" s="30" t="s">
        <v>115</v>
      </c>
      <c r="E34" s="2">
        <v>0</v>
      </c>
      <c r="F34" s="36"/>
      <c r="G34" s="2">
        <v>0</v>
      </c>
      <c r="H34" s="36"/>
      <c r="I34" s="2">
        <v>0</v>
      </c>
      <c r="J34" s="36"/>
      <c r="K34" s="2">
        <v>0</v>
      </c>
      <c r="L34" s="36"/>
      <c r="M34" s="2">
        <v>0</v>
      </c>
      <c r="N34" s="36"/>
      <c r="O34" s="2">
        <v>0</v>
      </c>
      <c r="P34" s="36"/>
      <c r="Q34" s="2">
        <v>0</v>
      </c>
      <c r="R34" s="36"/>
      <c r="S34" s="2">
        <v>0</v>
      </c>
      <c r="T34" s="36"/>
      <c r="U34" s="2">
        <v>0</v>
      </c>
      <c r="V34" s="36"/>
      <c r="W34" s="2">
        <v>0</v>
      </c>
      <c r="X34" s="36"/>
      <c r="Y34" s="2">
        <v>0</v>
      </c>
      <c r="Z34" s="36"/>
      <c r="AA34" s="2">
        <v>0</v>
      </c>
      <c r="AB34" s="36"/>
      <c r="AC34" s="66"/>
      <c r="AD34" s="12" t="str">
        <f t="shared" si="11"/>
        <v>2404</v>
      </c>
      <c r="AE34" s="39" t="str">
        <f t="shared" si="12"/>
        <v>Secretary</v>
      </c>
      <c r="AF34" s="2">
        <f t="shared" si="21"/>
        <v>18222</v>
      </c>
      <c r="AG34" s="2"/>
      <c r="AH34" s="83">
        <f t="shared" si="13"/>
        <v>1.9975853364065415E-2</v>
      </c>
      <c r="AI34" s="2">
        <f t="shared" si="14"/>
        <v>18586</v>
      </c>
      <c r="AJ34" s="36" t="str">
        <f t="shared" si="15"/>
        <v>2.0% = Est. S &amp; C</v>
      </c>
      <c r="AK34" s="66"/>
      <c r="AL34" s="83">
        <f t="shared" si="16"/>
        <v>2.0015065102765524E-2</v>
      </c>
      <c r="AM34" s="2">
        <f>ROUND(AI34*(1+AM18),0)</f>
        <v>18958</v>
      </c>
      <c r="AN34" s="36" t="str">
        <f>TEXT(AM18,"0.0%")&amp;" = Est. S &amp; C"</f>
        <v>2.0% = Est. S &amp; C</v>
      </c>
      <c r="AP34" s="83">
        <f t="shared" si="17"/>
        <v>1.9991560291169955E-2</v>
      </c>
      <c r="AQ34" s="2">
        <f>ROUND(AM34*(1+AQ18),0)</f>
        <v>19337</v>
      </c>
      <c r="AR34" s="36" t="str">
        <f>TEXT(AQ18,"0.0%")&amp;" = Est. S &amp; C"</f>
        <v>2.0% = Est. S &amp; C</v>
      </c>
      <c r="AT34" s="83">
        <f t="shared" si="18"/>
        <v>2.0013445725810621E-2</v>
      </c>
      <c r="AU34" s="2">
        <f>ROUND(AQ34*(1+AU18),0)</f>
        <v>19724</v>
      </c>
      <c r="AV34" s="36" t="str">
        <f>TEXT(AU18,"0.0%")&amp;" = Est. S &amp; C"</f>
        <v>2.0% = Est. S &amp; C</v>
      </c>
      <c r="AX34" s="83">
        <f t="shared" si="19"/>
        <v>1.9975664165483676E-2</v>
      </c>
      <c r="AY34" s="2">
        <f>ROUND(AU34*(1+AY18),0)</f>
        <v>20118</v>
      </c>
      <c r="AZ34" s="36" t="str">
        <f>TEXT(AY18,"0.0%")&amp;" = Est. S &amp; C"</f>
        <v>2.0% = Est. S &amp; C</v>
      </c>
      <c r="BB34" s="83">
        <f t="shared" si="20"/>
        <v>1.9982105577095139E-2</v>
      </c>
      <c r="BC34" s="2">
        <f>ROUND(AY34*(1+BC18),0)</f>
        <v>20520</v>
      </c>
      <c r="BD34" s="36" t="str">
        <f>TEXT(BC18,"0.0%")&amp;" = Est. S &amp; C"</f>
        <v>2.0% = Est. S &amp; C</v>
      </c>
    </row>
    <row r="35" spans="1:56" x14ac:dyDescent="0.25">
      <c r="A35" s="12" t="s">
        <v>30</v>
      </c>
      <c r="B35" s="39" t="s">
        <v>29</v>
      </c>
      <c r="C35" s="3">
        <v>1236</v>
      </c>
      <c r="D35" s="30"/>
      <c r="E35" s="2">
        <v>0</v>
      </c>
      <c r="F35" s="36"/>
      <c r="G35" s="2">
        <v>0</v>
      </c>
      <c r="H35" s="36"/>
      <c r="I35" s="2">
        <v>0</v>
      </c>
      <c r="J35" s="36"/>
      <c r="K35" s="2">
        <v>102</v>
      </c>
      <c r="L35" s="36"/>
      <c r="M35" s="2">
        <v>0</v>
      </c>
      <c r="N35" s="36"/>
      <c r="O35" s="2">
        <v>0</v>
      </c>
      <c r="P35" s="36"/>
      <c r="Q35" s="2">
        <v>0</v>
      </c>
      <c r="R35" s="36"/>
      <c r="S35" s="2">
        <v>0</v>
      </c>
      <c r="T35" s="36"/>
      <c r="U35" s="2">
        <v>0</v>
      </c>
      <c r="V35" s="36"/>
      <c r="W35" s="2">
        <v>0</v>
      </c>
      <c r="X35" s="36"/>
      <c r="Y35" s="2">
        <v>0</v>
      </c>
      <c r="Z35" s="36"/>
      <c r="AA35" s="2">
        <v>0</v>
      </c>
      <c r="AB35" s="36"/>
      <c r="AC35" s="66"/>
      <c r="AD35" s="12" t="str">
        <f t="shared" si="11"/>
        <v>2481</v>
      </c>
      <c r="AE35" s="39" t="str">
        <f t="shared" si="12"/>
        <v>Sub. Office</v>
      </c>
      <c r="AF35" s="2">
        <f t="shared" si="21"/>
        <v>1338</v>
      </c>
      <c r="AG35" s="2"/>
      <c r="AH35" s="83">
        <f t="shared" si="13"/>
        <v>2.0179372197309416E-2</v>
      </c>
      <c r="AI35" s="2">
        <f t="shared" si="14"/>
        <v>1365</v>
      </c>
      <c r="AJ35" s="36" t="str">
        <f t="shared" si="15"/>
        <v>2.0% = Est. S &amp; C</v>
      </c>
      <c r="AK35" s="66"/>
      <c r="AL35" s="83">
        <f t="shared" si="16"/>
        <v>1.9780219780219779E-2</v>
      </c>
      <c r="AM35" s="2">
        <f>ROUND(AI35*(1+AM18),0)</f>
        <v>1392</v>
      </c>
      <c r="AN35" s="36" t="str">
        <f>TEXT(AM18,"0.0%")&amp;" = Est. S &amp; C"</f>
        <v>2.0% = Est. S &amp; C</v>
      </c>
      <c r="AP35" s="83">
        <f t="shared" si="17"/>
        <v>2.0114942528735632E-2</v>
      </c>
      <c r="AQ35" s="2">
        <f>ROUND(AM35*(1+AQ18),0)</f>
        <v>1420</v>
      </c>
      <c r="AR35" s="36" t="str">
        <f>TEXT(AQ18,"0.0%")&amp;" = Est. S &amp; C"</f>
        <v>2.0% = Est. S &amp; C</v>
      </c>
      <c r="AT35" s="83">
        <f t="shared" si="18"/>
        <v>1.9718309859154931E-2</v>
      </c>
      <c r="AU35" s="2">
        <f>ROUND(AQ35*(1+AU18),0)</f>
        <v>1448</v>
      </c>
      <c r="AV35" s="36" t="str">
        <f>TEXT(AU18,"0.0%")&amp;" = Est. S &amp; C"</f>
        <v>2.0% = Est. S &amp; C</v>
      </c>
      <c r="AX35" s="83">
        <f t="shared" si="19"/>
        <v>2.0027624309392266E-2</v>
      </c>
      <c r="AY35" s="2">
        <f>ROUND(AU35*(1+AY18),0)</f>
        <v>1477</v>
      </c>
      <c r="AZ35" s="36" t="str">
        <f>TEXT(AY18,"0.0%")&amp;" = Est. S &amp; C"</f>
        <v>2.0% = Est. S &amp; C</v>
      </c>
      <c r="BB35" s="83">
        <f t="shared" si="20"/>
        <v>2.0311442112389978E-2</v>
      </c>
      <c r="BC35" s="2">
        <f>ROUND(AY35*(1+BC18),0)</f>
        <v>1507</v>
      </c>
      <c r="BD35" s="36" t="str">
        <f>TEXT(BC18,"0.0%")&amp;" = Est. S &amp; C"</f>
        <v>2.0% = Est. S &amp; C</v>
      </c>
    </row>
    <row r="36" spans="1:56" x14ac:dyDescent="0.25">
      <c r="A36" s="12" t="s">
        <v>72</v>
      </c>
      <c r="B36" s="39" t="s">
        <v>71</v>
      </c>
      <c r="C36" s="3">
        <v>0</v>
      </c>
      <c r="D36" s="30"/>
      <c r="E36" s="2">
        <v>0</v>
      </c>
      <c r="F36" s="36"/>
      <c r="G36" s="2">
        <v>0</v>
      </c>
      <c r="H36" s="36"/>
      <c r="I36" s="2">
        <v>0</v>
      </c>
      <c r="J36" s="36"/>
      <c r="K36" s="2">
        <v>0</v>
      </c>
      <c r="L36" s="36"/>
      <c r="M36" s="2">
        <v>0</v>
      </c>
      <c r="N36" s="36"/>
      <c r="O36" s="2">
        <v>370</v>
      </c>
      <c r="P36" s="36"/>
      <c r="Q36" s="2">
        <v>407</v>
      </c>
      <c r="R36" s="36"/>
      <c r="S36" s="2">
        <v>0</v>
      </c>
      <c r="T36" s="36"/>
      <c r="U36" s="2">
        <v>167</v>
      </c>
      <c r="V36" s="36"/>
      <c r="W36" s="2">
        <v>370</v>
      </c>
      <c r="X36" s="36"/>
      <c r="Y36" s="2">
        <v>0</v>
      </c>
      <c r="Z36" s="36"/>
      <c r="AA36" s="2">
        <v>556</v>
      </c>
      <c r="AB36" s="36"/>
      <c r="AC36" s="66"/>
      <c r="AD36" s="12" t="str">
        <f t="shared" si="11"/>
        <v>2901</v>
      </c>
      <c r="AE36" s="39" t="str">
        <f t="shared" si="12"/>
        <v>Babysitter</v>
      </c>
      <c r="AF36" s="2">
        <f t="shared" si="21"/>
        <v>1870</v>
      </c>
      <c r="AG36" s="2"/>
      <c r="AH36" s="83">
        <f t="shared" si="13"/>
        <v>1.9786096256684493E-2</v>
      </c>
      <c r="AI36" s="2">
        <f t="shared" si="14"/>
        <v>1907</v>
      </c>
      <c r="AJ36" s="36" t="str">
        <f t="shared" si="15"/>
        <v>2.0% = Est. S &amp; C</v>
      </c>
      <c r="AK36" s="66"/>
      <c r="AL36" s="83">
        <f t="shared" si="16"/>
        <v>1.9926586261143155E-2</v>
      </c>
      <c r="AM36" s="2">
        <f>ROUND(AI36*(1+AM18),0)</f>
        <v>1945</v>
      </c>
      <c r="AN36" s="36" t="str">
        <f>TEXT(AM18,"0.0%")&amp;" = Est. S &amp; C"</f>
        <v>2.0% = Est. S &amp; C</v>
      </c>
      <c r="AP36" s="83">
        <f t="shared" si="17"/>
        <v>2.0051413881748071E-2</v>
      </c>
      <c r="AQ36" s="2">
        <f>ROUND(AM36*(1+AQ18),0)</f>
        <v>1984</v>
      </c>
      <c r="AR36" s="36" t="str">
        <f>TEXT(AQ18,"0.0%")&amp;" = Est. S &amp; C"</f>
        <v>2.0% = Est. S &amp; C</v>
      </c>
      <c r="AT36" s="83">
        <f t="shared" si="18"/>
        <v>2.0161290322580645E-2</v>
      </c>
      <c r="AU36" s="2">
        <f>ROUND(AQ36*(1+AU18),0)</f>
        <v>2024</v>
      </c>
      <c r="AV36" s="36" t="str">
        <f>TEXT(AU18,"0.0%")&amp;" = Est. S &amp; C"</f>
        <v>2.0% = Est. S &amp; C</v>
      </c>
      <c r="AX36" s="83">
        <f t="shared" si="19"/>
        <v>1.9762845849802372E-2</v>
      </c>
      <c r="AY36" s="2">
        <f>ROUND(AU36*(1+AY18),0)</f>
        <v>2064</v>
      </c>
      <c r="AZ36" s="36" t="str">
        <f>TEXT(AY18,"0.0%")&amp;" = Est. S &amp; C"</f>
        <v>2.0% = Est. S &amp; C</v>
      </c>
      <c r="BB36" s="83">
        <f t="shared" si="20"/>
        <v>1.9864341085271318E-2</v>
      </c>
      <c r="BC36" s="2">
        <f>ROUND(AY36*(1+BC18),0)</f>
        <v>2105</v>
      </c>
      <c r="BD36" s="36" t="str">
        <f>TEXT(BC18,"0.0%")&amp;" = Est. S &amp; C"</f>
        <v>2.0% = Est. S &amp; C</v>
      </c>
    </row>
    <row r="37" spans="1:56" x14ac:dyDescent="0.25">
      <c r="A37" s="12" t="s">
        <v>114</v>
      </c>
      <c r="B37" s="39" t="s">
        <v>117</v>
      </c>
      <c r="C37" s="3">
        <v>0</v>
      </c>
      <c r="D37" s="30"/>
      <c r="E37" s="2">
        <v>406</v>
      </c>
      <c r="F37" s="36"/>
      <c r="G37" s="2">
        <v>304</v>
      </c>
      <c r="H37" s="36"/>
      <c r="I37" s="2">
        <v>85</v>
      </c>
      <c r="J37" s="36"/>
      <c r="K37" s="2">
        <v>406</v>
      </c>
      <c r="L37" s="36"/>
      <c r="M37" s="2">
        <v>1388</v>
      </c>
      <c r="N37" s="36"/>
      <c r="O37" s="2">
        <v>1693</v>
      </c>
      <c r="P37" s="36"/>
      <c r="Q37" s="2">
        <v>814</v>
      </c>
      <c r="R37" s="36"/>
      <c r="S37" s="2">
        <v>169</v>
      </c>
      <c r="T37" s="36"/>
      <c r="U37" s="2">
        <v>339</v>
      </c>
      <c r="V37" s="36"/>
      <c r="W37" s="2">
        <v>337</v>
      </c>
      <c r="X37" s="36"/>
      <c r="Y37" s="2">
        <v>237</v>
      </c>
      <c r="Z37" s="36"/>
      <c r="AA37" s="2">
        <v>4233</v>
      </c>
      <c r="AB37" s="36"/>
      <c r="AC37" s="66"/>
      <c r="AD37" s="12" t="str">
        <f t="shared" si="11"/>
        <v>2910</v>
      </c>
      <c r="AE37" s="39" t="str">
        <f t="shared" si="12"/>
        <v>Interpreters</v>
      </c>
      <c r="AF37" s="2">
        <f t="shared" si="21"/>
        <v>10411</v>
      </c>
      <c r="AG37" s="2"/>
      <c r="AH37" s="83">
        <f t="shared" si="13"/>
        <v>1.9978868504466431E-2</v>
      </c>
      <c r="AI37" s="2">
        <f t="shared" si="14"/>
        <v>10619</v>
      </c>
      <c r="AJ37" s="36" t="str">
        <f t="shared" si="15"/>
        <v>2.0% = Est. S &amp; C</v>
      </c>
      <c r="AK37" s="66"/>
      <c r="AL37" s="83">
        <f t="shared" si="16"/>
        <v>1.9964215086166307E-2</v>
      </c>
      <c r="AM37" s="2">
        <f>ROUND(AI37*(1+AM18),0)</f>
        <v>10831</v>
      </c>
      <c r="AN37" s="36" t="str">
        <f>TEXT(AM18,"0.0%")&amp;" = Est. S &amp; C"</f>
        <v>2.0% = Est. S &amp; C</v>
      </c>
      <c r="AP37" s="83">
        <f t="shared" si="17"/>
        <v>2.0035084479734098E-2</v>
      </c>
      <c r="AQ37" s="2">
        <f>ROUND(AM37*(1+AQ18),0)</f>
        <v>11048</v>
      </c>
      <c r="AR37" s="36" t="str">
        <f>TEXT(AQ18,"0.0%")&amp;" = Est. S &amp; C"</f>
        <v>2.0% = Est. S &amp; C</v>
      </c>
      <c r="AT37" s="83">
        <f t="shared" si="18"/>
        <v>2.000362056480811E-2</v>
      </c>
      <c r="AU37" s="2">
        <f>ROUND(AQ37*(1+AU18),0)</f>
        <v>11269</v>
      </c>
      <c r="AV37" s="36" t="str">
        <f>TEXT(AU18,"0.0%")&amp;" = Est. S &amp; C"</f>
        <v>2.0% = Est. S &amp; C</v>
      </c>
      <c r="AX37" s="83">
        <f t="shared" si="19"/>
        <v>1.9966279172952347E-2</v>
      </c>
      <c r="AY37" s="2">
        <f>ROUND(AU37*(1+AY18),0)</f>
        <v>11494</v>
      </c>
      <c r="AZ37" s="36" t="str">
        <f>TEXT(AY18,"0.0%")&amp;" = Est. S &amp; C"</f>
        <v>2.0% = Est. S &amp; C</v>
      </c>
      <c r="BB37" s="83">
        <f t="shared" si="20"/>
        <v>2.0010440229685053E-2</v>
      </c>
      <c r="BC37" s="2">
        <f>ROUND(AY37*(1+BC18),0)</f>
        <v>11724</v>
      </c>
      <c r="BD37" s="36" t="str">
        <f>TEXT(BC18,"0.0%")&amp;" = Est. S &amp; C"</f>
        <v>2.0% = Est. S &amp; C</v>
      </c>
    </row>
    <row r="38" spans="1:56" x14ac:dyDescent="0.25">
      <c r="A38" s="12" t="s">
        <v>73</v>
      </c>
      <c r="B38" s="39" t="s">
        <v>74</v>
      </c>
      <c r="C38" s="3">
        <v>0</v>
      </c>
      <c r="D38" s="30"/>
      <c r="E38" s="2">
        <v>0</v>
      </c>
      <c r="F38" s="36"/>
      <c r="G38" s="2">
        <v>0</v>
      </c>
      <c r="H38" s="36"/>
      <c r="I38" s="2">
        <v>0</v>
      </c>
      <c r="J38" s="36"/>
      <c r="K38" s="2">
        <v>0</v>
      </c>
      <c r="L38" s="36"/>
      <c r="M38" s="2">
        <v>0</v>
      </c>
      <c r="N38" s="36"/>
      <c r="O38" s="2">
        <v>0</v>
      </c>
      <c r="P38" s="36"/>
      <c r="Q38" s="2">
        <v>0</v>
      </c>
      <c r="R38" s="36"/>
      <c r="S38" s="2">
        <v>0</v>
      </c>
      <c r="T38" s="36"/>
      <c r="U38" s="2">
        <v>0</v>
      </c>
      <c r="V38" s="36"/>
      <c r="W38" s="2">
        <v>0</v>
      </c>
      <c r="X38" s="36"/>
      <c r="Y38" s="2">
        <v>0</v>
      </c>
      <c r="Z38" s="36"/>
      <c r="AA38" s="2">
        <v>440</v>
      </c>
      <c r="AB38" s="36"/>
      <c r="AC38" s="66"/>
      <c r="AD38" s="12" t="str">
        <f t="shared" si="11"/>
        <v>2924</v>
      </c>
      <c r="AE38" s="39" t="str">
        <f t="shared" si="12"/>
        <v>Parent Ed. Aide</v>
      </c>
      <c r="AF38" s="2">
        <f t="shared" si="21"/>
        <v>440</v>
      </c>
      <c r="AG38" s="2"/>
      <c r="AH38" s="83">
        <f t="shared" si="13"/>
        <v>2.0454545454545454E-2</v>
      </c>
      <c r="AI38" s="2">
        <f t="shared" si="14"/>
        <v>449</v>
      </c>
      <c r="AJ38" s="36" t="str">
        <f t="shared" si="15"/>
        <v>2.0% = Est. S &amp; C</v>
      </c>
      <c r="AK38" s="66"/>
      <c r="AL38" s="83">
        <f t="shared" si="16"/>
        <v>2.0044543429844099E-2</v>
      </c>
      <c r="AM38" s="2">
        <f>ROUND(AI38*(1+AM18),0)</f>
        <v>458</v>
      </c>
      <c r="AN38" s="36" t="str">
        <f>TEXT(AM18,"0.0%")&amp;" = Est. S &amp; C"</f>
        <v>2.0% = Est. S &amp; C</v>
      </c>
      <c r="AP38" s="83">
        <f t="shared" si="17"/>
        <v>1.9650655021834062E-2</v>
      </c>
      <c r="AQ38" s="2">
        <f>ROUND(AM38*(1+AQ18),0)</f>
        <v>467</v>
      </c>
      <c r="AR38" s="36" t="str">
        <f>TEXT(AQ18,"0.0%")&amp;" = Est. S &amp; C"</f>
        <v>2.0% = Est. S &amp; C</v>
      </c>
      <c r="AT38" s="83">
        <f t="shared" si="18"/>
        <v>1.9271948608137045E-2</v>
      </c>
      <c r="AU38" s="2">
        <f>ROUND(AQ38*(1+AU18),0)</f>
        <v>476</v>
      </c>
      <c r="AV38" s="36" t="str">
        <f>TEXT(AU18,"0.0%")&amp;" = Est. S &amp; C"</f>
        <v>2.0% = Est. S &amp; C</v>
      </c>
      <c r="AX38" s="83">
        <f t="shared" si="19"/>
        <v>2.100840336134454E-2</v>
      </c>
      <c r="AY38" s="2">
        <f>ROUND(AU38*(1+AY18),0)</f>
        <v>486</v>
      </c>
      <c r="AZ38" s="36" t="str">
        <f>TEXT(AY18,"0.0%")&amp;" = Est. S &amp; C"</f>
        <v>2.0% = Est. S &amp; C</v>
      </c>
      <c r="BB38" s="83">
        <f t="shared" si="20"/>
        <v>2.0576131687242798E-2</v>
      </c>
      <c r="BC38" s="2">
        <f>ROUND(AY38*(1+BC18),0)</f>
        <v>496</v>
      </c>
      <c r="BD38" s="36" t="str">
        <f>TEXT(BC18,"0.0%")&amp;" = Est. S &amp; C"</f>
        <v>2.0% = Est. S &amp; C</v>
      </c>
    </row>
    <row r="39" spans="1:56" ht="6" customHeight="1" x14ac:dyDescent="0.25">
      <c r="A39" s="12"/>
      <c r="C39" s="3"/>
      <c r="D39" s="30"/>
      <c r="E39" s="2"/>
      <c r="F39" s="36"/>
      <c r="G39" s="2"/>
      <c r="H39" s="36"/>
      <c r="J39" s="36"/>
      <c r="K39" s="2"/>
      <c r="L39" s="36"/>
      <c r="M39" s="2"/>
      <c r="N39" s="36"/>
      <c r="O39" s="2"/>
      <c r="P39" s="36"/>
      <c r="Q39" s="2"/>
      <c r="R39" s="36"/>
      <c r="S39" s="2"/>
      <c r="T39" s="36"/>
      <c r="U39" s="2"/>
      <c r="V39" s="36"/>
      <c r="W39" s="2"/>
      <c r="X39" s="36"/>
      <c r="Y39" s="2"/>
      <c r="Z39" s="36"/>
      <c r="AA39" s="2"/>
      <c r="AB39" s="36"/>
      <c r="AC39" s="66"/>
      <c r="AD39" s="12"/>
      <c r="AF39" s="2"/>
      <c r="AG39" s="2"/>
      <c r="AI39" s="2"/>
      <c r="AJ39" s="36"/>
      <c r="AK39" s="66"/>
      <c r="AM39" s="2"/>
      <c r="AN39" s="73"/>
      <c r="AQ39" s="2"/>
      <c r="AR39" s="73"/>
      <c r="AU39" s="2"/>
      <c r="AV39" s="73"/>
      <c r="AY39" s="2"/>
      <c r="AZ39" s="73"/>
      <c r="BC39" s="2"/>
      <c r="BD39" s="73"/>
    </row>
    <row r="40" spans="1:56" x14ac:dyDescent="0.25">
      <c r="A40" s="12"/>
      <c r="C40" s="8">
        <f>SUM(C32:C39)</f>
        <v>19458</v>
      </c>
      <c r="D40" s="33"/>
      <c r="E40" s="8">
        <f>SUM(E32:E39)</f>
        <v>406</v>
      </c>
      <c r="F40" s="5"/>
      <c r="G40" s="8">
        <f>SUM(G32:G39)</f>
        <v>16547</v>
      </c>
      <c r="H40" s="5"/>
      <c r="I40" s="8">
        <f>SUM(I32:I39)</f>
        <v>28571</v>
      </c>
      <c r="J40" s="5"/>
      <c r="K40" s="8">
        <f>SUM(K32:K39)</f>
        <v>508</v>
      </c>
      <c r="L40" s="5"/>
      <c r="M40" s="8">
        <f>SUM(M32:M39)</f>
        <v>1388</v>
      </c>
      <c r="N40" s="5"/>
      <c r="O40" s="8">
        <f>SUM(O32:O39)</f>
        <v>2063</v>
      </c>
      <c r="P40" s="5"/>
      <c r="Q40" s="8">
        <f>SUM(Q32:Q39)</f>
        <v>1221</v>
      </c>
      <c r="R40" s="5"/>
      <c r="S40" s="8">
        <f>SUM(S32:S39)</f>
        <v>25373</v>
      </c>
      <c r="T40" s="5"/>
      <c r="U40" s="8">
        <f>SUM(U32:U39)</f>
        <v>506</v>
      </c>
      <c r="V40" s="5"/>
      <c r="W40" s="8">
        <f>SUM(W32:W39)</f>
        <v>27977</v>
      </c>
      <c r="X40" s="5"/>
      <c r="Y40" s="8">
        <f>SUM(Y32:Y39)</f>
        <v>237</v>
      </c>
      <c r="Z40" s="5"/>
      <c r="AA40" s="8">
        <f>SUM(AA32:AA39)</f>
        <v>5229</v>
      </c>
      <c r="AB40" s="5"/>
      <c r="AC40" s="29"/>
      <c r="AD40" s="12"/>
      <c r="AF40" s="8">
        <f>SUM(AF32:AF39)</f>
        <v>129484</v>
      </c>
      <c r="AG40" s="2"/>
      <c r="AH40" s="83">
        <f>IF(AF40=0,"0.00%",(AI40-AF40)/AF40)</f>
        <v>1.999474838590096E-2</v>
      </c>
      <c r="AI40" s="8">
        <f>SUM(AI32:AI39)</f>
        <v>132073</v>
      </c>
      <c r="AJ40" s="5"/>
      <c r="AK40" s="29"/>
      <c r="AL40" s="83">
        <f>IF(AI40=0,"0.00%",(AM40-AI40)/AI40)</f>
        <v>1.9996517077676738E-2</v>
      </c>
      <c r="AM40" s="8">
        <f>SUM(AM32:AM39)</f>
        <v>134714</v>
      </c>
      <c r="AN40" s="73"/>
      <c r="AP40" s="83">
        <f>IF(AM40=0,"0.00%",(AQ40-AM40)/AM40)</f>
        <v>2.0005344656086228E-2</v>
      </c>
      <c r="AQ40" s="8">
        <f>SUM(AQ32:AQ39)</f>
        <v>137409</v>
      </c>
      <c r="AR40" s="73"/>
      <c r="AT40" s="83">
        <f>IF(AQ40=0,"0.00%",(AU40-AQ40)/AQ40)</f>
        <v>1.9998690042136977E-2</v>
      </c>
      <c r="AU40" s="8">
        <f>SUM(AU32:AU39)</f>
        <v>140157</v>
      </c>
      <c r="AV40" s="73"/>
      <c r="AX40" s="83">
        <f>IF(AU40=0,"0.00%",(AY40-AU40)/AU40)</f>
        <v>1.9991866264260794E-2</v>
      </c>
      <c r="AY40" s="8">
        <f>SUM(AY32:AY39)</f>
        <v>142959</v>
      </c>
      <c r="AZ40" s="73"/>
      <c r="BB40" s="83">
        <f>IF(AY40=0,"0.00%",(BC40-AY40)/AY40)</f>
        <v>1.9998740897739911E-2</v>
      </c>
      <c r="BC40" s="8">
        <f>SUM(BC32:BC39)</f>
        <v>145818</v>
      </c>
      <c r="BD40" s="73"/>
    </row>
    <row r="41" spans="1:56" x14ac:dyDescent="0.25">
      <c r="A41" s="20" t="s">
        <v>28</v>
      </c>
      <c r="C41" s="3"/>
      <c r="D41" s="30"/>
      <c r="E41" s="2"/>
      <c r="F41" s="36"/>
      <c r="G41" s="2"/>
      <c r="H41" s="36"/>
      <c r="J41" s="36"/>
      <c r="K41" s="2"/>
      <c r="L41" s="36"/>
      <c r="M41" s="2"/>
      <c r="N41" s="36"/>
      <c r="O41" s="2"/>
      <c r="P41" s="36"/>
      <c r="Q41" s="2"/>
      <c r="R41" s="36"/>
      <c r="S41" s="2"/>
      <c r="T41" s="36"/>
      <c r="U41" s="2"/>
      <c r="V41" s="36"/>
      <c r="W41" s="2"/>
      <c r="X41" s="36"/>
      <c r="Y41" s="2"/>
      <c r="Z41" s="36"/>
      <c r="AA41" s="2"/>
      <c r="AB41" s="36"/>
      <c r="AC41" s="66"/>
      <c r="AD41" s="20" t="str">
        <f t="shared" ref="AD41:AD51" si="22">A41</f>
        <v xml:space="preserve">  </v>
      </c>
      <c r="AF41" s="2"/>
      <c r="AG41" s="2"/>
      <c r="AI41" s="2"/>
      <c r="AJ41" s="36"/>
      <c r="AK41" s="66"/>
      <c r="AM41" s="2"/>
      <c r="AN41" s="73"/>
      <c r="AQ41" s="2"/>
      <c r="AR41" s="73"/>
      <c r="AU41" s="2"/>
      <c r="AV41" s="73"/>
      <c r="AY41" s="2"/>
      <c r="AZ41" s="73"/>
      <c r="BC41" s="2"/>
      <c r="BD41" s="73"/>
    </row>
    <row r="42" spans="1:56" x14ac:dyDescent="0.25">
      <c r="A42" s="21" t="s">
        <v>27</v>
      </c>
      <c r="C42" s="9"/>
      <c r="D42" s="33"/>
      <c r="E42" s="10"/>
      <c r="F42" s="6"/>
      <c r="G42" s="10"/>
      <c r="H42" s="6"/>
      <c r="I42" s="10"/>
      <c r="J42" s="6"/>
      <c r="K42" s="10"/>
      <c r="L42" s="6"/>
      <c r="M42" s="10"/>
      <c r="N42" s="6"/>
      <c r="O42" s="10"/>
      <c r="P42" s="6"/>
      <c r="Q42" s="10"/>
      <c r="R42" s="6"/>
      <c r="S42" s="10"/>
      <c r="T42" s="6"/>
      <c r="U42" s="10"/>
      <c r="V42" s="6"/>
      <c r="W42" s="10"/>
      <c r="X42" s="6"/>
      <c r="Y42" s="10"/>
      <c r="Z42" s="6"/>
      <c r="AA42" s="10"/>
      <c r="AB42" s="6"/>
      <c r="AC42" s="57"/>
      <c r="AD42" s="21" t="str">
        <f t="shared" si="22"/>
        <v>Benefits</v>
      </c>
      <c r="AF42" s="2"/>
      <c r="AG42" s="2"/>
      <c r="AI42" s="2"/>
      <c r="AJ42" s="82"/>
      <c r="AK42" s="66"/>
      <c r="AM42" s="2"/>
      <c r="AN42" s="73"/>
      <c r="AQ42" s="2"/>
      <c r="AR42" s="73"/>
      <c r="AU42" s="2"/>
      <c r="AV42" s="73"/>
      <c r="AY42" s="2"/>
      <c r="AZ42" s="73"/>
      <c r="BC42" s="2"/>
      <c r="BD42" s="73"/>
    </row>
    <row r="43" spans="1:56" x14ac:dyDescent="0.25">
      <c r="A43" s="12" t="s">
        <v>83</v>
      </c>
      <c r="B43" s="39" t="s">
        <v>76</v>
      </c>
      <c r="C43" s="3">
        <v>119847</v>
      </c>
      <c r="D43" s="30"/>
      <c r="E43" s="2">
        <v>2437</v>
      </c>
      <c r="F43" s="36"/>
      <c r="G43" s="2">
        <v>1032</v>
      </c>
      <c r="H43" s="36"/>
      <c r="I43" s="2">
        <v>1282</v>
      </c>
      <c r="J43" s="36"/>
      <c r="K43" s="2">
        <v>1694</v>
      </c>
      <c r="L43" s="36"/>
      <c r="M43" s="2">
        <v>1630</v>
      </c>
      <c r="N43" s="36"/>
      <c r="O43" s="2">
        <v>687</v>
      </c>
      <c r="P43" s="36"/>
      <c r="Q43" s="2">
        <v>1196</v>
      </c>
      <c r="R43" s="36"/>
      <c r="S43" s="2">
        <v>1485</v>
      </c>
      <c r="T43" s="36"/>
      <c r="U43" s="2">
        <f>2971+23</f>
        <v>2994</v>
      </c>
      <c r="V43" s="36"/>
      <c r="W43" s="2">
        <v>2425</v>
      </c>
      <c r="X43" s="36"/>
      <c r="Y43" s="2">
        <v>1774</v>
      </c>
      <c r="Z43" s="36"/>
      <c r="AA43" s="2">
        <v>2490</v>
      </c>
      <c r="AB43" s="36"/>
      <c r="AC43" s="66"/>
      <c r="AD43" s="12" t="str">
        <f t="shared" si="22"/>
        <v>310X</v>
      </c>
      <c r="AE43" s="39" t="str">
        <f t="shared" ref="AE43:AE51" si="23">B43</f>
        <v>STRS</v>
      </c>
      <c r="AF43" s="2">
        <f>SUM(C43,E43,G43,I43,K43,M43,O43,Q43,S43,U43,W43,Y43,AA43)</f>
        <v>140973</v>
      </c>
      <c r="AG43" s="2"/>
      <c r="AH43" s="83">
        <f t="shared" ref="AH43:AH52" si="24">IF(AF43=0,"0.00%",(AI43-AF43)/AF43)</f>
        <v>0.16905364857100297</v>
      </c>
      <c r="AI43" s="2">
        <f>ROUND(AI29*LEFT(AJ43,6),0)</f>
        <v>164805</v>
      </c>
      <c r="AJ43" s="81" t="str">
        <f>TEXT('MYP Assumptions'!E57,"0.00%")&amp;", projected STRS rate"</f>
        <v>14.43%, projected STRS rate</v>
      </c>
      <c r="AK43" s="66"/>
      <c r="AL43" s="83">
        <f t="shared" ref="AL43:AL52" si="25">IF(AI43=0,"0.00%",(AM43-AI43)/AI43)</f>
        <v>0.15076605685507113</v>
      </c>
      <c r="AM43" s="2">
        <f>ROUND(AM29*LEFT(AN43,6),0)</f>
        <v>189652</v>
      </c>
      <c r="AN43" s="81" t="str">
        <f>TEXT('MYP Assumptions'!F57,"0.00%")&amp;", projected STRS rate"</f>
        <v>16.28%, projected STRS rate</v>
      </c>
      <c r="AP43" s="83">
        <f t="shared" ref="AP43:AP52" si="26">IF(AM43=0,"0.00%",(AQ43-AM43)/AM43)</f>
        <v>0.13591209162044166</v>
      </c>
      <c r="AQ43" s="2">
        <f>ROUND(AQ29*LEFT(AR43,6),0)</f>
        <v>215428</v>
      </c>
      <c r="AR43" s="81" t="str">
        <f>TEXT('MYP Assumptions'!G57,"0.00%")&amp;", projected STRS rate"</f>
        <v>18.13%, projected STRS rate</v>
      </c>
      <c r="AT43" s="83">
        <f t="shared" ref="AT43:AT52" si="27">IF(AQ43=0,"0.00%",(AU43-AQ43)/AQ43)</f>
        <v>7.4572478972092765E-2</v>
      </c>
      <c r="AU43" s="2">
        <f>ROUND(AU29*LEFT(AV43,6),0)</f>
        <v>231493</v>
      </c>
      <c r="AV43" s="81" t="str">
        <f>TEXT('MYP Assumptions'!H57,"0.00%")&amp;", projected STRS rate"</f>
        <v>19.10%, projected STRS rate</v>
      </c>
      <c r="AX43" s="83">
        <f t="shared" ref="AX43:AX52" si="28">IF(AU43=0,"0.00%",(AY43-AU43)/AU43)</f>
        <v>1.9996284984859152E-2</v>
      </c>
      <c r="AY43" s="2">
        <f>ROUND(AY29*LEFT(AZ43,6),0)</f>
        <v>236122</v>
      </c>
      <c r="AZ43" s="81" t="str">
        <f>TEXT('MYP Assumptions'!I57,"0.00%")&amp;", projected STRS rate"</f>
        <v>19.10%, projected STRS rate</v>
      </c>
      <c r="BB43" s="83" t="e">
        <f t="shared" ref="BB43:BB52" si="29">IF(AY43=0,"0.00%",(BC43-AY43)/AY43)</f>
        <v>#VALUE!</v>
      </c>
      <c r="BC43" s="2" t="e">
        <f>ROUND(BC29*LEFT(BD43,6),0)</f>
        <v>#VALUE!</v>
      </c>
      <c r="BD43" s="81" t="str">
        <f>TEXT('MYP Assumptions'!J57,"0.00%")&amp;", projected STRS rate"</f>
        <v>0.00%, projected STRS rate</v>
      </c>
    </row>
    <row r="44" spans="1:56" x14ac:dyDescent="0.25">
      <c r="A44" s="12" t="s">
        <v>84</v>
      </c>
      <c r="B44" s="39" t="s">
        <v>77</v>
      </c>
      <c r="C44" s="3">
        <v>2702</v>
      </c>
      <c r="D44" s="30"/>
      <c r="E44" s="2">
        <v>56</v>
      </c>
      <c r="F44" s="36"/>
      <c r="G44" s="2">
        <v>2303</v>
      </c>
      <c r="H44" s="36"/>
      <c r="I44" s="2">
        <v>3973</v>
      </c>
      <c r="J44" s="36"/>
      <c r="K44" s="2">
        <v>64</v>
      </c>
      <c r="L44" s="36"/>
      <c r="M44" s="2">
        <v>193</v>
      </c>
      <c r="N44" s="36"/>
      <c r="O44" s="2">
        <v>287</v>
      </c>
      <c r="P44" s="36"/>
      <c r="Q44" s="2">
        <v>169</v>
      </c>
      <c r="R44" s="36"/>
      <c r="S44" s="2">
        <v>3530</v>
      </c>
      <c r="T44" s="36"/>
      <c r="U44" s="2">
        <f>47</f>
        <v>47</v>
      </c>
      <c r="V44" s="36"/>
      <c r="W44" s="2">
        <v>3886</v>
      </c>
      <c r="X44" s="36"/>
      <c r="Y44" s="2">
        <v>33</v>
      </c>
      <c r="Z44" s="36"/>
      <c r="AA44" s="2">
        <v>726</v>
      </c>
      <c r="AB44" s="36"/>
      <c r="AC44" s="66"/>
      <c r="AD44" s="12" t="str">
        <f t="shared" si="22"/>
        <v>320X</v>
      </c>
      <c r="AE44" s="39" t="str">
        <f t="shared" si="23"/>
        <v>PERS</v>
      </c>
      <c r="AF44" s="2">
        <f t="shared" ref="AF44:AF51" si="30">SUM(C44,E44,G44,I44,K44,M44,O44,Q44,S44,U44,W44,Y44,AA44)</f>
        <v>17969</v>
      </c>
      <c r="AG44" s="2"/>
      <c r="AH44" s="83">
        <f t="shared" si="24"/>
        <v>0.14146585786632535</v>
      </c>
      <c r="AI44" s="2">
        <f>ROUND(AI40*LEFT(AJ44,6),0)</f>
        <v>20511</v>
      </c>
      <c r="AJ44" s="81" t="str">
        <f>TEXT('MYP Assumptions'!E58,"0.00%")&amp;", projected PERS rate"</f>
        <v>15.53%, projected PERS rate</v>
      </c>
      <c r="AK44" s="66"/>
      <c r="AL44" s="83">
        <f t="shared" si="25"/>
        <v>0.18614402028180002</v>
      </c>
      <c r="AM44" s="2">
        <f>ROUND(AM40*LEFT(AN44,6),0)</f>
        <v>24329</v>
      </c>
      <c r="AN44" s="81" t="str">
        <f>TEXT('MYP Assumptions'!F58,"0.00%")&amp;", projected PERS rate"</f>
        <v>18.06%, projected PERS rate</v>
      </c>
      <c r="AP44" s="83">
        <f t="shared" si="26"/>
        <v>0.17477084960335401</v>
      </c>
      <c r="AQ44" s="2">
        <f>ROUND(AQ40*LEFT(AR44,6),0)</f>
        <v>28581</v>
      </c>
      <c r="AR44" s="81" t="str">
        <f>TEXT('MYP Assumptions'!G58,"0.00%")&amp;", projected PERS rate"</f>
        <v>20.80%, projected PERS rate</v>
      </c>
      <c r="AT44" s="83">
        <f t="shared" si="27"/>
        <v>0.15240894300409363</v>
      </c>
      <c r="AU44" s="2">
        <f>ROUND(AU40*LEFT(AV44,6),0)</f>
        <v>32937</v>
      </c>
      <c r="AV44" s="81" t="str">
        <f>TEXT('MYP Assumptions'!H58,"0.00%")&amp;", projected PERS rate"</f>
        <v>23.50%, projected PERS rate</v>
      </c>
      <c r="AX44" s="83">
        <f t="shared" si="28"/>
        <v>6.7735373592008985E-2</v>
      </c>
      <c r="AY44" s="2">
        <f>ROUND(AY40*LEFT(AZ44,6),0)</f>
        <v>35168</v>
      </c>
      <c r="AZ44" s="81" t="str">
        <f>TEXT('MYP Assumptions'!I58,"0.00%")&amp;", projected PERS rate"</f>
        <v>24.60%, projected PERS rate</v>
      </c>
      <c r="BB44" s="83" t="e">
        <f t="shared" si="29"/>
        <v>#VALUE!</v>
      </c>
      <c r="BC44" s="2" t="e">
        <f>ROUND(BC40*LEFT(BD44,6),0)</f>
        <v>#VALUE!</v>
      </c>
      <c r="BD44" s="81" t="str">
        <f>TEXT('MYP Assumptions'!J58,"0.00%")&amp;", projected PERS rate"</f>
        <v>0.00%, projected PERS rate</v>
      </c>
    </row>
    <row r="45" spans="1:56" x14ac:dyDescent="0.25">
      <c r="A45" s="12" t="s">
        <v>85</v>
      </c>
      <c r="B45" s="39" t="s">
        <v>78</v>
      </c>
      <c r="C45" s="3">
        <f>1207+223</f>
        <v>1430</v>
      </c>
      <c r="D45" s="30"/>
      <c r="E45" s="2">
        <f>30+25</f>
        <v>55</v>
      </c>
      <c r="F45" s="36"/>
      <c r="G45" s="2">
        <v>960</v>
      </c>
      <c r="H45" s="36"/>
      <c r="I45" s="2">
        <v>1688</v>
      </c>
      <c r="J45" s="36"/>
      <c r="K45" s="2">
        <f>17+38</f>
        <v>55</v>
      </c>
      <c r="L45" s="36"/>
      <c r="M45" s="2">
        <v>0</v>
      </c>
      <c r="N45" s="36"/>
      <c r="O45" s="2">
        <f>9+128</f>
        <v>137</v>
      </c>
      <c r="P45" s="36"/>
      <c r="Q45" s="2">
        <f>17+77</f>
        <v>94</v>
      </c>
      <c r="R45" s="36"/>
      <c r="S45" s="2">
        <f>5+1568</f>
        <v>1573</v>
      </c>
      <c r="T45" s="36"/>
      <c r="U45" s="2">
        <f>4+30</f>
        <v>34</v>
      </c>
      <c r="V45" s="36"/>
      <c r="W45" s="2">
        <f>9+1735</f>
        <v>1744</v>
      </c>
      <c r="X45" s="36"/>
      <c r="Y45" s="2">
        <f>18+14</f>
        <v>32</v>
      </c>
      <c r="Z45" s="36"/>
      <c r="AA45" s="2">
        <f>9+323</f>
        <v>332</v>
      </c>
      <c r="AB45" s="36"/>
      <c r="AC45" s="66"/>
      <c r="AD45" s="12" t="str">
        <f t="shared" si="22"/>
        <v>330X</v>
      </c>
      <c r="AE45" s="39" t="str">
        <f t="shared" si="23"/>
        <v>SS</v>
      </c>
      <c r="AF45" s="2">
        <f t="shared" si="30"/>
        <v>8134</v>
      </c>
      <c r="AG45" s="2"/>
      <c r="AH45" s="83">
        <f t="shared" si="24"/>
        <v>6.7617408409146795E-3</v>
      </c>
      <c r="AI45" s="2">
        <f>ROUND(AI40*LEFT(AJ45,5),0)</f>
        <v>8189</v>
      </c>
      <c r="AJ45" s="81" t="str">
        <f>TEXT('MYP Assumptions'!E60,"0.00%")&amp;", no rate change"</f>
        <v>6.20%, no rate change</v>
      </c>
      <c r="AK45" s="66"/>
      <c r="AL45" s="83">
        <f t="shared" si="25"/>
        <v>1.9904750274758822E-2</v>
      </c>
      <c r="AM45" s="2">
        <f>ROUND(AM40*LEFT(AN45,5),0)</f>
        <v>8352</v>
      </c>
      <c r="AN45" s="81" t="str">
        <f>TEXT('MYP Assumptions'!F60,"0.00%")&amp;", no rate change"</f>
        <v>6.20%, no rate change</v>
      </c>
      <c r="AP45" s="83">
        <f t="shared" si="26"/>
        <v>1.9995210727969347E-2</v>
      </c>
      <c r="AQ45" s="2">
        <f>ROUND(AQ40*LEFT(AR45,5),0)</f>
        <v>8519</v>
      </c>
      <c r="AR45" s="81" t="str">
        <f>TEXT('MYP Assumptions'!G60,"0.00%")&amp;", no rate change"</f>
        <v>6.20%, no rate change</v>
      </c>
      <c r="AT45" s="83">
        <f t="shared" si="27"/>
        <v>2.0072778495128535E-2</v>
      </c>
      <c r="AU45" s="2">
        <f>ROUND(AU40*LEFT(AV45,5),0)</f>
        <v>8690</v>
      </c>
      <c r="AV45" s="81" t="str">
        <f>TEXT('MYP Assumptions'!H60,"0.00%")&amp;", no rate change"</f>
        <v>6.20%, no rate change</v>
      </c>
      <c r="AX45" s="83">
        <f t="shared" si="28"/>
        <v>1.9907940161104719E-2</v>
      </c>
      <c r="AY45" s="2">
        <f>ROUND(AY40*LEFT(AZ45,5),0)</f>
        <v>8863</v>
      </c>
      <c r="AZ45" s="81" t="str">
        <f>TEXT('MYP Assumptions'!I60,"0.00%")&amp;", no rate change"</f>
        <v>6.20%, no rate change</v>
      </c>
      <c r="BB45" s="83">
        <f t="shared" si="29"/>
        <v>-1</v>
      </c>
      <c r="BC45" s="2">
        <f>ROUND(BC40*LEFT(BD45,5),0)</f>
        <v>0</v>
      </c>
      <c r="BD45" s="81" t="str">
        <f>TEXT('MYP Assumptions'!J60,"0.00%")&amp;", no rate change"</f>
        <v>0.00%, no rate change</v>
      </c>
    </row>
    <row r="46" spans="1:56" x14ac:dyDescent="0.25">
      <c r="A46" s="12" t="s">
        <v>86</v>
      </c>
      <c r="B46" s="39" t="s">
        <v>79</v>
      </c>
      <c r="C46" s="3">
        <f>14371+282</f>
        <v>14653</v>
      </c>
      <c r="D46" s="30"/>
      <c r="E46" s="2">
        <f>251+6</f>
        <v>257</v>
      </c>
      <c r="F46" s="36"/>
      <c r="G46" s="2">
        <f>118+241</f>
        <v>359</v>
      </c>
      <c r="H46" s="36"/>
      <c r="I46" s="2">
        <f>296+415</f>
        <v>711</v>
      </c>
      <c r="J46" s="36"/>
      <c r="K46" s="2">
        <f>194+8</f>
        <v>202</v>
      </c>
      <c r="L46" s="36"/>
      <c r="M46" s="2">
        <v>86</v>
      </c>
      <c r="N46" s="36"/>
      <c r="O46" s="2">
        <f>78+29</f>
        <v>107</v>
      </c>
      <c r="P46" s="36"/>
      <c r="Q46" s="2">
        <f>138+18</f>
        <v>156</v>
      </c>
      <c r="R46" s="36"/>
      <c r="S46" s="2">
        <f>219+363</f>
        <v>582</v>
      </c>
      <c r="T46" s="36"/>
      <c r="U46" s="2">
        <f>342+7</f>
        <v>349</v>
      </c>
      <c r="V46" s="36"/>
      <c r="W46" s="2">
        <f>280+405</f>
        <v>685</v>
      </c>
      <c r="X46" s="36"/>
      <c r="Y46" s="2">
        <v>210</v>
      </c>
      <c r="Z46" s="36"/>
      <c r="AA46" s="2">
        <f>287+76</f>
        <v>363</v>
      </c>
      <c r="AB46" s="36"/>
      <c r="AC46" s="66"/>
      <c r="AD46" s="12" t="str">
        <f t="shared" si="22"/>
        <v>331X</v>
      </c>
      <c r="AE46" s="39" t="str">
        <f t="shared" si="23"/>
        <v>Medicare</v>
      </c>
      <c r="AF46" s="2">
        <f t="shared" si="30"/>
        <v>18720</v>
      </c>
      <c r="AG46" s="2"/>
      <c r="AH46" s="83">
        <f t="shared" si="24"/>
        <v>-1.3087606837606838E-2</v>
      </c>
      <c r="AI46" s="2">
        <f>ROUND((AI40+AI29)*LEFT(AJ46,5),0)</f>
        <v>18475</v>
      </c>
      <c r="AJ46" s="81" t="str">
        <f>TEXT('MYP Assumptions'!E61,"0.00%")&amp;", no rate change"</f>
        <v>1.45%, no rate change</v>
      </c>
      <c r="AK46" s="66"/>
      <c r="AL46" s="83">
        <f t="shared" si="25"/>
        <v>2.0027063599458727E-2</v>
      </c>
      <c r="AM46" s="2">
        <f>ROUND((AM40+AM29)*LEFT(AN46,5),0)</f>
        <v>18845</v>
      </c>
      <c r="AN46" s="81" t="str">
        <f>TEXT('MYP Assumptions'!F61,"0.00%")&amp;", no rate change"</f>
        <v>1.45%, no rate change</v>
      </c>
      <c r="AP46" s="83">
        <f t="shared" si="26"/>
        <v>2.0005306447333511E-2</v>
      </c>
      <c r="AQ46" s="2">
        <f>ROUND((AQ40+AQ29)*LEFT(AR46,5),0)</f>
        <v>19222</v>
      </c>
      <c r="AR46" s="81" t="str">
        <f>TEXT('MYP Assumptions'!G61,"0.00%")&amp;", no rate change"</f>
        <v>1.45%, no rate change</v>
      </c>
      <c r="AT46" s="83">
        <f t="shared" si="27"/>
        <v>1.9977109561960252E-2</v>
      </c>
      <c r="AU46" s="2">
        <f>ROUND((AU40+AU29)*LEFT(AV46,5),0)</f>
        <v>19606</v>
      </c>
      <c r="AV46" s="81" t="str">
        <f>TEXT('MYP Assumptions'!H61,"0.00%")&amp;", no rate change"</f>
        <v>1.45%, no rate change</v>
      </c>
      <c r="AX46" s="83">
        <f t="shared" si="28"/>
        <v>1.999387942466592E-2</v>
      </c>
      <c r="AY46" s="2">
        <f>ROUND((AY40+AY29)*LEFT(AZ46,5),0)</f>
        <v>19998</v>
      </c>
      <c r="AZ46" s="81" t="str">
        <f>TEXT('MYP Assumptions'!I61,"0.00%")&amp;", no rate change"</f>
        <v>1.45%, no rate change</v>
      </c>
      <c r="BB46" s="83">
        <f t="shared" si="29"/>
        <v>-1</v>
      </c>
      <c r="BC46" s="2">
        <f>ROUND((BC40+BC29)*LEFT(BD46,5),0)</f>
        <v>0</v>
      </c>
      <c r="BD46" s="81" t="str">
        <f>TEXT('MYP Assumptions'!J61,"0.00%")&amp;", no rate change"</f>
        <v>0.00%, no rate change</v>
      </c>
    </row>
    <row r="47" spans="1:56" x14ac:dyDescent="0.25">
      <c r="A47" s="12" t="s">
        <v>87</v>
      </c>
      <c r="B47" s="39" t="s">
        <v>80</v>
      </c>
      <c r="C47" s="3">
        <f>106578+6504</f>
        <v>113082</v>
      </c>
      <c r="D47" s="30"/>
      <c r="E47" s="2">
        <v>0</v>
      </c>
      <c r="F47" s="36"/>
      <c r="G47" s="2">
        <v>593</v>
      </c>
      <c r="H47" s="36"/>
      <c r="I47" s="2">
        <v>310</v>
      </c>
      <c r="J47" s="36"/>
      <c r="K47" s="2">
        <f>7+1</f>
        <v>8</v>
      </c>
      <c r="L47" s="36"/>
      <c r="M47" s="2">
        <f>188+20</f>
        <v>208</v>
      </c>
      <c r="N47" s="36"/>
      <c r="O47" s="2">
        <v>0</v>
      </c>
      <c r="P47" s="36"/>
      <c r="Q47" s="2">
        <f>4</f>
        <v>4</v>
      </c>
      <c r="R47" s="36"/>
      <c r="S47" s="2">
        <v>395</v>
      </c>
      <c r="T47" s="36"/>
      <c r="U47" s="2">
        <v>0</v>
      </c>
      <c r="V47" s="36"/>
      <c r="W47" s="2">
        <v>4848</v>
      </c>
      <c r="X47" s="36"/>
      <c r="Y47" s="2">
        <v>0</v>
      </c>
      <c r="Z47" s="36"/>
      <c r="AA47" s="2">
        <v>0</v>
      </c>
      <c r="AB47" s="36"/>
      <c r="AC47" s="66"/>
      <c r="AD47" s="12" t="str">
        <f t="shared" si="22"/>
        <v>340X</v>
      </c>
      <c r="AE47" s="39" t="str">
        <f t="shared" si="23"/>
        <v>H&amp;W</v>
      </c>
      <c r="AF47" s="2">
        <f t="shared" si="30"/>
        <v>119448</v>
      </c>
      <c r="AG47" s="2"/>
      <c r="AH47" s="83">
        <f t="shared" si="24"/>
        <v>4.9996651262474046E-2</v>
      </c>
      <c r="AI47" s="2">
        <f>ROUND((AF47)*(LEFT(AJ47,5)+1),0)</f>
        <v>125420</v>
      </c>
      <c r="AJ47" s="81" t="str">
        <f>TEXT('MYP Assumptions'!$I$68,"0.00%")&amp;", projected increase"</f>
        <v>5.00%, projected increase</v>
      </c>
      <c r="AK47" s="66"/>
      <c r="AL47" s="83">
        <f t="shared" si="25"/>
        <v>0.05</v>
      </c>
      <c r="AM47" s="2">
        <f>ROUND((AI47)*(LEFT(AN47,5)+1),0)</f>
        <v>131691</v>
      </c>
      <c r="AN47" s="81" t="str">
        <f>TEXT('MYP Assumptions'!$I$68,"0.00%")&amp;", projected increase"</f>
        <v>5.00%, projected increase</v>
      </c>
      <c r="AP47" s="83">
        <f t="shared" si="26"/>
        <v>5.000341709000615E-2</v>
      </c>
      <c r="AQ47" s="2">
        <f>ROUND((AM47)*(LEFT(AR47,5)+1),0)</f>
        <v>138276</v>
      </c>
      <c r="AR47" s="81" t="str">
        <f>TEXT('MYP Assumptions'!$I$68,"0.00%")&amp;", projected increase"</f>
        <v>5.00%, projected increase</v>
      </c>
      <c r="AT47" s="83">
        <f t="shared" si="27"/>
        <v>5.0001446382597126E-2</v>
      </c>
      <c r="AU47" s="2">
        <f>ROUND((AQ47)*(LEFT(AV47,5)+1),0)</f>
        <v>145190</v>
      </c>
      <c r="AV47" s="81" t="str">
        <f>TEXT('MYP Assumptions'!$I$68,"0.00%")&amp;", projected increase"</f>
        <v>5.00%, projected increase</v>
      </c>
      <c r="AX47" s="83">
        <f t="shared" si="28"/>
        <v>5.0003443763344584E-2</v>
      </c>
      <c r="AY47" s="2">
        <f>ROUND((AU47)*(LEFT(AZ47,5)+1),0)</f>
        <v>152450</v>
      </c>
      <c r="AZ47" s="81" t="str">
        <f>TEXT('MYP Assumptions'!$I$68,"0.00%")&amp;", projected increase"</f>
        <v>5.00%, projected increase</v>
      </c>
      <c r="BB47" s="83">
        <f t="shared" si="29"/>
        <v>5.0003279763857003E-2</v>
      </c>
      <c r="BC47" s="2">
        <f>ROUND((AY47)*(LEFT(BD47,5)+1),0)</f>
        <v>160073</v>
      </c>
      <c r="BD47" s="81" t="str">
        <f>TEXT('MYP Assumptions'!$I$68,"0.00%")&amp;", projected increase"</f>
        <v>5.00%, projected increase</v>
      </c>
    </row>
    <row r="48" spans="1:56" x14ac:dyDescent="0.25">
      <c r="A48" s="12" t="s">
        <v>88</v>
      </c>
      <c r="B48" s="39" t="s">
        <v>81</v>
      </c>
      <c r="C48" s="3">
        <f>496+10</f>
        <v>506</v>
      </c>
      <c r="D48" s="30"/>
      <c r="E48" s="2">
        <f>11+1</f>
        <v>12</v>
      </c>
      <c r="F48" s="36"/>
      <c r="G48" s="2">
        <f>4+8</f>
        <v>12</v>
      </c>
      <c r="H48" s="36"/>
      <c r="I48" s="2">
        <f>10+14</f>
        <v>24</v>
      </c>
      <c r="J48" s="36"/>
      <c r="K48" s="2">
        <f>149+7</f>
        <v>156</v>
      </c>
      <c r="L48" s="36"/>
      <c r="M48" s="2">
        <f>8+1</f>
        <v>9</v>
      </c>
      <c r="N48" s="36"/>
      <c r="O48" s="2">
        <v>2</v>
      </c>
      <c r="P48" s="36"/>
      <c r="Q48" s="2">
        <f>105+14</f>
        <v>119</v>
      </c>
      <c r="R48" s="36"/>
      <c r="S48" s="2">
        <f>7+13</f>
        <v>20</v>
      </c>
      <c r="T48" s="36"/>
      <c r="U48" s="2">
        <v>13</v>
      </c>
      <c r="V48" s="36"/>
      <c r="W48" s="2">
        <v>24</v>
      </c>
      <c r="X48" s="36"/>
      <c r="Y48" s="2">
        <v>7</v>
      </c>
      <c r="Z48" s="36"/>
      <c r="AA48" s="2">
        <f>10+2</f>
        <v>12</v>
      </c>
      <c r="AB48" s="36"/>
      <c r="AC48" s="66"/>
      <c r="AD48" s="12" t="str">
        <f t="shared" si="22"/>
        <v>350X</v>
      </c>
      <c r="AE48" s="39" t="str">
        <f t="shared" si="23"/>
        <v>SUI</v>
      </c>
      <c r="AF48" s="2">
        <f t="shared" si="30"/>
        <v>916</v>
      </c>
      <c r="AG48" s="2"/>
      <c r="AH48" s="83">
        <f t="shared" si="24"/>
        <v>-0.30458515283842796</v>
      </c>
      <c r="AI48" s="2">
        <f>ROUND((AI40+AI29)*LEFT(AJ48,5),0)</f>
        <v>637</v>
      </c>
      <c r="AJ48" s="81" t="str">
        <f>TEXT('MYP Assumptions'!E62,"0.00%")&amp;", no rate change"</f>
        <v>0.05%, no rate change</v>
      </c>
      <c r="AK48" s="66"/>
      <c r="AL48" s="83">
        <f t="shared" si="25"/>
        <v>2.0408163265306121E-2</v>
      </c>
      <c r="AM48" s="2">
        <f>ROUND((AM40+AM29)*LEFT(AN48,5),0)</f>
        <v>650</v>
      </c>
      <c r="AN48" s="81" t="str">
        <f>TEXT('MYP Assumptions'!F62,"0.00%")&amp;", no rate change"</f>
        <v>0.05%, no rate change</v>
      </c>
      <c r="AP48" s="83">
        <f t="shared" si="26"/>
        <v>0.02</v>
      </c>
      <c r="AQ48" s="2">
        <f>ROUND((AQ40+AQ29)*LEFT(AR48,5),0)</f>
        <v>663</v>
      </c>
      <c r="AR48" s="81" t="str">
        <f>TEXT('MYP Assumptions'!G62,"0.00%")&amp;", no rate change"</f>
        <v>0.05%, no rate change</v>
      </c>
      <c r="AT48" s="83">
        <f t="shared" si="27"/>
        <v>1.9607843137254902E-2</v>
      </c>
      <c r="AU48" s="2">
        <f>ROUND((AU40+AU29)*LEFT(AV48,5),0)</f>
        <v>676</v>
      </c>
      <c r="AV48" s="81" t="str">
        <f>TEXT('MYP Assumptions'!H62,"0.00%")&amp;", no rate change"</f>
        <v>0.05%, no rate change</v>
      </c>
      <c r="AX48" s="83">
        <f t="shared" si="28"/>
        <v>2.0710059171597635E-2</v>
      </c>
      <c r="AY48" s="2">
        <f>ROUND((AY40+AY29)*LEFT(AZ48,5),0)</f>
        <v>690</v>
      </c>
      <c r="AZ48" s="81" t="str">
        <f>TEXT('MYP Assumptions'!I62,"0.00%")&amp;", no rate change"</f>
        <v>0.05%, no rate change</v>
      </c>
      <c r="BB48" s="83">
        <f t="shared" si="29"/>
        <v>-1</v>
      </c>
      <c r="BC48" s="2">
        <f>ROUND((BC40+BC29)*LEFT(BD48,5),0)</f>
        <v>0</v>
      </c>
      <c r="BD48" s="81" t="str">
        <f>TEXT('MYP Assumptions'!J62,"0.00%")&amp;", no rate change"</f>
        <v>0.00%, no rate change</v>
      </c>
    </row>
    <row r="49" spans="1:56" x14ac:dyDescent="0.25">
      <c r="A49" s="12" t="s">
        <v>89</v>
      </c>
      <c r="B49" s="39" t="s">
        <v>82</v>
      </c>
      <c r="C49" s="3">
        <f>10182+215</f>
        <v>10397</v>
      </c>
      <c r="D49" s="30"/>
      <c r="E49" s="2">
        <f>212+5</f>
        <v>217</v>
      </c>
      <c r="F49" s="36"/>
      <c r="G49" s="2">
        <f>90+183</f>
        <v>273</v>
      </c>
      <c r="H49" s="36"/>
      <c r="I49" s="2">
        <f>224+314</f>
        <v>538</v>
      </c>
      <c r="J49" s="36"/>
      <c r="K49" s="2">
        <v>0</v>
      </c>
      <c r="L49" s="36"/>
      <c r="M49" s="2">
        <f>143+15</f>
        <v>158</v>
      </c>
      <c r="N49" s="36"/>
      <c r="O49" s="2">
        <f>60+22</f>
        <v>82</v>
      </c>
      <c r="P49" s="36"/>
      <c r="Q49" s="2">
        <v>0</v>
      </c>
      <c r="R49" s="36"/>
      <c r="S49" s="2">
        <f>166+277</f>
        <v>443</v>
      </c>
      <c r="T49" s="36"/>
      <c r="U49" s="2">
        <f>260+5</f>
        <v>265</v>
      </c>
      <c r="V49" s="36"/>
      <c r="W49" s="2">
        <f>223+308</f>
        <v>531</v>
      </c>
      <c r="X49" s="36"/>
      <c r="Y49" s="2">
        <f>158</f>
        <v>158</v>
      </c>
      <c r="Z49" s="36"/>
      <c r="AA49" s="2">
        <f>218+58</f>
        <v>276</v>
      </c>
      <c r="AB49" s="36"/>
      <c r="AC49" s="66"/>
      <c r="AD49" s="12" t="str">
        <f t="shared" si="22"/>
        <v>360X</v>
      </c>
      <c r="AE49" s="39" t="str">
        <f t="shared" si="23"/>
        <v>W/C</v>
      </c>
      <c r="AF49" s="2">
        <f t="shared" si="30"/>
        <v>13338</v>
      </c>
      <c r="AG49" s="2"/>
      <c r="AH49" s="83">
        <f t="shared" si="24"/>
        <v>-0.23579247263457789</v>
      </c>
      <c r="AI49" s="2">
        <f>ROUND((AI40+AI29)*LEFT(AJ49,5),0)</f>
        <v>10193</v>
      </c>
      <c r="AJ49" s="81" t="str">
        <f>TEXT('MYP Assumptions'!E63,"0.00%")&amp;", no rate change"</f>
        <v>0.80%, no rate change</v>
      </c>
      <c r="AK49" s="66"/>
      <c r="AL49" s="83">
        <f t="shared" si="25"/>
        <v>2.0013734916118905E-2</v>
      </c>
      <c r="AM49" s="2">
        <f>ROUND((AM40+AM29)*LEFT(AN49,5),0)</f>
        <v>10397</v>
      </c>
      <c r="AN49" s="81" t="str">
        <f>TEXT('MYP Assumptions'!F63,"0.00%")&amp;", no rate change"</f>
        <v>0.80%, no rate change</v>
      </c>
      <c r="AP49" s="83">
        <f t="shared" si="26"/>
        <v>2.0005770895450612E-2</v>
      </c>
      <c r="AQ49" s="2">
        <f>ROUND((AQ40+AQ29)*LEFT(AR49,5),0)</f>
        <v>10605</v>
      </c>
      <c r="AR49" s="81" t="str">
        <f>TEXT('MYP Assumptions'!G63,"0.00%")&amp;", no rate change"</f>
        <v>0.80%, no rate change</v>
      </c>
      <c r="AT49" s="83">
        <f t="shared" si="27"/>
        <v>1.9990570485619991E-2</v>
      </c>
      <c r="AU49" s="2">
        <f>ROUND((AU40+AU29)*LEFT(AV49,5),0)</f>
        <v>10817</v>
      </c>
      <c r="AV49" s="81" t="str">
        <f>TEXT('MYP Assumptions'!H63,"0.00%")&amp;", no rate change"</f>
        <v>0.80%, no rate change</v>
      </c>
      <c r="AX49" s="83">
        <f t="shared" si="28"/>
        <v>2.0061015068873068E-2</v>
      </c>
      <c r="AY49" s="2">
        <f>ROUND((AY40+AY29)*LEFT(AZ49,5),0)</f>
        <v>11034</v>
      </c>
      <c r="AZ49" s="81" t="str">
        <f>TEXT('MYP Assumptions'!I63,"0.00%")&amp;", no rate change"</f>
        <v>0.80%, no rate change</v>
      </c>
      <c r="BB49" s="83">
        <f t="shared" si="29"/>
        <v>-1</v>
      </c>
      <c r="BC49" s="2">
        <f>ROUND((BC40+BC29)*LEFT(BD49,5),0)</f>
        <v>0</v>
      </c>
      <c r="BD49" s="81" t="str">
        <f>TEXT('MYP Assumptions'!J63,"0.00%")&amp;", no rate change"</f>
        <v>0.00%, no rate change</v>
      </c>
    </row>
    <row r="50" spans="1:56" x14ac:dyDescent="0.25">
      <c r="A50" s="12" t="s">
        <v>90</v>
      </c>
      <c r="B50" s="39" t="s">
        <v>92</v>
      </c>
      <c r="C50" s="3">
        <v>0</v>
      </c>
      <c r="D50" s="30"/>
      <c r="E50" s="2">
        <v>0</v>
      </c>
      <c r="F50" s="36"/>
      <c r="G50" s="2">
        <v>0</v>
      </c>
      <c r="H50" s="36"/>
      <c r="I50" s="2">
        <v>0</v>
      </c>
      <c r="J50" s="36"/>
      <c r="K50" s="2">
        <v>0</v>
      </c>
      <c r="L50" s="36"/>
      <c r="M50" s="2">
        <v>0</v>
      </c>
      <c r="N50" s="36"/>
      <c r="O50" s="2">
        <v>0</v>
      </c>
      <c r="P50" s="36"/>
      <c r="Q50" s="2">
        <v>0</v>
      </c>
      <c r="R50" s="36"/>
      <c r="S50" s="2">
        <v>0</v>
      </c>
      <c r="T50" s="36"/>
      <c r="U50" s="2">
        <v>0</v>
      </c>
      <c r="V50" s="36"/>
      <c r="W50" s="2">
        <v>0</v>
      </c>
      <c r="X50" s="36"/>
      <c r="Y50" s="2">
        <f>3</f>
        <v>3</v>
      </c>
      <c r="Z50" s="36"/>
      <c r="AA50" s="2">
        <v>0</v>
      </c>
      <c r="AB50" s="36"/>
      <c r="AC50" s="66"/>
      <c r="AD50" s="12" t="str">
        <f t="shared" si="22"/>
        <v>370X</v>
      </c>
      <c r="AE50" s="39" t="str">
        <f t="shared" si="23"/>
        <v>OPEB</v>
      </c>
      <c r="AF50" s="2">
        <f t="shared" si="30"/>
        <v>3</v>
      </c>
      <c r="AG50" s="2"/>
      <c r="AH50" s="83">
        <f t="shared" si="24"/>
        <v>0</v>
      </c>
      <c r="AI50" s="2">
        <f>AF50</f>
        <v>3</v>
      </c>
      <c r="AJ50" s="81" t="s">
        <v>165</v>
      </c>
      <c r="AK50" s="66"/>
      <c r="AL50" s="83">
        <f t="shared" si="25"/>
        <v>0</v>
      </c>
      <c r="AM50" s="2">
        <f>AI50</f>
        <v>3</v>
      </c>
      <c r="AN50" s="81" t="s">
        <v>165</v>
      </c>
      <c r="AP50" s="83">
        <f t="shared" si="26"/>
        <v>0</v>
      </c>
      <c r="AQ50" s="2">
        <f>AM50</f>
        <v>3</v>
      </c>
      <c r="AR50" s="81" t="s">
        <v>165</v>
      </c>
      <c r="AT50" s="83">
        <f t="shared" si="27"/>
        <v>0</v>
      </c>
      <c r="AU50" s="2">
        <f>AQ50</f>
        <v>3</v>
      </c>
      <c r="AV50" s="81" t="s">
        <v>165</v>
      </c>
      <c r="AX50" s="83">
        <f t="shared" si="28"/>
        <v>0</v>
      </c>
      <c r="AY50" s="2">
        <f>AU50</f>
        <v>3</v>
      </c>
      <c r="AZ50" s="81" t="s">
        <v>165</v>
      </c>
      <c r="BB50" s="83">
        <f t="shared" si="29"/>
        <v>0</v>
      </c>
      <c r="BC50" s="2">
        <f>AY50</f>
        <v>3</v>
      </c>
      <c r="BD50" s="81" t="s">
        <v>165</v>
      </c>
    </row>
    <row r="51" spans="1:56" x14ac:dyDescent="0.25">
      <c r="A51" s="12" t="s">
        <v>91</v>
      </c>
      <c r="B51" s="39" t="s">
        <v>93</v>
      </c>
      <c r="C51" s="3">
        <v>5685</v>
      </c>
      <c r="D51" s="30"/>
      <c r="E51" s="2">
        <v>0</v>
      </c>
      <c r="F51" s="36"/>
      <c r="G51" s="2">
        <v>0</v>
      </c>
      <c r="H51" s="36"/>
      <c r="I51" s="2">
        <v>0</v>
      </c>
      <c r="J51" s="36"/>
      <c r="K51" s="2">
        <v>0</v>
      </c>
      <c r="L51" s="36"/>
      <c r="M51" s="2">
        <v>0</v>
      </c>
      <c r="N51" s="36"/>
      <c r="O51" s="2">
        <v>0</v>
      </c>
      <c r="P51" s="36"/>
      <c r="Q51" s="2">
        <v>0</v>
      </c>
      <c r="R51" s="36"/>
      <c r="S51" s="2">
        <v>0</v>
      </c>
      <c r="T51" s="36"/>
      <c r="U51" s="2">
        <v>0</v>
      </c>
      <c r="V51" s="36"/>
      <c r="W51" s="2">
        <v>0</v>
      </c>
      <c r="X51" s="36"/>
      <c r="Y51" s="2">
        <v>0</v>
      </c>
      <c r="Z51" s="36"/>
      <c r="AA51" s="2">
        <v>0</v>
      </c>
      <c r="AB51" s="36"/>
      <c r="AC51" s="66"/>
      <c r="AD51" s="12" t="str">
        <f t="shared" si="22"/>
        <v>390X</v>
      </c>
      <c r="AE51" s="39" t="str">
        <f t="shared" si="23"/>
        <v>Other Benefits</v>
      </c>
      <c r="AF51" s="2">
        <f t="shared" si="30"/>
        <v>5685</v>
      </c>
      <c r="AG51" s="2"/>
      <c r="AH51" s="83">
        <f t="shared" si="24"/>
        <v>0</v>
      </c>
      <c r="AI51" s="2">
        <f>AF51</f>
        <v>5685</v>
      </c>
      <c r="AJ51" s="81" t="s">
        <v>165</v>
      </c>
      <c r="AK51" s="66"/>
      <c r="AL51" s="83">
        <f t="shared" si="25"/>
        <v>0</v>
      </c>
      <c r="AM51" s="2">
        <f>AI51</f>
        <v>5685</v>
      </c>
      <c r="AN51" s="81" t="s">
        <v>165</v>
      </c>
      <c r="AP51" s="83">
        <f t="shared" si="26"/>
        <v>0</v>
      </c>
      <c r="AQ51" s="2">
        <f>AM51</f>
        <v>5685</v>
      </c>
      <c r="AR51" s="81" t="s">
        <v>165</v>
      </c>
      <c r="AT51" s="83">
        <f t="shared" si="27"/>
        <v>0</v>
      </c>
      <c r="AU51" s="2">
        <f>AQ51</f>
        <v>5685</v>
      </c>
      <c r="AV51" s="81" t="s">
        <v>165</v>
      </c>
      <c r="AX51" s="83">
        <f t="shared" si="28"/>
        <v>0</v>
      </c>
      <c r="AY51" s="2">
        <f>AU51</f>
        <v>5685</v>
      </c>
      <c r="AZ51" s="81" t="s">
        <v>165</v>
      </c>
      <c r="BB51" s="83">
        <f t="shared" si="29"/>
        <v>0</v>
      </c>
      <c r="BC51" s="2">
        <f>AY51</f>
        <v>5685</v>
      </c>
      <c r="BD51" s="81" t="s">
        <v>165</v>
      </c>
    </row>
    <row r="52" spans="1:56" x14ac:dyDescent="0.25">
      <c r="A52" s="12"/>
      <c r="C52" s="8">
        <f>SUM(C43:C51)</f>
        <v>268302</v>
      </c>
      <c r="D52" s="33"/>
      <c r="E52" s="8">
        <f>SUM(E43:E51)</f>
        <v>3034</v>
      </c>
      <c r="F52" s="5"/>
      <c r="G52" s="8">
        <f>SUM(G43:G51)</f>
        <v>5532</v>
      </c>
      <c r="H52" s="5"/>
      <c r="I52" s="8">
        <f>SUM(I43:I51)</f>
        <v>8526</v>
      </c>
      <c r="J52" s="5"/>
      <c r="K52" s="8">
        <f>SUM(K43:K51)</f>
        <v>2179</v>
      </c>
      <c r="L52" s="5"/>
      <c r="M52" s="8">
        <f>SUM(M43:M51)</f>
        <v>2284</v>
      </c>
      <c r="N52" s="5"/>
      <c r="O52" s="8">
        <f>SUM(O43:O51)</f>
        <v>1302</v>
      </c>
      <c r="P52" s="5"/>
      <c r="Q52" s="8">
        <f>SUM(Q43:Q51)</f>
        <v>1738</v>
      </c>
      <c r="R52" s="5"/>
      <c r="S52" s="8">
        <f>SUM(S43:S51)</f>
        <v>8028</v>
      </c>
      <c r="T52" s="5"/>
      <c r="U52" s="8">
        <f>SUM(U43:U51)</f>
        <v>3702</v>
      </c>
      <c r="V52" s="5"/>
      <c r="W52" s="8">
        <f>SUM(W43:W51)</f>
        <v>14143</v>
      </c>
      <c r="X52" s="5"/>
      <c r="Y52" s="8">
        <f>SUM(Y43:Y51)</f>
        <v>2217</v>
      </c>
      <c r="Z52" s="5"/>
      <c r="AA52" s="8">
        <f>SUM(AA43:AA51)</f>
        <v>4199</v>
      </c>
      <c r="AB52" s="5"/>
      <c r="AC52" s="29"/>
      <c r="AD52" s="12"/>
      <c r="AF52" s="8">
        <f>SUM(AF43:AF51)</f>
        <v>325186</v>
      </c>
      <c r="AG52" s="2"/>
      <c r="AH52" s="83">
        <f t="shared" si="24"/>
        <v>8.8355587263904356E-2</v>
      </c>
      <c r="AI52" s="8">
        <f>SUM(AI43:AI51)</f>
        <v>353918</v>
      </c>
      <c r="AJ52" s="5"/>
      <c r="AK52" s="29"/>
      <c r="AL52" s="83">
        <f t="shared" si="25"/>
        <v>0.1008312659994688</v>
      </c>
      <c r="AM52" s="8">
        <f>SUM(AM43:AM51)</f>
        <v>389604</v>
      </c>
      <c r="AN52" s="73"/>
      <c r="AP52" s="83">
        <f t="shared" si="26"/>
        <v>9.5938440057083602E-2</v>
      </c>
      <c r="AQ52" s="8">
        <f>SUM(AQ43:AQ51)</f>
        <v>426982</v>
      </c>
      <c r="AR52" s="73"/>
      <c r="AT52" s="83">
        <f t="shared" si="27"/>
        <v>6.5845867038891573E-2</v>
      </c>
      <c r="AU52" s="8">
        <f>SUM(AU43:AU51)</f>
        <v>455097</v>
      </c>
      <c r="AV52" s="73"/>
      <c r="AX52" s="83">
        <f t="shared" si="28"/>
        <v>3.2775430292882615E-2</v>
      </c>
      <c r="AY52" s="8">
        <f>SUM(AY43:AY51)</f>
        <v>470013</v>
      </c>
      <c r="AZ52" s="73"/>
      <c r="BB52" s="83" t="e">
        <f t="shared" si="29"/>
        <v>#VALUE!</v>
      </c>
      <c r="BC52" s="8" t="e">
        <f>SUM(BC43:BC51)</f>
        <v>#VALUE!</v>
      </c>
      <c r="BD52" s="73"/>
    </row>
    <row r="53" spans="1:56" x14ac:dyDescent="0.25">
      <c r="A53" s="12"/>
      <c r="C53" s="9"/>
      <c r="D53" s="33"/>
      <c r="E53" s="10"/>
      <c r="F53" s="6"/>
      <c r="G53" s="10"/>
      <c r="H53" s="6"/>
      <c r="I53" s="10"/>
      <c r="J53" s="6"/>
      <c r="K53" s="10"/>
      <c r="L53" s="6"/>
      <c r="M53" s="10"/>
      <c r="N53" s="6"/>
      <c r="O53" s="10"/>
      <c r="P53" s="6"/>
      <c r="Q53" s="10"/>
      <c r="R53" s="6"/>
      <c r="S53" s="10"/>
      <c r="T53" s="6"/>
      <c r="U53" s="10"/>
      <c r="V53" s="6"/>
      <c r="W53" s="10"/>
      <c r="X53" s="6"/>
      <c r="Y53" s="10"/>
      <c r="Z53" s="6"/>
      <c r="AA53" s="10"/>
      <c r="AB53" s="6"/>
      <c r="AC53" s="57"/>
      <c r="AD53" s="12"/>
      <c r="AF53" s="2"/>
      <c r="AG53" s="2"/>
      <c r="AI53" s="2"/>
      <c r="AJ53" s="36"/>
      <c r="AK53" s="66"/>
      <c r="AM53" s="2"/>
      <c r="AN53" s="73"/>
      <c r="AQ53" s="2"/>
      <c r="AR53" s="73"/>
      <c r="AU53" s="2"/>
      <c r="AV53" s="73"/>
      <c r="AY53" s="2"/>
      <c r="AZ53" s="73"/>
      <c r="BC53" s="2"/>
      <c r="BD53" s="73"/>
    </row>
    <row r="54" spans="1:56" x14ac:dyDescent="0.25">
      <c r="A54" s="21" t="s">
        <v>26</v>
      </c>
      <c r="C54" s="8">
        <f>SUM(C52,C40,C29)</f>
        <v>1255135</v>
      </c>
      <c r="D54" s="33"/>
      <c r="E54" s="8">
        <f>SUM(E52,E40,E29)</f>
        <v>20309</v>
      </c>
      <c r="F54" s="5"/>
      <c r="G54" s="8">
        <f>SUM(G52,G40,G29)</f>
        <v>27254</v>
      </c>
      <c r="H54" s="5"/>
      <c r="I54" s="8">
        <f>SUM(I52,I40,I29)</f>
        <v>57467</v>
      </c>
      <c r="J54" s="5"/>
      <c r="K54" s="8">
        <f>SUM(K52,K40,K29)</f>
        <v>16016</v>
      </c>
      <c r="L54" s="5"/>
      <c r="M54" s="8">
        <f>SUM(M52,M40,M29)</f>
        <v>16632</v>
      </c>
      <c r="N54" s="5"/>
      <c r="O54" s="8">
        <f>SUM(O52,O40,O29)</f>
        <v>9172</v>
      </c>
      <c r="P54" s="5"/>
      <c r="Q54" s="8">
        <f>SUM(Q52,Q40,Q29)</f>
        <v>12469</v>
      </c>
      <c r="R54" s="5"/>
      <c r="S54" s="8">
        <f>SUM(S52,S40,S29)</f>
        <v>48349</v>
      </c>
      <c r="T54" s="5"/>
      <c r="U54" s="8">
        <f>SUM(U52,U40,U29)</f>
        <v>15093</v>
      </c>
      <c r="V54" s="5"/>
      <c r="W54" s="8">
        <f>SUM(W52,W40,W29)</f>
        <v>50701</v>
      </c>
      <c r="X54" s="5"/>
      <c r="Y54" s="8">
        <f>SUM(Y52,Y40,Y29)</f>
        <v>16554</v>
      </c>
      <c r="Z54" s="5"/>
      <c r="AA54" s="8">
        <f>SUM(AA52,AA40,AA29)</f>
        <v>29222</v>
      </c>
      <c r="AB54" s="5"/>
      <c r="AC54" s="29"/>
      <c r="AD54" s="21" t="str">
        <f>A54</f>
        <v>Total Salaries and Benefits</v>
      </c>
      <c r="AF54" s="8">
        <f>SUM(AF52,AF40,AF29)</f>
        <v>1574373</v>
      </c>
      <c r="AG54" s="2"/>
      <c r="AH54" s="83">
        <f>IF(AF54=0,"0.00%",(AI54-AF54)/AF54)</f>
        <v>3.4118344255141569E-2</v>
      </c>
      <c r="AI54" s="8">
        <f>SUM(AI52,AI40,AI29)</f>
        <v>1628088</v>
      </c>
      <c r="AJ54" s="5"/>
      <c r="AK54" s="29"/>
      <c r="AL54" s="83">
        <f>IF(AI54=0,"0.00%",(AM54-AI54)/AI54)</f>
        <v>3.75716791721332E-2</v>
      </c>
      <c r="AM54" s="8">
        <f>SUM(AM52,AM40,AM29)</f>
        <v>1689258</v>
      </c>
      <c r="AN54" s="73"/>
      <c r="AP54" s="83">
        <f>IF(AM54=0,"0.00%",(AQ54-AM54)/AM54)</f>
        <v>3.7514695801351833E-2</v>
      </c>
      <c r="AQ54" s="8">
        <f>SUM(AQ52,AQ40,AQ29)</f>
        <v>1752630</v>
      </c>
      <c r="AR54" s="73"/>
      <c r="AT54" s="83">
        <f>IF(AQ54=0,"0.00%",(AU54-AQ54)/AQ54)</f>
        <v>3.1168586638366341E-2</v>
      </c>
      <c r="AU54" s="8">
        <f>SUM(AU52,AU40,AU29)</f>
        <v>1807257</v>
      </c>
      <c r="AV54" s="73"/>
      <c r="AX54" s="83">
        <f>IF(AU54=0,"0.00%",(AY54-AU54)/AU54)</f>
        <v>2.3216399217156167E-2</v>
      </c>
      <c r="AY54" s="8">
        <f>SUM(AY52,AY40,AY29)</f>
        <v>1849215</v>
      </c>
      <c r="AZ54" s="73"/>
      <c r="BB54" s="83" t="e">
        <f>IF(AY54=0,"0.00%",(BC54-AY54)/AY54)</f>
        <v>#VALUE!</v>
      </c>
      <c r="BC54" s="8" t="e">
        <f>SUM(BC52,BC40,BC29)</f>
        <v>#VALUE!</v>
      </c>
      <c r="BD54" s="73"/>
    </row>
    <row r="55" spans="1:56" x14ac:dyDescent="0.25">
      <c r="F55" s="51"/>
      <c r="H55" s="51"/>
      <c r="I55" s="39"/>
      <c r="J55" s="51"/>
      <c r="L55" s="51"/>
      <c r="N55" s="51"/>
      <c r="P55" s="51"/>
      <c r="R55" s="51"/>
      <c r="T55" s="51"/>
      <c r="V55" s="51"/>
      <c r="X55" s="51"/>
      <c r="Z55" s="51"/>
      <c r="AB55" s="51"/>
      <c r="AC55" s="59"/>
      <c r="AF55" s="2"/>
      <c r="AG55" s="2"/>
      <c r="AI55" s="2"/>
      <c r="AJ55" s="36"/>
      <c r="AK55" s="66"/>
      <c r="AM55" s="2"/>
      <c r="AN55" s="73"/>
      <c r="AQ55" s="2"/>
      <c r="AR55" s="73"/>
      <c r="AU55" s="2"/>
      <c r="AV55" s="73"/>
      <c r="AY55" s="2"/>
      <c r="AZ55" s="73"/>
      <c r="BC55" s="2"/>
      <c r="BD55" s="73"/>
    </row>
    <row r="56" spans="1:56" x14ac:dyDescent="0.25">
      <c r="C56" s="3"/>
      <c r="D56" s="30"/>
      <c r="E56" s="2"/>
      <c r="F56" s="36"/>
      <c r="G56" s="2"/>
      <c r="H56" s="36"/>
      <c r="J56" s="36"/>
      <c r="K56" s="2"/>
      <c r="L56" s="36"/>
      <c r="M56" s="2"/>
      <c r="N56" s="36"/>
      <c r="O56" s="2"/>
      <c r="P56" s="36"/>
      <c r="Q56" s="2"/>
      <c r="R56" s="36"/>
      <c r="S56" s="2"/>
      <c r="T56" s="36"/>
      <c r="U56" s="2"/>
      <c r="V56" s="36"/>
      <c r="W56" s="2"/>
      <c r="X56" s="36"/>
      <c r="Y56" s="2"/>
      <c r="Z56" s="36"/>
      <c r="AA56" s="2"/>
      <c r="AB56" s="36"/>
      <c r="AC56" s="66"/>
      <c r="AF56" s="2"/>
      <c r="AG56" s="2"/>
      <c r="AI56" s="2"/>
      <c r="AJ56" s="36"/>
      <c r="AK56" s="66"/>
      <c r="AM56" s="2"/>
      <c r="AN56" s="73"/>
      <c r="AQ56" s="2"/>
      <c r="AR56" s="73"/>
      <c r="AU56" s="2"/>
      <c r="AV56" s="73"/>
      <c r="AY56" s="2"/>
      <c r="AZ56" s="73"/>
      <c r="BC56" s="2"/>
      <c r="BD56" s="73"/>
    </row>
    <row r="57" spans="1:56" x14ac:dyDescent="0.25">
      <c r="A57" s="22" t="s">
        <v>25</v>
      </c>
      <c r="B57" s="4"/>
      <c r="F57" s="51"/>
      <c r="H57" s="51"/>
      <c r="I57" s="39"/>
      <c r="J57" s="51"/>
      <c r="L57" s="51"/>
      <c r="N57" s="51"/>
      <c r="P57" s="51"/>
      <c r="R57" s="51"/>
      <c r="T57" s="51"/>
      <c r="V57" s="51"/>
      <c r="X57" s="51"/>
      <c r="Z57" s="51"/>
      <c r="AB57" s="51"/>
      <c r="AC57" s="59"/>
      <c r="AD57" s="22" t="str">
        <f t="shared" ref="AD57:AD64" si="31">A57</f>
        <v>Supplies</v>
      </c>
      <c r="AE57" s="4"/>
      <c r="AF57" s="2"/>
      <c r="AG57" s="2"/>
      <c r="AI57" s="2"/>
      <c r="AJ57" s="36"/>
      <c r="AK57" s="66"/>
      <c r="AM57" s="2"/>
      <c r="AN57" s="73"/>
      <c r="AQ57" s="2"/>
      <c r="AR57" s="73"/>
      <c r="AU57" s="2"/>
      <c r="AV57" s="73"/>
      <c r="AY57" s="2"/>
      <c r="AZ57" s="73"/>
      <c r="BC57" s="2"/>
      <c r="BD57" s="73"/>
    </row>
    <row r="58" spans="1:56" x14ac:dyDescent="0.25">
      <c r="A58" s="12" t="s">
        <v>24</v>
      </c>
      <c r="B58" s="39" t="s">
        <v>23</v>
      </c>
      <c r="C58" s="3">
        <v>4700</v>
      </c>
      <c r="D58" s="30"/>
      <c r="E58" s="2">
        <v>500</v>
      </c>
      <c r="F58" s="36"/>
      <c r="G58" s="2">
        <v>0</v>
      </c>
      <c r="H58" s="36"/>
      <c r="I58" s="2">
        <v>750</v>
      </c>
      <c r="J58" s="36"/>
      <c r="K58" s="2">
        <v>75</v>
      </c>
      <c r="L58" s="36"/>
      <c r="M58" s="2">
        <v>563</v>
      </c>
      <c r="N58" s="36"/>
      <c r="O58" s="2">
        <v>500</v>
      </c>
      <c r="P58" s="36"/>
      <c r="Q58" s="2">
        <v>999</v>
      </c>
      <c r="R58" s="36"/>
      <c r="S58" s="2">
        <v>0</v>
      </c>
      <c r="T58" s="36"/>
      <c r="U58" s="2">
        <v>691</v>
      </c>
      <c r="V58" s="36"/>
      <c r="W58" s="2">
        <v>335</v>
      </c>
      <c r="X58" s="36"/>
      <c r="Y58" s="2">
        <v>0</v>
      </c>
      <c r="Z58" s="36"/>
      <c r="AA58" s="2">
        <v>800</v>
      </c>
      <c r="AB58" s="36"/>
      <c r="AC58" s="66"/>
      <c r="AD58" s="12" t="str">
        <f t="shared" si="31"/>
        <v>4210</v>
      </c>
      <c r="AE58" s="39" t="str">
        <f t="shared" ref="AE58:AE64" si="32">B58</f>
        <v>Other Books</v>
      </c>
      <c r="AF58" s="2">
        <f>SUM(C58,E58,G58,I58,K58,M58,O58,Q58,S58,U58,W58,Y58,AA58)</f>
        <v>9913</v>
      </c>
      <c r="AG58" s="2"/>
      <c r="AH58" s="83">
        <f t="shared" ref="AH58:AH64" si="33">IF(AF58=0,"0.00%",(AI58-AF58)/AF58)</f>
        <v>3.3693130233027335E-2</v>
      </c>
      <c r="AI58" s="2">
        <f t="shared" ref="AI58:AI64" si="34">ROUND(AF58*(LEFT(AJ58,5)+1),0)</f>
        <v>10247</v>
      </c>
      <c r="AJ58" s="81" t="str">
        <f>TEXT('MYP Assumptions'!E78,"0.00%")&amp;", CPI"</f>
        <v>3.37%, CPI</v>
      </c>
      <c r="AK58" s="66"/>
      <c r="AL58" s="83">
        <f t="shared" ref="AL58:AL65" si="35">IF(AI58=0,"0.00%",(AM58-AI58)/AI58)</f>
        <v>3.5815360593344392E-2</v>
      </c>
      <c r="AM58" s="2">
        <f>ROUND(AI58*(LEFT(AN58,5)+1),0)</f>
        <v>10614</v>
      </c>
      <c r="AN58" s="81" t="str">
        <f>TEXT('MYP Assumptions'!F78,"0.00%")&amp;", CPI"</f>
        <v>3.58%, CPI</v>
      </c>
      <c r="AP58" s="83">
        <f t="shared" ref="AP58:AP65" si="36">IF(AM58=0,"0.00%",(AQ58-AM58)/AM58)</f>
        <v>3.3634821933295644E-2</v>
      </c>
      <c r="AQ58" s="2">
        <f>ROUND(AM58*(LEFT(AR58,5)+1),0)</f>
        <v>10971</v>
      </c>
      <c r="AR58" s="81" t="str">
        <f>TEXT('MYP Assumptions'!G78,"0.00%")&amp;", CPI"</f>
        <v>3.36%, CPI</v>
      </c>
      <c r="AT58" s="83">
        <f t="shared" ref="AT58:AT65" si="37">IF(AQ58=0,"0.00%",(AU58-AQ58)/AQ58)</f>
        <v>3.2266885425211923E-2</v>
      </c>
      <c r="AU58" s="2">
        <f>ROUND(AQ58*(LEFT(AV58,5)+1),0)</f>
        <v>11325</v>
      </c>
      <c r="AV58" s="81" t="str">
        <f>TEXT('MYP Assumptions'!H78,"0.00%")&amp;", CPI"</f>
        <v>3.23%, CPI</v>
      </c>
      <c r="AX58" s="83">
        <f t="shared" ref="AX58:AX65" si="38">IF(AU58=0,"0.00%",(AY58-AU58)/AU58)</f>
        <v>2.7284768211920531E-2</v>
      </c>
      <c r="AY58" s="2">
        <f>ROUND(AU58*(LEFT(AZ58,5)+1),0)</f>
        <v>11634</v>
      </c>
      <c r="AZ58" s="81" t="str">
        <f>TEXT('MYP Assumptions'!I78,"0.00%")&amp;", CPI"</f>
        <v>2.73%, CPI</v>
      </c>
      <c r="BB58" s="83">
        <f t="shared" ref="BB58:BB65" si="39">IF(AY58=0,"0.00%",(BC58-AY58)/AY58)</f>
        <v>2.7333677153171736E-2</v>
      </c>
      <c r="BC58" s="2">
        <f>ROUND(AY58*(LEFT(BD58,5)+1),0)</f>
        <v>11952</v>
      </c>
      <c r="BD58" s="81" t="str">
        <f>TEXT('MYP Assumptions'!J78,"0.00%")&amp;", CPI"</f>
        <v>2.73%, CPI</v>
      </c>
    </row>
    <row r="59" spans="1:56" x14ac:dyDescent="0.25">
      <c r="A59" s="12" t="s">
        <v>94</v>
      </c>
      <c r="B59" s="39" t="s">
        <v>96</v>
      </c>
      <c r="C59" s="3">
        <v>0</v>
      </c>
      <c r="D59" s="30"/>
      <c r="E59" s="2">
        <v>0</v>
      </c>
      <c r="F59" s="36"/>
      <c r="G59" s="2">
        <v>160</v>
      </c>
      <c r="H59" s="36"/>
      <c r="I59" s="2">
        <v>0</v>
      </c>
      <c r="J59" s="36"/>
      <c r="K59" s="2">
        <v>0</v>
      </c>
      <c r="L59" s="36"/>
      <c r="M59" s="2">
        <v>31580</v>
      </c>
      <c r="N59" s="36"/>
      <c r="O59" s="2">
        <v>0</v>
      </c>
      <c r="P59" s="36"/>
      <c r="Q59" s="2">
        <v>0</v>
      </c>
      <c r="R59" s="36"/>
      <c r="S59" s="2">
        <v>0</v>
      </c>
      <c r="T59" s="36"/>
      <c r="U59" s="2">
        <v>0</v>
      </c>
      <c r="V59" s="36"/>
      <c r="W59" s="2">
        <v>0</v>
      </c>
      <c r="X59" s="36"/>
      <c r="Y59" s="2">
        <v>0</v>
      </c>
      <c r="Z59" s="36"/>
      <c r="AA59" s="2">
        <v>0</v>
      </c>
      <c r="AB59" s="36"/>
      <c r="AC59" s="66"/>
      <c r="AD59" s="12" t="str">
        <f t="shared" si="31"/>
        <v>4211</v>
      </c>
      <c r="AE59" s="39" t="str">
        <f t="shared" si="32"/>
        <v>Reference Books</v>
      </c>
      <c r="AF59" s="2">
        <f t="shared" ref="AF59:AF64" si="40">SUM(C59,E59,G59,I59,K59,M59,O59,Q59,S59,U59,W59,Y59,AA59)</f>
        <v>31740</v>
      </c>
      <c r="AG59" s="2"/>
      <c r="AH59" s="83">
        <f t="shared" si="33"/>
        <v>3.3711405166981727E-2</v>
      </c>
      <c r="AI59" s="2">
        <f t="shared" si="34"/>
        <v>32810</v>
      </c>
      <c r="AJ59" s="81" t="str">
        <f>TEXT('MYP Assumptions'!E78,"0.00%")&amp;", CPI"</f>
        <v>3.37%, CPI</v>
      </c>
      <c r="AK59" s="66"/>
      <c r="AL59" s="83">
        <f t="shared" si="35"/>
        <v>3.5812252362084733E-2</v>
      </c>
      <c r="AM59" s="2">
        <f t="shared" ref="AM59:AM64" si="41">ROUND(AI59*(LEFT(AN59,5)+1),0)</f>
        <v>33985</v>
      </c>
      <c r="AN59" s="81" t="str">
        <f>TEXT('MYP Assumptions'!F78,"0.00%")&amp;", CPI"</f>
        <v>3.58%, CPI</v>
      </c>
      <c r="AP59" s="83">
        <f t="shared" si="36"/>
        <v>3.3603060173606002E-2</v>
      </c>
      <c r="AQ59" s="2">
        <f t="shared" ref="AQ59:AQ64" si="42">ROUND(AM59*(LEFT(AR59,5)+1),0)</f>
        <v>35127</v>
      </c>
      <c r="AR59" s="81" t="str">
        <f>TEXT('MYP Assumptions'!G78,"0.00%")&amp;", CPI"</f>
        <v>3.36%, CPI</v>
      </c>
      <c r="AT59" s="83">
        <f t="shared" si="37"/>
        <v>3.2311327468898567E-2</v>
      </c>
      <c r="AU59" s="2">
        <f t="shared" ref="AU59:AU64" si="43">ROUND(AQ59*(LEFT(AV59,5)+1),0)</f>
        <v>36262</v>
      </c>
      <c r="AV59" s="81" t="str">
        <f>TEXT('MYP Assumptions'!H78,"0.00%")&amp;", CPI"</f>
        <v>3.23%, CPI</v>
      </c>
      <c r="AX59" s="83">
        <f t="shared" si="38"/>
        <v>2.7301307153494016E-2</v>
      </c>
      <c r="AY59" s="2">
        <f t="shared" ref="AY59:AY64" si="44">ROUND(AU59*(LEFT(AZ59,5)+1),0)</f>
        <v>37252</v>
      </c>
      <c r="AZ59" s="81" t="str">
        <f>TEXT('MYP Assumptions'!I78,"0.00%")&amp;", CPI"</f>
        <v>2.73%, CPI</v>
      </c>
      <c r="BB59" s="83">
        <f t="shared" si="39"/>
        <v>2.730054762160421E-2</v>
      </c>
      <c r="BC59" s="2">
        <f t="shared" ref="BC59:BC64" si="45">ROUND(AY59*(LEFT(BD59,5)+1),0)</f>
        <v>38269</v>
      </c>
      <c r="BD59" s="81" t="str">
        <f>TEXT('MYP Assumptions'!J78,"0.00%")&amp;", CPI"</f>
        <v>2.73%, CPI</v>
      </c>
    </row>
    <row r="60" spans="1:56" x14ac:dyDescent="0.25">
      <c r="A60" s="12" t="s">
        <v>95</v>
      </c>
      <c r="B60" s="39" t="s">
        <v>97</v>
      </c>
      <c r="C60" s="3">
        <v>0</v>
      </c>
      <c r="D60" s="30"/>
      <c r="E60" s="2">
        <v>0</v>
      </c>
      <c r="F60" s="36"/>
      <c r="G60" s="2">
        <v>0</v>
      </c>
      <c r="H60" s="36"/>
      <c r="I60" s="2">
        <v>0</v>
      </c>
      <c r="J60" s="36"/>
      <c r="K60" s="2">
        <v>2747</v>
      </c>
      <c r="L60" s="36"/>
      <c r="M60" s="2">
        <v>0</v>
      </c>
      <c r="N60" s="36"/>
      <c r="O60" s="2">
        <v>0</v>
      </c>
      <c r="P60" s="36"/>
      <c r="Q60" s="2">
        <v>0</v>
      </c>
      <c r="R60" s="36"/>
      <c r="S60" s="2">
        <v>0</v>
      </c>
      <c r="T60" s="36"/>
      <c r="U60" s="2">
        <v>0</v>
      </c>
      <c r="V60" s="36"/>
      <c r="W60" s="2">
        <v>0</v>
      </c>
      <c r="X60" s="36"/>
      <c r="Y60" s="2">
        <v>0</v>
      </c>
      <c r="Z60" s="36"/>
      <c r="AA60" s="2">
        <v>0</v>
      </c>
      <c r="AB60" s="36"/>
      <c r="AC60" s="66"/>
      <c r="AD60" s="12" t="str">
        <f t="shared" si="31"/>
        <v>4212</v>
      </c>
      <c r="AE60" s="39" t="str">
        <f t="shared" si="32"/>
        <v>Library Books</v>
      </c>
      <c r="AF60" s="2">
        <f t="shared" si="40"/>
        <v>2747</v>
      </c>
      <c r="AG60" s="2"/>
      <c r="AH60" s="83">
        <f t="shared" si="33"/>
        <v>3.3855114670549691E-2</v>
      </c>
      <c r="AI60" s="2">
        <f t="shared" si="34"/>
        <v>2840</v>
      </c>
      <c r="AJ60" s="81" t="str">
        <f>TEXT('MYP Assumptions'!E78,"0.00%")&amp;", CPI"</f>
        <v>3.37%, CPI</v>
      </c>
      <c r="AK60" s="66"/>
      <c r="AL60" s="83">
        <f t="shared" si="35"/>
        <v>3.591549295774648E-2</v>
      </c>
      <c r="AM60" s="2">
        <f t="shared" si="41"/>
        <v>2942</v>
      </c>
      <c r="AN60" s="81" t="str">
        <f>TEXT('MYP Assumptions'!F78,"0.00%")&amp;", CPI"</f>
        <v>3.58%, CPI</v>
      </c>
      <c r="AP60" s="83">
        <f t="shared" si="36"/>
        <v>3.3650577838205305E-2</v>
      </c>
      <c r="AQ60" s="2">
        <f t="shared" si="42"/>
        <v>3041</v>
      </c>
      <c r="AR60" s="81" t="str">
        <f>TEXT('MYP Assumptions'!G78,"0.00%")&amp;", CPI"</f>
        <v>3.36%, CPI</v>
      </c>
      <c r="AT60" s="83">
        <f t="shared" si="37"/>
        <v>3.2226241367971059E-2</v>
      </c>
      <c r="AU60" s="2">
        <f t="shared" si="43"/>
        <v>3139</v>
      </c>
      <c r="AV60" s="81" t="str">
        <f>TEXT('MYP Assumptions'!H78,"0.00%")&amp;", CPI"</f>
        <v>3.23%, CPI</v>
      </c>
      <c r="AX60" s="83">
        <f t="shared" si="38"/>
        <v>2.7397260273972601E-2</v>
      </c>
      <c r="AY60" s="2">
        <f t="shared" si="44"/>
        <v>3225</v>
      </c>
      <c r="AZ60" s="81" t="str">
        <f>TEXT('MYP Assumptions'!I78,"0.00%")&amp;", CPI"</f>
        <v>2.73%, CPI</v>
      </c>
      <c r="BB60" s="83">
        <f t="shared" si="39"/>
        <v>2.7286821705426356E-2</v>
      </c>
      <c r="BC60" s="2">
        <f t="shared" si="45"/>
        <v>3313</v>
      </c>
      <c r="BD60" s="81" t="str">
        <f>TEXT('MYP Assumptions'!J78,"0.00%")&amp;", CPI"</f>
        <v>2.73%, CPI</v>
      </c>
    </row>
    <row r="61" spans="1:56" x14ac:dyDescent="0.25">
      <c r="A61" s="12" t="s">
        <v>22</v>
      </c>
      <c r="B61" s="39" t="s">
        <v>21</v>
      </c>
      <c r="C61" s="3">
        <v>10944</v>
      </c>
      <c r="D61" s="30"/>
      <c r="E61" s="2">
        <v>29562</v>
      </c>
      <c r="F61" s="36"/>
      <c r="G61" s="2">
        <v>28979</v>
      </c>
      <c r="H61" s="36"/>
      <c r="I61" s="2">
        <v>51238</v>
      </c>
      <c r="J61" s="36"/>
      <c r="K61" s="2">
        <v>23641</v>
      </c>
      <c r="L61" s="36"/>
      <c r="M61" s="2">
        <v>0</v>
      </c>
      <c r="N61" s="36"/>
      <c r="O61" s="2">
        <v>64011</v>
      </c>
      <c r="P61" s="36"/>
      <c r="Q61" s="2">
        <v>34526</v>
      </c>
      <c r="R61" s="36"/>
      <c r="S61" s="2">
        <v>32648</v>
      </c>
      <c r="T61" s="36"/>
      <c r="U61" s="2">
        <v>38127</v>
      </c>
      <c r="V61" s="36"/>
      <c r="W61" s="2">
        <v>31924</v>
      </c>
      <c r="X61" s="36"/>
      <c r="Y61" s="2">
        <v>25349</v>
      </c>
      <c r="Z61" s="36"/>
      <c r="AA61" s="2">
        <v>22677</v>
      </c>
      <c r="AB61" s="36"/>
      <c r="AC61" s="66"/>
      <c r="AD61" s="12" t="str">
        <f t="shared" si="31"/>
        <v>4310</v>
      </c>
      <c r="AE61" s="39" t="str">
        <f t="shared" si="32"/>
        <v>Inst. Materials</v>
      </c>
      <c r="AF61" s="2">
        <f t="shared" si="40"/>
        <v>393626</v>
      </c>
      <c r="AG61" s="2"/>
      <c r="AH61" s="83">
        <f t="shared" si="33"/>
        <v>3.3699501557315825E-2</v>
      </c>
      <c r="AI61" s="2">
        <f t="shared" si="34"/>
        <v>406891</v>
      </c>
      <c r="AJ61" s="81" t="str">
        <f>TEXT('MYP Assumptions'!E78,"0.00%")&amp;", CPI"</f>
        <v>3.37%, CPI</v>
      </c>
      <c r="AK61" s="66"/>
      <c r="AL61" s="83">
        <f t="shared" si="35"/>
        <v>3.5800742705048773E-2</v>
      </c>
      <c r="AM61" s="2">
        <f t="shared" si="41"/>
        <v>421458</v>
      </c>
      <c r="AN61" s="81" t="str">
        <f>TEXT('MYP Assumptions'!F78,"0.00%")&amp;", CPI"</f>
        <v>3.58%, CPI</v>
      </c>
      <c r="AP61" s="83">
        <f t="shared" si="36"/>
        <v>3.3600026574415479E-2</v>
      </c>
      <c r="AQ61" s="2">
        <f t="shared" si="42"/>
        <v>435619</v>
      </c>
      <c r="AR61" s="81" t="str">
        <f>TEXT('MYP Assumptions'!G78,"0.00%")&amp;", CPI"</f>
        <v>3.36%, CPI</v>
      </c>
      <c r="AT61" s="83">
        <f t="shared" si="37"/>
        <v>3.2298866670186561E-2</v>
      </c>
      <c r="AU61" s="2">
        <f t="shared" si="43"/>
        <v>449689</v>
      </c>
      <c r="AV61" s="81" t="str">
        <f>TEXT('MYP Assumptions'!H78,"0.00%")&amp;", CPI"</f>
        <v>3.23%, CPI</v>
      </c>
      <c r="AX61" s="83">
        <f t="shared" si="38"/>
        <v>2.7301090309080275E-2</v>
      </c>
      <c r="AY61" s="2">
        <f t="shared" si="44"/>
        <v>461966</v>
      </c>
      <c r="AZ61" s="81" t="str">
        <f>TEXT('MYP Assumptions'!I78,"0.00%")&amp;", CPI"</f>
        <v>2.73%, CPI</v>
      </c>
      <c r="BB61" s="83">
        <f t="shared" si="39"/>
        <v>2.7300710441893992E-2</v>
      </c>
      <c r="BC61" s="2">
        <f t="shared" si="45"/>
        <v>474578</v>
      </c>
      <c r="BD61" s="81" t="str">
        <f>TEXT('MYP Assumptions'!J78,"0.00%")&amp;", CPI"</f>
        <v>2.73%, CPI</v>
      </c>
    </row>
    <row r="62" spans="1:56" x14ac:dyDescent="0.25">
      <c r="A62" s="12" t="s">
        <v>20</v>
      </c>
      <c r="B62" s="39" t="s">
        <v>19</v>
      </c>
      <c r="C62" s="3">
        <v>9400</v>
      </c>
      <c r="D62" s="30"/>
      <c r="E62" s="2">
        <v>0</v>
      </c>
      <c r="F62" s="36"/>
      <c r="G62" s="2">
        <v>255</v>
      </c>
      <c r="H62" s="36"/>
      <c r="I62" s="2">
        <v>653</v>
      </c>
      <c r="J62" s="36"/>
      <c r="K62" s="2">
        <v>0</v>
      </c>
      <c r="L62" s="36"/>
      <c r="M62" s="2">
        <v>100</v>
      </c>
      <c r="N62" s="36"/>
      <c r="O62" s="2">
        <v>0</v>
      </c>
      <c r="P62" s="36"/>
      <c r="Q62" s="2">
        <v>1250</v>
      </c>
      <c r="R62" s="36"/>
      <c r="S62" s="2">
        <v>7996</v>
      </c>
      <c r="T62" s="36"/>
      <c r="U62" s="2">
        <v>245</v>
      </c>
      <c r="V62" s="36"/>
      <c r="W62" s="2">
        <v>2000</v>
      </c>
      <c r="X62" s="36"/>
      <c r="Y62" s="2">
        <v>3642</v>
      </c>
      <c r="Z62" s="36"/>
      <c r="AA62" s="2">
        <v>350</v>
      </c>
      <c r="AB62" s="36"/>
      <c r="AC62" s="66"/>
      <c r="AD62" s="12" t="str">
        <f t="shared" si="31"/>
        <v xml:space="preserve">4353 </v>
      </c>
      <c r="AE62" s="39" t="str">
        <f t="shared" si="32"/>
        <v>Non-Inst. Materials</v>
      </c>
      <c r="AF62" s="2">
        <f t="shared" si="40"/>
        <v>25891</v>
      </c>
      <c r="AG62" s="2"/>
      <c r="AH62" s="83">
        <f t="shared" si="33"/>
        <v>3.3718280483565718E-2</v>
      </c>
      <c r="AI62" s="2">
        <f t="shared" si="34"/>
        <v>26764</v>
      </c>
      <c r="AJ62" s="81" t="str">
        <f>TEXT('MYP Assumptions'!E78,"0.00%")&amp;", CPI"</f>
        <v>3.37%, CPI</v>
      </c>
      <c r="AK62" s="66"/>
      <c r="AL62" s="83">
        <f t="shared" si="35"/>
        <v>3.5794350620236136E-2</v>
      </c>
      <c r="AM62" s="2">
        <f t="shared" si="41"/>
        <v>27722</v>
      </c>
      <c r="AN62" s="81" t="str">
        <f>TEXT('MYP Assumptions'!F78,"0.00%")&amp;", CPI"</f>
        <v>3.58%, CPI</v>
      </c>
      <c r="AP62" s="83">
        <f t="shared" si="36"/>
        <v>3.3583435538561433E-2</v>
      </c>
      <c r="AQ62" s="2">
        <f t="shared" si="42"/>
        <v>28653</v>
      </c>
      <c r="AR62" s="81" t="str">
        <f>TEXT('MYP Assumptions'!G78,"0.00%")&amp;", CPI"</f>
        <v>3.36%, CPI</v>
      </c>
      <c r="AT62" s="83">
        <f t="shared" si="37"/>
        <v>3.2282832513174889E-2</v>
      </c>
      <c r="AU62" s="2">
        <f t="shared" si="43"/>
        <v>29578</v>
      </c>
      <c r="AV62" s="81" t="str">
        <f>TEXT('MYP Assumptions'!H78,"0.00%")&amp;", CPI"</f>
        <v>3.23%, CPI</v>
      </c>
      <c r="AX62" s="83">
        <f t="shared" si="38"/>
        <v>2.7283792007573197E-2</v>
      </c>
      <c r="AY62" s="2">
        <f t="shared" si="44"/>
        <v>30385</v>
      </c>
      <c r="AZ62" s="81" t="str">
        <f>TEXT('MYP Assumptions'!I78,"0.00%")&amp;", CPI"</f>
        <v>2.73%, CPI</v>
      </c>
      <c r="BB62" s="83">
        <f t="shared" si="39"/>
        <v>2.7316109922659208E-2</v>
      </c>
      <c r="BC62" s="2">
        <f t="shared" si="45"/>
        <v>31215</v>
      </c>
      <c r="BD62" s="81" t="str">
        <f>TEXT('MYP Assumptions'!J78,"0.00%")&amp;", CPI"</f>
        <v>2.73%, CPI</v>
      </c>
    </row>
    <row r="63" spans="1:56" x14ac:dyDescent="0.25">
      <c r="A63" s="12" t="s">
        <v>18</v>
      </c>
      <c r="B63" s="39" t="s">
        <v>17</v>
      </c>
      <c r="C63" s="3">
        <v>785</v>
      </c>
      <c r="D63" s="30"/>
      <c r="E63" s="2">
        <v>4708</v>
      </c>
      <c r="F63" s="36"/>
      <c r="G63" s="2">
        <v>7216</v>
      </c>
      <c r="H63" s="36"/>
      <c r="I63" s="2">
        <v>14879</v>
      </c>
      <c r="J63" s="36"/>
      <c r="K63" s="2">
        <v>0</v>
      </c>
      <c r="L63" s="36"/>
      <c r="M63" s="2">
        <v>6198</v>
      </c>
      <c r="N63" s="36"/>
      <c r="O63" s="2">
        <v>0</v>
      </c>
      <c r="P63" s="36"/>
      <c r="Q63" s="2">
        <v>1573</v>
      </c>
      <c r="R63" s="36"/>
      <c r="S63" s="2">
        <v>2737</v>
      </c>
      <c r="T63" s="36"/>
      <c r="U63" s="2">
        <v>4989</v>
      </c>
      <c r="V63" s="36"/>
      <c r="W63" s="2">
        <v>3000</v>
      </c>
      <c r="X63" s="36"/>
      <c r="Y63" s="2">
        <v>0</v>
      </c>
      <c r="Z63" s="36"/>
      <c r="AA63" s="2">
        <v>0</v>
      </c>
      <c r="AB63" s="36"/>
      <c r="AC63" s="66"/>
      <c r="AD63" s="12" t="str">
        <f t="shared" si="31"/>
        <v>4400</v>
      </c>
      <c r="AE63" s="39" t="str">
        <f t="shared" si="32"/>
        <v>Non-cap. Equipment</v>
      </c>
      <c r="AF63" s="2">
        <f t="shared" si="40"/>
        <v>46085</v>
      </c>
      <c r="AG63" s="2"/>
      <c r="AH63" s="83">
        <f t="shared" si="33"/>
        <v>3.3698600412281655E-2</v>
      </c>
      <c r="AI63" s="2">
        <f t="shared" si="34"/>
        <v>47638</v>
      </c>
      <c r="AJ63" s="81" t="str">
        <f>TEXT('MYP Assumptions'!E78,"0.00%")&amp;", CPI"</f>
        <v>3.37%, CPI</v>
      </c>
      <c r="AK63" s="66"/>
      <c r="AL63" s="83">
        <f t="shared" si="35"/>
        <v>3.5790755279398796E-2</v>
      </c>
      <c r="AM63" s="2">
        <f t="shared" si="41"/>
        <v>49343</v>
      </c>
      <c r="AN63" s="81" t="str">
        <f>TEXT('MYP Assumptions'!F78,"0.00%")&amp;", CPI"</f>
        <v>3.58%, CPI</v>
      </c>
      <c r="AP63" s="83">
        <f t="shared" si="36"/>
        <v>3.3601524025697667E-2</v>
      </c>
      <c r="AQ63" s="2">
        <f t="shared" si="42"/>
        <v>51001</v>
      </c>
      <c r="AR63" s="81" t="str">
        <f>TEXT('MYP Assumptions'!G78,"0.00%")&amp;", CPI"</f>
        <v>3.36%, CPI</v>
      </c>
      <c r="AT63" s="83">
        <f t="shared" si="37"/>
        <v>3.2293484441481536E-2</v>
      </c>
      <c r="AU63" s="2">
        <f t="shared" si="43"/>
        <v>52648</v>
      </c>
      <c r="AV63" s="81" t="str">
        <f>TEXT('MYP Assumptions'!H78,"0.00%")&amp;", CPI"</f>
        <v>3.23%, CPI</v>
      </c>
      <c r="AX63" s="83">
        <f t="shared" si="38"/>
        <v>2.7294484120954261E-2</v>
      </c>
      <c r="AY63" s="2">
        <f t="shared" si="44"/>
        <v>54085</v>
      </c>
      <c r="AZ63" s="81" t="str">
        <f>TEXT('MYP Assumptions'!I78,"0.00%")&amp;", CPI"</f>
        <v>2.73%, CPI</v>
      </c>
      <c r="BB63" s="83">
        <f t="shared" si="39"/>
        <v>2.7308865674401404E-2</v>
      </c>
      <c r="BC63" s="2">
        <f t="shared" si="45"/>
        <v>55562</v>
      </c>
      <c r="BD63" s="81" t="str">
        <f>TEXT('MYP Assumptions'!J78,"0.00%")&amp;", CPI"</f>
        <v>2.73%, CPI</v>
      </c>
    </row>
    <row r="64" spans="1:56" x14ac:dyDescent="0.25">
      <c r="A64" s="12">
        <v>4000</v>
      </c>
      <c r="B64" s="11"/>
      <c r="C64" s="3">
        <v>0</v>
      </c>
      <c r="D64" s="30"/>
      <c r="E64" s="2">
        <v>0</v>
      </c>
      <c r="F64" s="36"/>
      <c r="G64" s="2">
        <v>0</v>
      </c>
      <c r="H64" s="36"/>
      <c r="I64" s="2">
        <v>0</v>
      </c>
      <c r="J64" s="36"/>
      <c r="K64" s="2">
        <v>0</v>
      </c>
      <c r="L64" s="36"/>
      <c r="M64" s="2">
        <v>0</v>
      </c>
      <c r="N64" s="36"/>
      <c r="O64" s="2">
        <v>0</v>
      </c>
      <c r="P64" s="36"/>
      <c r="Q64" s="2">
        <v>0</v>
      </c>
      <c r="R64" s="36"/>
      <c r="S64" s="2">
        <v>0</v>
      </c>
      <c r="T64" s="36"/>
      <c r="U64" s="2">
        <v>0</v>
      </c>
      <c r="V64" s="36"/>
      <c r="W64" s="2">
        <v>0</v>
      </c>
      <c r="X64" s="36"/>
      <c r="Y64" s="2">
        <v>0</v>
      </c>
      <c r="Z64" s="36"/>
      <c r="AA64" s="2">
        <v>0</v>
      </c>
      <c r="AB64" s="36"/>
      <c r="AC64" s="66"/>
      <c r="AD64" s="12">
        <f t="shared" si="31"/>
        <v>4000</v>
      </c>
      <c r="AE64" s="11">
        <f t="shared" si="32"/>
        <v>0</v>
      </c>
      <c r="AF64" s="2">
        <f t="shared" si="40"/>
        <v>0</v>
      </c>
      <c r="AG64" s="2"/>
      <c r="AH64" s="83" t="str">
        <f t="shared" si="33"/>
        <v>0.00%</v>
      </c>
      <c r="AI64" s="2">
        <f t="shared" si="34"/>
        <v>0</v>
      </c>
      <c r="AJ64" s="81" t="str">
        <f>TEXT('MYP Assumptions'!E78,"0.00%")&amp;", CPI"</f>
        <v>3.37%, CPI</v>
      </c>
      <c r="AK64" s="66"/>
      <c r="AL64" s="83" t="str">
        <f t="shared" si="35"/>
        <v>0.00%</v>
      </c>
      <c r="AM64" s="2">
        <f t="shared" si="41"/>
        <v>0</v>
      </c>
      <c r="AN64" s="81" t="str">
        <f>TEXT('MYP Assumptions'!F78,"0.00%")&amp;", CPI"</f>
        <v>3.58%, CPI</v>
      </c>
      <c r="AP64" s="83" t="str">
        <f t="shared" si="36"/>
        <v>0.00%</v>
      </c>
      <c r="AQ64" s="2">
        <f t="shared" si="42"/>
        <v>0</v>
      </c>
      <c r="AR64" s="81" t="str">
        <f>TEXT('MYP Assumptions'!G78,"0.00%")&amp;", CPI"</f>
        <v>3.36%, CPI</v>
      </c>
      <c r="AT64" s="83" t="str">
        <f t="shared" si="37"/>
        <v>0.00%</v>
      </c>
      <c r="AU64" s="2">
        <f t="shared" si="43"/>
        <v>0</v>
      </c>
      <c r="AV64" s="81" t="str">
        <f>TEXT('MYP Assumptions'!H78,"0.00%")&amp;", CPI"</f>
        <v>3.23%, CPI</v>
      </c>
      <c r="AX64" s="83" t="str">
        <f t="shared" si="38"/>
        <v>0.00%</v>
      </c>
      <c r="AY64" s="2">
        <f t="shared" si="44"/>
        <v>0</v>
      </c>
      <c r="AZ64" s="81" t="str">
        <f>TEXT('MYP Assumptions'!I78,"0.00%")&amp;", CPI"</f>
        <v>2.73%, CPI</v>
      </c>
      <c r="BB64" s="83" t="str">
        <f t="shared" si="39"/>
        <v>0.00%</v>
      </c>
      <c r="BC64" s="2">
        <f t="shared" si="45"/>
        <v>0</v>
      </c>
      <c r="BD64" s="81" t="str">
        <f>TEXT('MYP Assumptions'!J78,"0.00%")&amp;", CPI"</f>
        <v>2.73%, CPI</v>
      </c>
    </row>
    <row r="65" spans="1:56" x14ac:dyDescent="0.25">
      <c r="A65" s="39"/>
      <c r="C65" s="8">
        <f>SUM(C58:C64)</f>
        <v>25829</v>
      </c>
      <c r="D65" s="33"/>
      <c r="E65" s="8">
        <f>SUM(E58:E64)</f>
        <v>34770</v>
      </c>
      <c r="F65" s="5"/>
      <c r="G65" s="8">
        <f>SUM(G58:G64)</f>
        <v>36610</v>
      </c>
      <c r="H65" s="5"/>
      <c r="I65" s="8">
        <f>SUM(I58:I64)</f>
        <v>67520</v>
      </c>
      <c r="J65" s="5"/>
      <c r="K65" s="8">
        <f>SUM(K58:K64)</f>
        <v>26463</v>
      </c>
      <c r="L65" s="5"/>
      <c r="M65" s="8">
        <f>SUM(M58:M64)</f>
        <v>38441</v>
      </c>
      <c r="N65" s="5"/>
      <c r="O65" s="8">
        <f>SUM(O58:O64)</f>
        <v>64511</v>
      </c>
      <c r="P65" s="5"/>
      <c r="Q65" s="8">
        <f>SUM(Q58:Q64)</f>
        <v>38348</v>
      </c>
      <c r="R65" s="5"/>
      <c r="S65" s="8">
        <f>SUM(S58:S64)</f>
        <v>43381</v>
      </c>
      <c r="T65" s="5"/>
      <c r="U65" s="8">
        <f>SUM(U58:U64)</f>
        <v>44052</v>
      </c>
      <c r="V65" s="5"/>
      <c r="W65" s="8">
        <f>SUM(W58:W64)</f>
        <v>37259</v>
      </c>
      <c r="X65" s="5"/>
      <c r="Y65" s="8">
        <f>SUM(Y58:Y64)</f>
        <v>28991</v>
      </c>
      <c r="Z65" s="5"/>
      <c r="AA65" s="8">
        <f>SUM(AA58:AA64)</f>
        <v>23827</v>
      </c>
      <c r="AB65" s="5"/>
      <c r="AC65" s="29"/>
      <c r="AD65" s="39"/>
      <c r="AF65" s="8">
        <f>SUM(AF58:AF64)</f>
        <v>510002</v>
      </c>
      <c r="AG65" s="2"/>
      <c r="AH65" s="83">
        <f>(AI65-AF65)/AF65</f>
        <v>3.3701828620279921E-2</v>
      </c>
      <c r="AI65" s="8">
        <f>SUM(AI58:AI64)</f>
        <v>527190</v>
      </c>
      <c r="AJ65" s="5"/>
      <c r="AK65" s="29"/>
      <c r="AL65" s="83">
        <f t="shared" si="35"/>
        <v>3.580113431590129E-2</v>
      </c>
      <c r="AM65" s="8">
        <f>SUM(AM58:AM64)</f>
        <v>546064</v>
      </c>
      <c r="AN65" s="73"/>
      <c r="AP65" s="83">
        <f t="shared" si="36"/>
        <v>3.3600457089278911E-2</v>
      </c>
      <c r="AQ65" s="8">
        <f>SUM(AQ58:AQ64)</f>
        <v>564412</v>
      </c>
      <c r="AR65" s="73"/>
      <c r="AT65" s="83">
        <f t="shared" si="37"/>
        <v>3.2297328901582531E-2</v>
      </c>
      <c r="AU65" s="8">
        <f>SUM(AU58:AU64)</f>
        <v>582641</v>
      </c>
      <c r="AV65" s="73"/>
      <c r="AX65" s="83">
        <f t="shared" si="38"/>
        <v>2.7299829569151501E-2</v>
      </c>
      <c r="AY65" s="8">
        <f>SUM(AY58:AY64)</f>
        <v>598547</v>
      </c>
      <c r="AZ65" s="73"/>
      <c r="BB65" s="83">
        <f t="shared" si="39"/>
        <v>2.7302784910792303E-2</v>
      </c>
      <c r="BC65" s="8">
        <f>SUM(BC58:BC64)</f>
        <v>614889</v>
      </c>
      <c r="BD65" s="73"/>
    </row>
    <row r="66" spans="1:56" x14ac:dyDescent="0.25">
      <c r="C66" s="3"/>
      <c r="D66" s="30"/>
      <c r="E66" s="2"/>
      <c r="F66" s="36"/>
      <c r="G66" s="2"/>
      <c r="H66" s="36"/>
      <c r="J66" s="36"/>
      <c r="K66" s="2"/>
      <c r="L66" s="36"/>
      <c r="M66" s="2"/>
      <c r="N66" s="36"/>
      <c r="O66" s="2"/>
      <c r="P66" s="36"/>
      <c r="Q66" s="2"/>
      <c r="R66" s="36"/>
      <c r="S66" s="2"/>
      <c r="T66" s="36"/>
      <c r="U66" s="2"/>
      <c r="V66" s="36"/>
      <c r="W66" s="2"/>
      <c r="X66" s="36"/>
      <c r="Y66" s="2"/>
      <c r="Z66" s="36"/>
      <c r="AA66" s="2"/>
      <c r="AB66" s="36"/>
      <c r="AC66" s="66"/>
      <c r="AF66" s="2"/>
      <c r="AG66" s="2"/>
      <c r="AI66" s="2"/>
      <c r="AJ66" s="36"/>
      <c r="AK66" s="66"/>
      <c r="AM66" s="2"/>
      <c r="AN66" s="73"/>
      <c r="AQ66" s="2"/>
      <c r="AR66" s="73"/>
      <c r="AU66" s="2"/>
      <c r="AV66" s="73"/>
      <c r="AY66" s="2"/>
      <c r="AZ66" s="73"/>
      <c r="BC66" s="2"/>
      <c r="BD66" s="73"/>
    </row>
    <row r="67" spans="1:56" s="4" customFormat="1" x14ac:dyDescent="0.25">
      <c r="A67" s="21" t="s">
        <v>16</v>
      </c>
      <c r="D67" s="7"/>
      <c r="AC67" s="58"/>
      <c r="AD67" s="21" t="str">
        <f t="shared" ref="AD67:AD80" si="46">A67</f>
        <v>Services, Other Oprtng Exp.</v>
      </c>
      <c r="AG67" s="6"/>
      <c r="AH67" s="26"/>
      <c r="AK67" s="58"/>
      <c r="AN67" s="71"/>
      <c r="AR67" s="71"/>
      <c r="AV67" s="71"/>
      <c r="AZ67" s="71"/>
      <c r="BD67" s="71"/>
    </row>
    <row r="68" spans="1:56" x14ac:dyDescent="0.25">
      <c r="A68" s="12" t="s">
        <v>15</v>
      </c>
      <c r="B68" s="39" t="s">
        <v>14</v>
      </c>
      <c r="C68" s="3">
        <v>154913</v>
      </c>
      <c r="D68" s="30"/>
      <c r="E68" s="2">
        <v>1000</v>
      </c>
      <c r="F68" s="36"/>
      <c r="G68" s="2">
        <v>0</v>
      </c>
      <c r="H68" s="36"/>
      <c r="I68" s="2">
        <v>12000</v>
      </c>
      <c r="J68" s="36"/>
      <c r="K68" s="2">
        <v>9000</v>
      </c>
      <c r="L68" s="36"/>
      <c r="M68" s="2">
        <v>7500</v>
      </c>
      <c r="N68" s="36"/>
      <c r="O68" s="2">
        <v>1971</v>
      </c>
      <c r="P68" s="36"/>
      <c r="Q68" s="2">
        <v>6631</v>
      </c>
      <c r="R68" s="36"/>
      <c r="S68" s="2">
        <v>4000</v>
      </c>
      <c r="T68" s="36"/>
      <c r="U68" s="2">
        <v>3526</v>
      </c>
      <c r="V68" s="36"/>
      <c r="W68" s="2">
        <v>6500</v>
      </c>
      <c r="X68" s="36"/>
      <c r="Y68" s="2">
        <v>800</v>
      </c>
      <c r="Z68" s="36"/>
      <c r="AA68" s="2">
        <v>7000</v>
      </c>
      <c r="AB68" s="36"/>
      <c r="AC68" s="66"/>
      <c r="AD68" s="12" t="str">
        <f t="shared" si="46"/>
        <v>5213</v>
      </c>
      <c r="AE68" s="39" t="str">
        <f t="shared" ref="AE68:AE80" si="47">B68</f>
        <v>Conf. &amp; Travel</v>
      </c>
      <c r="AF68" s="2">
        <f>SUM(C68,E68,G68,I68,K68,M68,O68,Q68,S68,U68,W68,Y68,AA68)</f>
        <v>214841</v>
      </c>
      <c r="AG68" s="2"/>
      <c r="AH68" s="83">
        <f t="shared" ref="AH68:AH74" si="48">IF(AF68=0,"0.00%",(AI68-AF68)/AF68)</f>
        <v>3.3699340442466752E-2</v>
      </c>
      <c r="AI68" s="2">
        <f>ROUND(AF68*(LEFT(AJ68,5)+1),0)</f>
        <v>222081</v>
      </c>
      <c r="AJ68" s="81" t="str">
        <f>TEXT('MYP Assumptions'!E78,"0.00%")&amp;", CPI"</f>
        <v>3.37%, CPI</v>
      </c>
      <c r="AK68" s="66"/>
      <c r="AL68" s="83">
        <f t="shared" ref="AL68:AL81" si="49">IF(AI68=0,"0.00%",(AM68-AI68)/AI68)</f>
        <v>3.5797749469788052E-2</v>
      </c>
      <c r="AM68" s="2">
        <f>ROUND(AI68*(LEFT(AN68,5)+1),0)</f>
        <v>230031</v>
      </c>
      <c r="AN68" s="81" t="str">
        <f>TEXT('MYP Assumptions'!F78,"0.00%")&amp;", CPI"</f>
        <v>3.58%, CPI</v>
      </c>
      <c r="AP68" s="83">
        <f t="shared" ref="AP68:AP81" si="50">IF(AM68=0,"0.00%",(AQ68-AM68)/AM68)</f>
        <v>3.3599819154809571E-2</v>
      </c>
      <c r="AQ68" s="2">
        <f>ROUND(AM68*(LEFT(AR68,5)+1),0)</f>
        <v>237760</v>
      </c>
      <c r="AR68" s="81" t="str">
        <f>TEXT('MYP Assumptions'!G78,"0.00%")&amp;", CPI"</f>
        <v>3.36%, CPI</v>
      </c>
      <c r="AT68" s="83">
        <f t="shared" ref="AT68:AT81" si="51">IF(AQ68=0,"0.00%",(AU68-AQ68)/AQ68)</f>
        <v>3.2301480484522208E-2</v>
      </c>
      <c r="AU68" s="2">
        <f>ROUND(AQ68*(LEFT(AV68,5)+1),0)</f>
        <v>245440</v>
      </c>
      <c r="AV68" s="81" t="str">
        <f>TEXT('MYP Assumptions'!H78,"0.00%")&amp;", CPI"</f>
        <v>3.23%, CPI</v>
      </c>
      <c r="AX68" s="83">
        <f t="shared" ref="AX68:AX81" si="52">IF(AU68=0,"0.00%",(AY68-AU68)/AU68)</f>
        <v>2.7301988265971317E-2</v>
      </c>
      <c r="AY68" s="2">
        <f>ROUND(AU68*(LEFT(AZ68,5)+1),0)</f>
        <v>252141</v>
      </c>
      <c r="AZ68" s="81" t="str">
        <f>TEXT('MYP Assumptions'!I78,"0.00%")&amp;", CPI"</f>
        <v>2.73%, CPI</v>
      </c>
      <c r="BB68" s="83">
        <f t="shared" ref="BB68:BB81" si="53">IF(AY68=0,"0.00%",(BC68-AY68)/AY68)</f>
        <v>2.7298218060529626E-2</v>
      </c>
      <c r="BC68" s="2">
        <f>ROUND(AY68*(LEFT(BD68,5)+1),0)</f>
        <v>259024</v>
      </c>
      <c r="BD68" s="81" t="str">
        <f>TEXT('MYP Assumptions'!J78,"0.00%")&amp;", CPI"</f>
        <v>2.73%, CPI</v>
      </c>
    </row>
    <row r="69" spans="1:56" x14ac:dyDescent="0.25">
      <c r="A69" s="12" t="s">
        <v>13</v>
      </c>
      <c r="B69" s="39" t="s">
        <v>12</v>
      </c>
      <c r="C69" s="3">
        <v>800</v>
      </c>
      <c r="D69" s="30"/>
      <c r="E69" s="2">
        <v>0</v>
      </c>
      <c r="F69" s="36"/>
      <c r="G69" s="2">
        <v>0</v>
      </c>
      <c r="H69" s="36"/>
      <c r="I69" s="2">
        <v>0</v>
      </c>
      <c r="J69" s="36"/>
      <c r="K69" s="2">
        <v>0</v>
      </c>
      <c r="L69" s="36"/>
      <c r="M69" s="2">
        <v>0</v>
      </c>
      <c r="N69" s="36"/>
      <c r="O69" s="2">
        <v>0</v>
      </c>
      <c r="P69" s="36"/>
      <c r="Q69" s="2">
        <v>0</v>
      </c>
      <c r="R69" s="36"/>
      <c r="S69" s="2">
        <v>0</v>
      </c>
      <c r="T69" s="36"/>
      <c r="U69" s="2">
        <v>0</v>
      </c>
      <c r="V69" s="36"/>
      <c r="W69" s="2">
        <v>0</v>
      </c>
      <c r="X69" s="36"/>
      <c r="Y69" s="2">
        <v>0</v>
      </c>
      <c r="Z69" s="36"/>
      <c r="AA69" s="2">
        <v>0</v>
      </c>
      <c r="AB69" s="36"/>
      <c r="AC69" s="66"/>
      <c r="AD69" s="12" t="str">
        <f t="shared" si="46"/>
        <v>5310</v>
      </c>
      <c r="AE69" s="39" t="str">
        <f t="shared" si="47"/>
        <v>Membership/Dues</v>
      </c>
      <c r="AF69" s="2">
        <f t="shared" ref="AF69:AF80" si="54">SUM(C69,E69,G69,I69,K69,M69,O69,Q69,S69,U69,W69,Y69,AA69)</f>
        <v>800</v>
      </c>
      <c r="AG69" s="2"/>
      <c r="AH69" s="83">
        <f t="shared" si="48"/>
        <v>3.3750000000000002E-2</v>
      </c>
      <c r="AI69" s="2">
        <f>ROUND(AF69*(LEFT(AJ69,5)+1),0)</f>
        <v>827</v>
      </c>
      <c r="AJ69" s="81" t="str">
        <f>TEXT('MYP Assumptions'!E78,"0.00%")&amp;", CPI"</f>
        <v>3.37%, CPI</v>
      </c>
      <c r="AK69" s="66"/>
      <c r="AL69" s="83">
        <f t="shared" si="49"/>
        <v>3.6275695284159616E-2</v>
      </c>
      <c r="AM69" s="2">
        <f t="shared" ref="AM69:AM74" si="55">ROUND(AI69*(LEFT(AN69,5)+1),0)</f>
        <v>857</v>
      </c>
      <c r="AN69" s="81" t="str">
        <f>TEXT('MYP Assumptions'!F78,"0.00%")&amp;", CPI"</f>
        <v>3.58%, CPI</v>
      </c>
      <c r="AP69" s="83">
        <f t="shared" si="50"/>
        <v>3.3838973162193697E-2</v>
      </c>
      <c r="AQ69" s="2">
        <f t="shared" ref="AQ69:AQ80" si="56">ROUND(AM69*(LEFT(AR69,5)+1),0)</f>
        <v>886</v>
      </c>
      <c r="AR69" s="81" t="str">
        <f>TEXT('MYP Assumptions'!G78,"0.00%")&amp;", CPI"</f>
        <v>3.36%, CPI</v>
      </c>
      <c r="AT69" s="83">
        <f t="shared" si="51"/>
        <v>3.2731376975169299E-2</v>
      </c>
      <c r="AU69" s="2">
        <f t="shared" ref="AU69:AU80" si="57">ROUND(AQ69*(LEFT(AV69,5)+1),0)</f>
        <v>915</v>
      </c>
      <c r="AV69" s="81" t="str">
        <f>TEXT('MYP Assumptions'!H78,"0.00%")&amp;", CPI"</f>
        <v>3.23%, CPI</v>
      </c>
      <c r="AX69" s="83">
        <f t="shared" si="52"/>
        <v>2.7322404371584699E-2</v>
      </c>
      <c r="AY69" s="2">
        <f t="shared" ref="AY69:AY80" si="58">ROUND(AU69*(LEFT(AZ69,5)+1),0)</f>
        <v>940</v>
      </c>
      <c r="AZ69" s="81" t="str">
        <f>TEXT('MYP Assumptions'!I78,"0.00%")&amp;", CPI"</f>
        <v>2.73%, CPI</v>
      </c>
      <c r="BB69" s="83">
        <f t="shared" si="53"/>
        <v>2.7659574468085105E-2</v>
      </c>
      <c r="BC69" s="2">
        <f t="shared" ref="BC69:BC80" si="59">ROUND(AY69*(LEFT(BD69,5)+1),0)</f>
        <v>966</v>
      </c>
      <c r="BD69" s="81" t="str">
        <f>TEXT('MYP Assumptions'!J78,"0.00%")&amp;", CPI"</f>
        <v>2.73%, CPI</v>
      </c>
    </row>
    <row r="70" spans="1:56" x14ac:dyDescent="0.25">
      <c r="A70" s="12" t="s">
        <v>128</v>
      </c>
      <c r="B70" s="39" t="s">
        <v>129</v>
      </c>
      <c r="C70" s="3">
        <v>0</v>
      </c>
      <c r="D70" s="30"/>
      <c r="E70" s="2">
        <v>0</v>
      </c>
      <c r="F70" s="36"/>
      <c r="G70" s="2">
        <v>0</v>
      </c>
      <c r="H70" s="36"/>
      <c r="I70" s="2">
        <v>0</v>
      </c>
      <c r="J70" s="36"/>
      <c r="K70" s="2">
        <v>0</v>
      </c>
      <c r="L70" s="36"/>
      <c r="M70" s="2">
        <v>0</v>
      </c>
      <c r="N70" s="36"/>
      <c r="O70" s="2">
        <v>0</v>
      </c>
      <c r="P70" s="36"/>
      <c r="Q70" s="2">
        <v>0</v>
      </c>
      <c r="R70" s="36"/>
      <c r="S70" s="2">
        <v>0</v>
      </c>
      <c r="T70" s="36"/>
      <c r="U70" s="2">
        <v>0</v>
      </c>
      <c r="V70" s="36"/>
      <c r="W70" s="2">
        <v>1500</v>
      </c>
      <c r="X70" s="36"/>
      <c r="Y70" s="2"/>
      <c r="Z70" s="36"/>
      <c r="AA70" s="2"/>
      <c r="AB70" s="36"/>
      <c r="AC70" s="66"/>
      <c r="AD70" s="12" t="str">
        <f t="shared" si="46"/>
        <v>5607</v>
      </c>
      <c r="AE70" s="39" t="str">
        <f t="shared" si="47"/>
        <v>Repairs-Other</v>
      </c>
      <c r="AF70" s="2">
        <f t="shared" si="54"/>
        <v>1500</v>
      </c>
      <c r="AG70" s="2"/>
      <c r="AH70" s="83">
        <f t="shared" si="48"/>
        <v>3.4000000000000002E-2</v>
      </c>
      <c r="AI70" s="2">
        <f t="shared" ref="AI70:AI75" si="60">ROUND(AF70*(LEFT(AJ70,5)+1),0)</f>
        <v>1551</v>
      </c>
      <c r="AJ70" s="81" t="str">
        <f>TEXT('MYP Assumptions'!E78,"0.00%")&amp;", CPI"</f>
        <v>3.37%, CPI</v>
      </c>
      <c r="AK70" s="66"/>
      <c r="AL70" s="83">
        <f t="shared" si="49"/>
        <v>3.6105738233397806E-2</v>
      </c>
      <c r="AM70" s="2">
        <f t="shared" si="55"/>
        <v>1607</v>
      </c>
      <c r="AN70" s="81" t="str">
        <f>TEXT('MYP Assumptions'!F78,"0.00%")&amp;", CPI"</f>
        <v>3.58%, CPI</v>
      </c>
      <c r="AP70" s="83">
        <f t="shared" si="50"/>
        <v>3.3602986932171751E-2</v>
      </c>
      <c r="AQ70" s="2">
        <f t="shared" si="56"/>
        <v>1661</v>
      </c>
      <c r="AR70" s="81" t="str">
        <f>TEXT('MYP Assumptions'!G78,"0.00%")&amp;", CPI"</f>
        <v>3.36%, CPI</v>
      </c>
      <c r="AT70" s="83">
        <f t="shared" si="51"/>
        <v>3.2510535821794098E-2</v>
      </c>
      <c r="AU70" s="2">
        <f t="shared" si="57"/>
        <v>1715</v>
      </c>
      <c r="AV70" s="81" t="str">
        <f>TEXT('MYP Assumptions'!H78,"0.00%")&amp;", CPI"</f>
        <v>3.23%, CPI</v>
      </c>
      <c r="AX70" s="83">
        <f t="shared" si="52"/>
        <v>2.7405247813411079E-2</v>
      </c>
      <c r="AY70" s="2">
        <f t="shared" si="58"/>
        <v>1762</v>
      </c>
      <c r="AZ70" s="81" t="str">
        <f>TEXT('MYP Assumptions'!I78,"0.00%")&amp;", CPI"</f>
        <v>2.73%, CPI</v>
      </c>
      <c r="BB70" s="83">
        <f t="shared" si="53"/>
        <v>2.7241770715096481E-2</v>
      </c>
      <c r="BC70" s="2">
        <f t="shared" si="59"/>
        <v>1810</v>
      </c>
      <c r="BD70" s="81" t="str">
        <f>TEXT('MYP Assumptions'!J78,"0.00%")&amp;", CPI"</f>
        <v>2.73%, CPI</v>
      </c>
    </row>
    <row r="71" spans="1:56" x14ac:dyDescent="0.25">
      <c r="A71" s="12" t="s">
        <v>11</v>
      </c>
      <c r="B71" s="39" t="s">
        <v>10</v>
      </c>
      <c r="C71" s="3">
        <v>3199</v>
      </c>
      <c r="D71" s="30"/>
      <c r="E71" s="2">
        <v>1000</v>
      </c>
      <c r="F71" s="36"/>
      <c r="G71" s="2">
        <v>0</v>
      </c>
      <c r="H71" s="36"/>
      <c r="I71" s="2">
        <v>0</v>
      </c>
      <c r="J71" s="36"/>
      <c r="K71" s="2">
        <v>0</v>
      </c>
      <c r="L71" s="36"/>
      <c r="M71" s="2">
        <v>0</v>
      </c>
      <c r="N71" s="36"/>
      <c r="O71" s="2">
        <v>0</v>
      </c>
      <c r="P71" s="36"/>
      <c r="Q71" s="2">
        <v>1000</v>
      </c>
      <c r="R71" s="36"/>
      <c r="S71" s="2">
        <v>0</v>
      </c>
      <c r="T71" s="36"/>
      <c r="U71" s="2">
        <v>0</v>
      </c>
      <c r="V71" s="36"/>
      <c r="W71" s="2">
        <v>0</v>
      </c>
      <c r="X71" s="36"/>
      <c r="Y71" s="2">
        <v>0</v>
      </c>
      <c r="Z71" s="36"/>
      <c r="AA71" s="2">
        <v>0</v>
      </c>
      <c r="AB71" s="36"/>
      <c r="AC71" s="66"/>
      <c r="AD71" s="12" t="str">
        <f t="shared" si="46"/>
        <v>5725</v>
      </c>
      <c r="AE71" s="39" t="str">
        <f t="shared" si="47"/>
        <v>Field Trip Transp.</v>
      </c>
      <c r="AF71" s="2">
        <f t="shared" si="54"/>
        <v>5199</v>
      </c>
      <c r="AG71" s="2"/>
      <c r="AH71" s="83">
        <f t="shared" si="48"/>
        <v>3.3660319292171573E-2</v>
      </c>
      <c r="AI71" s="2">
        <f t="shared" si="60"/>
        <v>5374</v>
      </c>
      <c r="AJ71" s="81" t="str">
        <f>TEXT('MYP Assumptions'!E78,"0.00%")&amp;", CPI"</f>
        <v>3.37%, CPI</v>
      </c>
      <c r="AK71" s="66"/>
      <c r="AL71" s="83">
        <f t="shared" si="49"/>
        <v>3.5727577223669517E-2</v>
      </c>
      <c r="AM71" s="2">
        <f t="shared" si="55"/>
        <v>5566</v>
      </c>
      <c r="AN71" s="81" t="str">
        <f>TEXT('MYP Assumptions'!F78,"0.00%")&amp;", CPI"</f>
        <v>3.58%, CPI</v>
      </c>
      <c r="AP71" s="83">
        <f t="shared" si="50"/>
        <v>3.3596837944664032E-2</v>
      </c>
      <c r="AQ71" s="2">
        <f t="shared" si="56"/>
        <v>5753</v>
      </c>
      <c r="AR71" s="81" t="str">
        <f>TEXT('MYP Assumptions'!G78,"0.00%")&amp;", CPI"</f>
        <v>3.36%, CPI</v>
      </c>
      <c r="AT71" s="83">
        <f t="shared" si="51"/>
        <v>3.2330957761168087E-2</v>
      </c>
      <c r="AU71" s="2">
        <f t="shared" si="57"/>
        <v>5939</v>
      </c>
      <c r="AV71" s="81" t="str">
        <f>TEXT('MYP Assumptions'!H78,"0.00%")&amp;", CPI"</f>
        <v>3.23%, CPI</v>
      </c>
      <c r="AX71" s="83">
        <f t="shared" si="52"/>
        <v>2.7277319414042767E-2</v>
      </c>
      <c r="AY71" s="2">
        <f t="shared" si="58"/>
        <v>6101</v>
      </c>
      <c r="AZ71" s="81" t="str">
        <f>TEXT('MYP Assumptions'!I78,"0.00%")&amp;", CPI"</f>
        <v>2.73%, CPI</v>
      </c>
      <c r="BB71" s="83">
        <f t="shared" si="53"/>
        <v>2.7372561875102442E-2</v>
      </c>
      <c r="BC71" s="2">
        <f t="shared" si="59"/>
        <v>6268</v>
      </c>
      <c r="BD71" s="81" t="str">
        <f>TEXT('MYP Assumptions'!J78,"0.00%")&amp;", CPI"</f>
        <v>2.73%, CPI</v>
      </c>
    </row>
    <row r="72" spans="1:56" x14ac:dyDescent="0.25">
      <c r="A72" s="12" t="s">
        <v>120</v>
      </c>
      <c r="B72" s="39" t="s">
        <v>121</v>
      </c>
      <c r="C72" s="3">
        <v>0</v>
      </c>
      <c r="D72" s="30"/>
      <c r="E72" s="2">
        <v>0</v>
      </c>
      <c r="F72" s="36"/>
      <c r="G72" s="2">
        <v>0</v>
      </c>
      <c r="H72" s="36"/>
      <c r="I72" s="2">
        <v>0</v>
      </c>
      <c r="J72" s="36"/>
      <c r="K72" s="2">
        <v>0</v>
      </c>
      <c r="L72" s="36"/>
      <c r="M72" s="2">
        <v>0</v>
      </c>
      <c r="N72" s="36"/>
      <c r="O72" s="2">
        <v>0</v>
      </c>
      <c r="P72" s="36"/>
      <c r="Q72" s="2">
        <v>750</v>
      </c>
      <c r="R72" s="36"/>
      <c r="S72" s="2">
        <v>4000</v>
      </c>
      <c r="T72" s="36"/>
      <c r="U72" s="2">
        <v>0</v>
      </c>
      <c r="V72" s="36"/>
      <c r="W72" s="2"/>
      <c r="X72" s="36"/>
      <c r="Y72" s="2"/>
      <c r="Z72" s="36"/>
      <c r="AA72" s="2"/>
      <c r="AB72" s="36"/>
      <c r="AC72" s="66"/>
      <c r="AD72" s="12" t="str">
        <f t="shared" si="46"/>
        <v>5752</v>
      </c>
      <c r="AE72" s="39" t="str">
        <f t="shared" si="47"/>
        <v>Direct Srvc-Food Srvc.</v>
      </c>
      <c r="AF72" s="2">
        <f t="shared" si="54"/>
        <v>4750</v>
      </c>
      <c r="AG72" s="2"/>
      <c r="AH72" s="83">
        <f t="shared" si="48"/>
        <v>3.3684210526315789E-2</v>
      </c>
      <c r="AI72" s="2">
        <f t="shared" si="60"/>
        <v>4910</v>
      </c>
      <c r="AJ72" s="81" t="str">
        <f>TEXT('MYP Assumptions'!E78,"0.00%")&amp;", CPI"</f>
        <v>3.37%, CPI</v>
      </c>
      <c r="AK72" s="66"/>
      <c r="AL72" s="83">
        <f t="shared" si="49"/>
        <v>3.5845213849287169E-2</v>
      </c>
      <c r="AM72" s="2">
        <f t="shared" si="55"/>
        <v>5086</v>
      </c>
      <c r="AN72" s="81" t="str">
        <f>TEXT('MYP Assumptions'!F78,"0.00%")&amp;", CPI"</f>
        <v>3.58%, CPI</v>
      </c>
      <c r="AP72" s="83">
        <f t="shared" si="50"/>
        <v>3.3621706645694062E-2</v>
      </c>
      <c r="AQ72" s="2">
        <f t="shared" si="56"/>
        <v>5257</v>
      </c>
      <c r="AR72" s="81" t="str">
        <f>TEXT('MYP Assumptions'!G78,"0.00%")&amp;", CPI"</f>
        <v>3.36%, CPI</v>
      </c>
      <c r="AT72" s="83">
        <f t="shared" si="51"/>
        <v>3.23378352672627E-2</v>
      </c>
      <c r="AU72" s="2">
        <f t="shared" si="57"/>
        <v>5427</v>
      </c>
      <c r="AV72" s="81" t="str">
        <f>TEXT('MYP Assumptions'!H78,"0.00%")&amp;", CPI"</f>
        <v>3.23%, CPI</v>
      </c>
      <c r="AX72" s="83">
        <f t="shared" si="52"/>
        <v>2.7271052146674038E-2</v>
      </c>
      <c r="AY72" s="2">
        <f t="shared" si="58"/>
        <v>5575</v>
      </c>
      <c r="AZ72" s="81" t="str">
        <f>TEXT('MYP Assumptions'!I78,"0.00%")&amp;", CPI"</f>
        <v>2.73%, CPI</v>
      </c>
      <c r="BB72" s="83">
        <f t="shared" si="53"/>
        <v>2.7264573991031389E-2</v>
      </c>
      <c r="BC72" s="2">
        <f t="shared" si="59"/>
        <v>5727</v>
      </c>
      <c r="BD72" s="81" t="str">
        <f>TEXT('MYP Assumptions'!J78,"0.00%")&amp;", CPI"</f>
        <v>2.73%, CPI</v>
      </c>
    </row>
    <row r="73" spans="1:56" x14ac:dyDescent="0.25">
      <c r="A73" s="12" t="s">
        <v>126</v>
      </c>
      <c r="B73" s="39" t="s">
        <v>127</v>
      </c>
      <c r="C73" s="3">
        <v>0</v>
      </c>
      <c r="D73" s="30"/>
      <c r="E73" s="2">
        <v>0</v>
      </c>
      <c r="F73" s="36"/>
      <c r="G73" s="2">
        <v>0</v>
      </c>
      <c r="H73" s="36"/>
      <c r="I73" s="2">
        <v>0</v>
      </c>
      <c r="J73" s="36"/>
      <c r="K73" s="2">
        <v>0</v>
      </c>
      <c r="L73" s="36"/>
      <c r="M73" s="2">
        <v>0</v>
      </c>
      <c r="N73" s="36"/>
      <c r="O73" s="2">
        <v>0</v>
      </c>
      <c r="P73" s="36"/>
      <c r="Q73" s="2">
        <v>0</v>
      </c>
      <c r="R73" s="36"/>
      <c r="S73" s="2">
        <v>0</v>
      </c>
      <c r="T73" s="36"/>
      <c r="U73" s="2">
        <v>640</v>
      </c>
      <c r="V73" s="36"/>
      <c r="W73" s="2"/>
      <c r="X73" s="36"/>
      <c r="Y73" s="2"/>
      <c r="Z73" s="36"/>
      <c r="AA73" s="2"/>
      <c r="AB73" s="36"/>
      <c r="AC73" s="66"/>
      <c r="AD73" s="12" t="str">
        <f t="shared" si="46"/>
        <v>5806</v>
      </c>
      <c r="AE73" s="39" t="str">
        <f t="shared" si="47"/>
        <v>Outside Interpreter</v>
      </c>
      <c r="AF73" s="2">
        <f t="shared" si="54"/>
        <v>640</v>
      </c>
      <c r="AG73" s="2"/>
      <c r="AH73" s="83">
        <f t="shared" si="48"/>
        <v>3.4375000000000003E-2</v>
      </c>
      <c r="AI73" s="2">
        <f t="shared" si="60"/>
        <v>662</v>
      </c>
      <c r="AJ73" s="81" t="str">
        <f>TEXT('MYP Assumptions'!E78,"0.00%")&amp;", CPI"</f>
        <v>3.37%, CPI</v>
      </c>
      <c r="AK73" s="66"/>
      <c r="AL73" s="83">
        <f t="shared" si="49"/>
        <v>3.6253776435045321E-2</v>
      </c>
      <c r="AM73" s="2">
        <f t="shared" si="55"/>
        <v>686</v>
      </c>
      <c r="AN73" s="81" t="str">
        <f>TEXT('MYP Assumptions'!F78,"0.00%")&amp;", CPI"</f>
        <v>3.58%, CPI</v>
      </c>
      <c r="AP73" s="83">
        <f t="shared" si="50"/>
        <v>3.3527696793002916E-2</v>
      </c>
      <c r="AQ73" s="2">
        <f t="shared" si="56"/>
        <v>709</v>
      </c>
      <c r="AR73" s="81" t="str">
        <f>TEXT('MYP Assumptions'!G78,"0.00%")&amp;", CPI"</f>
        <v>3.36%, CPI</v>
      </c>
      <c r="AT73" s="83">
        <f t="shared" si="51"/>
        <v>3.244005641748942E-2</v>
      </c>
      <c r="AU73" s="2">
        <f t="shared" si="57"/>
        <v>732</v>
      </c>
      <c r="AV73" s="81" t="str">
        <f>TEXT('MYP Assumptions'!H78,"0.00%")&amp;", CPI"</f>
        <v>3.23%, CPI</v>
      </c>
      <c r="AX73" s="83">
        <f t="shared" si="52"/>
        <v>2.7322404371584699E-2</v>
      </c>
      <c r="AY73" s="2">
        <f t="shared" si="58"/>
        <v>752</v>
      </c>
      <c r="AZ73" s="81" t="str">
        <f>TEXT('MYP Assumptions'!I78,"0.00%")&amp;", CPI"</f>
        <v>2.73%, CPI</v>
      </c>
      <c r="BB73" s="83">
        <f t="shared" si="53"/>
        <v>2.7925531914893616E-2</v>
      </c>
      <c r="BC73" s="2">
        <f t="shared" si="59"/>
        <v>773</v>
      </c>
      <c r="BD73" s="81" t="str">
        <f>TEXT('MYP Assumptions'!J78,"0.00%")&amp;", CPI"</f>
        <v>2.73%, CPI</v>
      </c>
    </row>
    <row r="74" spans="1:56" x14ac:dyDescent="0.25">
      <c r="A74" s="12" t="s">
        <v>9</v>
      </c>
      <c r="B74" s="39" t="s">
        <v>8</v>
      </c>
      <c r="C74" s="3">
        <v>27678.37</v>
      </c>
      <c r="D74" s="30"/>
      <c r="E74" s="2">
        <v>0</v>
      </c>
      <c r="F74" s="36"/>
      <c r="G74" s="2">
        <v>0</v>
      </c>
      <c r="H74" s="36"/>
      <c r="I74" s="2">
        <v>0</v>
      </c>
      <c r="J74" s="36"/>
      <c r="K74" s="2">
        <v>4950</v>
      </c>
      <c r="L74" s="36"/>
      <c r="M74" s="2">
        <v>0</v>
      </c>
      <c r="N74" s="36"/>
      <c r="O74" s="2">
        <v>0</v>
      </c>
      <c r="P74" s="36"/>
      <c r="Q74" s="2">
        <v>0</v>
      </c>
      <c r="R74" s="36"/>
      <c r="S74" s="2">
        <v>0</v>
      </c>
      <c r="T74" s="36"/>
      <c r="U74" s="2">
        <v>0</v>
      </c>
      <c r="V74" s="36"/>
      <c r="W74" s="2">
        <v>500</v>
      </c>
      <c r="X74" s="36"/>
      <c r="Y74" s="2">
        <v>5572</v>
      </c>
      <c r="Z74" s="36"/>
      <c r="AA74" s="2">
        <v>0</v>
      </c>
      <c r="AB74" s="36"/>
      <c r="AC74" s="66"/>
      <c r="AD74" s="12" t="str">
        <f t="shared" si="46"/>
        <v>5807</v>
      </c>
      <c r="AE74" s="39" t="str">
        <f t="shared" si="47"/>
        <v>Consultants</v>
      </c>
      <c r="AF74" s="2">
        <f t="shared" si="54"/>
        <v>38700.369999999995</v>
      </c>
      <c r="AG74" s="2"/>
      <c r="AH74" s="83">
        <f t="shared" si="48"/>
        <v>3.3711047207042329E-2</v>
      </c>
      <c r="AI74" s="2">
        <f t="shared" si="60"/>
        <v>40005</v>
      </c>
      <c r="AJ74" s="81" t="str">
        <f>TEXT('MYP Assumptions'!E78,"0.00%")&amp;", CPI"</f>
        <v>3.37%, CPI</v>
      </c>
      <c r="AK74" s="66"/>
      <c r="AL74" s="83">
        <f t="shared" si="49"/>
        <v>3.579552555930509E-2</v>
      </c>
      <c r="AM74" s="2">
        <f t="shared" si="55"/>
        <v>41437</v>
      </c>
      <c r="AN74" s="81" t="str">
        <f>TEXT('MYP Assumptions'!F78,"0.00%")&amp;", CPI"</f>
        <v>3.58%, CPI</v>
      </c>
      <c r="AP74" s="83">
        <f t="shared" si="50"/>
        <v>3.3593165528392498E-2</v>
      </c>
      <c r="AQ74" s="2">
        <f t="shared" si="56"/>
        <v>42829</v>
      </c>
      <c r="AR74" s="81" t="str">
        <f>TEXT('MYP Assumptions'!G78,"0.00%")&amp;", CPI"</f>
        <v>3.36%, CPI</v>
      </c>
      <c r="AT74" s="83">
        <f t="shared" si="51"/>
        <v>3.2291204557659527E-2</v>
      </c>
      <c r="AU74" s="2">
        <f t="shared" si="57"/>
        <v>44212</v>
      </c>
      <c r="AV74" s="81" t="str">
        <f>TEXT('MYP Assumptions'!H78,"0.00%")&amp;", CPI"</f>
        <v>3.23%, CPI</v>
      </c>
      <c r="AX74" s="83">
        <f t="shared" si="52"/>
        <v>2.7300280466841582E-2</v>
      </c>
      <c r="AY74" s="2">
        <f t="shared" si="58"/>
        <v>45419</v>
      </c>
      <c r="AZ74" s="81" t="str">
        <f>TEXT('MYP Assumptions'!I78,"0.00%")&amp;", CPI"</f>
        <v>2.73%, CPI</v>
      </c>
      <c r="BB74" s="83">
        <f t="shared" si="53"/>
        <v>2.7301349655430546E-2</v>
      </c>
      <c r="BC74" s="2">
        <f t="shared" si="59"/>
        <v>46659</v>
      </c>
      <c r="BD74" s="81" t="str">
        <f>TEXT('MYP Assumptions'!J78,"0.00%")&amp;", CPI"</f>
        <v>2.73%, CPI</v>
      </c>
    </row>
    <row r="75" spans="1:56" x14ac:dyDescent="0.25">
      <c r="A75" s="12" t="s">
        <v>122</v>
      </c>
      <c r="B75" s="39" t="s">
        <v>123</v>
      </c>
      <c r="C75" s="3">
        <v>0</v>
      </c>
      <c r="D75" s="30"/>
      <c r="E75" s="2">
        <v>0</v>
      </c>
      <c r="F75" s="36"/>
      <c r="G75" s="2">
        <v>0</v>
      </c>
      <c r="H75" s="36"/>
      <c r="I75" s="2">
        <v>0</v>
      </c>
      <c r="J75" s="36"/>
      <c r="K75" s="2">
        <v>0</v>
      </c>
      <c r="L75" s="36"/>
      <c r="M75" s="2">
        <v>0</v>
      </c>
      <c r="N75" s="36"/>
      <c r="O75" s="2">
        <v>0</v>
      </c>
      <c r="P75" s="36"/>
      <c r="Q75" s="2">
        <v>390</v>
      </c>
      <c r="R75" s="36"/>
      <c r="S75" s="2">
        <v>0</v>
      </c>
      <c r="T75" s="36"/>
      <c r="U75" s="2">
        <v>0</v>
      </c>
      <c r="V75" s="36"/>
      <c r="W75" s="2">
        <v>0</v>
      </c>
      <c r="X75" s="36"/>
      <c r="Y75" s="2">
        <v>0</v>
      </c>
      <c r="Z75" s="36"/>
      <c r="AA75" s="2"/>
      <c r="AB75" s="36"/>
      <c r="AC75" s="66"/>
      <c r="AD75" s="12" t="str">
        <f t="shared" si="46"/>
        <v>5809</v>
      </c>
      <c r="AE75" s="39" t="str">
        <f t="shared" si="47"/>
        <v>Fees</v>
      </c>
      <c r="AF75" s="2">
        <f t="shared" si="54"/>
        <v>390</v>
      </c>
      <c r="AG75" s="2"/>
      <c r="AH75" s="83">
        <f t="shared" ref="AH75:AH80" si="61">IF(AF75=0,"0.00%",(AI75-AF75)/AF75)</f>
        <v>3.3333333333333333E-2</v>
      </c>
      <c r="AI75" s="2">
        <f t="shared" si="60"/>
        <v>403</v>
      </c>
      <c r="AJ75" s="81" t="str">
        <f>TEXT('MYP Assumptions'!E78,"0.00%")&amp;", CPI"</f>
        <v>3.37%, CPI</v>
      </c>
      <c r="AK75" s="66"/>
      <c r="AL75" s="83">
        <f t="shared" si="49"/>
        <v>3.4739454094292806E-2</v>
      </c>
      <c r="AM75" s="2">
        <f t="shared" ref="AM75:AM80" si="62">ROUND(AI75*(LEFT(AN75,5)+1),0)</f>
        <v>417</v>
      </c>
      <c r="AN75" s="81" t="str">
        <f>TEXT('MYP Assumptions'!F78,"0.00%")&amp;", CPI"</f>
        <v>3.58%, CPI</v>
      </c>
      <c r="AP75" s="83">
        <f t="shared" si="50"/>
        <v>3.3573141486810551E-2</v>
      </c>
      <c r="AQ75" s="2">
        <f t="shared" si="56"/>
        <v>431</v>
      </c>
      <c r="AR75" s="81" t="str">
        <f>TEXT('MYP Assumptions'!G78,"0.00%")&amp;", CPI"</f>
        <v>3.36%, CPI</v>
      </c>
      <c r="AT75" s="83">
        <f t="shared" si="51"/>
        <v>3.248259860788863E-2</v>
      </c>
      <c r="AU75" s="2">
        <f t="shared" si="57"/>
        <v>445</v>
      </c>
      <c r="AV75" s="81" t="str">
        <f>TEXT('MYP Assumptions'!H78,"0.00%")&amp;", CPI"</f>
        <v>3.23%, CPI</v>
      </c>
      <c r="AX75" s="83">
        <f t="shared" si="52"/>
        <v>2.6966292134831461E-2</v>
      </c>
      <c r="AY75" s="2">
        <f t="shared" si="58"/>
        <v>457</v>
      </c>
      <c r="AZ75" s="81" t="str">
        <f>TEXT('MYP Assumptions'!I78,"0.00%")&amp;", CPI"</f>
        <v>2.73%, CPI</v>
      </c>
      <c r="BB75" s="83">
        <f t="shared" si="53"/>
        <v>2.6258205689277898E-2</v>
      </c>
      <c r="BC75" s="2">
        <f t="shared" si="59"/>
        <v>469</v>
      </c>
      <c r="BD75" s="81" t="str">
        <f>TEXT('MYP Assumptions'!J78,"0.00%")&amp;", CPI"</f>
        <v>2.73%, CPI</v>
      </c>
    </row>
    <row r="76" spans="1:56" x14ac:dyDescent="0.25">
      <c r="A76" s="12" t="s">
        <v>7</v>
      </c>
      <c r="B76" s="39" t="s">
        <v>6</v>
      </c>
      <c r="C76" s="3">
        <v>172650</v>
      </c>
      <c r="D76" s="30"/>
      <c r="E76" s="2">
        <v>1000</v>
      </c>
      <c r="F76" s="36"/>
      <c r="G76" s="2">
        <v>0</v>
      </c>
      <c r="H76" s="36"/>
      <c r="I76" s="2">
        <v>9922</v>
      </c>
      <c r="J76" s="36"/>
      <c r="K76" s="2">
        <v>2000</v>
      </c>
      <c r="L76" s="36"/>
      <c r="M76" s="2">
        <v>3000</v>
      </c>
      <c r="N76" s="36"/>
      <c r="O76" s="2">
        <v>0</v>
      </c>
      <c r="P76" s="36"/>
      <c r="Q76" s="2">
        <v>1000</v>
      </c>
      <c r="R76" s="36"/>
      <c r="S76" s="2">
        <v>4000</v>
      </c>
      <c r="T76" s="36"/>
      <c r="U76" s="2">
        <v>4450</v>
      </c>
      <c r="V76" s="36"/>
      <c r="W76" s="2">
        <v>300</v>
      </c>
      <c r="X76" s="36"/>
      <c r="Y76" s="2">
        <v>500</v>
      </c>
      <c r="Z76" s="36"/>
      <c r="AA76" s="2">
        <v>3500</v>
      </c>
      <c r="AB76" s="36"/>
      <c r="AC76" s="66"/>
      <c r="AD76" s="12" t="str">
        <f t="shared" si="46"/>
        <v>5813</v>
      </c>
      <c r="AE76" s="39" t="str">
        <f t="shared" si="47"/>
        <v>Outside Services</v>
      </c>
      <c r="AF76" s="2">
        <f t="shared" si="54"/>
        <v>202322</v>
      </c>
      <c r="AG76" s="2"/>
      <c r="AH76" s="83">
        <f t="shared" si="61"/>
        <v>3.3698757426280881E-2</v>
      </c>
      <c r="AI76" s="2">
        <f>ROUND(AF76*(LEFT(AJ76,5)+1),0)</f>
        <v>209140</v>
      </c>
      <c r="AJ76" s="81" t="str">
        <f>TEXT('MYP Assumptions'!E78,"0.00%")&amp;", CPI"</f>
        <v>3.37%, CPI</v>
      </c>
      <c r="AK76" s="66"/>
      <c r="AL76" s="83">
        <f t="shared" si="49"/>
        <v>3.5798986324949794E-2</v>
      </c>
      <c r="AM76" s="2">
        <f t="shared" si="62"/>
        <v>216627</v>
      </c>
      <c r="AN76" s="81" t="str">
        <f>TEXT('MYP Assumptions'!F78,"0.00%")&amp;", CPI"</f>
        <v>3.58%, CPI</v>
      </c>
      <c r="AP76" s="83">
        <f t="shared" si="50"/>
        <v>3.3601536281257643E-2</v>
      </c>
      <c r="AQ76" s="2">
        <f t="shared" si="56"/>
        <v>223906</v>
      </c>
      <c r="AR76" s="81" t="str">
        <f>TEXT('MYP Assumptions'!G78,"0.00%")&amp;", CPI"</f>
        <v>3.36%, CPI</v>
      </c>
      <c r="AT76" s="83">
        <f t="shared" si="51"/>
        <v>3.2299268443007331E-2</v>
      </c>
      <c r="AU76" s="2">
        <f t="shared" si="57"/>
        <v>231138</v>
      </c>
      <c r="AV76" s="81" t="str">
        <f>TEXT('MYP Assumptions'!H78,"0.00%")&amp;", CPI"</f>
        <v>3.23%, CPI</v>
      </c>
      <c r="AX76" s="83">
        <f t="shared" si="52"/>
        <v>2.7299708399311232E-2</v>
      </c>
      <c r="AY76" s="2">
        <f t="shared" si="58"/>
        <v>237448</v>
      </c>
      <c r="AZ76" s="81" t="str">
        <f>TEXT('MYP Assumptions'!I78,"0.00%")&amp;", CPI"</f>
        <v>2.73%, CPI</v>
      </c>
      <c r="BB76" s="83">
        <f t="shared" si="53"/>
        <v>2.7298608537448199E-2</v>
      </c>
      <c r="BC76" s="2">
        <f t="shared" si="59"/>
        <v>243930</v>
      </c>
      <c r="BD76" s="81" t="str">
        <f>TEXT('MYP Assumptions'!J78,"0.00%")&amp;", CPI"</f>
        <v>2.73%, CPI</v>
      </c>
    </row>
    <row r="77" spans="1:56" x14ac:dyDescent="0.25">
      <c r="A77" s="12" t="s">
        <v>5</v>
      </c>
      <c r="B77" s="39" t="s">
        <v>4</v>
      </c>
      <c r="C77" s="3">
        <v>24998</v>
      </c>
      <c r="D77" s="30"/>
      <c r="E77" s="2">
        <v>0</v>
      </c>
      <c r="F77" s="36"/>
      <c r="G77" s="2">
        <v>0</v>
      </c>
      <c r="H77" s="36"/>
      <c r="I77" s="2">
        <v>0</v>
      </c>
      <c r="J77" s="36"/>
      <c r="K77" s="2">
        <v>1614</v>
      </c>
      <c r="L77" s="36"/>
      <c r="M77" s="2">
        <v>0</v>
      </c>
      <c r="N77" s="36"/>
      <c r="O77" s="2">
        <v>300</v>
      </c>
      <c r="P77" s="36"/>
      <c r="Q77" s="2">
        <v>500</v>
      </c>
      <c r="R77" s="36"/>
      <c r="S77" s="2">
        <v>2689</v>
      </c>
      <c r="T77" s="36"/>
      <c r="U77" s="2">
        <v>0</v>
      </c>
      <c r="V77" s="36"/>
      <c r="W77" s="2">
        <v>4200</v>
      </c>
      <c r="X77" s="36"/>
      <c r="Y77" s="2">
        <v>1554</v>
      </c>
      <c r="Z77" s="36"/>
      <c r="AA77" s="2">
        <v>0</v>
      </c>
      <c r="AB77" s="36"/>
      <c r="AC77" s="66"/>
      <c r="AD77" s="12" t="str">
        <f t="shared" si="46"/>
        <v>5814</v>
      </c>
      <c r="AE77" s="39" t="str">
        <f t="shared" si="47"/>
        <v>Other Services</v>
      </c>
      <c r="AF77" s="2">
        <f t="shared" si="54"/>
        <v>35855</v>
      </c>
      <c r="AG77" s="2"/>
      <c r="AH77" s="83">
        <f t="shared" si="61"/>
        <v>3.3691256449588619E-2</v>
      </c>
      <c r="AI77" s="2">
        <f>ROUND(AF77*(LEFT(AJ77,5)+1),0)</f>
        <v>37063</v>
      </c>
      <c r="AJ77" s="81" t="str">
        <f>TEXT('MYP Assumptions'!E78,"0.00%")&amp;", CPI"</f>
        <v>3.37%, CPI</v>
      </c>
      <c r="AK77" s="66"/>
      <c r="AL77" s="83">
        <f t="shared" si="49"/>
        <v>3.5803901465072986E-2</v>
      </c>
      <c r="AM77" s="2">
        <f t="shared" si="62"/>
        <v>38390</v>
      </c>
      <c r="AN77" s="81" t="str">
        <f>TEXT('MYP Assumptions'!F78,"0.00%")&amp;", CPI"</f>
        <v>3.58%, CPI</v>
      </c>
      <c r="AP77" s="83">
        <f t="shared" si="50"/>
        <v>3.3602500651211252E-2</v>
      </c>
      <c r="AQ77" s="2">
        <f t="shared" si="56"/>
        <v>39680</v>
      </c>
      <c r="AR77" s="81" t="str">
        <f>TEXT('MYP Assumptions'!G78,"0.00%")&amp;", CPI"</f>
        <v>3.36%, CPI</v>
      </c>
      <c r="AT77" s="83">
        <f t="shared" si="51"/>
        <v>3.2308467741935486E-2</v>
      </c>
      <c r="AU77" s="2">
        <f t="shared" si="57"/>
        <v>40962</v>
      </c>
      <c r="AV77" s="81" t="str">
        <f>TEXT('MYP Assumptions'!H78,"0.00%")&amp;", CPI"</f>
        <v>3.23%, CPI</v>
      </c>
      <c r="AX77" s="83">
        <f t="shared" si="52"/>
        <v>2.7293589180215811E-2</v>
      </c>
      <c r="AY77" s="2">
        <f t="shared" si="58"/>
        <v>42080</v>
      </c>
      <c r="AZ77" s="81" t="str">
        <f>TEXT('MYP Assumptions'!I78,"0.00%")&amp;", CPI"</f>
        <v>2.73%, CPI</v>
      </c>
      <c r="BB77" s="83">
        <f t="shared" si="53"/>
        <v>2.7305133079847908E-2</v>
      </c>
      <c r="BC77" s="2">
        <f t="shared" si="59"/>
        <v>43229</v>
      </c>
      <c r="BD77" s="81" t="str">
        <f>TEXT('MYP Assumptions'!J78,"0.00%")&amp;", CPI"</f>
        <v>2.73%, CPI</v>
      </c>
    </row>
    <row r="78" spans="1:56" x14ac:dyDescent="0.25">
      <c r="A78" s="12" t="s">
        <v>3</v>
      </c>
      <c r="B78" s="39" t="s">
        <v>2</v>
      </c>
      <c r="C78" s="3">
        <v>2000</v>
      </c>
      <c r="D78" s="30"/>
      <c r="E78" s="2">
        <v>0</v>
      </c>
      <c r="F78" s="36"/>
      <c r="G78" s="2">
        <v>0</v>
      </c>
      <c r="H78" s="36"/>
      <c r="I78" s="2">
        <v>1700</v>
      </c>
      <c r="J78" s="36"/>
      <c r="K78" s="2">
        <v>0</v>
      </c>
      <c r="L78" s="36"/>
      <c r="M78" s="2">
        <v>0</v>
      </c>
      <c r="N78" s="36"/>
      <c r="O78" s="2">
        <v>0</v>
      </c>
      <c r="P78" s="36"/>
      <c r="Q78" s="2">
        <v>0</v>
      </c>
      <c r="R78" s="36"/>
      <c r="S78" s="2">
        <v>0</v>
      </c>
      <c r="T78" s="36"/>
      <c r="U78" s="2">
        <v>0</v>
      </c>
      <c r="V78" s="36"/>
      <c r="W78" s="2">
        <v>0</v>
      </c>
      <c r="X78" s="36"/>
      <c r="Y78" s="2">
        <v>0</v>
      </c>
      <c r="Z78" s="36"/>
      <c r="AA78" s="2">
        <v>0</v>
      </c>
      <c r="AB78" s="36"/>
      <c r="AC78" s="66"/>
      <c r="AD78" s="12" t="str">
        <f t="shared" si="46"/>
        <v>5817</v>
      </c>
      <c r="AE78" s="39" t="str">
        <f t="shared" si="47"/>
        <v>Outside Transp.</v>
      </c>
      <c r="AF78" s="2">
        <f t="shared" si="54"/>
        <v>3700</v>
      </c>
      <c r="AG78" s="2"/>
      <c r="AH78" s="83">
        <f t="shared" si="61"/>
        <v>3.3783783783783786E-2</v>
      </c>
      <c r="AI78" s="2">
        <f>ROUND(AF78*(LEFT(AJ78,5)+1),0)</f>
        <v>3825</v>
      </c>
      <c r="AJ78" s="81" t="str">
        <f>TEXT('MYP Assumptions'!E78,"0.00%")&amp;", CPI"</f>
        <v>3.37%, CPI</v>
      </c>
      <c r="AK78" s="66"/>
      <c r="AL78" s="83">
        <f t="shared" si="49"/>
        <v>3.5816993464052288E-2</v>
      </c>
      <c r="AM78" s="2">
        <f t="shared" si="62"/>
        <v>3962</v>
      </c>
      <c r="AN78" s="81" t="str">
        <f>TEXT('MYP Assumptions'!F78,"0.00%")&amp;", CPI"</f>
        <v>3.58%, CPI</v>
      </c>
      <c r="AP78" s="83">
        <f t="shared" si="50"/>
        <v>3.3568904593639579E-2</v>
      </c>
      <c r="AQ78" s="2">
        <f t="shared" si="56"/>
        <v>4095</v>
      </c>
      <c r="AR78" s="81" t="str">
        <f>TEXT('MYP Assumptions'!G78,"0.00%")&amp;", CPI"</f>
        <v>3.36%, CPI</v>
      </c>
      <c r="AT78" s="83">
        <f t="shared" si="51"/>
        <v>3.2234432234432238E-2</v>
      </c>
      <c r="AU78" s="2">
        <f t="shared" si="57"/>
        <v>4227</v>
      </c>
      <c r="AV78" s="81" t="str">
        <f>TEXT('MYP Assumptions'!H78,"0.00%")&amp;", CPI"</f>
        <v>3.23%, CPI</v>
      </c>
      <c r="AX78" s="83">
        <f t="shared" si="52"/>
        <v>2.7206056304707831E-2</v>
      </c>
      <c r="AY78" s="2">
        <f t="shared" si="58"/>
        <v>4342</v>
      </c>
      <c r="AZ78" s="81" t="str">
        <f>TEXT('MYP Assumptions'!I78,"0.00%")&amp;", CPI"</f>
        <v>2.73%, CPI</v>
      </c>
      <c r="BB78" s="83">
        <f t="shared" si="53"/>
        <v>2.7406725011515431E-2</v>
      </c>
      <c r="BC78" s="2">
        <f t="shared" si="59"/>
        <v>4461</v>
      </c>
      <c r="BD78" s="81" t="str">
        <f>TEXT('MYP Assumptions'!J78,"0.00%")&amp;", CPI"</f>
        <v>2.73%, CPI</v>
      </c>
    </row>
    <row r="79" spans="1:56" x14ac:dyDescent="0.25">
      <c r="A79" s="12" t="s">
        <v>124</v>
      </c>
      <c r="B79" s="39" t="s">
        <v>125</v>
      </c>
      <c r="C79" s="3">
        <v>0</v>
      </c>
      <c r="D79" s="30"/>
      <c r="E79" s="2">
        <v>0</v>
      </c>
      <c r="F79" s="36"/>
      <c r="G79" s="2">
        <v>0</v>
      </c>
      <c r="H79" s="36"/>
      <c r="I79" s="2">
        <v>0</v>
      </c>
      <c r="J79" s="36"/>
      <c r="K79" s="2">
        <v>0</v>
      </c>
      <c r="L79" s="36"/>
      <c r="M79" s="2">
        <v>0</v>
      </c>
      <c r="N79" s="36"/>
      <c r="O79" s="2">
        <v>0</v>
      </c>
      <c r="P79" s="36"/>
      <c r="Q79" s="2">
        <v>200</v>
      </c>
      <c r="R79" s="36"/>
      <c r="S79" s="2">
        <v>200</v>
      </c>
      <c r="T79" s="36"/>
      <c r="U79" s="2">
        <v>0</v>
      </c>
      <c r="V79" s="36"/>
      <c r="W79" s="2"/>
      <c r="X79" s="36"/>
      <c r="Y79" s="2">
        <v>1000</v>
      </c>
      <c r="Z79" s="36"/>
      <c r="AA79" s="2"/>
      <c r="AB79" s="36"/>
      <c r="AC79" s="66"/>
      <c r="AD79" s="12" t="str">
        <f t="shared" si="46"/>
        <v>5908</v>
      </c>
      <c r="AE79" s="39" t="str">
        <f t="shared" si="47"/>
        <v>Postage</v>
      </c>
      <c r="AF79" s="2">
        <f t="shared" si="54"/>
        <v>1400</v>
      </c>
      <c r="AG79" s="2"/>
      <c r="AH79" s="83">
        <f t="shared" si="61"/>
        <v>3.3571428571428572E-2</v>
      </c>
      <c r="AI79" s="2">
        <f>ROUND(AF79*(LEFT(AJ79,5)+1),0)</f>
        <v>1447</v>
      </c>
      <c r="AJ79" s="81" t="str">
        <f>TEXT('MYP Assumptions'!E78,"0.00%")&amp;", CPI"</f>
        <v>3.37%, CPI</v>
      </c>
      <c r="AK79" s="66"/>
      <c r="AL79" s="83">
        <f t="shared" si="49"/>
        <v>3.5936420179682099E-2</v>
      </c>
      <c r="AM79" s="2">
        <f t="shared" si="62"/>
        <v>1499</v>
      </c>
      <c r="AN79" s="81" t="str">
        <f>TEXT('MYP Assumptions'!F78,"0.00%")&amp;", CPI"</f>
        <v>3.58%, CPI</v>
      </c>
      <c r="AP79" s="83">
        <f t="shared" si="50"/>
        <v>3.3355570380253503E-2</v>
      </c>
      <c r="AQ79" s="2">
        <f t="shared" si="56"/>
        <v>1549</v>
      </c>
      <c r="AR79" s="81" t="str">
        <f>TEXT('MYP Assumptions'!G78,"0.00%")&amp;", CPI"</f>
        <v>3.36%, CPI</v>
      </c>
      <c r="AT79" s="83">
        <f t="shared" si="51"/>
        <v>3.2278889606197549E-2</v>
      </c>
      <c r="AU79" s="2">
        <f t="shared" si="57"/>
        <v>1599</v>
      </c>
      <c r="AV79" s="81" t="str">
        <f>TEXT('MYP Assumptions'!H78,"0.00%")&amp;", CPI"</f>
        <v>3.23%, CPI</v>
      </c>
      <c r="AX79" s="83">
        <f t="shared" si="52"/>
        <v>2.7517198248905566E-2</v>
      </c>
      <c r="AY79" s="2">
        <f t="shared" si="58"/>
        <v>1643</v>
      </c>
      <c r="AZ79" s="81" t="str">
        <f>TEXT('MYP Assumptions'!I78,"0.00%")&amp;", CPI"</f>
        <v>2.73%, CPI</v>
      </c>
      <c r="BB79" s="83">
        <f t="shared" si="53"/>
        <v>2.7388922702373707E-2</v>
      </c>
      <c r="BC79" s="2">
        <f t="shared" si="59"/>
        <v>1688</v>
      </c>
      <c r="BD79" s="81" t="str">
        <f>TEXT('MYP Assumptions'!J78,"0.00%")&amp;", CPI"</f>
        <v>2.73%, CPI</v>
      </c>
    </row>
    <row r="80" spans="1:56" x14ac:dyDescent="0.25">
      <c r="A80" s="12" t="s">
        <v>1</v>
      </c>
      <c r="C80" s="3">
        <v>0</v>
      </c>
      <c r="D80" s="30"/>
      <c r="E80" s="2">
        <v>0</v>
      </c>
      <c r="F80" s="36"/>
      <c r="G80" s="2">
        <v>0</v>
      </c>
      <c r="H80" s="36"/>
      <c r="I80" s="2">
        <v>0</v>
      </c>
      <c r="J80" s="36"/>
      <c r="K80" s="2">
        <v>0</v>
      </c>
      <c r="L80" s="36"/>
      <c r="M80" s="2">
        <v>0</v>
      </c>
      <c r="N80" s="36"/>
      <c r="O80" s="2">
        <v>0</v>
      </c>
      <c r="P80" s="36"/>
      <c r="Q80" s="2">
        <v>0</v>
      </c>
      <c r="R80" s="36"/>
      <c r="S80" s="2">
        <v>0</v>
      </c>
      <c r="T80" s="36"/>
      <c r="U80" s="2">
        <v>0</v>
      </c>
      <c r="V80" s="36"/>
      <c r="W80" s="2">
        <v>0</v>
      </c>
      <c r="X80" s="36"/>
      <c r="Y80" s="2">
        <v>0</v>
      </c>
      <c r="Z80" s="36"/>
      <c r="AA80" s="2">
        <v>0</v>
      </c>
      <c r="AB80" s="36"/>
      <c r="AC80" s="66"/>
      <c r="AD80" s="12" t="str">
        <f t="shared" si="46"/>
        <v>5000</v>
      </c>
      <c r="AE80" s="39">
        <f t="shared" si="47"/>
        <v>0</v>
      </c>
      <c r="AF80" s="2">
        <f t="shared" si="54"/>
        <v>0</v>
      </c>
      <c r="AG80" s="2"/>
      <c r="AH80" s="83" t="str">
        <f t="shared" si="61"/>
        <v>0.00%</v>
      </c>
      <c r="AI80" s="2">
        <f>ROUND(AF80*(LEFT(AJ80,5)+1),0)</f>
        <v>0</v>
      </c>
      <c r="AJ80" s="81" t="str">
        <f>TEXT('MYP Assumptions'!E78,"0.00%")&amp;", CPI"</f>
        <v>3.37%, CPI</v>
      </c>
      <c r="AK80" s="66"/>
      <c r="AL80" s="83" t="str">
        <f t="shared" si="49"/>
        <v>0.00%</v>
      </c>
      <c r="AM80" s="2">
        <f t="shared" si="62"/>
        <v>0</v>
      </c>
      <c r="AN80" s="81" t="str">
        <f>TEXT('MYP Assumptions'!F78,"0.00%")&amp;", CPI"</f>
        <v>3.58%, CPI</v>
      </c>
      <c r="AP80" s="83" t="str">
        <f t="shared" si="50"/>
        <v>0.00%</v>
      </c>
      <c r="AQ80" s="2">
        <f t="shared" si="56"/>
        <v>0</v>
      </c>
      <c r="AR80" s="81" t="str">
        <f>TEXT('MYP Assumptions'!G78,"0.00%")&amp;", CPI"</f>
        <v>3.36%, CPI</v>
      </c>
      <c r="AT80" s="83" t="str">
        <f t="shared" si="51"/>
        <v>0.00%</v>
      </c>
      <c r="AU80" s="2">
        <f t="shared" si="57"/>
        <v>0</v>
      </c>
      <c r="AV80" s="81" t="str">
        <f>TEXT('MYP Assumptions'!H78,"0.00%")&amp;", CPI"</f>
        <v>3.23%, CPI</v>
      </c>
      <c r="AX80" s="83" t="str">
        <f t="shared" si="52"/>
        <v>0.00%</v>
      </c>
      <c r="AY80" s="2">
        <f t="shared" si="58"/>
        <v>0</v>
      </c>
      <c r="AZ80" s="81" t="str">
        <f>TEXT('MYP Assumptions'!I78,"0.00%")&amp;", CPI"</f>
        <v>2.73%, CPI</v>
      </c>
      <c r="BB80" s="83" t="str">
        <f t="shared" si="53"/>
        <v>0.00%</v>
      </c>
      <c r="BC80" s="2">
        <f t="shared" si="59"/>
        <v>0</v>
      </c>
      <c r="BD80" s="81" t="str">
        <f>TEXT('MYP Assumptions'!J78,"0.00%")&amp;", CPI"</f>
        <v>2.73%, CPI</v>
      </c>
    </row>
    <row r="81" spans="1:56" x14ac:dyDescent="0.25">
      <c r="C81" s="8">
        <f>SUM(C68:C80)</f>
        <v>386238.37</v>
      </c>
      <c r="D81" s="33"/>
      <c r="E81" s="8">
        <f>SUM(E68:E80)</f>
        <v>3000</v>
      </c>
      <c r="F81" s="5"/>
      <c r="G81" s="8">
        <f>SUM(G68:G80)</f>
        <v>0</v>
      </c>
      <c r="H81" s="5"/>
      <c r="I81" s="8">
        <f>SUM(I68:I80)</f>
        <v>23622</v>
      </c>
      <c r="J81" s="5"/>
      <c r="K81" s="8">
        <f>SUM(K68:K80)</f>
        <v>17564</v>
      </c>
      <c r="L81" s="5"/>
      <c r="M81" s="8">
        <f>SUM(M68:M80)</f>
        <v>10500</v>
      </c>
      <c r="N81" s="5"/>
      <c r="O81" s="8">
        <f>SUM(O68:O80)</f>
        <v>2271</v>
      </c>
      <c r="P81" s="5"/>
      <c r="Q81" s="8">
        <f>SUM(Q68:Q80)</f>
        <v>10471</v>
      </c>
      <c r="R81" s="5"/>
      <c r="S81" s="8">
        <f>SUM(S68:S80)</f>
        <v>14889</v>
      </c>
      <c r="T81" s="5"/>
      <c r="U81" s="8">
        <f>SUM(U68:U80)</f>
        <v>8616</v>
      </c>
      <c r="V81" s="5"/>
      <c r="W81" s="8">
        <f>SUM(W68:W80)</f>
        <v>13000</v>
      </c>
      <c r="X81" s="5"/>
      <c r="Y81" s="8">
        <f>SUM(Y68:Y80)</f>
        <v>9426</v>
      </c>
      <c r="Z81" s="5"/>
      <c r="AA81" s="8">
        <f>SUM(AA68:AA80)</f>
        <v>10500</v>
      </c>
      <c r="AB81" s="5"/>
      <c r="AC81" s="29"/>
      <c r="AF81" s="8">
        <f>SUM(AF68:AF80)</f>
        <v>510097.37</v>
      </c>
      <c r="AG81" s="2"/>
      <c r="AH81" s="83">
        <f t="shared" ref="AH81:AH88" si="63">(AI81-AF81)/AF81</f>
        <v>3.3700683459708891E-2</v>
      </c>
      <c r="AI81" s="8">
        <f>SUM(AI68:AI80)</f>
        <v>527288</v>
      </c>
      <c r="AJ81" s="5"/>
      <c r="AK81" s="29"/>
      <c r="AL81" s="83">
        <f t="shared" si="49"/>
        <v>3.5800169926112485E-2</v>
      </c>
      <c r="AM81" s="8">
        <f>SUM(AM68:AM80)</f>
        <v>546165</v>
      </c>
      <c r="AN81" s="73"/>
      <c r="AP81" s="83">
        <f t="shared" si="50"/>
        <v>3.3599736343412706E-2</v>
      </c>
      <c r="AQ81" s="8">
        <f>SUM(AQ68:AQ80)</f>
        <v>564516</v>
      </c>
      <c r="AR81" s="73"/>
      <c r="AT81" s="83">
        <f t="shared" si="51"/>
        <v>3.230200738331597E-2</v>
      </c>
      <c r="AU81" s="8">
        <f>SUM(AU68:AU80)</f>
        <v>582751</v>
      </c>
      <c r="AV81" s="73"/>
      <c r="AX81" s="83">
        <f t="shared" si="52"/>
        <v>2.729982445332569E-2</v>
      </c>
      <c r="AY81" s="8">
        <f>SUM(AY68:AY80)</f>
        <v>598660</v>
      </c>
      <c r="AZ81" s="73"/>
      <c r="BB81" s="83">
        <f t="shared" si="53"/>
        <v>2.7300972171182308E-2</v>
      </c>
      <c r="BC81" s="8">
        <f>SUM(BC68:BC80)</f>
        <v>615004</v>
      </c>
      <c r="BD81" s="73"/>
    </row>
    <row r="82" spans="1:56" x14ac:dyDescent="0.25">
      <c r="A82" s="21"/>
      <c r="C82" s="3"/>
      <c r="D82" s="30"/>
      <c r="E82" s="2"/>
      <c r="F82" s="36"/>
      <c r="G82" s="2"/>
      <c r="H82" s="36"/>
      <c r="J82" s="36"/>
      <c r="K82" s="2"/>
      <c r="L82" s="36"/>
      <c r="M82" s="2"/>
      <c r="N82" s="36"/>
      <c r="O82" s="2"/>
      <c r="P82" s="36"/>
      <c r="Q82" s="2"/>
      <c r="R82" s="36"/>
      <c r="S82" s="2"/>
      <c r="T82" s="36"/>
      <c r="U82" s="2"/>
      <c r="V82" s="36"/>
      <c r="W82" s="2"/>
      <c r="X82" s="36"/>
      <c r="Y82" s="2"/>
      <c r="Z82" s="36"/>
      <c r="AA82" s="2"/>
      <c r="AB82" s="36"/>
      <c r="AC82" s="66"/>
      <c r="AD82" s="21"/>
      <c r="AF82" s="2"/>
      <c r="AG82" s="2"/>
      <c r="AH82" s="83"/>
      <c r="AI82" s="2"/>
      <c r="AJ82" s="36"/>
      <c r="AK82" s="66"/>
      <c r="AM82" s="2"/>
      <c r="AN82" s="73"/>
      <c r="AQ82" s="2"/>
      <c r="AR82" s="73"/>
      <c r="AU82" s="2"/>
      <c r="AV82" s="73"/>
      <c r="AY82" s="2"/>
      <c r="AZ82" s="73"/>
      <c r="BC82" s="2"/>
      <c r="BD82" s="73"/>
    </row>
    <row r="83" spans="1:56" x14ac:dyDescent="0.25">
      <c r="C83" s="3"/>
      <c r="D83" s="30"/>
      <c r="E83" s="2"/>
      <c r="F83" s="36"/>
      <c r="G83" s="2"/>
      <c r="H83" s="36"/>
      <c r="J83" s="36"/>
      <c r="K83" s="2"/>
      <c r="L83" s="36"/>
      <c r="M83" s="2"/>
      <c r="N83" s="36"/>
      <c r="O83" s="2"/>
      <c r="P83" s="36"/>
      <c r="Q83" s="2"/>
      <c r="R83" s="36"/>
      <c r="S83" s="2"/>
      <c r="T83" s="36"/>
      <c r="U83" s="2"/>
      <c r="V83" s="36"/>
      <c r="W83" s="2"/>
      <c r="X83" s="36"/>
      <c r="Y83" s="2"/>
      <c r="Z83" s="36"/>
      <c r="AA83" s="2"/>
      <c r="AB83" s="36"/>
      <c r="AC83" s="66"/>
      <c r="AF83" s="2"/>
      <c r="AG83" s="2"/>
      <c r="AI83" s="2"/>
      <c r="AJ83" s="36"/>
      <c r="AK83" s="66"/>
      <c r="AM83" s="2"/>
      <c r="AN83" s="73"/>
      <c r="AQ83" s="2"/>
      <c r="AR83" s="73"/>
      <c r="AU83" s="2"/>
      <c r="AV83" s="73"/>
      <c r="AY83" s="2"/>
      <c r="AZ83" s="73"/>
      <c r="BC83" s="2"/>
      <c r="BD83" s="73"/>
    </row>
    <row r="84" spans="1:56" x14ac:dyDescent="0.25">
      <c r="A84" s="21" t="s">
        <v>0</v>
      </c>
      <c r="C84" s="8">
        <f>SUM(C81,C65,C54,C13)</f>
        <v>1764624.37</v>
      </c>
      <c r="D84" s="33"/>
      <c r="E84" s="8">
        <f>SUM(E81,E65,E54)</f>
        <v>58079</v>
      </c>
      <c r="F84" s="5"/>
      <c r="G84" s="8">
        <f>SUM(G81,G65,G54)</f>
        <v>63864</v>
      </c>
      <c r="H84" s="5"/>
      <c r="I84" s="8">
        <f>SUM(I81,I65,I54)</f>
        <v>148609</v>
      </c>
      <c r="J84" s="5"/>
      <c r="K84" s="8">
        <f>SUM(K81,K65,K54)</f>
        <v>60043</v>
      </c>
      <c r="L84" s="5"/>
      <c r="M84" s="8">
        <f>SUM(M81,M65,M54)</f>
        <v>65573</v>
      </c>
      <c r="N84" s="5"/>
      <c r="O84" s="8">
        <f>SUM(O81,O65,O54)</f>
        <v>75954</v>
      </c>
      <c r="P84" s="5"/>
      <c r="Q84" s="8">
        <f>SUM(Q81,Q65,Q54)</f>
        <v>61288</v>
      </c>
      <c r="R84" s="5"/>
      <c r="S84" s="8">
        <f>SUM(S81,S65,S54)</f>
        <v>106619</v>
      </c>
      <c r="T84" s="5"/>
      <c r="U84" s="8">
        <f>SUM(U81,U65,U54)</f>
        <v>67761</v>
      </c>
      <c r="V84" s="5"/>
      <c r="W84" s="8">
        <f>SUM(W81,W65,W54)</f>
        <v>100960</v>
      </c>
      <c r="X84" s="5"/>
      <c r="Y84" s="8">
        <f>SUM(Y81,Y65,Y54)</f>
        <v>54971</v>
      </c>
      <c r="Z84" s="5"/>
      <c r="AA84" s="8">
        <f>SUM(AA81,AA65,AA54)</f>
        <v>63549</v>
      </c>
      <c r="AB84" s="5"/>
      <c r="AC84" s="29"/>
      <c r="AD84" s="21" t="str">
        <f>A84</f>
        <v>TOTAL EXPENDITURES</v>
      </c>
      <c r="AF84" s="8">
        <f>SUM(AF81,AF65,AF54)</f>
        <v>2594472.37</v>
      </c>
      <c r="AG84" s="2"/>
      <c r="AH84" s="83">
        <f t="shared" si="63"/>
        <v>3.3954352730300952E-2</v>
      </c>
      <c r="AI84" s="8">
        <f>SUM(AI81,AI65,AI54)</f>
        <v>2682566</v>
      </c>
      <c r="AJ84" s="5"/>
      <c r="AK84" s="29"/>
      <c r="AL84" s="83">
        <f>IF(AI84=0,"0.00%",(AM84-AI84)/AI84)</f>
        <v>3.6875513966851139E-2</v>
      </c>
      <c r="AM84" s="8">
        <f>SUM(AM81,AM65,AM54)</f>
        <v>2781487</v>
      </c>
      <c r="AN84" s="73"/>
      <c r="AP84" s="83">
        <f>IF(AM84=0,"0.00%",(AQ84-AM84)/AM84)</f>
        <v>3.5977518499996586E-2</v>
      </c>
      <c r="AQ84" s="8">
        <f>SUM(AQ81,AQ65,AQ54)</f>
        <v>2881558</v>
      </c>
      <c r="AR84" s="73"/>
      <c r="AT84" s="83">
        <f>IF(AQ84=0,"0.00%",(AU84-AQ84)/AQ84)</f>
        <v>3.1611718382902582E-2</v>
      </c>
      <c r="AU84" s="8">
        <f>SUM(AU81,AU65,AU54)</f>
        <v>2972649</v>
      </c>
      <c r="AV84" s="73"/>
      <c r="AX84" s="83">
        <f>IF(AU84=0,"0.00%",(AY84-AU84)/AU84)</f>
        <v>2.4817258949845742E-2</v>
      </c>
      <c r="AY84" s="8">
        <f>SUM(AY81,AY65,AY54)</f>
        <v>3046422</v>
      </c>
      <c r="AZ84" s="73"/>
      <c r="BB84" s="83" t="e">
        <f>IF(AY84=0,"0.00%",(BC84-AY84)/AY84)</f>
        <v>#VALUE!</v>
      </c>
      <c r="BC84" s="8" t="e">
        <f>SUM(BC81,BC65,BC54)</f>
        <v>#VALUE!</v>
      </c>
      <c r="BD84" s="73"/>
    </row>
    <row r="85" spans="1:56" x14ac:dyDescent="0.25">
      <c r="C85" s="3"/>
      <c r="D85" s="30"/>
      <c r="E85" s="2"/>
      <c r="F85" s="36"/>
      <c r="G85" s="2"/>
      <c r="H85" s="36"/>
      <c r="J85" s="36"/>
      <c r="K85" s="2"/>
      <c r="L85" s="36"/>
      <c r="M85" s="2"/>
      <c r="N85" s="36"/>
      <c r="O85" s="2"/>
      <c r="P85" s="36"/>
      <c r="Q85" s="2"/>
      <c r="R85" s="36"/>
      <c r="S85" s="2"/>
      <c r="T85" s="36"/>
      <c r="U85" s="2"/>
      <c r="V85" s="36"/>
      <c r="W85" s="2"/>
      <c r="X85" s="36"/>
      <c r="Y85" s="2"/>
      <c r="Z85" s="36"/>
      <c r="AA85" s="2"/>
      <c r="AB85" s="36"/>
      <c r="AC85" s="66"/>
      <c r="AF85" s="2"/>
      <c r="AG85" s="2"/>
      <c r="AI85" s="2"/>
      <c r="AJ85" s="36"/>
      <c r="AK85" s="66"/>
      <c r="AM85" s="2"/>
      <c r="AN85" s="73"/>
      <c r="AQ85" s="2"/>
      <c r="AR85" s="73"/>
      <c r="AU85" s="2"/>
      <c r="AV85" s="73"/>
      <c r="AY85" s="2"/>
      <c r="AZ85" s="73"/>
      <c r="BC85" s="2"/>
      <c r="BD85" s="73"/>
    </row>
    <row r="86" spans="1:56" x14ac:dyDescent="0.25">
      <c r="A86" s="21" t="s">
        <v>138</v>
      </c>
      <c r="C86" s="3">
        <f>C11-C84</f>
        <v>965811</v>
      </c>
      <c r="D86" s="30"/>
      <c r="E86" s="2"/>
      <c r="F86" s="36"/>
      <c r="G86" s="2"/>
      <c r="H86" s="36"/>
      <c r="J86" s="36"/>
      <c r="K86" s="2"/>
      <c r="L86" s="36"/>
      <c r="M86" s="2"/>
      <c r="N86" s="36"/>
      <c r="O86" s="2"/>
      <c r="P86" s="36"/>
      <c r="Q86" s="2"/>
      <c r="R86" s="36"/>
      <c r="S86" s="2"/>
      <c r="T86" s="36"/>
      <c r="U86" s="2"/>
      <c r="V86" s="36"/>
      <c r="W86" s="2"/>
      <c r="X86" s="36"/>
      <c r="Y86" s="2"/>
      <c r="Z86" s="36"/>
      <c r="AA86" s="2"/>
      <c r="AB86" s="36"/>
      <c r="AC86" s="66"/>
      <c r="AD86" s="21" t="str">
        <f>A86</f>
        <v>NET INCRS/DCRS TO FB</v>
      </c>
      <c r="AF86" s="3">
        <f>AF11-AF84</f>
        <v>135963</v>
      </c>
      <c r="AH86" s="83">
        <f t="shared" si="63"/>
        <v>-4.8461280274780636</v>
      </c>
      <c r="AI86" s="3">
        <f>AI11-AI84</f>
        <v>-522931.10499999998</v>
      </c>
      <c r="AJ86" s="36"/>
      <c r="AK86" s="66"/>
      <c r="AL86" s="83">
        <f>IF(AI86=0,"0.00%",(AM86-AI86)/AI86)</f>
        <v>0.60378379098332691</v>
      </c>
      <c r="AM86" s="3">
        <f>AM11-AM84</f>
        <v>-838668.43000000017</v>
      </c>
      <c r="AN86" s="73"/>
      <c r="AP86" s="83">
        <f>IF(AM86=0,"0.00%",(AQ86-AM86)/AM86)</f>
        <v>0.43521467119013874</v>
      </c>
      <c r="AQ86" s="3">
        <f>AQ11-AQ84</f>
        <v>-1203669.2350000001</v>
      </c>
      <c r="AR86" s="73"/>
      <c r="AT86" s="83">
        <f>IF(AQ86=0,"0.00%",(AU86-AQ86)/AQ86)</f>
        <v>7.5677767073609709E-2</v>
      </c>
      <c r="AU86" s="3">
        <f>AU11-AU84</f>
        <v>-1294760.2350000001</v>
      </c>
      <c r="AV86" s="73"/>
      <c r="AX86" s="83">
        <f>IF(AU86=0,"0.00%",(AY86-AU86)/AU86)</f>
        <v>5.6978116878913874E-2</v>
      </c>
      <c r="AY86" s="3">
        <f>AY11-AY84</f>
        <v>-1368533.2350000001</v>
      </c>
      <c r="AZ86" s="73"/>
      <c r="BB86" s="83" t="e">
        <f>IF(AY86=0,"0.00%",(BC86-AY86)/AY86)</f>
        <v>#VALUE!</v>
      </c>
      <c r="BC86" s="3" t="e">
        <f>BC11-BC84</f>
        <v>#VALUE!</v>
      </c>
      <c r="BD86" s="73"/>
    </row>
    <row r="87" spans="1:56" x14ac:dyDescent="0.25">
      <c r="A87" s="21"/>
      <c r="AD87" s="21"/>
      <c r="AE87" s="1"/>
      <c r="AF87" s="44"/>
      <c r="AI87" s="44"/>
      <c r="AJ87" s="36"/>
      <c r="AK87" s="66"/>
      <c r="AM87" s="44"/>
      <c r="AN87" s="73"/>
      <c r="AQ87" s="44"/>
      <c r="AR87" s="73"/>
      <c r="AU87" s="44"/>
      <c r="AV87" s="73"/>
      <c r="AY87" s="44"/>
      <c r="AZ87" s="73"/>
      <c r="BC87" s="44"/>
      <c r="BD87" s="73"/>
    </row>
    <row r="88" spans="1:56" x14ac:dyDescent="0.25">
      <c r="A88" s="21" t="s">
        <v>136</v>
      </c>
      <c r="C88" s="49">
        <f>C7+C86</f>
        <v>965811</v>
      </c>
      <c r="AD88" s="21" t="str">
        <f>A88</f>
        <v>ENDING FUND BALANCE</v>
      </c>
      <c r="AE88" s="26"/>
      <c r="AF88" s="49">
        <f>AF7+AF86</f>
        <v>135963</v>
      </c>
      <c r="AH88" s="83">
        <f t="shared" si="63"/>
        <v>-3.8461280274780636</v>
      </c>
      <c r="AI88" s="49">
        <f>AI7+AI86</f>
        <v>-386968.10499999998</v>
      </c>
      <c r="AJ88" s="36"/>
      <c r="AK88" s="66"/>
      <c r="AL88" s="83">
        <f>IF(AI88=0,"0.00%",(AM88-AI88)/AI88)</f>
        <v>2.1672805049398067</v>
      </c>
      <c r="AM88" s="49">
        <f>AM7+AM86</f>
        <v>-1225636.5350000001</v>
      </c>
      <c r="AN88" s="73"/>
      <c r="AP88" s="83">
        <f>IF(AM88=0,"0.00%",(AQ88-AM88)/AM88)</f>
        <v>0.982076823452395</v>
      </c>
      <c r="AQ88" s="49">
        <f>AQ7+AQ86</f>
        <v>-2429305.7700000005</v>
      </c>
      <c r="AR88" s="73"/>
      <c r="AT88" s="83">
        <f>IF(AQ88=0,"0.00%",(AU88-AQ88)/AQ88)</f>
        <v>0.53297540844354063</v>
      </c>
      <c r="AU88" s="49">
        <f>AU7+AU86</f>
        <v>-3724066.0050000008</v>
      </c>
      <c r="AV88" s="73"/>
      <c r="AX88" s="83">
        <f>IF(AU88=0,"0.00%",(AY88-AU88)/AU88)</f>
        <v>0.36748361419013037</v>
      </c>
      <c r="AY88" s="49">
        <f>AY7+AY86</f>
        <v>-5092599.2400000012</v>
      </c>
      <c r="AZ88" s="73"/>
      <c r="BB88" s="83" t="e">
        <f>IF(AY88=0,"0.00%",(BC88-AY88)/AY88)</f>
        <v>#VALUE!</v>
      </c>
      <c r="BC88" s="49" t="e">
        <f>BC7+BC86</f>
        <v>#VALUE!</v>
      </c>
      <c r="BD88" s="73"/>
    </row>
    <row r="89" spans="1:56" x14ac:dyDescent="0.25">
      <c r="AE89" s="4"/>
      <c r="AH89" s="85"/>
      <c r="AI89" s="5"/>
      <c r="AJ89" s="5"/>
      <c r="AK89" s="29"/>
      <c r="AM89" s="5"/>
      <c r="AN89" s="73"/>
      <c r="AQ89" s="5"/>
      <c r="AR89" s="73"/>
      <c r="AU89" s="5"/>
      <c r="AV89" s="73"/>
      <c r="AY89" s="5"/>
      <c r="AZ89" s="73"/>
      <c r="BC89" s="5"/>
      <c r="BD89" s="73"/>
    </row>
    <row r="90" spans="1:56" x14ac:dyDescent="0.25">
      <c r="AE90" s="51"/>
      <c r="AH90" s="85"/>
      <c r="AI90" s="36"/>
      <c r="AJ90" s="36"/>
      <c r="AK90" s="66"/>
      <c r="AM90" s="2"/>
      <c r="AN90" s="73"/>
      <c r="AQ90" s="2"/>
      <c r="AR90" s="73"/>
      <c r="AU90" s="2"/>
      <c r="AV90" s="73"/>
      <c r="AY90" s="2"/>
      <c r="AZ90" s="73"/>
      <c r="BC90" s="2"/>
      <c r="BD90" s="73"/>
    </row>
    <row r="91" spans="1:56" x14ac:dyDescent="0.25">
      <c r="AE91" s="26"/>
      <c r="AH91" s="85"/>
      <c r="AI91" s="25"/>
      <c r="AJ91" s="25"/>
      <c r="AK91" s="61"/>
      <c r="AL91" s="83"/>
      <c r="AM91" s="3"/>
      <c r="AN91" s="73"/>
      <c r="AP91" s="83"/>
      <c r="AQ91" s="3"/>
      <c r="AR91" s="73"/>
      <c r="AT91" s="83"/>
      <c r="AU91" s="3"/>
      <c r="AV91" s="73"/>
      <c r="AX91" s="83"/>
      <c r="AY91" s="3"/>
      <c r="AZ91" s="73"/>
      <c r="BB91" s="83"/>
      <c r="BC91" s="3"/>
      <c r="BD91" s="73"/>
    </row>
    <row r="92" spans="1:56" x14ac:dyDescent="0.25">
      <c r="A92" s="21"/>
      <c r="B92" s="1" t="str">
        <f>"Actuals as of "&amp;TEXT(C17,"mm/dd/yyyy")</f>
        <v>Actuals as of 02/16/2017</v>
      </c>
      <c r="C92" s="3">
        <v>690674.82</v>
      </c>
      <c r="D92" s="30"/>
      <c r="E92" s="3">
        <v>12299.94</v>
      </c>
      <c r="F92" s="36"/>
      <c r="G92" s="3">
        <v>44339.71</v>
      </c>
      <c r="H92" s="36"/>
      <c r="I92" s="3">
        <v>45981.45</v>
      </c>
      <c r="J92" s="36"/>
      <c r="K92" s="3">
        <v>13519.15</v>
      </c>
      <c r="L92" s="36"/>
      <c r="M92" s="3">
        <v>6749.97</v>
      </c>
      <c r="N92" s="36"/>
      <c r="O92" s="3">
        <v>6281.1</v>
      </c>
      <c r="P92" s="36"/>
      <c r="Q92" s="3">
        <v>19463.080000000002</v>
      </c>
      <c r="R92" s="36"/>
      <c r="S92" s="3">
        <v>26391.66</v>
      </c>
      <c r="T92" s="36"/>
      <c r="U92" s="3">
        <v>41712.160000000003</v>
      </c>
      <c r="V92" s="36"/>
      <c r="W92" s="3">
        <v>29988.23</v>
      </c>
      <c r="X92" s="36"/>
      <c r="Y92" s="3">
        <v>24652.12</v>
      </c>
      <c r="Z92" s="36"/>
      <c r="AA92" s="3">
        <v>10917.42</v>
      </c>
      <c r="AB92" s="36"/>
      <c r="AC92" s="66"/>
      <c r="AE92" s="51"/>
      <c r="AF92" s="2">
        <f>SUM(C92,E92,G92,I92,K92,M92,O92,Q92,S92,U92,W92,Y92,AA92)</f>
        <v>972970.80999999982</v>
      </c>
      <c r="AG92" s="2"/>
      <c r="AH92" s="85"/>
      <c r="AI92" s="51"/>
      <c r="AM92" s="39"/>
      <c r="AN92" s="73"/>
    </row>
    <row r="93" spans="1:56" x14ac:dyDescent="0.25">
      <c r="B93" s="1" t="str">
        <f>"Encumb. as of "&amp;TEXT(C17,"mm/dd/yyyy")</f>
        <v>Encumb. as of 02/16/2017</v>
      </c>
      <c r="C93" s="3">
        <v>475060.77</v>
      </c>
      <c r="D93" s="30"/>
      <c r="E93" s="3">
        <v>21644.49</v>
      </c>
      <c r="F93" s="36"/>
      <c r="G93" s="3">
        <v>10028.94</v>
      </c>
      <c r="H93" s="36"/>
      <c r="I93" s="3">
        <v>30065.16</v>
      </c>
      <c r="J93" s="36"/>
      <c r="K93" s="3">
        <v>3027.96</v>
      </c>
      <c r="L93" s="36"/>
      <c r="M93" s="3">
        <v>5778.15</v>
      </c>
      <c r="N93" s="36"/>
      <c r="O93" s="3">
        <v>150</v>
      </c>
      <c r="P93" s="36"/>
      <c r="Q93" s="3">
        <v>33992.699999999997</v>
      </c>
      <c r="R93" s="36"/>
      <c r="S93" s="3">
        <v>17630.77</v>
      </c>
      <c r="T93" s="36"/>
      <c r="U93" s="3">
        <v>5708.04</v>
      </c>
      <c r="V93" s="36"/>
      <c r="W93" s="3">
        <v>41894.050000000003</v>
      </c>
      <c r="X93" s="36"/>
      <c r="Y93" s="3">
        <v>75</v>
      </c>
      <c r="Z93" s="36"/>
      <c r="AA93" s="3">
        <v>3758.86</v>
      </c>
      <c r="AB93" s="36"/>
      <c r="AC93" s="66"/>
      <c r="AF93" s="2">
        <f>SUM(C93,E93,G93,I93,K93,M93,O93,Q93,S93,U93,W93,Y93,AA93)</f>
        <v>648814.89</v>
      </c>
      <c r="AG93" s="2"/>
      <c r="AI93" s="39"/>
    </row>
    <row r="94" spans="1:56" ht="15" customHeight="1" x14ac:dyDescent="0.25">
      <c r="B94" s="13" t="s">
        <v>118</v>
      </c>
      <c r="C94" s="24">
        <f>SUM(C92:C93)</f>
        <v>1165735.5899999999</v>
      </c>
      <c r="D94" s="30"/>
      <c r="E94" s="24">
        <f>SUM(E92:E93)</f>
        <v>33944.43</v>
      </c>
      <c r="F94" s="36"/>
      <c r="G94" s="24">
        <f>SUM(G92:G93)</f>
        <v>54368.65</v>
      </c>
      <c r="H94" s="36"/>
      <c r="I94" s="24">
        <f>SUM(I92:I93)</f>
        <v>76046.61</v>
      </c>
      <c r="J94" s="36"/>
      <c r="K94" s="24">
        <f>SUM(K92:K93)</f>
        <v>16547.11</v>
      </c>
      <c r="L94" s="36"/>
      <c r="M94" s="24">
        <f>SUM(M92:M93)</f>
        <v>12528.119999999999</v>
      </c>
      <c r="N94" s="36"/>
      <c r="O94" s="24">
        <f>SUM(O92:O93)</f>
        <v>6431.1</v>
      </c>
      <c r="P94" s="36"/>
      <c r="Q94" s="24">
        <f>SUM(Q92:Q93)</f>
        <v>53455.78</v>
      </c>
      <c r="R94" s="36"/>
      <c r="S94" s="24">
        <f>SUM(S92:S93)</f>
        <v>44022.43</v>
      </c>
      <c r="T94" s="36"/>
      <c r="U94" s="24">
        <f>SUM(U92:U93)</f>
        <v>47420.200000000004</v>
      </c>
      <c r="V94" s="36"/>
      <c r="W94" s="24">
        <f>SUM(W92:W93)</f>
        <v>71882.28</v>
      </c>
      <c r="X94" s="36"/>
      <c r="Y94" s="24">
        <f>SUM(Y92:Y93)</f>
        <v>24727.119999999999</v>
      </c>
      <c r="Z94" s="36"/>
      <c r="AA94" s="24">
        <f>SUM(AA92:AA93)</f>
        <v>14676.28</v>
      </c>
      <c r="AB94" s="36"/>
      <c r="AC94" s="66"/>
      <c r="AD94" s="76"/>
      <c r="AE94" s="76"/>
      <c r="AF94" s="8">
        <f>SUM(AF92:AF93)</f>
        <v>1621785.6999999997</v>
      </c>
      <c r="AG94" s="2"/>
    </row>
    <row r="95" spans="1:56" x14ac:dyDescent="0.25">
      <c r="C95" s="3"/>
      <c r="D95" s="30"/>
      <c r="E95" s="3"/>
      <c r="F95" s="36"/>
      <c r="G95" s="3"/>
      <c r="H95" s="36"/>
      <c r="I95" s="3"/>
      <c r="J95" s="36"/>
      <c r="K95" s="3"/>
      <c r="L95" s="36"/>
      <c r="M95" s="3"/>
      <c r="N95" s="36"/>
      <c r="O95" s="3"/>
      <c r="P95" s="36"/>
      <c r="Q95" s="3"/>
      <c r="R95" s="36"/>
      <c r="S95" s="3"/>
      <c r="T95" s="36"/>
      <c r="U95" s="3"/>
      <c r="V95" s="36"/>
      <c r="W95" s="3"/>
      <c r="X95" s="36"/>
      <c r="Y95" s="3"/>
      <c r="Z95" s="36"/>
      <c r="AA95" s="3"/>
      <c r="AB95" s="36"/>
      <c r="AC95" s="66"/>
      <c r="AD95" s="76"/>
      <c r="AE95" s="76"/>
      <c r="AF95" s="2"/>
      <c r="AG95" s="2"/>
    </row>
    <row r="96" spans="1:56" x14ac:dyDescent="0.25">
      <c r="B96" s="1" t="s">
        <v>49</v>
      </c>
      <c r="C96" s="3">
        <f>C84-C94</f>
        <v>598888.78000000026</v>
      </c>
      <c r="D96" s="30"/>
      <c r="E96" s="3">
        <f>E84-E94</f>
        <v>24134.57</v>
      </c>
      <c r="F96" s="36"/>
      <c r="G96" s="3">
        <f>G84-G94</f>
        <v>9495.3499999999985</v>
      </c>
      <c r="H96" s="36"/>
      <c r="I96" s="3">
        <f>I84-I94</f>
        <v>72562.39</v>
      </c>
      <c r="J96" s="36"/>
      <c r="K96" s="3">
        <f>K84-K94</f>
        <v>43495.89</v>
      </c>
      <c r="L96" s="36"/>
      <c r="M96" s="3">
        <f>M84-M94</f>
        <v>53044.880000000005</v>
      </c>
      <c r="N96" s="36"/>
      <c r="O96" s="3">
        <f>O84-O94</f>
        <v>69522.899999999994</v>
      </c>
      <c r="P96" s="36"/>
      <c r="Q96" s="3">
        <f>Q84-Q94</f>
        <v>7832.2200000000012</v>
      </c>
      <c r="R96" s="36"/>
      <c r="S96" s="3">
        <f>S84-S94</f>
        <v>62596.57</v>
      </c>
      <c r="T96" s="36"/>
      <c r="U96" s="3">
        <f>U84-U94</f>
        <v>20340.799999999996</v>
      </c>
      <c r="V96" s="36"/>
      <c r="W96" s="3">
        <f>W84-W94</f>
        <v>29077.72</v>
      </c>
      <c r="X96" s="36"/>
      <c r="Y96" s="3">
        <f>Y84-Y94</f>
        <v>30243.88</v>
      </c>
      <c r="Z96" s="36"/>
      <c r="AA96" s="3">
        <f>AA84-AA94</f>
        <v>48872.72</v>
      </c>
      <c r="AB96" s="36"/>
      <c r="AC96" s="66"/>
      <c r="AF96" s="3">
        <f>AF84-AF94</f>
        <v>972686.67000000039</v>
      </c>
      <c r="AG96" s="2"/>
    </row>
    <row r="99" spans="1:32" ht="15" customHeight="1" x14ac:dyDescent="0.25">
      <c r="A99" s="2554" t="s">
        <v>132</v>
      </c>
      <c r="B99" s="2554"/>
      <c r="C99" s="2">
        <v>338000</v>
      </c>
      <c r="D99" s="2" t="s">
        <v>130</v>
      </c>
      <c r="E99" s="2">
        <v>0</v>
      </c>
      <c r="G99" s="2">
        <v>39000</v>
      </c>
      <c r="H99" s="39" t="s">
        <v>134</v>
      </c>
      <c r="I99" s="2">
        <v>0</v>
      </c>
      <c r="K99" s="2">
        <v>39000</v>
      </c>
      <c r="L99" s="39" t="s">
        <v>134</v>
      </c>
      <c r="M99" s="2">
        <v>0</v>
      </c>
      <c r="O99" s="2">
        <v>61621</v>
      </c>
      <c r="P99" s="39" t="s">
        <v>134</v>
      </c>
      <c r="Q99" s="2">
        <v>16378.88</v>
      </c>
      <c r="R99" s="39" t="s">
        <v>134</v>
      </c>
      <c r="S99" s="2">
        <v>0</v>
      </c>
      <c r="U99" s="2">
        <v>0</v>
      </c>
      <c r="W99" s="2">
        <v>0</v>
      </c>
      <c r="Y99" s="2">
        <v>0</v>
      </c>
      <c r="AA99" s="2">
        <v>0</v>
      </c>
      <c r="AF99" s="2">
        <f>SUM(C99,E99,G99,I99,K99,M99,O99,Q99,S99,U99,W99,Y99,AA99)</f>
        <v>493999.88</v>
      </c>
    </row>
    <row r="100" spans="1:32" x14ac:dyDescent="0.25">
      <c r="A100" s="2554"/>
      <c r="B100" s="2554"/>
      <c r="C100" s="45">
        <v>26000</v>
      </c>
      <c r="D100" s="2" t="s">
        <v>131</v>
      </c>
      <c r="E100" s="45">
        <v>0</v>
      </c>
      <c r="G100" s="45">
        <v>0</v>
      </c>
      <c r="I100" s="45">
        <v>0</v>
      </c>
      <c r="K100" s="45">
        <v>0</v>
      </c>
      <c r="M100" s="45">
        <v>0</v>
      </c>
      <c r="O100" s="45">
        <v>0</v>
      </c>
      <c r="Q100" s="45">
        <v>0</v>
      </c>
      <c r="S100" s="45">
        <v>0</v>
      </c>
      <c r="U100" s="45">
        <v>0</v>
      </c>
      <c r="W100" s="45">
        <v>0</v>
      </c>
      <c r="Y100" s="45">
        <v>0</v>
      </c>
      <c r="AA100" s="45">
        <v>0</v>
      </c>
      <c r="AF100" s="2">
        <f>SUM(C100,E100,G100,I100,K100,M100,O100,Q100,S100,U100,W100,Y100,AA100)</f>
        <v>26000</v>
      </c>
    </row>
    <row r="101" spans="1:32" x14ac:dyDescent="0.25">
      <c r="C101" s="2">
        <v>75000</v>
      </c>
      <c r="D101" s="2" t="s">
        <v>133</v>
      </c>
      <c r="E101" s="2">
        <v>0</v>
      </c>
      <c r="G101" s="2">
        <v>0</v>
      </c>
      <c r="I101" s="2">
        <v>0</v>
      </c>
      <c r="K101" s="2">
        <v>0</v>
      </c>
      <c r="M101" s="2">
        <v>0</v>
      </c>
      <c r="O101" s="2">
        <v>0</v>
      </c>
      <c r="Q101" s="2">
        <v>0</v>
      </c>
      <c r="S101" s="2">
        <v>0</v>
      </c>
      <c r="U101" s="2">
        <v>0</v>
      </c>
      <c r="W101" s="2">
        <v>0</v>
      </c>
      <c r="Y101" s="2">
        <v>0</v>
      </c>
      <c r="AA101" s="2">
        <v>0</v>
      </c>
      <c r="AF101" s="2">
        <f>SUM(C101,E101,G101,I101,K101,M101,O101,Q101,S101,U101,W101,Y101,AA101)</f>
        <v>75000</v>
      </c>
    </row>
    <row r="102" spans="1:32" ht="15" customHeight="1" x14ac:dyDescent="0.25">
      <c r="C102" s="2">
        <v>0</v>
      </c>
      <c r="D102" s="2"/>
      <c r="E102" s="2">
        <v>0</v>
      </c>
      <c r="G102" s="2">
        <v>0</v>
      </c>
      <c r="I102" s="2">
        <v>0</v>
      </c>
      <c r="K102" s="2">
        <v>0</v>
      </c>
      <c r="M102" s="2">
        <v>0</v>
      </c>
      <c r="O102" s="2">
        <v>0</v>
      </c>
      <c r="Q102" s="2">
        <v>0</v>
      </c>
      <c r="S102" s="2">
        <v>0</v>
      </c>
      <c r="U102" s="2">
        <v>0</v>
      </c>
      <c r="W102" s="2">
        <v>0</v>
      </c>
      <c r="Y102" s="2">
        <v>0</v>
      </c>
      <c r="AA102" s="2">
        <v>0</v>
      </c>
      <c r="AD102" s="2554"/>
      <c r="AE102" s="2554"/>
      <c r="AF102" s="2">
        <f>SUM(C102,E102,G102,I102,K102,M102,O102,Q102,S102,U102,W102,Y102,AA102)</f>
        <v>0</v>
      </c>
    </row>
    <row r="103" spans="1:32" x14ac:dyDescent="0.25">
      <c r="C103" s="16">
        <v>0</v>
      </c>
      <c r="D103" s="2"/>
      <c r="E103" s="16">
        <v>0</v>
      </c>
      <c r="G103" s="16">
        <v>0</v>
      </c>
      <c r="I103" s="16">
        <v>0</v>
      </c>
      <c r="K103" s="16">
        <v>0</v>
      </c>
      <c r="M103" s="16">
        <v>0</v>
      </c>
      <c r="O103" s="16">
        <v>0</v>
      </c>
      <c r="Q103" s="16">
        <v>0</v>
      </c>
      <c r="S103" s="16">
        <v>0</v>
      </c>
      <c r="U103" s="16">
        <v>0</v>
      </c>
      <c r="W103" s="16">
        <v>0</v>
      </c>
      <c r="Y103" s="16">
        <v>0</v>
      </c>
      <c r="AA103" s="16">
        <v>0</v>
      </c>
      <c r="AD103" s="2554"/>
      <c r="AE103" s="2554"/>
      <c r="AF103" s="2">
        <f>SUM(C103,E103,G103,I103,K103,M103,O103,Q103,S103,U103,W103,Y103,AA103)</f>
        <v>0</v>
      </c>
    </row>
    <row r="104" spans="1:32" x14ac:dyDescent="0.25">
      <c r="C104" s="38">
        <f>SUM(C99:C103)</f>
        <v>439000</v>
      </c>
      <c r="D104" s="2" t="s">
        <v>57</v>
      </c>
      <c r="E104" s="38">
        <f>SUM(E99:E103)</f>
        <v>0</v>
      </c>
      <c r="G104" s="38">
        <f>SUM(G99:G103)</f>
        <v>39000</v>
      </c>
      <c r="I104" s="38">
        <f>SUM(I99:I103)</f>
        <v>0</v>
      </c>
      <c r="K104" s="38">
        <f>SUM(K99:K103)</f>
        <v>39000</v>
      </c>
      <c r="M104" s="38">
        <f>SUM(M99:M103)</f>
        <v>0</v>
      </c>
      <c r="O104" s="38">
        <f>SUM(O99:O103)</f>
        <v>61621</v>
      </c>
      <c r="Q104" s="38">
        <f>SUM(Q99:Q103)</f>
        <v>16378.88</v>
      </c>
      <c r="S104" s="38">
        <f>SUM(S99:S103)</f>
        <v>0</v>
      </c>
      <c r="U104" s="38">
        <f>SUM(U99:U103)</f>
        <v>0</v>
      </c>
      <c r="W104" s="38">
        <f>SUM(W99:W103)</f>
        <v>0</v>
      </c>
      <c r="Y104" s="38">
        <f>SUM(Y99:Y103)</f>
        <v>0</v>
      </c>
      <c r="AA104" s="38">
        <f>SUM(AA99:AA103)</f>
        <v>0</v>
      </c>
      <c r="AF104" s="38">
        <f>SUM(AF99:AF103)</f>
        <v>594999.88</v>
      </c>
    </row>
    <row r="105" spans="1:32" x14ac:dyDescent="0.25">
      <c r="C105"/>
      <c r="D105" s="2"/>
      <c r="I105" s="39"/>
    </row>
    <row r="106" spans="1:32" x14ac:dyDescent="0.25">
      <c r="C106" s="2"/>
      <c r="D106" s="2"/>
      <c r="P106" s="45"/>
    </row>
    <row r="107" spans="1:32" ht="28.5" customHeight="1" x14ac:dyDescent="0.25">
      <c r="A107" s="2554" t="s">
        <v>135</v>
      </c>
      <c r="B107" s="2554"/>
      <c r="C107" s="49">
        <f>C96-C104</f>
        <v>159888.78000000026</v>
      </c>
      <c r="E107" s="49">
        <f>E96-E104</f>
        <v>24134.57</v>
      </c>
      <c r="G107" s="49">
        <f>G96-G104</f>
        <v>-29504.65</v>
      </c>
      <c r="I107" s="49">
        <f>I96-I104</f>
        <v>72562.39</v>
      </c>
      <c r="K107" s="49">
        <f>K96-K104</f>
        <v>4495.8899999999994</v>
      </c>
      <c r="M107" s="49">
        <f>M96-M104</f>
        <v>53044.880000000005</v>
      </c>
      <c r="O107" s="49">
        <f>O96-O104</f>
        <v>7901.8999999999942</v>
      </c>
      <c r="Q107" s="49">
        <f>Q96-Q104</f>
        <v>-8546.659999999998</v>
      </c>
      <c r="S107" s="49">
        <f>S96-S104</f>
        <v>62596.57</v>
      </c>
      <c r="U107" s="49">
        <f>U96-U104</f>
        <v>20340.799999999996</v>
      </c>
      <c r="W107" s="49">
        <f>W96-W104</f>
        <v>29077.72</v>
      </c>
      <c r="Y107" s="49">
        <f>Y96-Y104</f>
        <v>30243.88</v>
      </c>
      <c r="AA107" s="49">
        <f>AA96-AA104</f>
        <v>48872.72</v>
      </c>
      <c r="AF107" s="49">
        <f>AF96-AF104</f>
        <v>377686.79000000039</v>
      </c>
    </row>
    <row r="108" spans="1:32" x14ac:dyDescent="0.25">
      <c r="A108" s="54"/>
      <c r="B108" s="54"/>
      <c r="C108" s="2"/>
      <c r="D108" s="2"/>
    </row>
    <row r="109" spans="1:32" x14ac:dyDescent="0.25">
      <c r="C109" s="2"/>
      <c r="D109" s="2"/>
    </row>
  </sheetData>
  <mergeCells count="7">
    <mergeCell ref="A99:B100"/>
    <mergeCell ref="A107:B107"/>
    <mergeCell ref="A6:G6"/>
    <mergeCell ref="AD102:AE103"/>
    <mergeCell ref="H6:N6"/>
    <mergeCell ref="O6:U6"/>
    <mergeCell ref="V6:AB6"/>
  </mergeCells>
  <pageMargins left="0.25" right="0.25" top="0.17" bottom="0.17" header="0.17" footer="0.17"/>
  <pageSetup paperSize="17" scale="39" orientation="landscape" r:id="rId1"/>
  <headerFooter>
    <oddHeader>&amp;R&amp;A</oddHeader>
    <oddFooter>&amp;L&amp;F&amp;R&amp;A</oddFooter>
  </headerFooter>
  <colBreaks count="1" manualBreakCount="1">
    <brk id="8" max="1048575" man="1"/>
  </colBreaks>
  <ignoredErrors>
    <ignoredError sqref="A56 A41:A42 A21:A27 A80:A81 A83:A85 A29:A38 A71 A74 A76:A78 A66:A69"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
  <sheetViews>
    <sheetView showGridLines="0" showRowColHeaders="0" zoomScaleNormal="100" workbookViewId="0"/>
  </sheetViews>
  <sheetFormatPr defaultColWidth="9.140625" defaultRowHeight="15" x14ac:dyDescent="0.2"/>
  <cols>
    <col min="1" max="1" width="3.85546875" style="157" customWidth="1"/>
    <col min="2" max="10" width="9.140625" style="157" customWidth="1"/>
    <col min="11" max="11" width="3.5703125" style="157" customWidth="1"/>
    <col min="12" max="16384" width="9.140625" style="157"/>
  </cols>
  <sheetData>
    <row r="1" spans="1:1" x14ac:dyDescent="0.2">
      <c r="A1" s="157" t="s">
        <v>141</v>
      </c>
    </row>
  </sheetData>
  <sheetProtection password="E247" sheet="1" objects="1" scenarios="1"/>
  <printOptions horizontalCentered="1" verticalCentered="1"/>
  <pageMargins left="0.17" right="0.17" top="0.36" bottom="0.17" header="0.17" footer="0.17"/>
  <pageSetup scale="87" orientation="portrait" r:id="rId1"/>
  <headerFooter>
    <oddHeader>&amp;L&amp;F</oddHeader>
    <oddFooter>&amp;R&amp;A</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H43:P83"/>
  <sheetViews>
    <sheetView showGridLines="0" zoomScaleNormal="100" workbookViewId="0"/>
  </sheetViews>
  <sheetFormatPr defaultRowHeight="15" x14ac:dyDescent="0.25"/>
  <cols>
    <col min="1" max="1" width="3" customWidth="1"/>
    <col min="9" max="9" width="14.42578125" customWidth="1"/>
    <col min="10" max="10" width="15.7109375" customWidth="1"/>
    <col min="15" max="15" width="16.7109375" customWidth="1"/>
    <col min="16" max="16" width="15.140625" customWidth="1"/>
    <col min="34" max="34" width="7.42578125" customWidth="1"/>
  </cols>
  <sheetData>
    <row r="43" spans="10:15" x14ac:dyDescent="0.25">
      <c r="J43" s="1324"/>
      <c r="K43" s="1324"/>
      <c r="L43" s="1324"/>
      <c r="M43" s="1324"/>
      <c r="N43" s="1324"/>
      <c r="O43" s="1324"/>
    </row>
    <row r="44" spans="10:15" x14ac:dyDescent="0.25">
      <c r="J44" s="1324"/>
      <c r="K44" s="1324"/>
      <c r="L44" s="1324"/>
      <c r="M44" s="1324"/>
      <c r="N44" s="1324"/>
      <c r="O44" s="1324"/>
    </row>
    <row r="45" spans="10:15" x14ac:dyDescent="0.25">
      <c r="J45" s="1324"/>
      <c r="K45" s="1324"/>
      <c r="L45" s="1326"/>
      <c r="M45" s="2557"/>
      <c r="N45" s="2557"/>
      <c r="O45" s="1324"/>
    </row>
    <row r="46" spans="10:15" x14ac:dyDescent="0.25">
      <c r="J46" s="1324"/>
      <c r="K46" s="1324"/>
      <c r="L46" s="1326"/>
      <c r="M46" s="2557"/>
      <c r="N46" s="2557"/>
      <c r="O46" s="1324"/>
    </row>
    <row r="47" spans="10:15" x14ac:dyDescent="0.25">
      <c r="J47" s="1324"/>
      <c r="K47" s="1324"/>
      <c r="L47" s="26"/>
      <c r="M47" s="2556"/>
      <c r="N47" s="2556"/>
      <c r="O47" s="1324"/>
    </row>
    <row r="48" spans="10:15" x14ac:dyDescent="0.25">
      <c r="J48" s="1324"/>
      <c r="K48" s="1324"/>
      <c r="L48" s="1324"/>
      <c r="M48" s="1324"/>
      <c r="N48" s="1324"/>
      <c r="O48" s="1324"/>
    </row>
    <row r="49" spans="10:15" x14ac:dyDescent="0.25">
      <c r="J49" s="1324"/>
      <c r="K49" s="1324"/>
      <c r="L49" s="1324"/>
      <c r="M49" s="1324"/>
      <c r="N49" s="1324"/>
      <c r="O49" s="1324"/>
    </row>
    <row r="50" spans="10:15" x14ac:dyDescent="0.25">
      <c r="J50" s="1324"/>
      <c r="K50" s="1324"/>
      <c r="L50" s="1324"/>
      <c r="M50" s="1324"/>
      <c r="N50" s="1324"/>
      <c r="O50" s="1324"/>
    </row>
    <row r="73" spans="8:16" x14ac:dyDescent="0.25">
      <c r="H73" s="1324"/>
      <c r="I73" s="1324"/>
      <c r="J73" s="1324"/>
      <c r="K73" s="1324"/>
      <c r="L73" s="1324"/>
      <c r="M73" s="1324"/>
      <c r="N73" s="1324"/>
      <c r="O73" s="1324"/>
      <c r="P73" s="1324"/>
    </row>
    <row r="74" spans="8:16" x14ac:dyDescent="0.25">
      <c r="H74" s="1324"/>
      <c r="I74" s="1324"/>
      <c r="J74" s="1324"/>
      <c r="K74" s="1324"/>
      <c r="L74" s="1324"/>
      <c r="M74" s="1324"/>
      <c r="N74" s="1324"/>
      <c r="O74" s="1324"/>
      <c r="P74" s="1324"/>
    </row>
    <row r="75" spans="8:16" x14ac:dyDescent="0.25">
      <c r="H75" s="1324"/>
      <c r="I75" s="1324"/>
      <c r="J75" s="1324"/>
      <c r="K75" s="1324"/>
      <c r="L75" s="1324"/>
      <c r="M75" s="1324"/>
      <c r="N75" s="1324"/>
      <c r="O75" s="1324"/>
      <c r="P75" s="1324"/>
    </row>
    <row r="76" spans="8:16" x14ac:dyDescent="0.25">
      <c r="H76" s="1324"/>
      <c r="I76" s="1324"/>
      <c r="J76" s="1325"/>
      <c r="K76" s="1324"/>
      <c r="L76" s="1324"/>
      <c r="M76" s="1324"/>
      <c r="N76" s="1324"/>
      <c r="O76" s="1324"/>
      <c r="P76" s="1325"/>
    </row>
    <row r="77" spans="8:16" x14ac:dyDescent="0.25">
      <c r="H77" s="1324"/>
      <c r="I77" s="1326"/>
      <c r="J77" s="1327"/>
      <c r="K77" s="1324"/>
      <c r="L77" s="1324"/>
      <c r="M77" s="1324"/>
      <c r="N77" s="1324"/>
      <c r="O77" s="1326"/>
      <c r="P77" s="1327"/>
    </row>
    <row r="78" spans="8:16" x14ac:dyDescent="0.25">
      <c r="H78" s="1324"/>
      <c r="I78" s="1326"/>
      <c r="J78" s="1327"/>
      <c r="K78" s="1324"/>
      <c r="L78" s="1324"/>
      <c r="M78" s="1324"/>
      <c r="N78" s="1324"/>
      <c r="O78" s="1326"/>
      <c r="P78" s="1327"/>
    </row>
    <row r="79" spans="8:16" x14ac:dyDescent="0.25">
      <c r="H79" s="1324"/>
      <c r="I79" s="26"/>
      <c r="J79" s="1328"/>
      <c r="K79" s="1324"/>
      <c r="L79" s="1324"/>
      <c r="M79" s="1324"/>
      <c r="N79" s="1324"/>
      <c r="O79" s="26"/>
      <c r="P79" s="1328"/>
    </row>
    <row r="80" spans="8:16" x14ac:dyDescent="0.25">
      <c r="H80" s="1324"/>
      <c r="I80" s="1324"/>
      <c r="J80" s="1324"/>
      <c r="K80" s="1324"/>
      <c r="L80" s="1324"/>
      <c r="M80" s="1324"/>
      <c r="N80" s="1324"/>
      <c r="O80" s="1324"/>
      <c r="P80" s="1324"/>
    </row>
    <row r="81" spans="8:16" x14ac:dyDescent="0.25">
      <c r="H81" s="1324"/>
      <c r="I81" s="1324"/>
      <c r="J81" s="1324"/>
      <c r="K81" s="1324"/>
      <c r="L81" s="1324"/>
      <c r="M81" s="1324"/>
      <c r="N81" s="1324"/>
      <c r="O81" s="1324"/>
      <c r="P81" s="1324"/>
    </row>
    <row r="82" spans="8:16" x14ac:dyDescent="0.25">
      <c r="H82" s="1324"/>
      <c r="I82" s="1324"/>
      <c r="J82" s="1324"/>
      <c r="K82" s="1324"/>
      <c r="L82" s="1324"/>
      <c r="M82" s="1324"/>
      <c r="N82" s="1324"/>
      <c r="O82" s="1324"/>
      <c r="P82" s="1324"/>
    </row>
    <row r="83" spans="8:16" x14ac:dyDescent="0.25">
      <c r="H83" s="1324"/>
      <c r="I83" s="1324"/>
      <c r="J83" s="1324"/>
      <c r="K83" s="1324"/>
      <c r="L83" s="1324"/>
      <c r="M83" s="1324"/>
      <c r="N83" s="1324"/>
      <c r="O83" s="1324"/>
      <c r="P83" s="1324"/>
    </row>
  </sheetData>
  <sheetProtection password="E247" sheet="1" objects="1" scenarios="1"/>
  <mergeCells count="3">
    <mergeCell ref="M47:N47"/>
    <mergeCell ref="M45:N45"/>
    <mergeCell ref="M46:N46"/>
  </mergeCells>
  <printOptions horizontalCentered="1"/>
  <pageMargins left="0.17" right="0.17" top="0.75" bottom="0.75" header="0.3" footer="0.3"/>
  <pageSetup scale="45" orientation="landscape" r:id="rId1"/>
  <headerFooter>
    <oddHeader>&amp;L&amp;F&amp;R&amp;A</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7"/>
  <sheetViews>
    <sheetView zoomScaleNormal="100" workbookViewId="0">
      <pane ySplit="1" topLeftCell="A2" activePane="bottomLeft" state="frozen"/>
      <selection pane="bottomLeft" activeCell="I1" sqref="I1"/>
    </sheetView>
  </sheetViews>
  <sheetFormatPr defaultRowHeight="12.75" x14ac:dyDescent="0.2"/>
  <cols>
    <col min="1" max="1" width="29.42578125" style="404" customWidth="1"/>
    <col min="2" max="3" width="10.140625" style="475" customWidth="1"/>
    <col min="4" max="6" width="12.140625" style="405" customWidth="1"/>
    <col min="7" max="8" width="12.140625" style="404" customWidth="1"/>
    <col min="9" max="9" width="44.5703125" style="404" bestFit="1" customWidth="1"/>
    <col min="10" max="10" width="9.140625" style="404"/>
    <col min="11" max="11" width="14" style="404" bestFit="1" customWidth="1"/>
    <col min="12" max="16384" width="9.140625" style="404"/>
  </cols>
  <sheetData>
    <row r="1" spans="1:11" s="429" customFormat="1" ht="17.25" thickTop="1" x14ac:dyDescent="0.3">
      <c r="A1" s="453" t="s">
        <v>655</v>
      </c>
      <c r="B1" s="467" t="s">
        <v>654</v>
      </c>
      <c r="C1" s="467" t="s">
        <v>653</v>
      </c>
      <c r="D1" s="1379" t="s">
        <v>652</v>
      </c>
      <c r="E1" s="1382" t="s">
        <v>286</v>
      </c>
      <c r="F1" s="452" t="s">
        <v>287</v>
      </c>
      <c r="G1" s="451" t="s">
        <v>288</v>
      </c>
      <c r="H1" s="451" t="s">
        <v>289</v>
      </c>
      <c r="I1" s="451" t="s">
        <v>651</v>
      </c>
    </row>
    <row r="2" spans="1:11" ht="16.5" x14ac:dyDescent="0.3">
      <c r="A2" s="450" t="s">
        <v>650</v>
      </c>
      <c r="B2" s="468"/>
      <c r="C2" s="468"/>
      <c r="D2" s="438"/>
      <c r="E2" s="1383"/>
      <c r="F2" s="448"/>
      <c r="G2" s="447"/>
      <c r="H2" s="447"/>
      <c r="I2" s="447"/>
    </row>
    <row r="3" spans="1:11" ht="16.5" x14ac:dyDescent="0.3">
      <c r="A3" s="415" t="s">
        <v>649</v>
      </c>
      <c r="B3" s="469" t="s">
        <v>648</v>
      </c>
      <c r="C3" s="469"/>
      <c r="D3" s="418">
        <v>149454.15</v>
      </c>
      <c r="E3" s="1384">
        <v>79154</v>
      </c>
      <c r="F3" s="434">
        <v>0</v>
      </c>
      <c r="G3" s="441">
        <v>0</v>
      </c>
      <c r="H3" s="441">
        <v>0</v>
      </c>
      <c r="I3" s="404" t="s">
        <v>647</v>
      </c>
    </row>
    <row r="4" spans="1:11" ht="16.5" x14ac:dyDescent="0.3">
      <c r="A4" s="415" t="s">
        <v>646</v>
      </c>
      <c r="B4" s="469">
        <v>3010</v>
      </c>
      <c r="C4" s="469">
        <v>8290</v>
      </c>
      <c r="D4" s="418">
        <v>885470.63</v>
      </c>
      <c r="E4" s="1384">
        <f>+'RS 3010'!D10</f>
        <v>1196921.81</v>
      </c>
      <c r="F4" s="434">
        <f>+'RS 3010'!H10</f>
        <v>1401962.81</v>
      </c>
      <c r="G4" s="441">
        <f>+'RS 3010'!L10</f>
        <v>1557124</v>
      </c>
      <c r="H4" s="441">
        <f>+'RS 3010'!P10</f>
        <v>1557124</v>
      </c>
      <c r="I4" s="404" t="s">
        <v>627</v>
      </c>
      <c r="K4" s="441"/>
    </row>
    <row r="5" spans="1:11" ht="16.5" x14ac:dyDescent="0.3">
      <c r="A5" s="415" t="s">
        <v>645</v>
      </c>
      <c r="B5" s="469">
        <v>3010</v>
      </c>
      <c r="C5" s="469">
        <v>8290</v>
      </c>
      <c r="D5" s="418">
        <v>1099576.58</v>
      </c>
      <c r="E5" s="1384">
        <f>+'RS 3010'!D11</f>
        <v>1062358.3700000001</v>
      </c>
      <c r="F5" s="434">
        <f>+'RS 3010'!H11</f>
        <v>750726.19</v>
      </c>
      <c r="G5" s="441">
        <f>+'RS 3010'!L11</f>
        <v>415876</v>
      </c>
      <c r="H5" s="441">
        <f>+'RS 3010'!P11</f>
        <v>0</v>
      </c>
      <c r="I5" s="404" t="s">
        <v>632</v>
      </c>
    </row>
    <row r="6" spans="1:11" ht="16.5" x14ac:dyDescent="0.3">
      <c r="A6" s="415" t="s">
        <v>644</v>
      </c>
      <c r="B6" s="469">
        <v>3011</v>
      </c>
      <c r="C6" s="469">
        <v>8287</v>
      </c>
      <c r="D6" s="418">
        <v>7471.26</v>
      </c>
      <c r="E6" s="1384">
        <v>0</v>
      </c>
      <c r="F6" s="434">
        <v>0</v>
      </c>
      <c r="G6" s="441">
        <v>0</v>
      </c>
      <c r="H6" s="441">
        <v>0</v>
      </c>
      <c r="I6" s="404" t="s">
        <v>627</v>
      </c>
    </row>
    <row r="7" spans="1:11" ht="16.5" x14ac:dyDescent="0.3">
      <c r="A7" s="415" t="s">
        <v>642</v>
      </c>
      <c r="B7" s="469" t="s">
        <v>643</v>
      </c>
      <c r="C7" s="469">
        <v>8181</v>
      </c>
      <c r="D7" s="418">
        <v>1668877</v>
      </c>
      <c r="E7" s="1384">
        <f>+'RS 3310'!D9+'RS 3311'!D9</f>
        <v>1693406</v>
      </c>
      <c r="F7" s="434">
        <f>+'RS 3310'!H9+'RS 3311'!H9</f>
        <v>1744991</v>
      </c>
      <c r="G7" s="441">
        <f>+'RS 3310'!L9+'RS 3311'!L9</f>
        <v>1688372</v>
      </c>
      <c r="H7" s="441">
        <f>+'RS 3310'!P9+'RS 3311'!P9</f>
        <v>1688372</v>
      </c>
      <c r="I7" s="404" t="s">
        <v>596</v>
      </c>
    </row>
    <row r="8" spans="1:11" ht="16.5" x14ac:dyDescent="0.3">
      <c r="A8" s="415" t="s">
        <v>642</v>
      </c>
      <c r="B8" s="469">
        <v>3310</v>
      </c>
      <c r="C8" s="469">
        <v>8287</v>
      </c>
      <c r="D8" s="418">
        <v>12203</v>
      </c>
      <c r="E8" s="1384">
        <f>+'RS 3310'!D10</f>
        <v>7775</v>
      </c>
      <c r="F8" s="434">
        <f>+'RS 3310'!H10</f>
        <v>10423</v>
      </c>
      <c r="G8" s="441">
        <f>+'RS 3310'!L10</f>
        <v>18808</v>
      </c>
      <c r="H8" s="441">
        <f>+'RS 3310'!P10</f>
        <v>18808</v>
      </c>
    </row>
    <row r="9" spans="1:11" ht="16.5" x14ac:dyDescent="0.3">
      <c r="A9" s="415" t="s">
        <v>641</v>
      </c>
      <c r="B9" s="469">
        <v>4035</v>
      </c>
      <c r="C9" s="469">
        <v>8290</v>
      </c>
      <c r="D9" s="418">
        <v>225859.22</v>
      </c>
      <c r="E9" s="1384">
        <f>+'RS 4035'!D9</f>
        <v>211006</v>
      </c>
      <c r="F9" s="434">
        <f>+'RS 4035'!H9</f>
        <v>257921</v>
      </c>
      <c r="G9" s="441">
        <f>+'RS 4035'!L9</f>
        <v>266325</v>
      </c>
      <c r="H9" s="441">
        <f>+'RS 4035'!P9</f>
        <v>266325</v>
      </c>
      <c r="I9" s="404" t="s">
        <v>627</v>
      </c>
    </row>
    <row r="10" spans="1:11" ht="16.5" x14ac:dyDescent="0.3">
      <c r="A10" s="415" t="s">
        <v>640</v>
      </c>
      <c r="B10" s="469">
        <v>4035</v>
      </c>
      <c r="C10" s="469">
        <v>8290</v>
      </c>
      <c r="D10" s="418">
        <v>73591.13</v>
      </c>
      <c r="E10" s="1384">
        <f>+'RS 4035'!D10</f>
        <v>-1081.22</v>
      </c>
      <c r="F10" s="434">
        <f>+'RS 4035'!H10</f>
        <v>0</v>
      </c>
      <c r="G10" s="441">
        <f>+'RS 4035'!L10</f>
        <v>0</v>
      </c>
      <c r="H10" s="441">
        <f>+'RS 4035'!P10</f>
        <v>0</v>
      </c>
      <c r="I10" s="404" t="s">
        <v>639</v>
      </c>
    </row>
    <row r="11" spans="1:11" ht="16.5" x14ac:dyDescent="0.3">
      <c r="A11" s="415" t="s">
        <v>638</v>
      </c>
      <c r="B11" s="469">
        <v>4036</v>
      </c>
      <c r="C11" s="469"/>
      <c r="D11" s="418">
        <v>0</v>
      </c>
      <c r="E11" s="1384">
        <v>0</v>
      </c>
      <c r="F11" s="434">
        <v>0</v>
      </c>
      <c r="G11" s="441">
        <v>0</v>
      </c>
      <c r="H11" s="441">
        <v>0</v>
      </c>
      <c r="I11" s="404" t="s">
        <v>627</v>
      </c>
    </row>
    <row r="12" spans="1:11" ht="16.5" x14ac:dyDescent="0.3">
      <c r="A12" s="415" t="s">
        <v>637</v>
      </c>
      <c r="B12" s="469">
        <v>4201</v>
      </c>
      <c r="C12" s="469"/>
      <c r="D12" s="418">
        <f>14250-815.3</f>
        <v>13434.7</v>
      </c>
      <c r="E12" s="1384">
        <f>+'RS 4201'!D9</f>
        <v>10339.290000000001</v>
      </c>
      <c r="F12" s="434">
        <f>+'RS 4201'!H9</f>
        <v>14458</v>
      </c>
      <c r="G12" s="441">
        <f>+'RS 4201'!L9</f>
        <v>1271</v>
      </c>
      <c r="H12" s="441">
        <f>+'RS 4201'!P9</f>
        <v>23664</v>
      </c>
      <c r="I12" s="404" t="s">
        <v>636</v>
      </c>
    </row>
    <row r="13" spans="1:11" ht="16.5" x14ac:dyDescent="0.3">
      <c r="A13" s="415" t="s">
        <v>635</v>
      </c>
      <c r="B13" s="469">
        <v>4201</v>
      </c>
      <c r="C13" s="469"/>
      <c r="D13" s="418"/>
      <c r="E13" s="1384">
        <f>+'RS 4201'!D10</f>
        <v>3416.3</v>
      </c>
      <c r="F13" s="434">
        <f>+'RS 4201'!H10</f>
        <v>0</v>
      </c>
      <c r="G13" s="441">
        <f>+'RS 4201'!L10</f>
        <v>21393</v>
      </c>
      <c r="H13" s="441">
        <f>+'RS 4201'!P10</f>
        <v>0</v>
      </c>
      <c r="I13" s="404" t="s">
        <v>632</v>
      </c>
    </row>
    <row r="14" spans="1:11" ht="16.5" x14ac:dyDescent="0.3">
      <c r="A14" s="415" t="s">
        <v>634</v>
      </c>
      <c r="B14" s="469">
        <v>4203</v>
      </c>
      <c r="C14" s="469"/>
      <c r="D14" s="418">
        <v>90721</v>
      </c>
      <c r="E14" s="1384">
        <f>+'RS 4203'!D9</f>
        <v>105397.47999999998</v>
      </c>
      <c r="F14" s="434">
        <f>+'RS 4203'!H9</f>
        <v>103592</v>
      </c>
      <c r="G14" s="441">
        <f>+'RS 4203'!L9</f>
        <v>85386</v>
      </c>
      <c r="H14" s="441">
        <f>+'RS 4203'!P9</f>
        <v>120798</v>
      </c>
      <c r="I14" s="404" t="s">
        <v>627</v>
      </c>
    </row>
    <row r="15" spans="1:11" ht="16.5" x14ac:dyDescent="0.3">
      <c r="A15" s="415" t="s">
        <v>633</v>
      </c>
      <c r="B15" s="469">
        <v>4203</v>
      </c>
      <c r="C15" s="469"/>
      <c r="D15" s="418">
        <f>13413-888.11</f>
        <v>12524.89</v>
      </c>
      <c r="E15" s="1384">
        <f>+'RS 4203'!D10</f>
        <v>37453.199999999997</v>
      </c>
      <c r="F15" s="434">
        <f>+'RS 4203'!H10</f>
        <v>0</v>
      </c>
      <c r="G15" s="441">
        <f>+'RS 4203'!L10</f>
        <v>33334</v>
      </c>
      <c r="H15" s="441">
        <f>+'RS 4203'!P10</f>
        <v>0</v>
      </c>
      <c r="I15" s="404" t="s">
        <v>632</v>
      </c>
    </row>
    <row r="16" spans="1:11" ht="16.5" x14ac:dyDescent="0.3">
      <c r="A16" s="415" t="s">
        <v>631</v>
      </c>
      <c r="B16" s="469">
        <v>5640</v>
      </c>
      <c r="C16" s="469"/>
      <c r="D16" s="418">
        <v>102458.82</v>
      </c>
      <c r="E16" s="1384">
        <f>+'RS 5640'!D9</f>
        <v>175676.28</v>
      </c>
      <c r="F16" s="434">
        <f>+'RS 5640'!H9</f>
        <v>291998</v>
      </c>
      <c r="G16" s="441">
        <f>+'RS 5640'!L9</f>
        <v>284886</v>
      </c>
      <c r="H16" s="441">
        <f>+'RS 5640'!P9</f>
        <v>282687</v>
      </c>
      <c r="I16" s="404" t="s">
        <v>630</v>
      </c>
    </row>
    <row r="17" spans="1:11" s="432" customFormat="1" ht="16.5" x14ac:dyDescent="0.3">
      <c r="A17" s="446" t="s">
        <v>629</v>
      </c>
      <c r="B17" s="470"/>
      <c r="C17" s="470"/>
      <c r="D17" s="438"/>
      <c r="E17" s="449"/>
      <c r="F17" s="437"/>
      <c r="G17" s="438"/>
      <c r="H17" s="438"/>
      <c r="I17" s="436"/>
    </row>
    <row r="18" spans="1:11" ht="16.5" x14ac:dyDescent="0.3">
      <c r="A18" s="415" t="s">
        <v>628</v>
      </c>
      <c r="B18" s="469" t="s">
        <v>558</v>
      </c>
      <c r="C18" s="469" t="s">
        <v>625</v>
      </c>
      <c r="D18" s="418">
        <v>226176</v>
      </c>
      <c r="E18" s="1384">
        <f>+'RS 0000 &amp; 1400'!D12</f>
        <v>223536</v>
      </c>
      <c r="F18" s="434">
        <f>+'RS 0000 &amp; 1400'!H12</f>
        <v>235457</v>
      </c>
      <c r="G18" s="441">
        <f>+'RS 0000 &amp; 1400'!L12</f>
        <v>240482</v>
      </c>
      <c r="H18" s="441">
        <f>+'RS 0000 &amp; 1400'!P12</f>
        <v>246662</v>
      </c>
      <c r="I18" s="404" t="s">
        <v>627</v>
      </c>
    </row>
    <row r="19" spans="1:11" ht="16.5" x14ac:dyDescent="0.3">
      <c r="A19" s="415" t="s">
        <v>626</v>
      </c>
      <c r="B19" s="469" t="s">
        <v>558</v>
      </c>
      <c r="C19" s="469" t="s">
        <v>625</v>
      </c>
      <c r="D19" s="418">
        <v>4212110</v>
      </c>
      <c r="E19" s="1384">
        <f>+'RS 0000 &amp; 1400'!D13</f>
        <v>1687542</v>
      </c>
      <c r="F19" s="434">
        <f>+'RS 0000 &amp; 1400'!H13</f>
        <v>1143299</v>
      </c>
      <c r="G19" s="441">
        <f>+'RS 0000 &amp; 1400'!L13</f>
        <v>2654872</v>
      </c>
      <c r="H19" s="441">
        <f>+'RS 0000 &amp; 1400'!P13</f>
        <v>0</v>
      </c>
      <c r="I19" s="404" t="s">
        <v>624</v>
      </c>
    </row>
    <row r="20" spans="1:11" ht="16.5" x14ac:dyDescent="0.3">
      <c r="A20" s="415" t="s">
        <v>623</v>
      </c>
      <c r="B20" s="469" t="s">
        <v>558</v>
      </c>
      <c r="C20" s="469" t="s">
        <v>593</v>
      </c>
      <c r="D20" s="418">
        <v>1939.94</v>
      </c>
      <c r="E20" s="1384">
        <v>1940</v>
      </c>
      <c r="F20" s="434">
        <f>E20</f>
        <v>1940</v>
      </c>
      <c r="G20" s="441">
        <f t="shared" ref="G20:H22" si="0">E20</f>
        <v>1940</v>
      </c>
      <c r="H20" s="441">
        <f t="shared" si="0"/>
        <v>1940</v>
      </c>
      <c r="K20" s="445"/>
    </row>
    <row r="21" spans="1:11" ht="16.5" x14ac:dyDescent="0.3">
      <c r="A21" s="415" t="s">
        <v>622</v>
      </c>
      <c r="B21" s="469" t="s">
        <v>620</v>
      </c>
      <c r="C21" s="469" t="s">
        <v>593</v>
      </c>
      <c r="D21" s="418">
        <v>17360.54</v>
      </c>
      <c r="E21" s="1384">
        <v>22478.78</v>
      </c>
      <c r="F21" s="434">
        <f>E21</f>
        <v>22478.78</v>
      </c>
      <c r="G21" s="441">
        <f t="shared" si="0"/>
        <v>22478.78</v>
      </c>
      <c r="H21" s="441">
        <f t="shared" si="0"/>
        <v>22478.78</v>
      </c>
    </row>
    <row r="22" spans="1:11" ht="16.5" x14ac:dyDescent="0.3">
      <c r="A22" s="415" t="s">
        <v>621</v>
      </c>
      <c r="B22" s="469" t="s">
        <v>620</v>
      </c>
      <c r="C22" s="469" t="s">
        <v>593</v>
      </c>
      <c r="D22" s="418">
        <v>6525</v>
      </c>
      <c r="E22" s="1384">
        <f>28688.78-E21</f>
        <v>6210</v>
      </c>
      <c r="F22" s="434">
        <f>E22</f>
        <v>6210</v>
      </c>
      <c r="G22" s="441">
        <f t="shared" si="0"/>
        <v>6210</v>
      </c>
      <c r="H22" s="441">
        <f t="shared" si="0"/>
        <v>6210</v>
      </c>
    </row>
    <row r="23" spans="1:11" ht="16.5" x14ac:dyDescent="0.3">
      <c r="A23" s="415" t="s">
        <v>619</v>
      </c>
      <c r="B23" s="469" t="s">
        <v>617</v>
      </c>
      <c r="C23" s="469" t="s">
        <v>612</v>
      </c>
      <c r="D23" s="418">
        <v>1230587.26</v>
      </c>
      <c r="E23" s="1384">
        <f>+'RS 1100'!D9</f>
        <v>1183769.48</v>
      </c>
      <c r="F23" s="434">
        <f>+'RS 1100'!H9</f>
        <v>1122740.08</v>
      </c>
      <c r="G23" s="441">
        <f>+'RS 1100'!L9</f>
        <v>1126777</v>
      </c>
      <c r="H23" s="441">
        <f>+'RS 1100'!P9</f>
        <v>1155735</v>
      </c>
      <c r="I23" s="404" t="s">
        <v>615</v>
      </c>
    </row>
    <row r="24" spans="1:11" ht="16.5" x14ac:dyDescent="0.3">
      <c r="A24" s="415" t="s">
        <v>618</v>
      </c>
      <c r="B24" s="469" t="s">
        <v>617</v>
      </c>
      <c r="C24" s="469" t="s">
        <v>612</v>
      </c>
      <c r="D24" s="418">
        <v>13997.02</v>
      </c>
      <c r="E24" s="1384">
        <v>0</v>
      </c>
      <c r="F24" s="434"/>
      <c r="G24" s="441"/>
      <c r="H24" s="441"/>
    </row>
    <row r="25" spans="1:11" ht="16.5" x14ac:dyDescent="0.3">
      <c r="A25" s="415" t="s">
        <v>616</v>
      </c>
      <c r="B25" s="471" t="s">
        <v>613</v>
      </c>
      <c r="C25" s="471" t="s">
        <v>612</v>
      </c>
      <c r="D25" s="418">
        <v>409115.19</v>
      </c>
      <c r="E25" s="1384">
        <f>+'RS 6300'!D9</f>
        <v>393579.91</v>
      </c>
      <c r="F25" s="434">
        <f>+'RS 6300'!H9</f>
        <v>408994</v>
      </c>
      <c r="G25" s="441">
        <f>+'RS 6300'!L9</f>
        <v>370447</v>
      </c>
      <c r="H25" s="441">
        <f>+'RS 6300'!P9</f>
        <v>379967</v>
      </c>
      <c r="I25" s="404" t="s">
        <v>615</v>
      </c>
    </row>
    <row r="26" spans="1:11" ht="16.5" x14ac:dyDescent="0.3">
      <c r="A26" s="415" t="s">
        <v>614</v>
      </c>
      <c r="B26" s="471" t="s">
        <v>613</v>
      </c>
      <c r="C26" s="471" t="s">
        <v>612</v>
      </c>
      <c r="D26" s="418">
        <v>20338.64</v>
      </c>
      <c r="E26" s="1384">
        <v>0</v>
      </c>
      <c r="F26" s="434">
        <v>0</v>
      </c>
      <c r="G26" s="441">
        <v>0</v>
      </c>
      <c r="H26" s="441">
        <v>0</v>
      </c>
    </row>
    <row r="27" spans="1:11" ht="16.5" x14ac:dyDescent="0.3">
      <c r="A27" s="415" t="s">
        <v>611</v>
      </c>
      <c r="B27" s="471" t="s">
        <v>610</v>
      </c>
      <c r="C27" s="471"/>
      <c r="D27" s="418">
        <v>217800</v>
      </c>
      <c r="E27" s="1384">
        <v>217800</v>
      </c>
      <c r="F27" s="434">
        <v>217800</v>
      </c>
      <c r="G27" s="441">
        <v>217800</v>
      </c>
      <c r="H27" s="441">
        <v>217800</v>
      </c>
      <c r="I27" s="404" t="s">
        <v>609</v>
      </c>
    </row>
    <row r="28" spans="1:11" ht="16.5" x14ac:dyDescent="0.3">
      <c r="A28" s="415" t="s">
        <v>271</v>
      </c>
      <c r="B28" s="471" t="s">
        <v>608</v>
      </c>
      <c r="C28" s="471" t="s">
        <v>593</v>
      </c>
      <c r="D28" s="418">
        <v>662597</v>
      </c>
      <c r="E28" s="1384">
        <v>0</v>
      </c>
      <c r="F28" s="434">
        <v>0</v>
      </c>
      <c r="G28" s="441">
        <v>0</v>
      </c>
      <c r="H28" s="441">
        <v>0</v>
      </c>
      <c r="I28" s="404" t="s">
        <v>607</v>
      </c>
      <c r="K28" s="440"/>
    </row>
    <row r="29" spans="1:11" ht="16.5" x14ac:dyDescent="0.3">
      <c r="A29" s="415" t="s">
        <v>606</v>
      </c>
      <c r="B29" s="471" t="s">
        <v>605</v>
      </c>
      <c r="C29" s="471" t="s">
        <v>593</v>
      </c>
      <c r="D29" s="418">
        <v>305572</v>
      </c>
      <c r="E29" s="1384">
        <f>+'RS 6230'!D9</f>
        <v>466860</v>
      </c>
      <c r="F29" s="434">
        <f>+'RS 6300'!L9</f>
        <v>370447</v>
      </c>
      <c r="G29" s="440">
        <v>0</v>
      </c>
      <c r="H29" s="440">
        <v>0</v>
      </c>
      <c r="I29" s="404" t="s">
        <v>604</v>
      </c>
    </row>
    <row r="30" spans="1:11" ht="16.5" x14ac:dyDescent="0.3">
      <c r="A30" s="415" t="s">
        <v>269</v>
      </c>
      <c r="B30" s="471" t="s">
        <v>603</v>
      </c>
      <c r="C30" s="471" t="s">
        <v>602</v>
      </c>
      <c r="D30" s="418">
        <v>617840.06000000006</v>
      </c>
      <c r="E30" s="1384">
        <f>+'RS 7810'!D7</f>
        <v>-190310.3</v>
      </c>
      <c r="F30" s="434">
        <v>0</v>
      </c>
      <c r="G30" s="440">
        <v>0</v>
      </c>
      <c r="H30" s="440">
        <v>0</v>
      </c>
    </row>
    <row r="31" spans="1:11" ht="16.5" x14ac:dyDescent="0.3">
      <c r="A31" s="415" t="s">
        <v>601</v>
      </c>
      <c r="B31" s="471" t="s">
        <v>600</v>
      </c>
      <c r="C31" s="471" t="s">
        <v>578</v>
      </c>
      <c r="D31" s="418">
        <v>0</v>
      </c>
      <c r="E31" s="1384">
        <v>8100</v>
      </c>
      <c r="F31" s="434">
        <v>8100</v>
      </c>
      <c r="G31" s="441">
        <v>8100</v>
      </c>
      <c r="H31" s="441">
        <v>8100</v>
      </c>
      <c r="I31" s="404" t="s">
        <v>599</v>
      </c>
    </row>
    <row r="32" spans="1:11" s="442" customFormat="1" ht="16.5" x14ac:dyDescent="0.3">
      <c r="A32" s="444"/>
      <c r="B32" s="471"/>
      <c r="C32" s="471"/>
      <c r="D32" s="440"/>
      <c r="E32" s="1385"/>
      <c r="F32" s="443"/>
      <c r="G32" s="441"/>
      <c r="H32" s="441"/>
    </row>
    <row r="33" spans="1:9" ht="16.5" x14ac:dyDescent="0.3">
      <c r="A33" s="415" t="s">
        <v>598</v>
      </c>
      <c r="B33" s="471" t="s">
        <v>589</v>
      </c>
      <c r="C33" s="471" t="s">
        <v>597</v>
      </c>
      <c r="D33" s="418">
        <v>1004376</v>
      </c>
      <c r="E33" s="1384">
        <v>1041447</v>
      </c>
      <c r="F33" s="434">
        <f>E33</f>
        <v>1041447</v>
      </c>
      <c r="G33" s="441">
        <f>E33</f>
        <v>1041447</v>
      </c>
      <c r="H33" s="441">
        <f>F33</f>
        <v>1041447</v>
      </c>
      <c r="I33" s="404" t="s">
        <v>596</v>
      </c>
    </row>
    <row r="34" spans="1:9" ht="16.5" x14ac:dyDescent="0.3">
      <c r="A34" s="415" t="s">
        <v>595</v>
      </c>
      <c r="B34" s="471" t="s">
        <v>594</v>
      </c>
      <c r="C34" s="471" t="s">
        <v>593</v>
      </c>
      <c r="D34" s="1380">
        <v>9000</v>
      </c>
      <c r="E34" s="1384">
        <v>18000</v>
      </c>
      <c r="F34" s="434">
        <v>0</v>
      </c>
      <c r="G34" s="441">
        <v>0</v>
      </c>
      <c r="H34" s="441">
        <v>0</v>
      </c>
    </row>
    <row r="35" spans="1:9" ht="16.5" x14ac:dyDescent="0.3">
      <c r="A35" s="415" t="s">
        <v>592</v>
      </c>
      <c r="B35" s="471" t="s">
        <v>589</v>
      </c>
      <c r="C35" s="471" t="s">
        <v>578</v>
      </c>
      <c r="D35" s="1380">
        <f>81200+203850.19</f>
        <v>285050.19</v>
      </c>
      <c r="E35" s="1384">
        <f>+'RS 6500'!D10</f>
        <v>325434.21999999997</v>
      </c>
      <c r="F35" s="434">
        <f>+'RS 6500'!H10</f>
        <v>332039</v>
      </c>
      <c r="G35" s="441">
        <f>+'RS 6500'!L10</f>
        <v>613879</v>
      </c>
      <c r="H35" s="441">
        <f>+'RS 6500'!P10</f>
        <v>629656</v>
      </c>
      <c r="I35" s="404" t="s">
        <v>591</v>
      </c>
    </row>
    <row r="36" spans="1:9" ht="16.5" x14ac:dyDescent="0.3">
      <c r="A36" s="415" t="s">
        <v>590</v>
      </c>
      <c r="B36" s="471" t="s">
        <v>589</v>
      </c>
      <c r="C36" s="471" t="s">
        <v>588</v>
      </c>
      <c r="D36" s="418">
        <f>3209913</f>
        <v>3209913</v>
      </c>
      <c r="E36" s="1384">
        <f>+'RS 6500'!D11</f>
        <v>3107918</v>
      </c>
      <c r="F36" s="434">
        <f>+'RS 6500'!H11</f>
        <v>3035285</v>
      </c>
      <c r="G36" s="441">
        <f>+'RS 6500'!L11</f>
        <v>3164292</v>
      </c>
      <c r="H36" s="441">
        <f>+'RS 6500'!P11</f>
        <v>3245614</v>
      </c>
      <c r="I36" s="404" t="s">
        <v>587</v>
      </c>
    </row>
    <row r="37" spans="1:9" ht="16.5" x14ac:dyDescent="0.3">
      <c r="A37" s="439" t="s">
        <v>586</v>
      </c>
      <c r="B37" s="472"/>
      <c r="C37" s="472"/>
      <c r="D37" s="438"/>
      <c r="E37" s="449"/>
      <c r="F37" s="437"/>
      <c r="G37" s="436"/>
      <c r="H37" s="436"/>
      <c r="I37" s="436"/>
    </row>
    <row r="38" spans="1:9" ht="16.5" x14ac:dyDescent="0.3">
      <c r="A38" s="435" t="s">
        <v>585</v>
      </c>
      <c r="B38" s="473" t="s">
        <v>558</v>
      </c>
      <c r="C38" s="473" t="s">
        <v>584</v>
      </c>
      <c r="D38" s="418">
        <v>158432.89000000001</v>
      </c>
      <c r="E38" s="1384">
        <f>+'RS 0000 &amp; 1400'!D21</f>
        <v>201693.45</v>
      </c>
      <c r="F38" s="434">
        <f>E38</f>
        <v>201693.45</v>
      </c>
      <c r="G38" s="440">
        <f>E38*1.0242</f>
        <v>206574.43149000002</v>
      </c>
      <c r="H38" s="440">
        <f>F38*1.0242</f>
        <v>206574.43149000002</v>
      </c>
      <c r="I38" s="432"/>
    </row>
    <row r="39" spans="1:9" ht="16.5" x14ac:dyDescent="0.3">
      <c r="A39" s="435" t="s">
        <v>583</v>
      </c>
      <c r="B39" s="473" t="s">
        <v>558</v>
      </c>
      <c r="C39" s="473" t="s">
        <v>582</v>
      </c>
      <c r="D39" s="418">
        <v>4746.1099999999997</v>
      </c>
      <c r="E39" s="1384">
        <v>1000</v>
      </c>
      <c r="F39" s="434">
        <v>1000</v>
      </c>
      <c r="G39" s="440">
        <v>1000</v>
      </c>
      <c r="H39" s="440">
        <v>1000</v>
      </c>
      <c r="I39" s="432"/>
    </row>
    <row r="40" spans="1:9" ht="16.5" x14ac:dyDescent="0.3">
      <c r="A40" s="435" t="s">
        <v>581</v>
      </c>
      <c r="B40" s="473" t="s">
        <v>558</v>
      </c>
      <c r="C40" s="473" t="s">
        <v>580</v>
      </c>
      <c r="D40" s="418">
        <v>24506</v>
      </c>
      <c r="E40" s="1384">
        <v>15000</v>
      </c>
      <c r="F40" s="434">
        <v>5000</v>
      </c>
      <c r="G40" s="416">
        <v>5000</v>
      </c>
      <c r="H40" s="416">
        <v>5000</v>
      </c>
      <c r="I40" s="432"/>
    </row>
    <row r="41" spans="1:9" ht="16.5" x14ac:dyDescent="0.3">
      <c r="A41" s="435" t="s">
        <v>579</v>
      </c>
      <c r="B41" s="473" t="s">
        <v>558</v>
      </c>
      <c r="C41" s="473" t="s">
        <v>578</v>
      </c>
      <c r="D41" s="418">
        <v>19553</v>
      </c>
      <c r="E41" s="1384">
        <v>18000</v>
      </c>
      <c r="F41" s="434">
        <v>18500</v>
      </c>
      <c r="G41" s="416">
        <v>18500</v>
      </c>
      <c r="H41" s="416">
        <v>18500</v>
      </c>
      <c r="I41" s="432"/>
    </row>
    <row r="42" spans="1:9" ht="16.5" x14ac:dyDescent="0.3">
      <c r="A42" s="435" t="s">
        <v>577</v>
      </c>
      <c r="B42" s="473" t="s">
        <v>558</v>
      </c>
      <c r="C42" s="473" t="s">
        <v>575</v>
      </c>
      <c r="D42" s="418">
        <v>5873</v>
      </c>
      <c r="E42" s="1384">
        <v>6632</v>
      </c>
      <c r="F42" s="434">
        <f>E42</f>
        <v>6632</v>
      </c>
      <c r="G42" s="416">
        <f>E42</f>
        <v>6632</v>
      </c>
      <c r="H42" s="416">
        <f>F42</f>
        <v>6632</v>
      </c>
      <c r="I42" s="432"/>
    </row>
    <row r="43" spans="1:9" ht="16.5" x14ac:dyDescent="0.3">
      <c r="A43" s="435" t="s">
        <v>576</v>
      </c>
      <c r="B43" s="473" t="s">
        <v>558</v>
      </c>
      <c r="C43" s="473" t="s">
        <v>575</v>
      </c>
      <c r="D43" s="418">
        <f>9610.05-D42</f>
        <v>3737.0499999999993</v>
      </c>
      <c r="E43" s="1384">
        <v>0</v>
      </c>
      <c r="F43" s="434">
        <v>0</v>
      </c>
      <c r="G43" s="416">
        <v>0</v>
      </c>
      <c r="H43" s="416">
        <v>0</v>
      </c>
      <c r="I43" s="432"/>
    </row>
    <row r="44" spans="1:9" ht="16.5" x14ac:dyDescent="0.3">
      <c r="A44" s="435" t="s">
        <v>574</v>
      </c>
      <c r="B44" s="473" t="s">
        <v>573</v>
      </c>
      <c r="C44" s="473" t="s">
        <v>447</v>
      </c>
      <c r="D44" s="418">
        <v>15063.14</v>
      </c>
      <c r="E44" s="1384">
        <v>6500</v>
      </c>
      <c r="F44" s="434">
        <v>6500</v>
      </c>
      <c r="G44" s="416">
        <v>6500</v>
      </c>
      <c r="H44" s="416">
        <v>6500</v>
      </c>
      <c r="I44" s="432"/>
    </row>
    <row r="45" spans="1:9" ht="16.5" x14ac:dyDescent="0.3">
      <c r="A45" s="435" t="s">
        <v>572</v>
      </c>
      <c r="B45" s="473" t="s">
        <v>558</v>
      </c>
      <c r="C45" s="473" t="s">
        <v>447</v>
      </c>
      <c r="D45" s="418">
        <v>36698.120000000003</v>
      </c>
      <c r="E45" s="1384"/>
      <c r="F45" s="434">
        <f>E45</f>
        <v>0</v>
      </c>
      <c r="G45" s="416">
        <f>E45</f>
        <v>0</v>
      </c>
      <c r="H45" s="416">
        <f>F45</f>
        <v>0</v>
      </c>
      <c r="I45" s="432"/>
    </row>
    <row r="46" spans="1:9" ht="16.5" x14ac:dyDescent="0.3">
      <c r="A46" s="435" t="s">
        <v>571</v>
      </c>
      <c r="B46" s="473" t="s">
        <v>558</v>
      </c>
      <c r="C46" s="473" t="s">
        <v>447</v>
      </c>
      <c r="D46" s="418">
        <v>1150.45</v>
      </c>
      <c r="E46" s="1384">
        <v>0</v>
      </c>
      <c r="F46" s="434">
        <v>0</v>
      </c>
      <c r="G46" s="416">
        <v>0</v>
      </c>
      <c r="H46" s="416">
        <v>0</v>
      </c>
      <c r="I46" s="432"/>
    </row>
    <row r="47" spans="1:9" ht="16.5" x14ac:dyDescent="0.3">
      <c r="A47" s="435" t="s">
        <v>570</v>
      </c>
      <c r="B47" s="473" t="s">
        <v>558</v>
      </c>
      <c r="C47" s="473" t="s">
        <v>447</v>
      </c>
      <c r="D47" s="418">
        <v>9696.02</v>
      </c>
      <c r="E47" s="1384">
        <v>0</v>
      </c>
      <c r="F47" s="434">
        <v>0</v>
      </c>
      <c r="G47" s="416">
        <v>0</v>
      </c>
      <c r="H47" s="416">
        <v>0</v>
      </c>
      <c r="I47" s="432"/>
    </row>
    <row r="48" spans="1:9" ht="16.5" x14ac:dyDescent="0.3">
      <c r="A48" s="435" t="s">
        <v>569</v>
      </c>
      <c r="B48" s="473" t="s">
        <v>558</v>
      </c>
      <c r="C48" s="473" t="s">
        <v>447</v>
      </c>
      <c r="D48" s="418">
        <v>29109.93</v>
      </c>
      <c r="E48" s="1384">
        <f>882996-807000-E53</f>
        <v>42319.77</v>
      </c>
      <c r="F48" s="434">
        <v>0</v>
      </c>
      <c r="G48" s="416">
        <v>0</v>
      </c>
      <c r="H48" s="416">
        <v>0</v>
      </c>
      <c r="I48" s="432"/>
    </row>
    <row r="49" spans="1:9" ht="16.5" x14ac:dyDescent="0.3">
      <c r="A49" s="435" t="s">
        <v>568</v>
      </c>
      <c r="B49" s="473" t="s">
        <v>558</v>
      </c>
      <c r="C49" s="473" t="s">
        <v>447</v>
      </c>
      <c r="D49" s="418">
        <v>0</v>
      </c>
      <c r="E49" s="1384">
        <f>+'RS 0000 &amp; 1400'!D15</f>
        <v>807000</v>
      </c>
      <c r="F49" s="434">
        <v>0</v>
      </c>
      <c r="G49" s="416">
        <v>0</v>
      </c>
      <c r="H49" s="416">
        <v>0</v>
      </c>
      <c r="I49" s="432"/>
    </row>
    <row r="50" spans="1:9" ht="16.5" x14ac:dyDescent="0.3">
      <c r="A50" s="435" t="s">
        <v>567</v>
      </c>
      <c r="B50" s="473" t="s">
        <v>558</v>
      </c>
      <c r="C50" s="473" t="s">
        <v>447</v>
      </c>
      <c r="D50" s="418">
        <v>0</v>
      </c>
      <c r="E50" s="1384">
        <v>20204</v>
      </c>
      <c r="F50" s="434">
        <v>0</v>
      </c>
      <c r="G50" s="416">
        <v>0</v>
      </c>
      <c r="H50" s="416">
        <v>0</v>
      </c>
      <c r="I50" s="432"/>
    </row>
    <row r="51" spans="1:9" ht="16.5" x14ac:dyDescent="0.3">
      <c r="A51" s="435" t="s">
        <v>566</v>
      </c>
      <c r="B51" s="473" t="s">
        <v>558</v>
      </c>
      <c r="C51" s="473" t="s">
        <v>447</v>
      </c>
      <c r="D51" s="418">
        <v>13452.82</v>
      </c>
      <c r="E51" s="1384">
        <v>0</v>
      </c>
      <c r="F51" s="434">
        <v>0</v>
      </c>
      <c r="G51" s="416">
        <v>0</v>
      </c>
      <c r="H51" s="416">
        <v>0</v>
      </c>
      <c r="I51" s="432"/>
    </row>
    <row r="52" spans="1:9" ht="16.5" x14ac:dyDescent="0.3">
      <c r="A52" s="435" t="s">
        <v>565</v>
      </c>
      <c r="B52" s="473" t="s">
        <v>558</v>
      </c>
      <c r="C52" s="473" t="s">
        <v>447</v>
      </c>
      <c r="D52" s="418">
        <v>10000</v>
      </c>
      <c r="E52" s="1384">
        <v>10000</v>
      </c>
      <c r="F52" s="434">
        <v>10000</v>
      </c>
      <c r="G52" s="416">
        <v>10000</v>
      </c>
      <c r="H52" s="416">
        <v>10000</v>
      </c>
      <c r="I52" s="432"/>
    </row>
    <row r="53" spans="1:9" ht="16.5" x14ac:dyDescent="0.3">
      <c r="A53" s="435" t="s">
        <v>564</v>
      </c>
      <c r="B53" s="473" t="s">
        <v>558</v>
      </c>
      <c r="C53" s="473" t="s">
        <v>447</v>
      </c>
      <c r="D53" s="418">
        <v>78018.67</v>
      </c>
      <c r="E53" s="1384">
        <v>33676.230000000003</v>
      </c>
      <c r="F53" s="434">
        <f>+E53</f>
        <v>33676.230000000003</v>
      </c>
      <c r="G53" s="416">
        <f>+E53</f>
        <v>33676.230000000003</v>
      </c>
      <c r="H53" s="416">
        <f>+F53</f>
        <v>33676.230000000003</v>
      </c>
      <c r="I53" s="432"/>
    </row>
    <row r="54" spans="1:9" ht="16.5" x14ac:dyDescent="0.3">
      <c r="A54" s="454" t="str">
        <f>+'RS 0000 &amp; 1400'!C16</f>
        <v>MID Energy Audit and Projects Refund</v>
      </c>
      <c r="B54" s="473" t="s">
        <v>558</v>
      </c>
      <c r="C54" s="473" t="s">
        <v>447</v>
      </c>
      <c r="D54" s="418">
        <v>0</v>
      </c>
      <c r="E54" s="1384">
        <f>+'RS 0000 &amp; 1400'!D16</f>
        <v>0</v>
      </c>
      <c r="F54" s="434"/>
      <c r="G54" s="416"/>
      <c r="H54" s="416"/>
      <c r="I54" s="432"/>
    </row>
    <row r="55" spans="1:9" ht="16.5" x14ac:dyDescent="0.3">
      <c r="A55" s="454" t="str">
        <f>+'RS 0000 &amp; 1400'!C18</f>
        <v>E-Rate Refunds and Reimbursements</v>
      </c>
      <c r="B55" s="473" t="s">
        <v>558</v>
      </c>
      <c r="C55" s="473" t="s">
        <v>447</v>
      </c>
      <c r="D55" s="418">
        <v>0</v>
      </c>
      <c r="E55" s="1384">
        <f>+'RS 0000 &amp; 1400'!D18</f>
        <v>1110.8900000000001</v>
      </c>
      <c r="F55" s="434"/>
      <c r="G55" s="416"/>
      <c r="H55" s="416"/>
      <c r="I55" s="432"/>
    </row>
    <row r="56" spans="1:9" ht="16.5" x14ac:dyDescent="0.3">
      <c r="A56" s="435" t="s">
        <v>563</v>
      </c>
      <c r="B56" s="474" t="s">
        <v>562</v>
      </c>
      <c r="C56" s="474" t="s">
        <v>447</v>
      </c>
      <c r="D56" s="418">
        <v>117952.39</v>
      </c>
      <c r="E56" s="1384">
        <v>0</v>
      </c>
      <c r="F56" s="434">
        <v>0</v>
      </c>
      <c r="G56" s="433">
        <v>0</v>
      </c>
      <c r="H56" s="433">
        <v>0</v>
      </c>
      <c r="I56" s="432"/>
    </row>
    <row r="57" spans="1:9" ht="16.5" x14ac:dyDescent="0.3">
      <c r="A57" s="439" t="s">
        <v>561</v>
      </c>
      <c r="B57" s="472"/>
      <c r="C57" s="472"/>
      <c r="D57" s="438"/>
      <c r="E57" s="449"/>
      <c r="F57" s="437"/>
      <c r="G57" s="436"/>
      <c r="H57" s="436"/>
      <c r="I57" s="436"/>
    </row>
    <row r="58" spans="1:9" ht="16.5" x14ac:dyDescent="0.3">
      <c r="A58" s="435" t="s">
        <v>560</v>
      </c>
      <c r="B58" s="473" t="s">
        <v>558</v>
      </c>
      <c r="C58" s="473" t="s">
        <v>557</v>
      </c>
      <c r="D58" s="418">
        <v>0</v>
      </c>
      <c r="E58" s="1384">
        <v>-31107</v>
      </c>
      <c r="F58" s="434">
        <v>0</v>
      </c>
      <c r="G58" s="416">
        <v>0</v>
      </c>
      <c r="H58" s="416">
        <v>0</v>
      </c>
      <c r="I58" s="432"/>
    </row>
    <row r="59" spans="1:9" ht="16.5" x14ac:dyDescent="0.3">
      <c r="A59" s="435" t="s">
        <v>559</v>
      </c>
      <c r="B59" s="474" t="s">
        <v>558</v>
      </c>
      <c r="C59" s="474" t="s">
        <v>557</v>
      </c>
      <c r="D59" s="418">
        <v>0</v>
      </c>
      <c r="E59" s="1384">
        <v>0</v>
      </c>
      <c r="F59" s="434">
        <v>0</v>
      </c>
      <c r="G59" s="433">
        <v>0</v>
      </c>
      <c r="H59" s="433">
        <v>0</v>
      </c>
      <c r="I59" s="432"/>
    </row>
    <row r="60" spans="1:9" x14ac:dyDescent="0.2">
      <c r="E60" s="1386"/>
      <c r="F60" s="431"/>
    </row>
    <row r="61" spans="1:9" ht="16.5" x14ac:dyDescent="0.3">
      <c r="A61" s="422" t="s">
        <v>556</v>
      </c>
      <c r="B61" s="476" t="s">
        <v>555</v>
      </c>
      <c r="C61" s="477"/>
      <c r="D61" s="421"/>
      <c r="E61" s="1387"/>
      <c r="F61" s="420"/>
      <c r="G61" s="419"/>
      <c r="H61" s="419"/>
      <c r="I61" s="419"/>
    </row>
    <row r="62" spans="1:9" ht="16.5" x14ac:dyDescent="0.3">
      <c r="A62" s="415" t="s">
        <v>398</v>
      </c>
      <c r="B62" s="478" t="s">
        <v>553</v>
      </c>
      <c r="D62" s="418">
        <v>61325045.425441563</v>
      </c>
      <c r="E62" s="1388">
        <f>64105744+E58</f>
        <v>64074637</v>
      </c>
      <c r="F62" s="417">
        <v>64408450</v>
      </c>
      <c r="G62" s="426">
        <v>66039942</v>
      </c>
      <c r="H62" s="426">
        <v>68436628</v>
      </c>
    </row>
    <row r="63" spans="1:9" ht="16.5" x14ac:dyDescent="0.3">
      <c r="A63" s="415" t="s">
        <v>346</v>
      </c>
      <c r="B63" s="478" t="s">
        <v>552</v>
      </c>
      <c r="D63" s="418">
        <f>+SUM(D3)</f>
        <v>149454.15</v>
      </c>
      <c r="E63" s="1388">
        <f>+SUM(E3)</f>
        <v>79154</v>
      </c>
      <c r="F63" s="417">
        <f>+SUM(F3)</f>
        <v>0</v>
      </c>
      <c r="G63" s="426">
        <f>+SUM(G3)</f>
        <v>0</v>
      </c>
      <c r="H63" s="426">
        <f>+SUM(H3)</f>
        <v>0</v>
      </c>
    </row>
    <row r="64" spans="1:9" ht="16.5" x14ac:dyDescent="0.3">
      <c r="A64" s="415" t="s">
        <v>551</v>
      </c>
      <c r="B64" s="478" t="s">
        <v>550</v>
      </c>
      <c r="D64" s="418">
        <f>+SUM(D18:D24)</f>
        <v>5708695.7599999998</v>
      </c>
      <c r="E64" s="1388">
        <f>+SUM(E18:E24)</f>
        <v>3125476.26</v>
      </c>
      <c r="F64" s="417">
        <f>+SUM(F18:F24)</f>
        <v>2532124.8600000003</v>
      </c>
      <c r="G64" s="426">
        <f>+SUM(G18:G24)</f>
        <v>4052759.78</v>
      </c>
      <c r="H64" s="426">
        <f>+SUM(H18:H24)</f>
        <v>1433025.78</v>
      </c>
    </row>
    <row r="65" spans="1:9" ht="16.5" x14ac:dyDescent="0.3">
      <c r="A65" s="415" t="s">
        <v>156</v>
      </c>
      <c r="B65" s="478" t="s">
        <v>549</v>
      </c>
      <c r="D65" s="414">
        <f>+SUM(D38:D53)</f>
        <v>410037.2</v>
      </c>
      <c r="E65" s="1389">
        <f>+SUM(E38:E56)</f>
        <v>1163136.3399999999</v>
      </c>
      <c r="F65" s="413">
        <f>+SUM(F38:F56)</f>
        <v>283001.68</v>
      </c>
      <c r="G65" s="412">
        <f>+SUM(G38:G53)</f>
        <v>287882.66149000003</v>
      </c>
      <c r="H65" s="412">
        <f>+SUM(H38:H53)</f>
        <v>287882.66149000003</v>
      </c>
    </row>
    <row r="66" spans="1:9" s="429" customFormat="1" ht="16.5" x14ac:dyDescent="0.3">
      <c r="A66" s="430"/>
      <c r="B66" s="479"/>
      <c r="C66" s="479"/>
      <c r="D66" s="411">
        <f>SUM(D62:D65)</f>
        <v>67593232.535441563</v>
      </c>
      <c r="E66" s="1390">
        <f>SUM(E62:E65)</f>
        <v>68442403.600000009</v>
      </c>
      <c r="F66" s="425">
        <f>SUM(F62:F65)</f>
        <v>67223576.540000007</v>
      </c>
      <c r="G66" s="411">
        <f>SUM(G62:G65)</f>
        <v>70380584.441489995</v>
      </c>
      <c r="H66" s="411">
        <f>SUM(H62:H65)</f>
        <v>70157536.441489995</v>
      </c>
    </row>
    <row r="67" spans="1:9" ht="16.5" x14ac:dyDescent="0.3">
      <c r="A67" s="415"/>
      <c r="D67" s="427">
        <v>0</v>
      </c>
      <c r="E67" s="1391">
        <v>502655.44044727087</v>
      </c>
      <c r="F67" s="428">
        <v>-1605513.444186233</v>
      </c>
      <c r="G67" s="427">
        <v>55410.343213766813</v>
      </c>
      <c r="H67" s="427">
        <v>2200315.1115206927</v>
      </c>
    </row>
    <row r="68" spans="1:9" ht="16.5" x14ac:dyDescent="0.3">
      <c r="A68" s="422" t="s">
        <v>368</v>
      </c>
      <c r="B68" s="477"/>
      <c r="C68" s="477"/>
      <c r="D68" s="421"/>
      <c r="E68" s="1387"/>
      <c r="F68" s="420"/>
      <c r="G68" s="419"/>
      <c r="H68" s="419"/>
      <c r="I68" s="419"/>
    </row>
    <row r="69" spans="1:9" ht="16.5" x14ac:dyDescent="0.3">
      <c r="A69" s="415" t="s">
        <v>398</v>
      </c>
      <c r="B69" s="478" t="s">
        <v>553</v>
      </c>
      <c r="D69" s="418">
        <f>+D33</f>
        <v>1004376</v>
      </c>
      <c r="E69" s="1388">
        <f>+E33</f>
        <v>1041447</v>
      </c>
      <c r="F69" s="417">
        <f>+F33</f>
        <v>1041447</v>
      </c>
      <c r="G69" s="426">
        <f>+G33</f>
        <v>1041447</v>
      </c>
      <c r="H69" s="426">
        <f>+H33</f>
        <v>1041447</v>
      </c>
    </row>
    <row r="70" spans="1:9" ht="16.5" x14ac:dyDescent="0.3">
      <c r="A70" s="415" t="s">
        <v>346</v>
      </c>
      <c r="B70" s="478" t="s">
        <v>552</v>
      </c>
      <c r="D70" s="418">
        <f>+SUM(D4:D16)</f>
        <v>4192188.23</v>
      </c>
      <c r="E70" s="1388">
        <f>+SUM(E4:E16)</f>
        <v>4502668.51</v>
      </c>
      <c r="F70" s="417">
        <f>+SUM(F4:F16)</f>
        <v>4576072</v>
      </c>
      <c r="G70" s="426">
        <f>+SUM(G4:G16)</f>
        <v>4372775</v>
      </c>
      <c r="H70" s="426">
        <f>+SUM(H4:H16)</f>
        <v>3957778</v>
      </c>
    </row>
    <row r="71" spans="1:9" ht="16.5" x14ac:dyDescent="0.3">
      <c r="A71" s="415" t="s">
        <v>551</v>
      </c>
      <c r="B71" s="478" t="s">
        <v>550</v>
      </c>
      <c r="D71" s="418">
        <f>+SUM(D25:D29,D34)</f>
        <v>1624422.83</v>
      </c>
      <c r="E71" s="1388">
        <f>+SUM(E25:E29,E34)</f>
        <v>1096239.9099999999</v>
      </c>
      <c r="F71" s="417">
        <f>+SUM(F25:F29,F34)</f>
        <v>997241</v>
      </c>
      <c r="G71" s="426">
        <f>+SUM(G25:G29,G34)</f>
        <v>588247</v>
      </c>
      <c r="H71" s="426">
        <f>+SUM(H25:H29,H34)</f>
        <v>597767</v>
      </c>
    </row>
    <row r="72" spans="1:9" ht="16.5" x14ac:dyDescent="0.3">
      <c r="A72" s="415" t="s">
        <v>156</v>
      </c>
      <c r="B72" s="478" t="s">
        <v>549</v>
      </c>
      <c r="D72" s="414">
        <f>+SUM(D35:D36,D56,D31)</f>
        <v>3612915.58</v>
      </c>
      <c r="E72" s="1389">
        <f>+SUM(E35:E36,E56,E31)</f>
        <v>3441452.2199999997</v>
      </c>
      <c r="F72" s="413">
        <f>+SUM(F35:F36,F56,F31)</f>
        <v>3375424</v>
      </c>
      <c r="G72" s="412">
        <f>+SUM(G35:G36,G56,G31)</f>
        <v>3786271</v>
      </c>
      <c r="H72" s="412">
        <f>+SUM(H35:H36,H56,H31)</f>
        <v>3883370</v>
      </c>
    </row>
    <row r="73" spans="1:9" ht="16.5" x14ac:dyDescent="0.3">
      <c r="A73" s="415"/>
      <c r="D73" s="411">
        <f>SUM(D69:D72)</f>
        <v>10433902.640000001</v>
      </c>
      <c r="E73" s="1390">
        <f>SUM(E69:E72)</f>
        <v>10081807.640000001</v>
      </c>
      <c r="F73" s="425">
        <f>SUM(F69:F72)</f>
        <v>9990184</v>
      </c>
      <c r="G73" s="411">
        <f>SUM(G69:G72)</f>
        <v>9788740</v>
      </c>
      <c r="H73" s="411">
        <f>SUM(H69:H72)</f>
        <v>9480362</v>
      </c>
    </row>
    <row r="74" spans="1:9" ht="16.5" x14ac:dyDescent="0.3">
      <c r="A74" s="415"/>
      <c r="D74" s="423">
        <v>0</v>
      </c>
      <c r="E74" s="1392">
        <v>-114120.74000000022</v>
      </c>
      <c r="F74" s="424">
        <v>811108.50700000115</v>
      </c>
      <c r="G74" s="423">
        <v>-43040.492999998853</v>
      </c>
      <c r="H74" s="423">
        <v>415145.17047329992</v>
      </c>
    </row>
    <row r="75" spans="1:9" ht="16.5" x14ac:dyDescent="0.3">
      <c r="A75" s="422" t="s">
        <v>554</v>
      </c>
      <c r="B75" s="477"/>
      <c r="C75" s="477"/>
      <c r="D75" s="421"/>
      <c r="E75" s="1387"/>
      <c r="F75" s="420"/>
      <c r="G75" s="419"/>
      <c r="H75" s="419"/>
      <c r="I75" s="419"/>
    </row>
    <row r="76" spans="1:9" ht="16.5" x14ac:dyDescent="0.3">
      <c r="A76" s="415" t="s">
        <v>398</v>
      </c>
      <c r="B76" s="478" t="s">
        <v>553</v>
      </c>
      <c r="D76" s="418">
        <f t="shared" ref="D76:H79" si="1">+D62+D69</f>
        <v>62329421.425441563</v>
      </c>
      <c r="E76" s="1388">
        <f t="shared" si="1"/>
        <v>65116084</v>
      </c>
      <c r="F76" s="417">
        <f t="shared" si="1"/>
        <v>65449897</v>
      </c>
      <c r="G76" s="416">
        <f t="shared" si="1"/>
        <v>67081389</v>
      </c>
      <c r="H76" s="416">
        <f t="shared" si="1"/>
        <v>69478075</v>
      </c>
    </row>
    <row r="77" spans="1:9" ht="16.5" x14ac:dyDescent="0.3">
      <c r="A77" s="415" t="s">
        <v>346</v>
      </c>
      <c r="B77" s="478" t="s">
        <v>552</v>
      </c>
      <c r="D77" s="418">
        <f t="shared" si="1"/>
        <v>4341642.38</v>
      </c>
      <c r="E77" s="1388">
        <f t="shared" si="1"/>
        <v>4581822.51</v>
      </c>
      <c r="F77" s="417">
        <f t="shared" si="1"/>
        <v>4576072</v>
      </c>
      <c r="G77" s="416">
        <f t="shared" si="1"/>
        <v>4372775</v>
      </c>
      <c r="H77" s="416">
        <f t="shared" si="1"/>
        <v>3957778</v>
      </c>
    </row>
    <row r="78" spans="1:9" ht="16.5" x14ac:dyDescent="0.3">
      <c r="A78" s="415" t="s">
        <v>551</v>
      </c>
      <c r="B78" s="478" t="s">
        <v>550</v>
      </c>
      <c r="D78" s="418">
        <f t="shared" si="1"/>
        <v>7333118.5899999999</v>
      </c>
      <c r="E78" s="1388">
        <f t="shared" si="1"/>
        <v>4221716.17</v>
      </c>
      <c r="F78" s="417">
        <f t="shared" si="1"/>
        <v>3529365.8600000003</v>
      </c>
      <c r="G78" s="416">
        <f t="shared" si="1"/>
        <v>4641006.7799999993</v>
      </c>
      <c r="H78" s="416">
        <f t="shared" si="1"/>
        <v>2030792.78</v>
      </c>
    </row>
    <row r="79" spans="1:9" ht="16.5" x14ac:dyDescent="0.3">
      <c r="A79" s="415" t="s">
        <v>156</v>
      </c>
      <c r="B79" s="478" t="s">
        <v>549</v>
      </c>
      <c r="D79" s="414">
        <f t="shared" si="1"/>
        <v>4022952.7800000003</v>
      </c>
      <c r="E79" s="1389">
        <f t="shared" si="1"/>
        <v>4604588.5599999996</v>
      </c>
      <c r="F79" s="413">
        <f t="shared" si="1"/>
        <v>3658425.68</v>
      </c>
      <c r="G79" s="412">
        <f t="shared" si="1"/>
        <v>4074153.6614899999</v>
      </c>
      <c r="H79" s="412">
        <f t="shared" si="1"/>
        <v>4171252.6614899999</v>
      </c>
    </row>
    <row r="80" spans="1:9" ht="13.5" thickBot="1" x14ac:dyDescent="0.25">
      <c r="D80" s="411">
        <f>SUM(D76:D79)</f>
        <v>78027135.175441563</v>
      </c>
      <c r="E80" s="1393">
        <f>SUM(E76:E79)</f>
        <v>78524211.24000001</v>
      </c>
      <c r="F80" s="410">
        <f>SUM(F76:F79)</f>
        <v>77213760.540000007</v>
      </c>
      <c r="G80" s="409">
        <f>SUM(G76:G79)</f>
        <v>80169324.441489995</v>
      </c>
      <c r="H80" s="409">
        <f>SUM(H76:H79)</f>
        <v>79637898.441489995</v>
      </c>
    </row>
    <row r="81" spans="3:8" ht="13.5" thickTop="1" x14ac:dyDescent="0.2">
      <c r="E81" s="1381"/>
      <c r="F81" s="408"/>
    </row>
    <row r="82" spans="3:8" x14ac:dyDescent="0.2">
      <c r="C82" s="480" t="s">
        <v>270</v>
      </c>
      <c r="D82" s="405">
        <v>617840.06000000006</v>
      </c>
      <c r="E82" s="405">
        <v>940972.3</v>
      </c>
      <c r="F82" s="405">
        <v>0</v>
      </c>
      <c r="G82" s="405">
        <v>0</v>
      </c>
      <c r="H82" s="405">
        <v>0</v>
      </c>
    </row>
    <row r="83" spans="3:8" ht="6" customHeight="1" x14ac:dyDescent="0.2"/>
    <row r="84" spans="3:8" ht="13.5" thickBot="1" x14ac:dyDescent="0.25">
      <c r="C84" s="480" t="s">
        <v>548</v>
      </c>
      <c r="D84" s="407">
        <f>+D80+D82</f>
        <v>78644975.235441566</v>
      </c>
      <c r="E84" s="407">
        <f>+E80+E82</f>
        <v>79465183.540000007</v>
      </c>
      <c r="F84" s="407">
        <f>+F80+F82</f>
        <v>77213760.540000007</v>
      </c>
      <c r="G84" s="407">
        <f>+G80+G82</f>
        <v>80169324.441489995</v>
      </c>
      <c r="H84" s="407">
        <f>+H80+H82</f>
        <v>79637898.441489995</v>
      </c>
    </row>
    <row r="85" spans="3:8" ht="13.5" thickTop="1" x14ac:dyDescent="0.2"/>
    <row r="86" spans="3:8" x14ac:dyDescent="0.2">
      <c r="C86" s="481" t="s">
        <v>547</v>
      </c>
      <c r="D86" s="405">
        <v>78644975.935441539</v>
      </c>
      <c r="E86" s="405">
        <v>79328415.039552733</v>
      </c>
      <c r="F86" s="405">
        <v>76874916.227186233</v>
      </c>
      <c r="G86" s="405">
        <v>76874916.227186233</v>
      </c>
      <c r="H86" s="405">
        <v>76826448.390106007</v>
      </c>
    </row>
    <row r="87" spans="3:8" x14ac:dyDescent="0.2">
      <c r="C87" s="481" t="s">
        <v>546</v>
      </c>
      <c r="D87" s="406">
        <f>+D84-D86</f>
        <v>-0.69999997317790985</v>
      </c>
      <c r="E87" s="406">
        <f>+E84-E86</f>
        <v>136768.50044727325</v>
      </c>
      <c r="F87" s="406">
        <f>+F84-F86</f>
        <v>338844.31281377375</v>
      </c>
      <c r="G87" s="406">
        <f>+G84-G86</f>
        <v>3294408.2143037617</v>
      </c>
      <c r="H87" s="406">
        <f>+H84-H86</f>
        <v>2811450.0513839871</v>
      </c>
    </row>
  </sheetData>
  <hyperlinks>
    <hyperlink ref="I4" r:id="rId1"/>
    <hyperlink ref="I9" r:id="rId2"/>
    <hyperlink ref="I12" r:id="rId3"/>
    <hyperlink ref="I14" r:id="rId4"/>
    <hyperlink ref="I18" r:id="rId5"/>
  </hyperlinks>
  <pageMargins left="0.25" right="0.25" top="0.5" bottom="0.2" header="0.5" footer="0.17"/>
  <pageSetup orientation="portrait" r:id="rId6"/>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43</vt:i4>
      </vt:variant>
    </vt:vector>
  </HeadingPairs>
  <TitlesOfParts>
    <vt:vector size="86" baseType="lpstr">
      <vt:lpstr>MYP Assumptions</vt:lpstr>
      <vt:lpstr>UNRESTRICTED STRS Incrs Calc</vt:lpstr>
      <vt:lpstr>UNRESTRICTED</vt:lpstr>
      <vt:lpstr>RESTRICTED</vt:lpstr>
      <vt:lpstr>COMBINED</vt:lpstr>
      <vt:lpstr>18-19 Budget RS 3010-ALL</vt:lpstr>
      <vt:lpstr>SSC's Dartboard</vt:lpstr>
      <vt:lpstr>LCFF</vt:lpstr>
      <vt:lpstr>Other Revenue</vt:lpstr>
      <vt:lpstr>STRS &amp; PERS</vt:lpstr>
      <vt:lpstr>Textbook Adoption Schedule</vt:lpstr>
      <vt:lpstr>RS 0000 &amp; 1400</vt:lpstr>
      <vt:lpstr>RS 0032</vt:lpstr>
      <vt:lpstr>RS 0042</vt:lpstr>
      <vt:lpstr>RS 0049</vt:lpstr>
      <vt:lpstr>RS 0103</vt:lpstr>
      <vt:lpstr>RS 0617</vt:lpstr>
      <vt:lpstr>RS 0653</vt:lpstr>
      <vt:lpstr>RS 0654</vt:lpstr>
      <vt:lpstr>RS 0655</vt:lpstr>
      <vt:lpstr>RS 1100</vt:lpstr>
      <vt:lpstr>2016-17  RS 3010-DO &amp; All Sites</vt:lpstr>
      <vt:lpstr>RS 3010</vt:lpstr>
      <vt:lpstr>RS 3310</vt:lpstr>
      <vt:lpstr>RS 3311</vt:lpstr>
      <vt:lpstr>RS 4035</vt:lpstr>
      <vt:lpstr>RS 4201</vt:lpstr>
      <vt:lpstr>RS 4203</vt:lpstr>
      <vt:lpstr>RS 5640</vt:lpstr>
      <vt:lpstr>RS 6010</vt:lpstr>
      <vt:lpstr>RS 6230</vt:lpstr>
      <vt:lpstr>RS 6264</vt:lpstr>
      <vt:lpstr>RS 6300</vt:lpstr>
      <vt:lpstr>RS 6500</vt:lpstr>
      <vt:lpstr>RS 6512</vt:lpstr>
      <vt:lpstr>RS 7810</vt:lpstr>
      <vt:lpstr>RS 8150</vt:lpstr>
      <vt:lpstr>RS 9076</vt:lpstr>
      <vt:lpstr>RS 9221</vt:lpstr>
      <vt:lpstr>RS 9222</vt:lpstr>
      <vt:lpstr>RS 9225</vt:lpstr>
      <vt:lpstr>OTHER FUNDS - MYP</vt:lpstr>
      <vt:lpstr>RS XXXX - MYP, BLANK</vt:lpstr>
      <vt:lpstr>'2016-17  RS 3010-DO &amp; All Sites'!Print_Area</vt:lpstr>
      <vt:lpstr>COMBINED!Print_Area</vt:lpstr>
      <vt:lpstr>LCFF!Print_Area</vt:lpstr>
      <vt:lpstr>'MYP Assumptions'!Print_Area</vt:lpstr>
      <vt:lpstr>'OTHER FUNDS - MYP'!Print_Area</vt:lpstr>
      <vt:lpstr>RESTRICTED!Print_Area</vt:lpstr>
      <vt:lpstr>'RS 0000 &amp; 1400'!Print_Area</vt:lpstr>
      <vt:lpstr>'RS 0032'!Print_Area</vt:lpstr>
      <vt:lpstr>'RS 0042'!Print_Area</vt:lpstr>
      <vt:lpstr>'RS 0049'!Print_Area</vt:lpstr>
      <vt:lpstr>'RS 0103'!Print_Area</vt:lpstr>
      <vt:lpstr>'RS 0617'!Print_Area</vt:lpstr>
      <vt:lpstr>'RS 0653'!Print_Area</vt:lpstr>
      <vt:lpstr>'RS 0654'!Print_Area</vt:lpstr>
      <vt:lpstr>'RS 0655'!Print_Area</vt:lpstr>
      <vt:lpstr>'RS 1100'!Print_Area</vt:lpstr>
      <vt:lpstr>'RS 3010'!Print_Area</vt:lpstr>
      <vt:lpstr>'RS 3310'!Print_Area</vt:lpstr>
      <vt:lpstr>'RS 3311'!Print_Area</vt:lpstr>
      <vt:lpstr>'RS 4035'!Print_Area</vt:lpstr>
      <vt:lpstr>'RS 4201'!Print_Area</vt:lpstr>
      <vt:lpstr>'RS 4203'!Print_Area</vt:lpstr>
      <vt:lpstr>'RS 5640'!Print_Area</vt:lpstr>
      <vt:lpstr>'RS 6010'!Print_Area</vt:lpstr>
      <vt:lpstr>'RS 6230'!Print_Area</vt:lpstr>
      <vt:lpstr>'RS 6264'!Print_Area</vt:lpstr>
      <vt:lpstr>'RS 6300'!Print_Area</vt:lpstr>
      <vt:lpstr>'RS 6500'!Print_Area</vt:lpstr>
      <vt:lpstr>'RS 6512'!Print_Area</vt:lpstr>
      <vt:lpstr>'RS 8150'!Print_Area</vt:lpstr>
      <vt:lpstr>'RS 9076'!Print_Area</vt:lpstr>
      <vt:lpstr>'RS 9221'!Print_Area</vt:lpstr>
      <vt:lpstr>'RS 9222'!Print_Area</vt:lpstr>
      <vt:lpstr>'RS 9225'!Print_Area</vt:lpstr>
      <vt:lpstr>'STRS &amp; PERS'!Print_Area</vt:lpstr>
      <vt:lpstr>UNRESTRICTED!Print_Area</vt:lpstr>
      <vt:lpstr>'UNRESTRICTED STRS Incrs Calc'!Print_Area</vt:lpstr>
      <vt:lpstr>'2016-17  RS 3010-DO &amp; All Sites'!Print_Titles</vt:lpstr>
      <vt:lpstr>COMBINED!Print_Titles</vt:lpstr>
      <vt:lpstr>'MYP Assumptions'!Print_Titles</vt:lpstr>
      <vt:lpstr>RESTRICTED!Print_Titles</vt:lpstr>
      <vt:lpstr>UNRESTRICTED!Print_Titles</vt:lpstr>
      <vt:lpstr>'UNRESTRICTED STRS Incrs Calc'!Print_Titles</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Cheryl Phan</dc:creator>
  <cp:lastModifiedBy>Cheryl Phan</cp:lastModifiedBy>
  <cp:lastPrinted>2018-06-07T15:54:03Z</cp:lastPrinted>
  <dcterms:created xsi:type="dcterms:W3CDTF">2017-02-20T04:28:16Z</dcterms:created>
  <dcterms:modified xsi:type="dcterms:W3CDTF">2018-06-11T22:33:13Z</dcterms:modified>
</cp:coreProperties>
</file>